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300" windowWidth="20490" windowHeight="7455" tabRatio="746"/>
  </bookViews>
  <sheets>
    <sheet name="Instructions" sheetId="13" r:id="rId1"/>
    <sheet name="Am-241 Default" sheetId="1" r:id="rId2"/>
    <sheet name="Cs-137+D Default" sheetId="6" r:id="rId3"/>
    <sheet name="Ra-226+D Default" sheetId="8" r:id="rId4"/>
    <sheet name="Rn-222+D Default" sheetId="7" r:id="rId5"/>
    <sheet name="Am-241 D-bq" sheetId="14" r:id="rId6"/>
    <sheet name="Cs-137+D D-bq" sheetId="16" r:id="rId7"/>
    <sheet name="Ra-226+D D-bq" sheetId="17" r:id="rId8"/>
    <sheet name="Rn-222+D D-bq" sheetId="18" r:id="rId9"/>
    <sheet name="Am-241  D_mass" sheetId="15" r:id="rId10"/>
    <sheet name="Cs-137+D  D_mass" sheetId="19" r:id="rId11"/>
    <sheet name="Ra-226+D D_mass" sheetId="20" r:id="rId12"/>
    <sheet name="Rn-222+D  D_mass" sheetId="21" r:id="rId13"/>
    <sheet name="AM-241 SS" sheetId="9" r:id="rId14"/>
    <sheet name="Cs-137+D SS" sheetId="10" r:id="rId15"/>
    <sheet name="Ra-226+D SS" sheetId="11" r:id="rId16"/>
    <sheet name="Rn-222+D SS" sheetId="12" r:id="rId17"/>
    <sheet name="Am-241 SS_bq" sheetId="32" r:id="rId18"/>
    <sheet name="Cs-137+D SS_bq" sheetId="25" r:id="rId19"/>
    <sheet name="Ra-226+D SS_bq" sheetId="26" r:id="rId20"/>
    <sheet name="Rn-222+D SS_bq" sheetId="27" r:id="rId21"/>
    <sheet name="Am-241 SS_mass" sheetId="24" r:id="rId22"/>
    <sheet name="Cs-137+D SS_mass" sheetId="28" r:id="rId23"/>
    <sheet name="Ra-226+D SS_mass" sheetId="29" r:id="rId24"/>
    <sheet name="Rn-222+D SS_mass" sheetId="30" r:id="rId25"/>
    <sheet name="PEF" sheetId="5" r:id="rId26"/>
  </sheets>
  <calcPr calcId="145621"/>
</workbook>
</file>

<file path=xl/calcChain.xml><?xml version="1.0" encoding="utf-8"?>
<calcChain xmlns="http://schemas.openxmlformats.org/spreadsheetml/2006/main">
  <c r="K20" i="9" l="1"/>
  <c r="HE4" i="21"/>
  <c r="H2" i="18"/>
  <c r="H2" i="17"/>
  <c r="H13" i="17"/>
  <c r="H13" i="16"/>
  <c r="H2" i="16"/>
  <c r="HB2" i="18"/>
  <c r="HB2" i="17"/>
  <c r="HB2" i="16"/>
  <c r="HB2" i="14"/>
  <c r="GM27" i="18"/>
  <c r="GM26" i="18"/>
  <c r="GM25" i="18"/>
  <c r="GM24" i="18"/>
  <c r="GM23" i="18"/>
  <c r="GM22" i="18"/>
  <c r="GM16" i="18" s="1"/>
  <c r="GM21" i="18"/>
  <c r="GM19" i="18"/>
  <c r="GM18" i="18"/>
  <c r="GM17" i="18"/>
  <c r="GM15" i="18"/>
  <c r="GM14" i="18"/>
  <c r="GM13" i="18"/>
  <c r="GJ13" i="18"/>
  <c r="GM12" i="18"/>
  <c r="GJ12" i="18"/>
  <c r="GM11" i="18"/>
  <c r="GJ11" i="18"/>
  <c r="GM10" i="18"/>
  <c r="GJ10" i="18"/>
  <c r="GM9" i="18"/>
  <c r="GJ9" i="18"/>
  <c r="GJ2" i="18" s="1"/>
  <c r="GM8" i="18"/>
  <c r="GM6" i="18" s="1"/>
  <c r="GM2" i="18" s="1"/>
  <c r="GJ8" i="18"/>
  <c r="GM7" i="18"/>
  <c r="GJ7" i="18"/>
  <c r="GJ6" i="18"/>
  <c r="GM5" i="18"/>
  <c r="GJ5" i="18"/>
  <c r="GM27" i="17"/>
  <c r="GM26" i="17"/>
  <c r="GM25" i="17"/>
  <c r="GM24" i="17"/>
  <c r="GM23" i="17"/>
  <c r="GM22" i="17"/>
  <c r="GM16" i="17" s="1"/>
  <c r="GM21" i="17"/>
  <c r="GM19" i="17"/>
  <c r="GM18" i="17"/>
  <c r="GM17" i="17"/>
  <c r="GM15" i="17"/>
  <c r="GM14" i="17"/>
  <c r="GM13" i="17"/>
  <c r="GJ13" i="17"/>
  <c r="GM12" i="17"/>
  <c r="GJ12" i="17"/>
  <c r="GM11" i="17"/>
  <c r="GJ11" i="17"/>
  <c r="GM10" i="17"/>
  <c r="GJ10" i="17"/>
  <c r="GM9" i="17"/>
  <c r="GJ9" i="17"/>
  <c r="GJ2" i="17" s="1"/>
  <c r="GM8" i="17"/>
  <c r="GM6" i="17" s="1"/>
  <c r="GM2" i="17" s="1"/>
  <c r="GJ8" i="17"/>
  <c r="GM7" i="17"/>
  <c r="GJ7" i="17"/>
  <c r="GJ6" i="17"/>
  <c r="GM5" i="17"/>
  <c r="GJ5" i="17"/>
  <c r="GM27" i="16"/>
  <c r="GM26" i="16"/>
  <c r="GM25" i="16"/>
  <c r="GM24" i="16"/>
  <c r="GM23" i="16"/>
  <c r="GM22" i="16"/>
  <c r="GM16" i="16" s="1"/>
  <c r="GM21" i="16"/>
  <c r="GM19" i="16"/>
  <c r="GM18" i="16"/>
  <c r="GM17" i="16"/>
  <c r="GM15" i="16"/>
  <c r="GM14" i="16"/>
  <c r="GM13" i="16"/>
  <c r="GJ13" i="16"/>
  <c r="GM12" i="16"/>
  <c r="GJ12" i="16"/>
  <c r="GM11" i="16"/>
  <c r="GJ11" i="16"/>
  <c r="GM10" i="16"/>
  <c r="GJ10" i="16"/>
  <c r="GM9" i="16"/>
  <c r="GJ9" i="16"/>
  <c r="GJ2" i="16" s="1"/>
  <c r="GM8" i="16"/>
  <c r="GM6" i="16" s="1"/>
  <c r="GM2" i="16" s="1"/>
  <c r="GJ8" i="16"/>
  <c r="GM7" i="16"/>
  <c r="GJ7" i="16"/>
  <c r="GJ6" i="16"/>
  <c r="GM5" i="16"/>
  <c r="GJ5" i="16"/>
  <c r="GM2" i="14"/>
  <c r="FI27" i="18"/>
  <c r="FI26" i="18"/>
  <c r="FI25" i="18"/>
  <c r="FI23" i="18"/>
  <c r="FI22" i="18"/>
  <c r="FI16" i="18" s="1"/>
  <c r="FI21" i="18"/>
  <c r="FI19" i="18"/>
  <c r="FI18" i="18"/>
  <c r="FI17" i="18"/>
  <c r="FI15" i="18"/>
  <c r="FI14" i="18"/>
  <c r="FI13" i="18"/>
  <c r="FF13" i="18"/>
  <c r="FI12" i="18"/>
  <c r="FF12" i="18"/>
  <c r="FI11" i="18"/>
  <c r="FF11" i="18"/>
  <c r="FI10" i="18"/>
  <c r="FF10" i="18"/>
  <c r="FI9" i="18"/>
  <c r="FF9" i="18"/>
  <c r="FI8" i="18"/>
  <c r="FI6" i="18" s="1"/>
  <c r="FI2" i="18" s="1"/>
  <c r="FF8" i="18"/>
  <c r="FF6" i="18" s="1"/>
  <c r="FF2" i="18" s="1"/>
  <c r="FI7" i="18"/>
  <c r="FF7" i="18"/>
  <c r="FI5" i="18"/>
  <c r="FF5" i="18"/>
  <c r="FI27" i="17"/>
  <c r="FI26" i="17"/>
  <c r="FI25" i="17"/>
  <c r="FI23" i="17"/>
  <c r="FI22" i="17"/>
  <c r="FI16" i="17" s="1"/>
  <c r="FI21" i="17"/>
  <c r="FI19" i="17"/>
  <c r="FI18" i="17"/>
  <c r="FI17" i="17"/>
  <c r="FI15" i="17"/>
  <c r="FI14" i="17"/>
  <c r="FI13" i="17"/>
  <c r="FF13" i="17"/>
  <c r="FI12" i="17"/>
  <c r="FF12" i="17"/>
  <c r="FI11" i="17"/>
  <c r="FF11" i="17"/>
  <c r="FI10" i="17"/>
  <c r="FF10" i="17"/>
  <c r="FI9" i="17"/>
  <c r="FF9" i="17"/>
  <c r="FI8" i="17"/>
  <c r="FI6" i="17" s="1"/>
  <c r="FI2" i="17" s="1"/>
  <c r="FF8" i="17"/>
  <c r="FF6" i="17" s="1"/>
  <c r="FF2" i="17" s="1"/>
  <c r="FI7" i="17"/>
  <c r="FF7" i="17"/>
  <c r="FI5" i="17"/>
  <c r="FF5" i="17"/>
  <c r="FI27" i="16"/>
  <c r="FI26" i="16"/>
  <c r="FI25" i="16"/>
  <c r="FI23" i="16"/>
  <c r="FI22" i="16"/>
  <c r="FI16" i="16" s="1"/>
  <c r="FI21" i="16"/>
  <c r="FI19" i="16"/>
  <c r="FI18" i="16"/>
  <c r="FI17" i="16"/>
  <c r="FI15" i="16"/>
  <c r="FI14" i="16"/>
  <c r="FI13" i="16"/>
  <c r="FF13" i="16"/>
  <c r="FI12" i="16"/>
  <c r="FF12" i="16"/>
  <c r="FI11" i="16"/>
  <c r="FF11" i="16"/>
  <c r="FI10" i="16"/>
  <c r="FF10" i="16"/>
  <c r="FI9" i="16"/>
  <c r="FF9" i="16"/>
  <c r="FI8" i="16"/>
  <c r="FI6" i="16" s="1"/>
  <c r="FI2" i="16" s="1"/>
  <c r="FF8" i="16"/>
  <c r="FF6" i="16" s="1"/>
  <c r="FF2" i="16" s="1"/>
  <c r="FI7" i="16"/>
  <c r="FF7" i="16"/>
  <c r="FI5" i="16"/>
  <c r="FF5" i="16"/>
  <c r="FF2" i="14"/>
  <c r="FI2" i="14"/>
  <c r="FI5" i="14"/>
  <c r="DA2" i="18"/>
  <c r="DA16" i="20"/>
  <c r="DA15" i="20"/>
  <c r="DA14" i="20"/>
  <c r="DA13" i="20"/>
  <c r="DA2" i="20"/>
  <c r="DA16" i="19"/>
  <c r="DA15" i="19"/>
  <c r="DA12" i="19"/>
  <c r="DA11" i="19"/>
  <c r="DA10" i="19"/>
  <c r="DA9" i="19"/>
  <c r="DA8" i="19"/>
  <c r="DA7" i="19"/>
  <c r="DA6" i="19"/>
  <c r="DA5" i="19"/>
  <c r="DA16" i="15"/>
  <c r="DA15" i="15"/>
  <c r="DA14" i="15"/>
  <c r="DA13" i="15"/>
  <c r="DA2" i="15"/>
  <c r="DA2" i="21"/>
  <c r="DA2" i="17"/>
  <c r="DA2" i="8"/>
  <c r="DA13" i="1"/>
  <c r="DA12" i="20"/>
  <c r="DA11" i="20" s="1"/>
  <c r="DA10" i="20" s="1"/>
  <c r="DA9" i="20"/>
  <c r="DA8" i="20"/>
  <c r="DA7" i="20"/>
  <c r="DA6" i="20"/>
  <c r="DA5" i="20"/>
  <c r="DA16" i="21"/>
  <c r="DA2" i="1"/>
  <c r="DA13" i="14"/>
  <c r="CU2" i="21"/>
  <c r="CU2" i="20"/>
  <c r="CU2" i="19"/>
  <c r="CU14" i="15"/>
  <c r="CU2" i="15"/>
  <c r="CU15" i="15"/>
  <c r="CU16" i="15"/>
  <c r="CU17" i="15"/>
  <c r="CU18" i="15"/>
  <c r="CU19" i="15"/>
  <c r="CU20" i="15"/>
  <c r="CU21" i="15"/>
  <c r="CU22" i="15"/>
  <c r="CU23" i="15"/>
  <c r="CU24" i="15"/>
  <c r="CU2" i="18"/>
  <c r="CU2" i="17"/>
  <c r="CU2" i="16"/>
  <c r="CU2" i="7"/>
  <c r="CU2" i="8"/>
  <c r="CU2" i="6"/>
  <c r="CU2" i="1"/>
  <c r="AG2" i="18"/>
  <c r="AF2" i="18"/>
  <c r="AE2" i="18"/>
  <c r="AD2" i="18"/>
  <c r="AC2" i="18"/>
  <c r="AG2" i="21"/>
  <c r="AF2" i="21"/>
  <c r="AE2" i="21"/>
  <c r="AD2" i="21"/>
  <c r="AC2" i="21"/>
  <c r="N36" i="15"/>
  <c r="Q37" i="21"/>
  <c r="N37" i="21"/>
  <c r="Q36" i="21"/>
  <c r="N36" i="21"/>
  <c r="Q35" i="21"/>
  <c r="N35" i="21"/>
  <c r="Q34" i="21"/>
  <c r="N34" i="21"/>
  <c r="Q33" i="21"/>
  <c r="N33" i="21"/>
  <c r="Q32" i="21"/>
  <c r="N32" i="21"/>
  <c r="Q31" i="21"/>
  <c r="N31" i="21"/>
  <c r="Q30" i="21"/>
  <c r="N30" i="21"/>
  <c r="Q29" i="21"/>
  <c r="N29" i="21"/>
  <c r="Q28" i="21"/>
  <c r="N28" i="21"/>
  <c r="Q27" i="21"/>
  <c r="N27" i="21"/>
  <c r="Q26" i="21"/>
  <c r="Q21" i="21" s="1"/>
  <c r="N26" i="21"/>
  <c r="Q25" i="21"/>
  <c r="N25" i="21"/>
  <c r="Q24" i="21"/>
  <c r="N24" i="21"/>
  <c r="T18" i="21"/>
  <c r="Q18" i="21"/>
  <c r="N18" i="21"/>
  <c r="T17" i="21"/>
  <c r="Q17" i="21"/>
  <c r="N17" i="21"/>
  <c r="T16" i="21"/>
  <c r="Q16" i="21"/>
  <c r="N16" i="21"/>
  <c r="T15" i="21"/>
  <c r="Q15" i="21"/>
  <c r="N15" i="21"/>
  <c r="T14" i="21"/>
  <c r="Q14" i="21"/>
  <c r="N14" i="21"/>
  <c r="T13" i="21"/>
  <c r="Q13" i="21"/>
  <c r="N13" i="21"/>
  <c r="T12" i="21"/>
  <c r="Q12" i="21"/>
  <c r="N12" i="21"/>
  <c r="T11" i="21"/>
  <c r="Q11" i="21"/>
  <c r="N11" i="21"/>
  <c r="T10" i="21"/>
  <c r="T6" i="21" s="1"/>
  <c r="Q10" i="21"/>
  <c r="Q6" i="21" s="1"/>
  <c r="N10" i="21"/>
  <c r="T9" i="21"/>
  <c r="Q9" i="21"/>
  <c r="N9" i="21"/>
  <c r="T8" i="21"/>
  <c r="Q8" i="21"/>
  <c r="Q7" i="21" s="1"/>
  <c r="N8" i="21"/>
  <c r="N7" i="21" s="1"/>
  <c r="T7" i="21"/>
  <c r="N6" i="21"/>
  <c r="T5" i="21"/>
  <c r="Q5" i="21"/>
  <c r="N5" i="21"/>
  <c r="Q37" i="20"/>
  <c r="N37" i="20"/>
  <c r="Q36" i="20"/>
  <c r="N36" i="20"/>
  <c r="Q35" i="20"/>
  <c r="N35" i="20"/>
  <c r="Q34" i="20"/>
  <c r="N34" i="20"/>
  <c r="Q33" i="20"/>
  <c r="N33" i="20"/>
  <c r="Q32" i="20"/>
  <c r="N32" i="20"/>
  <c r="Q31" i="20"/>
  <c r="N31" i="20"/>
  <c r="Q30" i="20"/>
  <c r="N30" i="20"/>
  <c r="Q29" i="20"/>
  <c r="N29" i="20"/>
  <c r="Q28" i="20"/>
  <c r="N28" i="20"/>
  <c r="Q27" i="20"/>
  <c r="N27" i="20"/>
  <c r="Q26" i="20"/>
  <c r="Q21" i="20" s="1"/>
  <c r="N26" i="20"/>
  <c r="N21" i="20" s="1"/>
  <c r="Q25" i="20"/>
  <c r="N25" i="20"/>
  <c r="Q24" i="20"/>
  <c r="N24" i="20"/>
  <c r="T18" i="20"/>
  <c r="Q18" i="20"/>
  <c r="N18" i="20"/>
  <c r="T17" i="20"/>
  <c r="Q17" i="20"/>
  <c r="N17" i="20"/>
  <c r="T16" i="20"/>
  <c r="Q16" i="20"/>
  <c r="N16" i="20"/>
  <c r="T15" i="20"/>
  <c r="Q15" i="20"/>
  <c r="N15" i="20"/>
  <c r="T14" i="20"/>
  <c r="Q14" i="20"/>
  <c r="N14" i="20"/>
  <c r="T13" i="20"/>
  <c r="Q13" i="20"/>
  <c r="N13" i="20"/>
  <c r="T12" i="20"/>
  <c r="Q12" i="20"/>
  <c r="N12" i="20"/>
  <c r="T11" i="20"/>
  <c r="Q11" i="20"/>
  <c r="N11" i="20"/>
  <c r="T10" i="20"/>
  <c r="T6" i="20" s="1"/>
  <c r="Q10" i="20"/>
  <c r="Q6" i="20" s="1"/>
  <c r="N10" i="20"/>
  <c r="T9" i="20"/>
  <c r="Q9" i="20"/>
  <c r="N9" i="20"/>
  <c r="T8" i="20"/>
  <c r="Q8" i="20"/>
  <c r="Q7" i="20" s="1"/>
  <c r="N8" i="20"/>
  <c r="N7" i="20" s="1"/>
  <c r="T7" i="20"/>
  <c r="N6" i="20"/>
  <c r="T5" i="20"/>
  <c r="T2" i="20" s="1"/>
  <c r="Q5" i="20"/>
  <c r="N5" i="20"/>
  <c r="Q37" i="19"/>
  <c r="N37" i="19"/>
  <c r="Q36" i="19"/>
  <c r="N36" i="19"/>
  <c r="Q35" i="19"/>
  <c r="N35" i="19"/>
  <c r="Q34" i="19"/>
  <c r="N34" i="19"/>
  <c r="Q33" i="19"/>
  <c r="N33" i="19"/>
  <c r="Q32" i="19"/>
  <c r="N32" i="19"/>
  <c r="Q31" i="19"/>
  <c r="N31" i="19"/>
  <c r="Q30" i="19"/>
  <c r="N30" i="19"/>
  <c r="Q29" i="19"/>
  <c r="N29" i="19"/>
  <c r="Q28" i="19"/>
  <c r="N28" i="19"/>
  <c r="Q27" i="19"/>
  <c r="N27" i="19"/>
  <c r="Q26" i="19"/>
  <c r="N26" i="19"/>
  <c r="Q25" i="19"/>
  <c r="N25" i="19"/>
  <c r="Q24" i="19"/>
  <c r="N24" i="19"/>
  <c r="T18" i="19"/>
  <c r="Q18" i="19"/>
  <c r="N18" i="19"/>
  <c r="T17" i="19"/>
  <c r="Q17" i="19"/>
  <c r="N17" i="19"/>
  <c r="T16" i="19"/>
  <c r="Q16" i="19"/>
  <c r="N16" i="19"/>
  <c r="T15" i="19"/>
  <c r="Q15" i="19"/>
  <c r="N15" i="19"/>
  <c r="T14" i="19"/>
  <c r="Q14" i="19"/>
  <c r="N14" i="19"/>
  <c r="T13" i="19"/>
  <c r="Q13" i="19"/>
  <c r="N13" i="19"/>
  <c r="T12" i="19"/>
  <c r="Q12" i="19"/>
  <c r="N12" i="19"/>
  <c r="T11" i="19"/>
  <c r="Q11" i="19"/>
  <c r="N11" i="19"/>
  <c r="T10" i="19"/>
  <c r="T6" i="19" s="1"/>
  <c r="Q10" i="19"/>
  <c r="Q6" i="19" s="1"/>
  <c r="N10" i="19"/>
  <c r="T9" i="19"/>
  <c r="Q9" i="19"/>
  <c r="N9" i="19"/>
  <c r="T8" i="19"/>
  <c r="Q8" i="19"/>
  <c r="Q7" i="19" s="1"/>
  <c r="N8" i="19"/>
  <c r="N7" i="19" s="1"/>
  <c r="T7" i="19"/>
  <c r="N6" i="19"/>
  <c r="T5" i="19"/>
  <c r="T2" i="19" s="1"/>
  <c r="Q5" i="19"/>
  <c r="N5" i="19"/>
  <c r="DA13" i="19" l="1"/>
  <c r="DA2" i="19" s="1"/>
  <c r="DA14" i="19"/>
  <c r="N21" i="21"/>
  <c r="T2" i="21"/>
  <c r="N21" i="19"/>
  <c r="Q21" i="19"/>
  <c r="N2" i="21"/>
  <c r="Q2" i="21"/>
  <c r="N2" i="20"/>
  <c r="Q2" i="20"/>
  <c r="N2" i="19"/>
  <c r="Q2" i="19"/>
  <c r="K53" i="19" l="1"/>
  <c r="K2" i="20"/>
  <c r="H2" i="19"/>
  <c r="H2" i="20"/>
  <c r="H73" i="21"/>
  <c r="H72" i="21"/>
  <c r="H71" i="21"/>
  <c r="H2" i="21" s="1"/>
  <c r="H70" i="21"/>
  <c r="H69" i="21"/>
  <c r="H68" i="21"/>
  <c r="H25" i="21" s="1"/>
  <c r="H67" i="21"/>
  <c r="H63" i="21" s="1"/>
  <c r="H66" i="21"/>
  <c r="H65" i="21"/>
  <c r="H64" i="21"/>
  <c r="H62" i="21"/>
  <c r="H61" i="21"/>
  <c r="H60" i="21"/>
  <c r="H57" i="21"/>
  <c r="H56" i="21"/>
  <c r="H55" i="21"/>
  <c r="K54" i="21"/>
  <c r="K2" i="21" s="1"/>
  <c r="K53" i="21"/>
  <c r="H53" i="21"/>
  <c r="K52" i="21"/>
  <c r="H52" i="21"/>
  <c r="K51" i="21"/>
  <c r="H51" i="21"/>
  <c r="K50" i="21"/>
  <c r="K49" i="21"/>
  <c r="K47" i="21" s="1"/>
  <c r="K48" i="21"/>
  <c r="H47" i="21"/>
  <c r="H46" i="21"/>
  <c r="H45" i="21"/>
  <c r="H44" i="21"/>
  <c r="K43" i="21"/>
  <c r="H41" i="21"/>
  <c r="K38" i="21"/>
  <c r="H38" i="21"/>
  <c r="K37" i="21"/>
  <c r="H37" i="21"/>
  <c r="K36" i="21"/>
  <c r="H36" i="21"/>
  <c r="H21" i="21" s="1"/>
  <c r="K35" i="21"/>
  <c r="H35" i="21"/>
  <c r="K34" i="21"/>
  <c r="H34" i="21"/>
  <c r="K33" i="21"/>
  <c r="H33" i="21"/>
  <c r="K32" i="21"/>
  <c r="H32" i="21"/>
  <c r="K31" i="21"/>
  <c r="K25" i="21" s="1"/>
  <c r="H31" i="21"/>
  <c r="K30" i="21"/>
  <c r="H30" i="21"/>
  <c r="K29" i="21"/>
  <c r="H29" i="21"/>
  <c r="H22" i="21" s="1"/>
  <c r="H28" i="21"/>
  <c r="K27" i="21"/>
  <c r="H27" i="21"/>
  <c r="K26" i="21"/>
  <c r="H26" i="21"/>
  <c r="K24" i="21"/>
  <c r="H24" i="21"/>
  <c r="K23" i="21"/>
  <c r="H23" i="21"/>
  <c r="K22" i="21"/>
  <c r="K19" i="21" s="1"/>
  <c r="K21" i="21"/>
  <c r="H20" i="21"/>
  <c r="H19" i="21"/>
  <c r="H16" i="21" s="1"/>
  <c r="H18" i="21"/>
  <c r="H17" i="21"/>
  <c r="H15" i="21"/>
  <c r="K13" i="21"/>
  <c r="K12" i="21"/>
  <c r="K11" i="21"/>
  <c r="K10" i="21"/>
  <c r="K9" i="21"/>
  <c r="H9" i="21"/>
  <c r="K8" i="21"/>
  <c r="K16" i="21" s="1"/>
  <c r="H8" i="21"/>
  <c r="K7" i="21"/>
  <c r="H7" i="21"/>
  <c r="H11" i="21" s="1"/>
  <c r="K6" i="21"/>
  <c r="K14" i="21" s="1"/>
  <c r="H6" i="21"/>
  <c r="K5" i="21"/>
  <c r="H5" i="21"/>
  <c r="H73" i="20"/>
  <c r="H72" i="20"/>
  <c r="H71" i="20"/>
  <c r="H70" i="20"/>
  <c r="H69" i="20"/>
  <c r="H68" i="20"/>
  <c r="H25" i="20" s="1"/>
  <c r="H67" i="20"/>
  <c r="H63" i="20" s="1"/>
  <c r="H66" i="20"/>
  <c r="H65" i="20"/>
  <c r="H64" i="20"/>
  <c r="H62" i="20"/>
  <c r="H61" i="20"/>
  <c r="H60" i="20"/>
  <c r="H57" i="20"/>
  <c r="H56" i="20"/>
  <c r="H55" i="20"/>
  <c r="K54" i="20"/>
  <c r="K53" i="20"/>
  <c r="H53" i="20"/>
  <c r="K52" i="20"/>
  <c r="H52" i="20"/>
  <c r="K51" i="20"/>
  <c r="H51" i="20"/>
  <c r="K50" i="20"/>
  <c r="K49" i="20"/>
  <c r="K47" i="20" s="1"/>
  <c r="K48" i="20"/>
  <c r="H47" i="20"/>
  <c r="H46" i="20"/>
  <c r="H45" i="20"/>
  <c r="H44" i="20"/>
  <c r="K43" i="20"/>
  <c r="H41" i="20"/>
  <c r="K38" i="20"/>
  <c r="H38" i="20"/>
  <c r="K37" i="20"/>
  <c r="H37" i="20"/>
  <c r="K36" i="20"/>
  <c r="H36" i="20"/>
  <c r="H21" i="20" s="1"/>
  <c r="K35" i="20"/>
  <c r="H35" i="20"/>
  <c r="K34" i="20"/>
  <c r="H34" i="20"/>
  <c r="K33" i="20"/>
  <c r="H33" i="20"/>
  <c r="K32" i="20"/>
  <c r="H32" i="20"/>
  <c r="K31" i="20"/>
  <c r="K25" i="20" s="1"/>
  <c r="H31" i="20"/>
  <c r="K30" i="20"/>
  <c r="H30" i="20"/>
  <c r="K29" i="20"/>
  <c r="H29" i="20"/>
  <c r="H22" i="20" s="1"/>
  <c r="H28" i="20"/>
  <c r="K27" i="20"/>
  <c r="H27" i="20"/>
  <c r="K26" i="20"/>
  <c r="H26" i="20"/>
  <c r="K24" i="20"/>
  <c r="H24" i="20"/>
  <c r="K23" i="20"/>
  <c r="H23" i="20"/>
  <c r="K22" i="20"/>
  <c r="K19" i="20" s="1"/>
  <c r="K21" i="20"/>
  <c r="H20" i="20"/>
  <c r="H19" i="20"/>
  <c r="H16" i="20" s="1"/>
  <c r="H18" i="20"/>
  <c r="H17" i="20"/>
  <c r="H15" i="20"/>
  <c r="K13" i="20"/>
  <c r="K12" i="20"/>
  <c r="K11" i="20"/>
  <c r="K10" i="20"/>
  <c r="K9" i="20"/>
  <c r="H9" i="20"/>
  <c r="K8" i="20"/>
  <c r="K16" i="20" s="1"/>
  <c r="H8" i="20"/>
  <c r="K7" i="20"/>
  <c r="H7" i="20"/>
  <c r="H11" i="20" s="1"/>
  <c r="K6" i="20"/>
  <c r="K14" i="20" s="1"/>
  <c r="H6" i="20"/>
  <c r="K5" i="20"/>
  <c r="H5" i="20"/>
  <c r="H73" i="19"/>
  <c r="H72" i="19"/>
  <c r="H71" i="19"/>
  <c r="H70" i="19"/>
  <c r="H69" i="19"/>
  <c r="H68" i="19"/>
  <c r="H25" i="19" s="1"/>
  <c r="H67" i="19"/>
  <c r="H63" i="19" s="1"/>
  <c r="H66" i="19"/>
  <c r="H65" i="19"/>
  <c r="H64" i="19"/>
  <c r="H62" i="19"/>
  <c r="H61" i="19"/>
  <c r="H60" i="19"/>
  <c r="H57" i="19"/>
  <c r="H56" i="19"/>
  <c r="H55" i="19"/>
  <c r="K54" i="19"/>
  <c r="K2" i="19" s="1"/>
  <c r="H53" i="19"/>
  <c r="K52" i="19"/>
  <c r="H52" i="19"/>
  <c r="K51" i="19"/>
  <c r="H51" i="19"/>
  <c r="K50" i="19"/>
  <c r="K49" i="19"/>
  <c r="K47" i="19" s="1"/>
  <c r="K48" i="19"/>
  <c r="H47" i="19"/>
  <c r="H46" i="19"/>
  <c r="H45" i="19"/>
  <c r="H44" i="19"/>
  <c r="K43" i="19"/>
  <c r="H41" i="19"/>
  <c r="K38" i="19"/>
  <c r="H38" i="19"/>
  <c r="K37" i="19"/>
  <c r="H37" i="19"/>
  <c r="K36" i="19"/>
  <c r="H36" i="19"/>
  <c r="H21" i="19" s="1"/>
  <c r="K35" i="19"/>
  <c r="H35" i="19"/>
  <c r="K34" i="19"/>
  <c r="H34" i="19"/>
  <c r="K33" i="19"/>
  <c r="H33" i="19"/>
  <c r="K32" i="19"/>
  <c r="H32" i="19"/>
  <c r="K31" i="19"/>
  <c r="K25" i="19" s="1"/>
  <c r="H31" i="19"/>
  <c r="K30" i="19"/>
  <c r="H30" i="19"/>
  <c r="K29" i="19"/>
  <c r="H29" i="19"/>
  <c r="H22" i="19" s="1"/>
  <c r="H28" i="19"/>
  <c r="K27" i="19"/>
  <c r="H27" i="19"/>
  <c r="K26" i="19"/>
  <c r="H26" i="19"/>
  <c r="K24" i="19"/>
  <c r="H24" i="19"/>
  <c r="K23" i="19"/>
  <c r="H23" i="19"/>
  <c r="K22" i="19"/>
  <c r="K19" i="19" s="1"/>
  <c r="K21" i="19"/>
  <c r="H20" i="19"/>
  <c r="H19" i="19"/>
  <c r="H16" i="19" s="1"/>
  <c r="H18" i="19"/>
  <c r="H17" i="19"/>
  <c r="H15" i="19"/>
  <c r="K13" i="19"/>
  <c r="K12" i="19"/>
  <c r="K11" i="19"/>
  <c r="K10" i="19"/>
  <c r="K9" i="19"/>
  <c r="H9" i="19"/>
  <c r="K8" i="19"/>
  <c r="K16" i="19" s="1"/>
  <c r="H8" i="19"/>
  <c r="K7" i="19"/>
  <c r="H7" i="19"/>
  <c r="H11" i="19" s="1"/>
  <c r="K6" i="19"/>
  <c r="K14" i="19" s="1"/>
  <c r="H6" i="19"/>
  <c r="K5" i="19"/>
  <c r="H5" i="19"/>
  <c r="K18" i="15"/>
  <c r="K17" i="15"/>
  <c r="K16" i="15"/>
  <c r="K15" i="15"/>
  <c r="K14" i="15"/>
  <c r="K2" i="18"/>
  <c r="K17" i="18"/>
  <c r="K17" i="17"/>
  <c r="K17" i="16"/>
  <c r="H54" i="21" l="1"/>
  <c r="H48" i="21" s="1"/>
  <c r="H59" i="21"/>
  <c r="K15" i="21"/>
  <c r="H50" i="21"/>
  <c r="H12" i="21"/>
  <c r="H14" i="21"/>
  <c r="K20" i="21"/>
  <c r="K28" i="21"/>
  <c r="K18" i="21" s="1"/>
  <c r="K17" i="21" s="1"/>
  <c r="H10" i="21"/>
  <c r="H54" i="20"/>
  <c r="H48" i="20" s="1"/>
  <c r="H59" i="20"/>
  <c r="K15" i="20"/>
  <c r="H50" i="20"/>
  <c r="H12" i="20"/>
  <c r="H14" i="20"/>
  <c r="K20" i="20"/>
  <c r="K28" i="20"/>
  <c r="K18" i="20" s="1"/>
  <c r="K17" i="20" s="1"/>
  <c r="H10" i="20"/>
  <c r="H54" i="19"/>
  <c r="H48" i="19" s="1"/>
  <c r="H59" i="19"/>
  <c r="K15" i="19"/>
  <c r="H50" i="19"/>
  <c r="H12" i="19"/>
  <c r="H14" i="19"/>
  <c r="K20" i="19"/>
  <c r="K28" i="19"/>
  <c r="K18" i="19" s="1"/>
  <c r="K17" i="19" s="1"/>
  <c r="H10" i="19"/>
  <c r="H14" i="15"/>
  <c r="H12" i="15"/>
  <c r="H11" i="15"/>
  <c r="H10" i="15"/>
  <c r="H13" i="15"/>
  <c r="B34" i="14"/>
  <c r="HE5" i="14" s="1"/>
  <c r="HE6" i="14"/>
  <c r="HE9" i="14"/>
  <c r="HE7" i="14" s="1"/>
  <c r="HE8" i="14" s="1"/>
  <c r="HE10" i="14"/>
  <c r="HE11" i="14"/>
  <c r="HE13" i="14"/>
  <c r="HE25" i="14"/>
  <c r="HE26" i="14"/>
  <c r="HE27" i="14"/>
  <c r="HE28" i="14" s="1"/>
  <c r="HE29" i="14"/>
  <c r="HE30" i="14"/>
  <c r="HE31" i="14"/>
  <c r="HE33" i="14"/>
  <c r="HE34" i="14"/>
  <c r="HE35" i="14"/>
  <c r="HE36" i="14"/>
  <c r="HE37" i="14" s="1"/>
  <c r="HE38" i="14"/>
  <c r="HE39" i="14"/>
  <c r="HE40" i="14"/>
  <c r="HE41" i="14"/>
  <c r="H2" i="1"/>
  <c r="GU33" i="15"/>
  <c r="GT33" i="15"/>
  <c r="H10" i="1"/>
  <c r="DP7" i="14"/>
  <c r="DP22" i="14"/>
  <c r="DP16" i="14"/>
  <c r="B31" i="14"/>
  <c r="DP19" i="14"/>
  <c r="DP11" i="14"/>
  <c r="DP6" i="14"/>
  <c r="DP31" i="14" s="1"/>
  <c r="DQ31" i="14" s="1"/>
  <c r="DP12" i="14"/>
  <c r="DP26" i="14"/>
  <c r="H49" i="21" l="1"/>
  <c r="H13" i="21" s="1"/>
  <c r="H49" i="20"/>
  <c r="H13" i="20" s="1"/>
  <c r="H49" i="19"/>
  <c r="H13" i="19" s="1"/>
  <c r="HE42" i="14"/>
  <c r="HE24" i="14" s="1"/>
  <c r="HE23" i="14"/>
  <c r="HE4" i="14"/>
  <c r="HE3" i="14"/>
  <c r="K18" i="14"/>
  <c r="K14" i="14"/>
  <c r="E9" i="12" l="1"/>
  <c r="K2" i="1"/>
  <c r="H10" i="14"/>
  <c r="K6" i="14"/>
  <c r="H8" i="14"/>
  <c r="H12" i="14"/>
  <c r="H2" i="8"/>
  <c r="HE6" i="8"/>
  <c r="HE41" i="8"/>
  <c r="HE40" i="8"/>
  <c r="HE39" i="8"/>
  <c r="HE38" i="8"/>
  <c r="HE36" i="8"/>
  <c r="HE35" i="8"/>
  <c r="HE34" i="8"/>
  <c r="HE33" i="8"/>
  <c r="HE31" i="8"/>
  <c r="HE30" i="8"/>
  <c r="HE29" i="8"/>
  <c r="HE27" i="8"/>
  <c r="HE28" i="8" s="1"/>
  <c r="HE26" i="8"/>
  <c r="HE25" i="8"/>
  <c r="HE13" i="8"/>
  <c r="HE11" i="8"/>
  <c r="HE10" i="8"/>
  <c r="HE9" i="8"/>
  <c r="HE7" i="8" s="1"/>
  <c r="HE8" i="8" s="1"/>
  <c r="HE5" i="8"/>
  <c r="BZ2" i="7"/>
  <c r="BW2" i="7"/>
  <c r="BZ35" i="7"/>
  <c r="BZ34" i="7"/>
  <c r="CF31" i="7"/>
  <c r="CC31" i="7"/>
  <c r="CF30" i="7"/>
  <c r="CC30" i="7"/>
  <c r="BZ30" i="7"/>
  <c r="BZ10" i="7" s="1"/>
  <c r="CF29" i="7"/>
  <c r="CC29" i="7"/>
  <c r="BZ29" i="7"/>
  <c r="CF28" i="7"/>
  <c r="CC28" i="7"/>
  <c r="BZ28" i="7"/>
  <c r="CF27" i="7"/>
  <c r="CF23" i="7" s="1"/>
  <c r="CC27" i="7"/>
  <c r="CC23" i="7" s="1"/>
  <c r="BZ27" i="7"/>
  <c r="CF26" i="7"/>
  <c r="CC26" i="7"/>
  <c r="BZ26" i="7"/>
  <c r="CF25" i="7"/>
  <c r="CC25" i="7"/>
  <c r="BZ25" i="7"/>
  <c r="CF24" i="7"/>
  <c r="CC24" i="7"/>
  <c r="BZ24" i="7"/>
  <c r="BZ23" i="7"/>
  <c r="CF22" i="7"/>
  <c r="CC22" i="7"/>
  <c r="BZ22" i="7"/>
  <c r="BZ21" i="7"/>
  <c r="BZ17" i="7" s="1"/>
  <c r="BZ20" i="7"/>
  <c r="BZ19" i="7"/>
  <c r="BZ18" i="7"/>
  <c r="BZ16" i="7"/>
  <c r="CI14" i="7"/>
  <c r="CF14" i="7"/>
  <c r="CC14" i="7"/>
  <c r="CI13" i="7"/>
  <c r="CF13" i="7"/>
  <c r="CC13" i="7"/>
  <c r="CI12" i="7"/>
  <c r="CF12" i="7"/>
  <c r="CC12" i="7"/>
  <c r="BZ12" i="7"/>
  <c r="CI11" i="7"/>
  <c r="CF11" i="7"/>
  <c r="CC11" i="7"/>
  <c r="BZ11" i="7"/>
  <c r="CI10" i="7"/>
  <c r="CF10" i="7"/>
  <c r="CC10" i="7"/>
  <c r="CI9" i="7"/>
  <c r="CF9" i="7"/>
  <c r="CC9" i="7"/>
  <c r="BZ9" i="7"/>
  <c r="CI8" i="7"/>
  <c r="CF8" i="7"/>
  <c r="CC8" i="7"/>
  <c r="BZ8" i="7"/>
  <c r="CI7" i="7"/>
  <c r="CF7" i="7"/>
  <c r="CC7" i="7"/>
  <c r="BZ7" i="7"/>
  <c r="CI6" i="7"/>
  <c r="CF6" i="7"/>
  <c r="CC6" i="7"/>
  <c r="BZ6" i="7"/>
  <c r="CI5" i="7"/>
  <c r="CI2" i="7" s="1"/>
  <c r="CF5" i="7"/>
  <c r="CF2" i="7" s="1"/>
  <c r="CC5" i="7"/>
  <c r="CC2" i="7" s="1"/>
  <c r="BZ5" i="7"/>
  <c r="BZ14" i="7" s="1"/>
  <c r="BZ35" i="8"/>
  <c r="BZ34" i="8"/>
  <c r="CF31" i="8"/>
  <c r="CC31" i="8"/>
  <c r="CF30" i="8"/>
  <c r="CC30" i="8"/>
  <c r="BZ30" i="8"/>
  <c r="BZ10" i="8" s="1"/>
  <c r="CF29" i="8"/>
  <c r="CC29" i="8"/>
  <c r="BZ29" i="8"/>
  <c r="CF28" i="8"/>
  <c r="CC28" i="8"/>
  <c r="BZ28" i="8"/>
  <c r="CF27" i="8"/>
  <c r="CF23" i="8" s="1"/>
  <c r="CC27" i="8"/>
  <c r="CC23" i="8" s="1"/>
  <c r="BZ27" i="8"/>
  <c r="CF26" i="8"/>
  <c r="CC26" i="8"/>
  <c r="BZ26" i="8"/>
  <c r="CF25" i="8"/>
  <c r="CC25" i="8"/>
  <c r="BZ25" i="8"/>
  <c r="CF24" i="8"/>
  <c r="CC24" i="8"/>
  <c r="BZ24" i="8"/>
  <c r="BZ23" i="8"/>
  <c r="CF22" i="8"/>
  <c r="CC22" i="8"/>
  <c r="BZ22" i="8"/>
  <c r="BZ21" i="8"/>
  <c r="BZ17" i="8" s="1"/>
  <c r="BZ20" i="8"/>
  <c r="BZ19" i="8"/>
  <c r="BZ18" i="8"/>
  <c r="BZ16" i="8"/>
  <c r="CI14" i="8"/>
  <c r="CF14" i="8"/>
  <c r="CC14" i="8"/>
  <c r="CI13" i="8"/>
  <c r="CF13" i="8"/>
  <c r="CC13" i="8"/>
  <c r="CI12" i="8"/>
  <c r="CF12" i="8"/>
  <c r="CC12" i="8"/>
  <c r="BZ12" i="8"/>
  <c r="CI11" i="8"/>
  <c r="CF11" i="8"/>
  <c r="CC11" i="8"/>
  <c r="BZ11" i="8"/>
  <c r="CI10" i="8"/>
  <c r="CF10" i="8"/>
  <c r="CC10" i="8"/>
  <c r="CI9" i="8"/>
  <c r="CF9" i="8"/>
  <c r="CC9" i="8"/>
  <c r="BZ9" i="8"/>
  <c r="CI8" i="8"/>
  <c r="CF8" i="8"/>
  <c r="CC8" i="8"/>
  <c r="BZ8" i="8"/>
  <c r="CI7" i="8"/>
  <c r="CF7" i="8"/>
  <c r="CC7" i="8"/>
  <c r="BZ7" i="8"/>
  <c r="CI6" i="8"/>
  <c r="CF6" i="8"/>
  <c r="CC6" i="8"/>
  <c r="BZ6" i="8"/>
  <c r="CI5" i="8"/>
  <c r="CI2" i="8" s="1"/>
  <c r="CF5" i="8"/>
  <c r="CF2" i="8" s="1"/>
  <c r="CC5" i="8"/>
  <c r="CC2" i="8" s="1"/>
  <c r="BZ5" i="8"/>
  <c r="BZ14" i="8" s="1"/>
  <c r="BZ35" i="6"/>
  <c r="BZ34" i="6"/>
  <c r="CF31" i="6"/>
  <c r="CC31" i="6"/>
  <c r="CF30" i="6"/>
  <c r="CC30" i="6"/>
  <c r="BZ30" i="6"/>
  <c r="BZ10" i="6" s="1"/>
  <c r="CF29" i="6"/>
  <c r="CC29" i="6"/>
  <c r="BZ29" i="6"/>
  <c r="CF28" i="6"/>
  <c r="CC28" i="6"/>
  <c r="BZ28" i="6"/>
  <c r="CF27" i="6"/>
  <c r="CF23" i="6" s="1"/>
  <c r="CC27" i="6"/>
  <c r="CC23" i="6" s="1"/>
  <c r="BZ27" i="6"/>
  <c r="CF26" i="6"/>
  <c r="CC26" i="6"/>
  <c r="BZ26" i="6"/>
  <c r="CF25" i="6"/>
  <c r="CC25" i="6"/>
  <c r="BZ25" i="6"/>
  <c r="CF24" i="6"/>
  <c r="CC24" i="6"/>
  <c r="BZ24" i="6"/>
  <c r="BZ23" i="6"/>
  <c r="CF22" i="6"/>
  <c r="CC22" i="6"/>
  <c r="BZ22" i="6"/>
  <c r="BZ21" i="6"/>
  <c r="BZ17" i="6" s="1"/>
  <c r="BZ20" i="6"/>
  <c r="BZ19" i="6"/>
  <c r="BZ18" i="6"/>
  <c r="BZ16" i="6"/>
  <c r="CI14" i="6"/>
  <c r="CF14" i="6"/>
  <c r="CC14" i="6"/>
  <c r="CI13" i="6"/>
  <c r="CF13" i="6"/>
  <c r="CC13" i="6"/>
  <c r="CI12" i="6"/>
  <c r="CF12" i="6"/>
  <c r="CC12" i="6"/>
  <c r="BZ12" i="6"/>
  <c r="CI11" i="6"/>
  <c r="CF11" i="6"/>
  <c r="CC11" i="6"/>
  <c r="BZ11" i="6"/>
  <c r="CI10" i="6"/>
  <c r="CF10" i="6"/>
  <c r="CC10" i="6"/>
  <c r="CI9" i="6"/>
  <c r="CF9" i="6"/>
  <c r="CC9" i="6"/>
  <c r="BZ9" i="6"/>
  <c r="CI8" i="6"/>
  <c r="CF8" i="6"/>
  <c r="CC8" i="6"/>
  <c r="BZ8" i="6"/>
  <c r="CI7" i="6"/>
  <c r="CF7" i="6"/>
  <c r="CC7" i="6"/>
  <c r="BZ7" i="6"/>
  <c r="CI6" i="6"/>
  <c r="CF6" i="6"/>
  <c r="CC6" i="6"/>
  <c r="BZ6" i="6"/>
  <c r="CI5" i="6"/>
  <c r="CI2" i="6" s="1"/>
  <c r="CF5" i="6"/>
  <c r="CF2" i="6" s="1"/>
  <c r="CC5" i="6"/>
  <c r="CC2" i="6" s="1"/>
  <c r="BZ5" i="6"/>
  <c r="BZ14" i="6" s="1"/>
  <c r="BK21" i="1"/>
  <c r="AG2" i="7"/>
  <c r="AF2" i="7"/>
  <c r="AE2" i="7"/>
  <c r="AD2" i="7"/>
  <c r="AC2" i="7"/>
  <c r="AG31" i="6"/>
  <c r="AF31" i="6"/>
  <c r="AF7" i="6"/>
  <c r="AF13" i="6"/>
  <c r="AF14" i="6"/>
  <c r="Z26" i="30"/>
  <c r="Z25" i="30"/>
  <c r="Z26" i="29"/>
  <c r="Z25" i="29"/>
  <c r="Z26" i="28"/>
  <c r="Z25" i="28"/>
  <c r="Z26" i="24"/>
  <c r="Z25" i="24"/>
  <c r="Z26" i="27"/>
  <c r="Z25" i="27"/>
  <c r="Z26" i="26"/>
  <c r="Z25" i="26"/>
  <c r="Z26" i="25"/>
  <c r="Z25" i="25"/>
  <c r="Z26" i="32"/>
  <c r="Z25" i="32"/>
  <c r="Z26" i="12"/>
  <c r="Z25" i="12"/>
  <c r="Z26" i="11"/>
  <c r="Z25" i="11"/>
  <c r="Z26" i="10"/>
  <c r="Z25" i="10"/>
  <c r="Z26" i="9"/>
  <c r="Z25" i="9"/>
  <c r="Z26" i="20"/>
  <c r="Z25" i="20"/>
  <c r="Z26" i="18"/>
  <c r="Z25" i="18"/>
  <c r="Z26" i="17"/>
  <c r="Z25" i="17"/>
  <c r="Z26" i="16"/>
  <c r="Z25" i="16"/>
  <c r="Z26" i="7"/>
  <c r="Z25" i="7"/>
  <c r="Z26" i="8"/>
  <c r="Z25" i="8"/>
  <c r="Z26" i="1"/>
  <c r="Z25" i="1"/>
  <c r="Z25" i="6"/>
  <c r="Z26" i="6"/>
  <c r="W26" i="6"/>
  <c r="W25" i="6"/>
  <c r="Z38" i="1"/>
  <c r="HE4" i="8" l="1"/>
  <c r="HE37" i="8"/>
  <c r="HE42" i="8" s="1"/>
  <c r="HE3" i="8"/>
  <c r="CC19" i="7"/>
  <c r="CF19" i="7"/>
  <c r="BZ13" i="7"/>
  <c r="BZ15" i="7"/>
  <c r="CC19" i="8"/>
  <c r="CF19" i="8"/>
  <c r="BZ13" i="8"/>
  <c r="BZ15" i="8"/>
  <c r="CC19" i="6"/>
  <c r="CF19" i="6"/>
  <c r="BZ13" i="6"/>
  <c r="BZ15" i="6"/>
  <c r="EK2" i="7"/>
  <c r="EK2" i="8"/>
  <c r="EK2" i="6"/>
  <c r="EK2" i="1"/>
  <c r="EH7" i="1"/>
  <c r="EH2" i="1"/>
  <c r="CU18" i="1"/>
  <c r="CU21" i="1"/>
  <c r="H2" i="7"/>
  <c r="K2" i="7"/>
  <c r="HE23" i="8" l="1"/>
  <c r="HE24" i="8"/>
  <c r="BZ2" i="8"/>
  <c r="BZ2" i="6"/>
  <c r="H73" i="30"/>
  <c r="H72" i="30"/>
  <c r="H71" i="30"/>
  <c r="H70" i="30"/>
  <c r="H69" i="30"/>
  <c r="H68" i="30"/>
  <c r="H67" i="30"/>
  <c r="H63" i="30" s="1"/>
  <c r="H66" i="30"/>
  <c r="H65" i="30"/>
  <c r="H64" i="30"/>
  <c r="H62" i="30"/>
  <c r="H61" i="30"/>
  <c r="H60" i="30"/>
  <c r="H57" i="30"/>
  <c r="E57" i="30"/>
  <c r="H56" i="30"/>
  <c r="E56" i="30"/>
  <c r="H55" i="30"/>
  <c r="E55" i="30"/>
  <c r="K54" i="30"/>
  <c r="K53" i="30"/>
  <c r="H53" i="30"/>
  <c r="E53" i="30"/>
  <c r="DA52" i="30"/>
  <c r="K52" i="30"/>
  <c r="H52" i="30"/>
  <c r="E52" i="30"/>
  <c r="DA51" i="30"/>
  <c r="K51" i="30"/>
  <c r="K28" i="30" s="1"/>
  <c r="K18" i="30" s="1"/>
  <c r="H51" i="30"/>
  <c r="DA50" i="30"/>
  <c r="CU50" i="30"/>
  <c r="K50" i="30"/>
  <c r="E50" i="30"/>
  <c r="DA49" i="30"/>
  <c r="CU49" i="30"/>
  <c r="K49" i="30"/>
  <c r="E49" i="30"/>
  <c r="CU48" i="30"/>
  <c r="K48" i="30"/>
  <c r="E48" i="30"/>
  <c r="CU47" i="30"/>
  <c r="K47" i="30"/>
  <c r="H47" i="30"/>
  <c r="E47" i="30"/>
  <c r="Z46" i="30"/>
  <c r="H46" i="30"/>
  <c r="H44" i="30" s="1"/>
  <c r="E46" i="30"/>
  <c r="E54" i="30" s="1"/>
  <c r="E44" i="30" s="1"/>
  <c r="DA45" i="30"/>
  <c r="Z45" i="30"/>
  <c r="H45" i="30"/>
  <c r="DA43" i="30"/>
  <c r="CU43" i="30"/>
  <c r="Z43" i="30"/>
  <c r="W43" i="30"/>
  <c r="DA42" i="30"/>
  <c r="CU42" i="30"/>
  <c r="Z42" i="30"/>
  <c r="W42" i="30"/>
  <c r="K42" i="30"/>
  <c r="HE41" i="30"/>
  <c r="DA41" i="30"/>
  <c r="CU41" i="30"/>
  <c r="K41" i="30"/>
  <c r="H41" i="30"/>
  <c r="E41" i="30"/>
  <c r="HE40" i="30"/>
  <c r="DA40" i="30"/>
  <c r="DA26" i="30" s="1"/>
  <c r="CU40" i="30"/>
  <c r="E40" i="30"/>
  <c r="HE39" i="30"/>
  <c r="HE37" i="30" s="1"/>
  <c r="DA39" i="30"/>
  <c r="CU39" i="30"/>
  <c r="E39" i="30"/>
  <c r="HE38" i="30"/>
  <c r="DA38" i="30"/>
  <c r="CU38" i="30"/>
  <c r="K38" i="30"/>
  <c r="H38" i="30"/>
  <c r="DA37" i="30"/>
  <c r="CU37" i="30"/>
  <c r="BZ37" i="30"/>
  <c r="BN37" i="30"/>
  <c r="BK37" i="30"/>
  <c r="BE37" i="30"/>
  <c r="BB37" i="30"/>
  <c r="AV37" i="30"/>
  <c r="AS37" i="30"/>
  <c r="AM37" i="30"/>
  <c r="AJ37" i="30"/>
  <c r="Z37" i="30"/>
  <c r="W37" i="30"/>
  <c r="Q37" i="30"/>
  <c r="N37" i="30"/>
  <c r="K37" i="30"/>
  <c r="H37" i="30"/>
  <c r="E37" i="30"/>
  <c r="HE36" i="30"/>
  <c r="DA36" i="30"/>
  <c r="CU36" i="30"/>
  <c r="BZ36" i="30"/>
  <c r="BN36" i="30"/>
  <c r="BK36" i="30"/>
  <c r="BE36" i="30"/>
  <c r="BB36" i="30"/>
  <c r="AV36" i="30"/>
  <c r="AS36" i="30"/>
  <c r="AM36" i="30"/>
  <c r="AJ36" i="30"/>
  <c r="AG36" i="30"/>
  <c r="AF36" i="30"/>
  <c r="AE36" i="30"/>
  <c r="AD36" i="30"/>
  <c r="AC36" i="30"/>
  <c r="Z36" i="30"/>
  <c r="W36" i="30"/>
  <c r="Q36" i="30"/>
  <c r="N36" i="30"/>
  <c r="K36" i="30"/>
  <c r="H36" i="30"/>
  <c r="E36" i="30"/>
  <c r="HE35" i="30"/>
  <c r="DA35" i="30"/>
  <c r="CU35" i="30"/>
  <c r="BZ35" i="30"/>
  <c r="BN35" i="30"/>
  <c r="BK35" i="30"/>
  <c r="BE35" i="30"/>
  <c r="BB35" i="30"/>
  <c r="AV35" i="30"/>
  <c r="AS35" i="30"/>
  <c r="AM35" i="30"/>
  <c r="AJ35" i="30"/>
  <c r="AG35" i="30"/>
  <c r="AF35" i="30"/>
  <c r="AE35" i="30"/>
  <c r="AD35" i="30"/>
  <c r="AC35" i="30"/>
  <c r="Z35" i="30"/>
  <c r="W35" i="30"/>
  <c r="Q35" i="30"/>
  <c r="N35" i="30"/>
  <c r="K35" i="30"/>
  <c r="H35" i="30"/>
  <c r="E35" i="30"/>
  <c r="HE34" i="30"/>
  <c r="DA34" i="30"/>
  <c r="CU34" i="30"/>
  <c r="BZ34" i="30"/>
  <c r="BW34" i="30"/>
  <c r="BN34" i="30"/>
  <c r="BK34" i="30"/>
  <c r="BE34" i="30"/>
  <c r="BB34" i="30"/>
  <c r="AV34" i="30"/>
  <c r="AS34" i="30"/>
  <c r="AM34" i="30"/>
  <c r="AJ34" i="30"/>
  <c r="Z34" i="30"/>
  <c r="W34" i="30"/>
  <c r="W39" i="30" s="1"/>
  <c r="Q34" i="30"/>
  <c r="N34" i="30"/>
  <c r="K34" i="30"/>
  <c r="H34" i="30"/>
  <c r="E34" i="30"/>
  <c r="HE33" i="30"/>
  <c r="DA33" i="30"/>
  <c r="CU33" i="30"/>
  <c r="CO33" i="30"/>
  <c r="CF33" i="30"/>
  <c r="CC33" i="30"/>
  <c r="BW33" i="30"/>
  <c r="BN33" i="30"/>
  <c r="BK33" i="30"/>
  <c r="BE33" i="30"/>
  <c r="BB33" i="30"/>
  <c r="AV33" i="30"/>
  <c r="AS33" i="30"/>
  <c r="AM33" i="30"/>
  <c r="AJ33" i="30"/>
  <c r="AF33" i="30"/>
  <c r="Z33" i="30"/>
  <c r="W33" i="30"/>
  <c r="Q33" i="30"/>
  <c r="N33" i="30"/>
  <c r="K33" i="30"/>
  <c r="K43" i="30" s="1"/>
  <c r="H33" i="30"/>
  <c r="E33" i="30"/>
  <c r="E38" i="30" s="1"/>
  <c r="E31" i="30" s="1"/>
  <c r="DA32" i="30"/>
  <c r="CU32" i="30"/>
  <c r="CO32" i="30"/>
  <c r="CF32" i="30"/>
  <c r="CC32" i="30"/>
  <c r="BW32" i="30"/>
  <c r="BN32" i="30"/>
  <c r="BK32" i="30"/>
  <c r="BE32" i="30"/>
  <c r="BB32" i="30"/>
  <c r="AV32" i="30"/>
  <c r="AS32" i="30"/>
  <c r="AM32" i="30"/>
  <c r="AJ32" i="30"/>
  <c r="AE32" i="30"/>
  <c r="AD32" i="30"/>
  <c r="AC32" i="30"/>
  <c r="Z32" i="30"/>
  <c r="Z28" i="30" s="1"/>
  <c r="W32" i="30"/>
  <c r="W28" i="30" s="1"/>
  <c r="Q32" i="30"/>
  <c r="N32" i="30"/>
  <c r="K32" i="30"/>
  <c r="H32" i="30"/>
  <c r="HE31" i="30"/>
  <c r="DA31" i="30"/>
  <c r="CU31" i="30"/>
  <c r="CO31" i="30"/>
  <c r="CO34" i="30" s="1"/>
  <c r="CF31" i="30"/>
  <c r="CC31" i="30"/>
  <c r="BW31" i="30"/>
  <c r="BN31" i="30"/>
  <c r="BK31" i="30"/>
  <c r="BE31" i="30"/>
  <c r="BB31" i="30"/>
  <c r="AV31" i="30"/>
  <c r="AS31" i="30"/>
  <c r="AM31" i="30"/>
  <c r="AJ31" i="30"/>
  <c r="Z31" i="30"/>
  <c r="W31" i="30"/>
  <c r="Q31" i="30"/>
  <c r="N31" i="30"/>
  <c r="K31" i="30"/>
  <c r="H31" i="30"/>
  <c r="HE30" i="30"/>
  <c r="DA30" i="30"/>
  <c r="CU30" i="30"/>
  <c r="CO30" i="30"/>
  <c r="CF30" i="30"/>
  <c r="CC30" i="30"/>
  <c r="BZ30" i="30"/>
  <c r="BW30" i="30"/>
  <c r="BN30" i="30"/>
  <c r="BK30" i="30"/>
  <c r="BK28" i="30" s="1"/>
  <c r="BK21" i="30" s="1"/>
  <c r="BE30" i="30"/>
  <c r="BB30" i="30"/>
  <c r="AS30" i="30"/>
  <c r="AM30" i="30"/>
  <c r="AJ30" i="30"/>
  <c r="Z30" i="30"/>
  <c r="Z29" i="30" s="1"/>
  <c r="W30" i="30"/>
  <c r="Q30" i="30"/>
  <c r="N30" i="30"/>
  <c r="K30" i="30"/>
  <c r="H30" i="30"/>
  <c r="HE29" i="30"/>
  <c r="HE27" i="30" s="1"/>
  <c r="HE28" i="30" s="1"/>
  <c r="DA29" i="30"/>
  <c r="DA25" i="30" s="1"/>
  <c r="CU29" i="30"/>
  <c r="CO29" i="30"/>
  <c r="CF29" i="30"/>
  <c r="CC29" i="30"/>
  <c r="BZ29" i="30"/>
  <c r="BN29" i="30"/>
  <c r="BN28" i="30" s="1"/>
  <c r="BN21" i="30" s="1"/>
  <c r="BK29" i="30"/>
  <c r="BE29" i="30"/>
  <c r="BB29" i="30"/>
  <c r="BB25" i="30" s="1"/>
  <c r="BB21" i="30" s="1"/>
  <c r="AV29" i="30"/>
  <c r="AS29" i="30"/>
  <c r="AM29" i="30"/>
  <c r="AM25" i="30" s="1"/>
  <c r="AJ29" i="30"/>
  <c r="AJ25" i="30" s="1"/>
  <c r="W29" i="30"/>
  <c r="Q29" i="30"/>
  <c r="Q25" i="30" s="1"/>
  <c r="N29" i="30"/>
  <c r="N25" i="30" s="1"/>
  <c r="K29" i="30"/>
  <c r="H29" i="30"/>
  <c r="H21" i="30" s="1"/>
  <c r="DA28" i="30"/>
  <c r="CX28" i="30"/>
  <c r="CU28" i="30"/>
  <c r="CO28" i="30"/>
  <c r="CL28" i="30"/>
  <c r="CF28" i="30"/>
  <c r="CC28" i="30"/>
  <c r="BZ28" i="30"/>
  <c r="BT28" i="30"/>
  <c r="BE28" i="30"/>
  <c r="BB28" i="30"/>
  <c r="AV28" i="30"/>
  <c r="AS28" i="30"/>
  <c r="AM28" i="30"/>
  <c r="AJ28" i="30"/>
  <c r="Q28" i="30"/>
  <c r="N28" i="30"/>
  <c r="H28" i="30"/>
  <c r="E28" i="30"/>
  <c r="HB27" i="30"/>
  <c r="GM27" i="30"/>
  <c r="FI27" i="30"/>
  <c r="ET27" i="30"/>
  <c r="EE27" i="30"/>
  <c r="DA27" i="30"/>
  <c r="CX27" i="30"/>
  <c r="CU27" i="30"/>
  <c r="CO27" i="30"/>
  <c r="CL27" i="30"/>
  <c r="CF27" i="30"/>
  <c r="CF23" i="30" s="1"/>
  <c r="CF19" i="30" s="1"/>
  <c r="CC27" i="30"/>
  <c r="CC23" i="30" s="1"/>
  <c r="CC19" i="30" s="1"/>
  <c r="BZ27" i="30"/>
  <c r="BT27" i="30"/>
  <c r="BN27" i="30"/>
  <c r="BK27" i="30"/>
  <c r="BE27" i="30"/>
  <c r="BB27" i="30"/>
  <c r="AV27" i="30"/>
  <c r="AV26" i="30" s="1"/>
  <c r="AS27" i="30"/>
  <c r="AS26" i="30" s="1"/>
  <c r="AM27" i="30"/>
  <c r="AM26" i="30" s="1"/>
  <c r="AJ27" i="30"/>
  <c r="AJ26" i="30" s="1"/>
  <c r="Z27" i="30"/>
  <c r="Z39" i="30" s="1"/>
  <c r="W27" i="30"/>
  <c r="Q27" i="30"/>
  <c r="Q26" i="30" s="1"/>
  <c r="N27" i="30"/>
  <c r="N26" i="30" s="1"/>
  <c r="K27" i="30"/>
  <c r="H27" i="30"/>
  <c r="E27" i="30"/>
  <c r="HB26" i="30"/>
  <c r="HB24" i="30" s="1"/>
  <c r="GM26" i="30"/>
  <c r="GM24" i="30" s="1"/>
  <c r="FI26" i="30"/>
  <c r="ET26" i="30"/>
  <c r="ET24" i="30" s="1"/>
  <c r="EE26" i="30"/>
  <c r="DP26" i="30"/>
  <c r="CX26" i="30"/>
  <c r="CU26" i="30"/>
  <c r="CO26" i="30"/>
  <c r="CO24" i="30" s="1"/>
  <c r="CL26" i="30"/>
  <c r="CF26" i="30"/>
  <c r="CC26" i="30"/>
  <c r="BZ26" i="30"/>
  <c r="BT26" i="30"/>
  <c r="BN26" i="30"/>
  <c r="BK26" i="30"/>
  <c r="BE26" i="30"/>
  <c r="BB26" i="30"/>
  <c r="K26" i="30"/>
  <c r="H26" i="30"/>
  <c r="E26" i="30"/>
  <c r="HE25" i="30"/>
  <c r="HB25" i="30"/>
  <c r="HB23" i="30" s="1"/>
  <c r="GM25" i="30"/>
  <c r="FI25" i="30"/>
  <c r="ET25" i="30"/>
  <c r="ET23" i="30" s="1"/>
  <c r="EE25" i="30"/>
  <c r="EE23" i="30" s="1"/>
  <c r="DP25" i="30"/>
  <c r="DG25" i="30"/>
  <c r="CX25" i="30"/>
  <c r="CU25" i="30"/>
  <c r="CO25" i="30"/>
  <c r="CL25" i="30"/>
  <c r="CF25" i="30"/>
  <c r="CF24" i="30" s="1"/>
  <c r="CC25" i="30"/>
  <c r="BZ25" i="30"/>
  <c r="BW25" i="30"/>
  <c r="BT25" i="30"/>
  <c r="BE25" i="30"/>
  <c r="BE21" i="30" s="1"/>
  <c r="AV25" i="30"/>
  <c r="AS25" i="30"/>
  <c r="AG25" i="30"/>
  <c r="AF25" i="30"/>
  <c r="AF24" i="30" s="1"/>
  <c r="AE25" i="30"/>
  <c r="AE24" i="30" s="1"/>
  <c r="AD25" i="30"/>
  <c r="AC25" i="30"/>
  <c r="K25" i="30"/>
  <c r="H25" i="30"/>
  <c r="E25" i="30"/>
  <c r="EE24" i="30"/>
  <c r="DP24" i="30"/>
  <c r="DA24" i="30"/>
  <c r="CX24" i="30"/>
  <c r="CR24" i="30"/>
  <c r="CL24" i="30"/>
  <c r="CC24" i="30"/>
  <c r="BZ24" i="30"/>
  <c r="BW24" i="30"/>
  <c r="BT24" i="30"/>
  <c r="BN24" i="30"/>
  <c r="BK24" i="30"/>
  <c r="BE24" i="30"/>
  <c r="BB24" i="30"/>
  <c r="AV24" i="30"/>
  <c r="AS24" i="30"/>
  <c r="AS21" i="30" s="1"/>
  <c r="AM24" i="30"/>
  <c r="AM21" i="30" s="1"/>
  <c r="AJ24" i="30"/>
  <c r="AJ21" i="30" s="1"/>
  <c r="AG24" i="30"/>
  <c r="AD24" i="30"/>
  <c r="AC24" i="30"/>
  <c r="Q24" i="30"/>
  <c r="N24" i="30"/>
  <c r="K24" i="30"/>
  <c r="H24" i="30"/>
  <c r="E24" i="30"/>
  <c r="GM23" i="30"/>
  <c r="FI23" i="30"/>
  <c r="DP23" i="30"/>
  <c r="DG23" i="30"/>
  <c r="DD23" i="30"/>
  <c r="CX23" i="30"/>
  <c r="CO23" i="30"/>
  <c r="CR23" i="30" s="1"/>
  <c r="CL23" i="30"/>
  <c r="BZ23" i="30"/>
  <c r="BW23" i="30"/>
  <c r="BT23" i="30"/>
  <c r="AE23" i="30"/>
  <c r="K23" i="30"/>
  <c r="H23" i="30"/>
  <c r="E23" i="30"/>
  <c r="HB22" i="30"/>
  <c r="HB16" i="30" s="1"/>
  <c r="GM22" i="30"/>
  <c r="FI22" i="30"/>
  <c r="FI16" i="30" s="1"/>
  <c r="ET22" i="30"/>
  <c r="EE22" i="30"/>
  <c r="DP22" i="30"/>
  <c r="DG22" i="30"/>
  <c r="DD22" i="30"/>
  <c r="CF22" i="30"/>
  <c r="CC22" i="30"/>
  <c r="BZ22" i="30"/>
  <c r="BZ15" i="30" s="1"/>
  <c r="BW22" i="30"/>
  <c r="BT22" i="30"/>
  <c r="AG22" i="30"/>
  <c r="AF22" i="30"/>
  <c r="AE22" i="30"/>
  <c r="AD22" i="30"/>
  <c r="AC22" i="30"/>
  <c r="K22" i="30"/>
  <c r="H22" i="30"/>
  <c r="HB21" i="30"/>
  <c r="GM21" i="30"/>
  <c r="FI21" i="30"/>
  <c r="ET21" i="30"/>
  <c r="EE21" i="30"/>
  <c r="DP21" i="30"/>
  <c r="DG21" i="30"/>
  <c r="DD21" i="30"/>
  <c r="BZ21" i="30"/>
  <c r="BW21" i="30"/>
  <c r="AG21" i="30"/>
  <c r="AF21" i="30"/>
  <c r="AE21" i="30"/>
  <c r="AD21" i="30"/>
  <c r="AC21" i="30"/>
  <c r="Z21" i="30"/>
  <c r="W21" i="30"/>
  <c r="K21" i="30"/>
  <c r="K19" i="30" s="1"/>
  <c r="GA20" i="30"/>
  <c r="FL20" i="30"/>
  <c r="EW20" i="30"/>
  <c r="EH20" i="30"/>
  <c r="DS20" i="30"/>
  <c r="DG20" i="30"/>
  <c r="DD20" i="30"/>
  <c r="CL20" i="30"/>
  <c r="BZ20" i="30"/>
  <c r="BW20" i="30"/>
  <c r="AG20" i="30"/>
  <c r="AF20" i="30"/>
  <c r="AE20" i="30"/>
  <c r="AD20" i="30"/>
  <c r="AC20" i="30"/>
  <c r="Z20" i="30"/>
  <c r="W20" i="30"/>
  <c r="K20" i="30"/>
  <c r="H20" i="30"/>
  <c r="HB19" i="30"/>
  <c r="GP19" i="30"/>
  <c r="GM19" i="30"/>
  <c r="GA19" i="30"/>
  <c r="FL19" i="30"/>
  <c r="FI19" i="30"/>
  <c r="EW19" i="30"/>
  <c r="ET19" i="30"/>
  <c r="EH19" i="30"/>
  <c r="EE19" i="30"/>
  <c r="DS19" i="30"/>
  <c r="DP19" i="30"/>
  <c r="DG19" i="30"/>
  <c r="DG11" i="30" s="1"/>
  <c r="DG6" i="30" s="1"/>
  <c r="DD19" i="30"/>
  <c r="BZ19" i="30"/>
  <c r="BW19" i="30"/>
  <c r="AG19" i="30"/>
  <c r="AF19" i="30"/>
  <c r="AE19" i="30"/>
  <c r="AD19" i="30"/>
  <c r="AC19" i="30"/>
  <c r="H19" i="30"/>
  <c r="HB18" i="30"/>
  <c r="GP18" i="30"/>
  <c r="GM18" i="30"/>
  <c r="GA18" i="30"/>
  <c r="FL18" i="30"/>
  <c r="FI18" i="30"/>
  <c r="EW18" i="30"/>
  <c r="ET18" i="30"/>
  <c r="EH18" i="30"/>
  <c r="EE18" i="30"/>
  <c r="DS18" i="30"/>
  <c r="DP18" i="30"/>
  <c r="DG18" i="30"/>
  <c r="CX18" i="30"/>
  <c r="BZ18" i="30"/>
  <c r="BZ16" i="30" s="1"/>
  <c r="BW18" i="30"/>
  <c r="BW16" i="30" s="1"/>
  <c r="BW12" i="30" s="1"/>
  <c r="BQ18" i="30"/>
  <c r="BN18" i="30"/>
  <c r="BK18" i="30"/>
  <c r="BH18" i="30"/>
  <c r="BE18" i="30"/>
  <c r="BB18" i="30"/>
  <c r="AY18" i="30"/>
  <c r="AV18" i="30"/>
  <c r="AS18" i="30"/>
  <c r="AP18" i="30"/>
  <c r="AM18" i="30"/>
  <c r="AJ18" i="30"/>
  <c r="AG18" i="30"/>
  <c r="AF18" i="30"/>
  <c r="AE18" i="30"/>
  <c r="AD18" i="30"/>
  <c r="AC18" i="30"/>
  <c r="T18" i="30"/>
  <c r="Q18" i="30"/>
  <c r="N18" i="30"/>
  <c r="H18" i="30"/>
  <c r="E18" i="30"/>
  <c r="HB17" i="30"/>
  <c r="GP17" i="30"/>
  <c r="GM17" i="30"/>
  <c r="GA17" i="30"/>
  <c r="FL17" i="30"/>
  <c r="FI17" i="30"/>
  <c r="EW17" i="30"/>
  <c r="ET17" i="30"/>
  <c r="EH17" i="30"/>
  <c r="EE17" i="30"/>
  <c r="DY17" i="30"/>
  <c r="DY16" i="30" s="1"/>
  <c r="DY18" i="30" s="1"/>
  <c r="DS17" i="30"/>
  <c r="DP17" i="30"/>
  <c r="DG17" i="30"/>
  <c r="CX17" i="30"/>
  <c r="CO17" i="30"/>
  <c r="BZ17" i="30"/>
  <c r="BW17" i="30"/>
  <c r="BT17" i="30"/>
  <c r="BQ17" i="30"/>
  <c r="BN17" i="30"/>
  <c r="BK17" i="30"/>
  <c r="BH17" i="30"/>
  <c r="BE17" i="30"/>
  <c r="BB17" i="30"/>
  <c r="AY17" i="30"/>
  <c r="AV17" i="30"/>
  <c r="AS17" i="30"/>
  <c r="AP17" i="30"/>
  <c r="AM17" i="30"/>
  <c r="AJ17" i="30"/>
  <c r="AG17" i="30"/>
  <c r="AF17" i="30"/>
  <c r="AE17" i="30"/>
  <c r="AD17" i="30"/>
  <c r="AC17" i="30"/>
  <c r="T17" i="30"/>
  <c r="Q17" i="30"/>
  <c r="N17" i="30"/>
  <c r="H17" i="30"/>
  <c r="E17" i="30"/>
  <c r="GV16" i="30"/>
  <c r="GP16" i="30"/>
  <c r="GM16" i="30"/>
  <c r="GG16" i="30"/>
  <c r="FC16" i="30"/>
  <c r="ET16" i="30"/>
  <c r="EN16" i="30"/>
  <c r="EE16" i="30"/>
  <c r="DP16" i="30"/>
  <c r="DG16" i="30"/>
  <c r="DD16" i="30"/>
  <c r="CX16" i="30"/>
  <c r="CO16" i="30"/>
  <c r="CI16" i="30"/>
  <c r="CF16" i="30"/>
  <c r="CC16" i="30"/>
  <c r="BT16" i="30"/>
  <c r="BQ16" i="30"/>
  <c r="BN16" i="30"/>
  <c r="BK16" i="30"/>
  <c r="BH16" i="30"/>
  <c r="BE16" i="30"/>
  <c r="BB16" i="30"/>
  <c r="AY16" i="30"/>
  <c r="AV16" i="30"/>
  <c r="AS16" i="30"/>
  <c r="AP16" i="30"/>
  <c r="AM16" i="30"/>
  <c r="AJ16" i="30"/>
  <c r="AG16" i="30"/>
  <c r="AF16" i="30"/>
  <c r="AE16" i="30"/>
  <c r="AD16" i="30"/>
  <c r="AC16" i="30"/>
  <c r="T16" i="30"/>
  <c r="Q16" i="30"/>
  <c r="N16" i="30"/>
  <c r="H16" i="30"/>
  <c r="HB15" i="30"/>
  <c r="GV15" i="30"/>
  <c r="GM15" i="30"/>
  <c r="GG15" i="30"/>
  <c r="GG17" i="30" s="1"/>
  <c r="GA15" i="30"/>
  <c r="FL15" i="30"/>
  <c r="FI15" i="30"/>
  <c r="FC15" i="30"/>
  <c r="EW15" i="30"/>
  <c r="ET15" i="30"/>
  <c r="EN15" i="30"/>
  <c r="EH15" i="30"/>
  <c r="EE15" i="30"/>
  <c r="DY15" i="30"/>
  <c r="DS15" i="30"/>
  <c r="DP15" i="30"/>
  <c r="DG15" i="30"/>
  <c r="DD15" i="30"/>
  <c r="CX15" i="30"/>
  <c r="CX20" i="30" s="1"/>
  <c r="CO15" i="30"/>
  <c r="CI15" i="30"/>
  <c r="CF15" i="30"/>
  <c r="CC15" i="30"/>
  <c r="BW15" i="30"/>
  <c r="BT15" i="30"/>
  <c r="BQ15" i="30"/>
  <c r="BN15" i="30"/>
  <c r="BK15" i="30"/>
  <c r="BH15" i="30"/>
  <c r="BE15" i="30"/>
  <c r="BB15" i="30"/>
  <c r="AY15" i="30"/>
  <c r="AV15" i="30"/>
  <c r="AS15" i="30"/>
  <c r="AP15" i="30"/>
  <c r="AM15" i="30"/>
  <c r="AJ15" i="30"/>
  <c r="AG15" i="30"/>
  <c r="AF15" i="30"/>
  <c r="AE15" i="30"/>
  <c r="AD15" i="30"/>
  <c r="AC15" i="30"/>
  <c r="Z15" i="30"/>
  <c r="W15" i="30"/>
  <c r="T15" i="30"/>
  <c r="Q15" i="30"/>
  <c r="N15" i="30"/>
  <c r="H15" i="30"/>
  <c r="E15" i="30"/>
  <c r="E12" i="30" s="1"/>
  <c r="HB14" i="30"/>
  <c r="GV14" i="30"/>
  <c r="GV17" i="30" s="1"/>
  <c r="GP14" i="30"/>
  <c r="GM14" i="30"/>
  <c r="GG14" i="30"/>
  <c r="FI14" i="30"/>
  <c r="FC14" i="30"/>
  <c r="FC17" i="30" s="1"/>
  <c r="ET14" i="30"/>
  <c r="EN14" i="30"/>
  <c r="EN17" i="30" s="1"/>
  <c r="EE14" i="30"/>
  <c r="EB14" i="30"/>
  <c r="DY14" i="30"/>
  <c r="DP14" i="30"/>
  <c r="DG14" i="30"/>
  <c r="DD14" i="30"/>
  <c r="CX14" i="30"/>
  <c r="CO14" i="30"/>
  <c r="CI14" i="30"/>
  <c r="CF14" i="30"/>
  <c r="CC14" i="30"/>
  <c r="BW14" i="30"/>
  <c r="BT14" i="30"/>
  <c r="BQ14" i="30"/>
  <c r="BN14" i="30"/>
  <c r="BK14" i="30"/>
  <c r="BH14" i="30"/>
  <c r="BE14" i="30"/>
  <c r="BB14" i="30"/>
  <c r="AY14" i="30"/>
  <c r="AV14" i="30"/>
  <c r="AS14" i="30"/>
  <c r="AP14" i="30"/>
  <c r="AM14" i="30"/>
  <c r="AJ14" i="30"/>
  <c r="AG14" i="30"/>
  <c r="AF14" i="30"/>
  <c r="AE14" i="30"/>
  <c r="AD14" i="30"/>
  <c r="AC14" i="30"/>
  <c r="Z14" i="30"/>
  <c r="W14" i="30"/>
  <c r="T14" i="30"/>
  <c r="Q14" i="30"/>
  <c r="N14" i="30"/>
  <c r="E14" i="30"/>
  <c r="HE13" i="30"/>
  <c r="HB13" i="30"/>
  <c r="GY13" i="30"/>
  <c r="GV13" i="30"/>
  <c r="GP13" i="30"/>
  <c r="GM13" i="30"/>
  <c r="GJ13" i="30"/>
  <c r="GG13" i="30"/>
  <c r="GA13" i="30"/>
  <c r="FL13" i="30"/>
  <c r="FI13" i="30"/>
  <c r="FF13" i="30"/>
  <c r="FC13" i="30"/>
  <c r="EW13" i="30"/>
  <c r="ET13" i="30"/>
  <c r="EQ13" i="30"/>
  <c r="EN13" i="30"/>
  <c r="EH13" i="30"/>
  <c r="EE13" i="30"/>
  <c r="EB13" i="30"/>
  <c r="DY13" i="30"/>
  <c r="DP13" i="30"/>
  <c r="DG13" i="30"/>
  <c r="DD13" i="30"/>
  <c r="CX13" i="30"/>
  <c r="CU13" i="30"/>
  <c r="CO13" i="30"/>
  <c r="CI13" i="30"/>
  <c r="CF13" i="30"/>
  <c r="CC13" i="30"/>
  <c r="BT13" i="30"/>
  <c r="BQ13" i="30"/>
  <c r="BN13" i="30"/>
  <c r="BK13" i="30"/>
  <c r="BH13" i="30"/>
  <c r="BE13" i="30"/>
  <c r="BB13" i="30"/>
  <c r="AY13" i="30"/>
  <c r="AV13" i="30"/>
  <c r="AS13" i="30"/>
  <c r="AP13" i="30"/>
  <c r="AM13" i="30"/>
  <c r="AJ13" i="30"/>
  <c r="AG13" i="30"/>
  <c r="AF13" i="30"/>
  <c r="AE13" i="30"/>
  <c r="AD13" i="30"/>
  <c r="AC13" i="30"/>
  <c r="Z13" i="30"/>
  <c r="W13" i="30"/>
  <c r="T13" i="30"/>
  <c r="Q13" i="30"/>
  <c r="N13" i="30"/>
  <c r="K13" i="30"/>
  <c r="K12" i="30" s="1"/>
  <c r="E13" i="30"/>
  <c r="HB12" i="30"/>
  <c r="GY12" i="30"/>
  <c r="GV12" i="30"/>
  <c r="GP12" i="30"/>
  <c r="GM12" i="30"/>
  <c r="GJ12" i="30"/>
  <c r="GG12" i="30"/>
  <c r="GA12" i="30"/>
  <c r="FL12" i="30"/>
  <c r="FI12" i="30"/>
  <c r="FI2" i="30" s="1"/>
  <c r="FF12" i="30"/>
  <c r="FC12" i="30"/>
  <c r="EW12" i="30"/>
  <c r="ET12" i="30"/>
  <c r="EQ12" i="30"/>
  <c r="EN12" i="30"/>
  <c r="EH12" i="30"/>
  <c r="EE12" i="30"/>
  <c r="EB12" i="30"/>
  <c r="DY12" i="30"/>
  <c r="DS12" i="30"/>
  <c r="DS8" i="30" s="1"/>
  <c r="DS7" i="30" s="1"/>
  <c r="DP12" i="30"/>
  <c r="DG12" i="30"/>
  <c r="DD12" i="30"/>
  <c r="DD11" i="30" s="1"/>
  <c r="DA12" i="30"/>
  <c r="DA11" i="30" s="1"/>
  <c r="DA10" i="30" s="1"/>
  <c r="CU12" i="30"/>
  <c r="CO12" i="30"/>
  <c r="CI12" i="30"/>
  <c r="CF12" i="30"/>
  <c r="CC12" i="30"/>
  <c r="BZ12" i="30"/>
  <c r="BZ11" i="30" s="1"/>
  <c r="BZ10" i="30" s="1"/>
  <c r="BZ14" i="30" s="1"/>
  <c r="BT12" i="30"/>
  <c r="BT10" i="30" s="1"/>
  <c r="BT18" i="30" s="1"/>
  <c r="BQ12" i="30"/>
  <c r="BN12" i="30"/>
  <c r="BK12" i="30"/>
  <c r="BH12" i="30"/>
  <c r="BE12" i="30"/>
  <c r="BB12" i="30"/>
  <c r="AY12" i="30"/>
  <c r="AV12" i="30"/>
  <c r="AS12" i="30"/>
  <c r="AP12" i="30"/>
  <c r="AM12" i="30"/>
  <c r="AJ12" i="30"/>
  <c r="AG12" i="30"/>
  <c r="AF12" i="30"/>
  <c r="Z12" i="30"/>
  <c r="W12" i="30"/>
  <c r="T12" i="30"/>
  <c r="Q12" i="30"/>
  <c r="N12" i="30"/>
  <c r="HE11" i="30"/>
  <c r="HB11" i="30"/>
  <c r="GY11" i="30"/>
  <c r="GV11" i="30"/>
  <c r="GP11" i="30"/>
  <c r="GM11" i="30"/>
  <c r="GJ11" i="30"/>
  <c r="GG11" i="30"/>
  <c r="GA11" i="30"/>
  <c r="FL11" i="30"/>
  <c r="FI11" i="30"/>
  <c r="FF11" i="30"/>
  <c r="FC11" i="30"/>
  <c r="EW11" i="30"/>
  <c r="ET11" i="30"/>
  <c r="EQ11" i="30"/>
  <c r="EN11" i="30"/>
  <c r="EH11" i="30"/>
  <c r="EH8" i="30" s="1"/>
  <c r="DS11" i="30"/>
  <c r="DP11" i="30"/>
  <c r="DJ11" i="30"/>
  <c r="DJ10" i="30" s="1"/>
  <c r="CX11" i="30"/>
  <c r="CU11" i="30"/>
  <c r="CU14" i="30" s="1"/>
  <c r="CO11" i="30"/>
  <c r="CI11" i="30"/>
  <c r="CF11" i="30"/>
  <c r="CC11" i="30"/>
  <c r="BT11" i="30"/>
  <c r="BQ11" i="30"/>
  <c r="BN11" i="30"/>
  <c r="BK11" i="30"/>
  <c r="BH11" i="30"/>
  <c r="BE11" i="30"/>
  <c r="BB11" i="30"/>
  <c r="AY11" i="30"/>
  <c r="AV11" i="30"/>
  <c r="AS11" i="30"/>
  <c r="AP11" i="30"/>
  <c r="AM11" i="30"/>
  <c r="AJ11" i="30"/>
  <c r="AG11" i="30"/>
  <c r="AF11" i="30"/>
  <c r="Z11" i="30"/>
  <c r="W11" i="30"/>
  <c r="T11" i="30"/>
  <c r="Q11" i="30"/>
  <c r="N11" i="30"/>
  <c r="H11" i="30"/>
  <c r="E11" i="30"/>
  <c r="HE10" i="30"/>
  <c r="HB10" i="30"/>
  <c r="GY10" i="30"/>
  <c r="GV10" i="30"/>
  <c r="GP10" i="30"/>
  <c r="GM10" i="30"/>
  <c r="GM2" i="30" s="1"/>
  <c r="GJ10" i="30"/>
  <c r="GG10" i="30"/>
  <c r="GA10" i="30"/>
  <c r="FL10" i="30"/>
  <c r="FI10" i="30"/>
  <c r="FF10" i="30"/>
  <c r="FC10" i="30"/>
  <c r="EW10" i="30"/>
  <c r="ET10" i="30"/>
  <c r="EQ10" i="30"/>
  <c r="EN10" i="30"/>
  <c r="EH10" i="30"/>
  <c r="EE10" i="30"/>
  <c r="EB10" i="30"/>
  <c r="DY10" i="30"/>
  <c r="DS10" i="30"/>
  <c r="DP10" i="30"/>
  <c r="DG10" i="30"/>
  <c r="DD10" i="30"/>
  <c r="DD8" i="30" s="1"/>
  <c r="CX10" i="30"/>
  <c r="CU10" i="30"/>
  <c r="CO10" i="30"/>
  <c r="CL10" i="30"/>
  <c r="CI10" i="30"/>
  <c r="CF10" i="30"/>
  <c r="CC10" i="30"/>
  <c r="CC6" i="30" s="1"/>
  <c r="BQ10" i="30"/>
  <c r="BQ9" i="30" s="1"/>
  <c r="BN10" i="30"/>
  <c r="BK10" i="30"/>
  <c r="BH10" i="30"/>
  <c r="BE10" i="30"/>
  <c r="BB10" i="30"/>
  <c r="AY10" i="30"/>
  <c r="AV10" i="30"/>
  <c r="AS10" i="30"/>
  <c r="AP10" i="30"/>
  <c r="AM10" i="30"/>
  <c r="AG10" i="30"/>
  <c r="AF10" i="30"/>
  <c r="Z10" i="30"/>
  <c r="W10" i="30"/>
  <c r="T10" i="30"/>
  <c r="T6" i="30" s="1"/>
  <c r="T2" i="30" s="1"/>
  <c r="Q10" i="30"/>
  <c r="N10" i="30"/>
  <c r="K10" i="30"/>
  <c r="E10" i="30"/>
  <c r="HE9" i="30"/>
  <c r="HB9" i="30"/>
  <c r="GY9" i="30"/>
  <c r="GV9" i="30"/>
  <c r="GP9" i="30"/>
  <c r="GM9" i="30"/>
  <c r="GJ9" i="30"/>
  <c r="GG9" i="30"/>
  <c r="GA9" i="30"/>
  <c r="FR9" i="30"/>
  <c r="FL9" i="30"/>
  <c r="FL8" i="30" s="1"/>
  <c r="FL7" i="30" s="1"/>
  <c r="FI9" i="30"/>
  <c r="FF9" i="30"/>
  <c r="FC9" i="30"/>
  <c r="EW9" i="30"/>
  <c r="EW8" i="30" s="1"/>
  <c r="ET9" i="30"/>
  <c r="EQ9" i="30"/>
  <c r="EN9" i="30"/>
  <c r="EH9" i="30"/>
  <c r="EE9" i="30"/>
  <c r="EB9" i="30"/>
  <c r="DY9" i="30"/>
  <c r="DS9" i="30"/>
  <c r="DP9" i="30"/>
  <c r="DJ9" i="30"/>
  <c r="DJ12" i="30" s="1"/>
  <c r="DG9" i="30"/>
  <c r="DD9" i="30"/>
  <c r="DA9" i="30"/>
  <c r="CX9" i="30"/>
  <c r="CU9" i="30"/>
  <c r="CO9" i="30"/>
  <c r="CL9" i="30"/>
  <c r="CI9" i="30"/>
  <c r="CF9" i="30"/>
  <c r="CC9" i="30"/>
  <c r="BZ9" i="30"/>
  <c r="BW9" i="30"/>
  <c r="BT9" i="30"/>
  <c r="BN9" i="30"/>
  <c r="BK9" i="30"/>
  <c r="BH9" i="30"/>
  <c r="BE9" i="30"/>
  <c r="BB9" i="30"/>
  <c r="AY9" i="30"/>
  <c r="AV9" i="30"/>
  <c r="AS9" i="30"/>
  <c r="AP9" i="30"/>
  <c r="AM9" i="30"/>
  <c r="AJ9" i="30"/>
  <c r="AG9" i="30"/>
  <c r="AG23" i="30" s="1"/>
  <c r="AG27" i="30" s="1"/>
  <c r="AF9" i="30"/>
  <c r="AF23" i="30" s="1"/>
  <c r="AE9" i="30"/>
  <c r="AD9" i="30"/>
  <c r="AD23" i="30" s="1"/>
  <c r="AD27" i="30" s="1"/>
  <c r="AC9" i="30"/>
  <c r="AC23" i="30" s="1"/>
  <c r="AC27" i="30" s="1"/>
  <c r="Z9" i="30"/>
  <c r="W9" i="30"/>
  <c r="T9" i="30"/>
  <c r="Q9" i="30"/>
  <c r="N9" i="30"/>
  <c r="K9" i="30"/>
  <c r="H9" i="30"/>
  <c r="E9" i="30"/>
  <c r="HE8" i="30"/>
  <c r="HB8" i="30"/>
  <c r="HB6" i="30" s="1"/>
  <c r="GY8" i="30"/>
  <c r="GV8" i="30"/>
  <c r="GP8" i="30"/>
  <c r="GM8" i="30"/>
  <c r="GJ8" i="30"/>
  <c r="GG8" i="30"/>
  <c r="GA8" i="30"/>
  <c r="GA7" i="30" s="1"/>
  <c r="FR8" i="30"/>
  <c r="FI8" i="30"/>
  <c r="FI6" i="30" s="1"/>
  <c r="FF8" i="30"/>
  <c r="FC8" i="30"/>
  <c r="ET8" i="30"/>
  <c r="EQ8" i="30"/>
  <c r="EQ6" i="30" s="1"/>
  <c r="EN8" i="30"/>
  <c r="EN6" i="30" s="1"/>
  <c r="EE8" i="30"/>
  <c r="EB8" i="30"/>
  <c r="EB6" i="30" s="1"/>
  <c r="DY8" i="30"/>
  <c r="DV8" i="30"/>
  <c r="DP8" i="30"/>
  <c r="DP6" i="30" s="1"/>
  <c r="DM8" i="30"/>
  <c r="DM6" i="30" s="1"/>
  <c r="DJ8" i="30"/>
  <c r="DG8" i="30"/>
  <c r="DG5" i="30" s="1"/>
  <c r="DA8" i="30"/>
  <c r="CX8" i="30"/>
  <c r="CU8" i="30"/>
  <c r="CO8" i="30"/>
  <c r="CO6" i="30" s="1"/>
  <c r="CL8" i="30"/>
  <c r="CI8" i="30"/>
  <c r="CF8" i="30"/>
  <c r="CC8" i="30"/>
  <c r="BZ8" i="30"/>
  <c r="BW8" i="30"/>
  <c r="BT8" i="30"/>
  <c r="BQ8" i="30"/>
  <c r="BN8" i="30"/>
  <c r="BK8" i="30"/>
  <c r="BH8" i="30"/>
  <c r="BE8" i="30"/>
  <c r="BB8" i="30"/>
  <c r="AY8" i="30"/>
  <c r="AV8" i="30"/>
  <c r="AS8" i="30"/>
  <c r="AP8" i="30"/>
  <c r="AM8" i="30"/>
  <c r="AJ8" i="30"/>
  <c r="AG8" i="30"/>
  <c r="AF8" i="30"/>
  <c r="AE8" i="30"/>
  <c r="AD8" i="30"/>
  <c r="AC8" i="30"/>
  <c r="Z8" i="30"/>
  <c r="W8" i="30"/>
  <c r="T8" i="30"/>
  <c r="Q8" i="30"/>
  <c r="N8" i="30"/>
  <c r="K8" i="30"/>
  <c r="H8" i="30"/>
  <c r="E8" i="30"/>
  <c r="HE7" i="30"/>
  <c r="HB7" i="30"/>
  <c r="GY7" i="30"/>
  <c r="GY5" i="30" s="1"/>
  <c r="GV7" i="30"/>
  <c r="GM7" i="30"/>
  <c r="GJ7" i="30"/>
  <c r="GG7" i="30"/>
  <c r="FR7" i="30"/>
  <c r="FR10" i="30" s="1"/>
  <c r="FI7" i="30"/>
  <c r="FF7" i="30"/>
  <c r="FC7" i="30"/>
  <c r="ET7" i="30"/>
  <c r="ET5" i="30" s="1"/>
  <c r="ET2" i="30" s="1"/>
  <c r="EQ7" i="30"/>
  <c r="EQ5" i="30" s="1"/>
  <c r="EN7" i="30"/>
  <c r="EE7" i="30"/>
  <c r="EE5" i="30" s="1"/>
  <c r="EB7" i="30"/>
  <c r="DY7" i="30"/>
  <c r="DP7" i="30"/>
  <c r="DM7" i="30"/>
  <c r="DJ7" i="30"/>
  <c r="DG7" i="30"/>
  <c r="DA7" i="30"/>
  <c r="CX7" i="30"/>
  <c r="CU7" i="30"/>
  <c r="CO7" i="30"/>
  <c r="CL7" i="30"/>
  <c r="CI7" i="30"/>
  <c r="CF7" i="30"/>
  <c r="CC7" i="30"/>
  <c r="BZ7" i="30"/>
  <c r="BW7" i="30"/>
  <c r="BT7" i="30"/>
  <c r="BT6" i="30" s="1"/>
  <c r="BQ7" i="30"/>
  <c r="BN7" i="30"/>
  <c r="BK7" i="30"/>
  <c r="BH7" i="30"/>
  <c r="BE7" i="30"/>
  <c r="BB7" i="30"/>
  <c r="AY7" i="30"/>
  <c r="AV7" i="30"/>
  <c r="AS7" i="30"/>
  <c r="AP7" i="30"/>
  <c r="AM7" i="30"/>
  <c r="AJ7" i="30"/>
  <c r="AG7" i="30"/>
  <c r="AF7" i="30"/>
  <c r="AE7" i="30"/>
  <c r="AD7" i="30"/>
  <c r="AC7" i="30"/>
  <c r="Z7" i="30"/>
  <c r="W7" i="30"/>
  <c r="T7" i="30"/>
  <c r="Q7" i="30"/>
  <c r="N7" i="30"/>
  <c r="K7" i="30"/>
  <c r="H7" i="30"/>
  <c r="E7" i="30"/>
  <c r="E6" i="30" s="1"/>
  <c r="GY6" i="30"/>
  <c r="GV6" i="30"/>
  <c r="GS6" i="30"/>
  <c r="GP6" i="30"/>
  <c r="GM6" i="30"/>
  <c r="GJ6" i="30"/>
  <c r="GG6" i="30"/>
  <c r="GD6" i="30"/>
  <c r="GA6" i="30"/>
  <c r="FU6" i="30"/>
  <c r="FR6" i="30"/>
  <c r="FL6" i="30"/>
  <c r="FF6" i="30"/>
  <c r="FC6" i="30"/>
  <c r="EZ6" i="30"/>
  <c r="EW6" i="30"/>
  <c r="ET6" i="30"/>
  <c r="EK6" i="30"/>
  <c r="EH6" i="30"/>
  <c r="EE6" i="30"/>
  <c r="DY6" i="30"/>
  <c r="DV6" i="30"/>
  <c r="DS6" i="30"/>
  <c r="DJ6" i="30"/>
  <c r="DD6" i="30"/>
  <c r="DA6" i="30"/>
  <c r="CX6" i="30"/>
  <c r="CX22" i="30" s="1"/>
  <c r="CU6" i="30"/>
  <c r="CR6" i="30"/>
  <c r="CL6" i="30"/>
  <c r="CI6" i="30"/>
  <c r="CF6" i="30"/>
  <c r="BZ6" i="30"/>
  <c r="BW6" i="30"/>
  <c r="BH6" i="30"/>
  <c r="BE6" i="30"/>
  <c r="BB6" i="30"/>
  <c r="BB2" i="30" s="1"/>
  <c r="AY6" i="30"/>
  <c r="AV6" i="30"/>
  <c r="AS6" i="30"/>
  <c r="AP6" i="30"/>
  <c r="AM6" i="30"/>
  <c r="AJ6" i="30"/>
  <c r="Z6" i="30"/>
  <c r="W6" i="30"/>
  <c r="Q6" i="30"/>
  <c r="N6" i="30"/>
  <c r="N2" i="30" s="1"/>
  <c r="K6" i="30"/>
  <c r="H6" i="30"/>
  <c r="HE5" i="30"/>
  <c r="HE3" i="30" s="1"/>
  <c r="HB5" i="30"/>
  <c r="GV5" i="30"/>
  <c r="GS5" i="30"/>
  <c r="GP5" i="30"/>
  <c r="GP7" i="30" s="1"/>
  <c r="GM5" i="30"/>
  <c r="GJ5" i="30"/>
  <c r="GG5" i="30"/>
  <c r="GD5" i="30"/>
  <c r="GA5" i="30"/>
  <c r="FX5" i="30"/>
  <c r="FX2" i="30" s="1"/>
  <c r="FU5" i="30"/>
  <c r="FR5" i="30"/>
  <c r="FO5" i="30"/>
  <c r="FL5" i="30"/>
  <c r="FI5" i="30"/>
  <c r="FF5" i="30"/>
  <c r="FC5" i="30"/>
  <c r="EZ5" i="30"/>
  <c r="EW5" i="30"/>
  <c r="EW7" i="30" s="1"/>
  <c r="EN5" i="30"/>
  <c r="EK5" i="30"/>
  <c r="EH5" i="30"/>
  <c r="EH7" i="30" s="1"/>
  <c r="EB5" i="30"/>
  <c r="DY5" i="30"/>
  <c r="DV5" i="30"/>
  <c r="DS5" i="30"/>
  <c r="DM5" i="30"/>
  <c r="DJ5" i="30"/>
  <c r="DD5" i="30"/>
  <c r="DD7" i="30" s="1"/>
  <c r="DA5" i="30"/>
  <c r="DA13" i="30" s="1"/>
  <c r="CX5" i="30"/>
  <c r="CU5" i="30"/>
  <c r="CU16" i="30" s="1"/>
  <c r="CO5" i="30"/>
  <c r="CR5" i="30" s="1"/>
  <c r="CL5" i="30"/>
  <c r="CL2" i="30" s="1"/>
  <c r="CI5" i="30"/>
  <c r="CI2" i="30" s="1"/>
  <c r="CF5" i="30"/>
  <c r="CF2" i="30" s="1"/>
  <c r="CC5" i="30"/>
  <c r="CC2" i="30" s="1"/>
  <c r="BZ5" i="30"/>
  <c r="BW5" i="30"/>
  <c r="BT5" i="30"/>
  <c r="BQ5" i="30"/>
  <c r="BQ2" i="30" s="1"/>
  <c r="BN5" i="30"/>
  <c r="BN2" i="30" s="1"/>
  <c r="BK5" i="30"/>
  <c r="BH5" i="30"/>
  <c r="BH2" i="30" s="1"/>
  <c r="BE5" i="30"/>
  <c r="BE2" i="30" s="1"/>
  <c r="BB5" i="30"/>
  <c r="AY5" i="30"/>
  <c r="AV5" i="30"/>
  <c r="AS5" i="30"/>
  <c r="AS2" i="30" s="1"/>
  <c r="AP5" i="30"/>
  <c r="AP2" i="30" s="1"/>
  <c r="AM5" i="30"/>
  <c r="AJ5" i="30"/>
  <c r="AJ2" i="30" s="1"/>
  <c r="AG5" i="30"/>
  <c r="AG31" i="30" s="1"/>
  <c r="AF5" i="30"/>
  <c r="AF31" i="30" s="1"/>
  <c r="AE5" i="30"/>
  <c r="AD5" i="30"/>
  <c r="AD29" i="30" s="1"/>
  <c r="AC5" i="30"/>
  <c r="AC30" i="30" s="1"/>
  <c r="Z5" i="30"/>
  <c r="Z18" i="30" s="1"/>
  <c r="W5" i="30"/>
  <c r="W18" i="30" s="1"/>
  <c r="T5" i="30"/>
  <c r="Q5" i="30"/>
  <c r="N5" i="30"/>
  <c r="K5" i="30"/>
  <c r="H5" i="30"/>
  <c r="H12" i="30" s="1"/>
  <c r="E5" i="30"/>
  <c r="BK2" i="30"/>
  <c r="AY2" i="30"/>
  <c r="AV2" i="30"/>
  <c r="AM2" i="30"/>
  <c r="Q2" i="30"/>
  <c r="H73" i="29"/>
  <c r="H72" i="29"/>
  <c r="H71" i="29"/>
  <c r="H70" i="29"/>
  <c r="H69" i="29"/>
  <c r="H68" i="29"/>
  <c r="H16" i="29" s="1"/>
  <c r="H67" i="29"/>
  <c r="H63" i="29" s="1"/>
  <c r="H66" i="29"/>
  <c r="H65" i="29"/>
  <c r="H64" i="29"/>
  <c r="H62" i="29"/>
  <c r="H61" i="29"/>
  <c r="H60" i="29"/>
  <c r="H57" i="29"/>
  <c r="E57" i="29"/>
  <c r="H56" i="29"/>
  <c r="E56" i="29"/>
  <c r="H55" i="29"/>
  <c r="E55" i="29"/>
  <c r="K54" i="29"/>
  <c r="K53" i="29"/>
  <c r="H53" i="29"/>
  <c r="E53" i="29"/>
  <c r="DA52" i="29"/>
  <c r="K52" i="29"/>
  <c r="H52" i="29"/>
  <c r="E52" i="29"/>
  <c r="DA51" i="29"/>
  <c r="K51" i="29"/>
  <c r="H51" i="29"/>
  <c r="DA50" i="29"/>
  <c r="CU50" i="29"/>
  <c r="K50" i="29"/>
  <c r="E50" i="29"/>
  <c r="DA49" i="29"/>
  <c r="CU49" i="29"/>
  <c r="K49" i="29"/>
  <c r="E49" i="29"/>
  <c r="CU48" i="29"/>
  <c r="K48" i="29"/>
  <c r="E48" i="29"/>
  <c r="CU47" i="29"/>
  <c r="K47" i="29"/>
  <c r="H47" i="29"/>
  <c r="H45" i="29" s="1"/>
  <c r="E47" i="29"/>
  <c r="Z46" i="29"/>
  <c r="H46" i="29"/>
  <c r="H44" i="29" s="1"/>
  <c r="E46" i="29"/>
  <c r="E54" i="29" s="1"/>
  <c r="E44" i="29" s="1"/>
  <c r="DA45" i="29"/>
  <c r="Z45" i="29"/>
  <c r="DA43" i="29"/>
  <c r="Z43" i="29"/>
  <c r="W43" i="29"/>
  <c r="DA42" i="29"/>
  <c r="CU42" i="29"/>
  <c r="Z42" i="29"/>
  <c r="W42" i="29"/>
  <c r="K42" i="29"/>
  <c r="HE41" i="29"/>
  <c r="DA41" i="29"/>
  <c r="CU41" i="29"/>
  <c r="K41" i="29"/>
  <c r="H41" i="29"/>
  <c r="E41" i="29"/>
  <c r="HE40" i="29"/>
  <c r="DA40" i="29"/>
  <c r="CU40" i="29"/>
  <c r="E40" i="29"/>
  <c r="HE39" i="29"/>
  <c r="HE37" i="29" s="1"/>
  <c r="DA39" i="29"/>
  <c r="CU39" i="29"/>
  <c r="E39" i="29"/>
  <c r="HE38" i="29"/>
  <c r="DA38" i="29"/>
  <c r="CU38" i="29"/>
  <c r="K38" i="29"/>
  <c r="H38" i="29"/>
  <c r="DA37" i="29"/>
  <c r="CU37" i="29"/>
  <c r="BZ37" i="29"/>
  <c r="BN37" i="29"/>
  <c r="BK37" i="29"/>
  <c r="BE37" i="29"/>
  <c r="BB37" i="29"/>
  <c r="AV37" i="29"/>
  <c r="AS37" i="29"/>
  <c r="AM37" i="29"/>
  <c r="AJ37" i="29"/>
  <c r="Z37" i="29"/>
  <c r="W37" i="29"/>
  <c r="Q37" i="29"/>
  <c r="N37" i="29"/>
  <c r="K37" i="29"/>
  <c r="H37" i="29"/>
  <c r="E37" i="29"/>
  <c r="HE36" i="29"/>
  <c r="DA36" i="29"/>
  <c r="CU36" i="29"/>
  <c r="BZ36" i="29"/>
  <c r="BN36" i="29"/>
  <c r="BK36" i="29"/>
  <c r="BE36" i="29"/>
  <c r="BB36" i="29"/>
  <c r="AV36" i="29"/>
  <c r="AS36" i="29"/>
  <c r="AM36" i="29"/>
  <c r="AJ36" i="29"/>
  <c r="AG36" i="29"/>
  <c r="AF36" i="29"/>
  <c r="AE36" i="29"/>
  <c r="AD36" i="29"/>
  <c r="AC36" i="29"/>
  <c r="Z36" i="29"/>
  <c r="W36" i="29"/>
  <c r="Q36" i="29"/>
  <c r="N36" i="29"/>
  <c r="K36" i="29"/>
  <c r="H36" i="29"/>
  <c r="E36" i="29"/>
  <c r="HE35" i="29"/>
  <c r="HE42" i="29" s="1"/>
  <c r="DA35" i="29"/>
  <c r="DA26" i="29" s="1"/>
  <c r="DA15" i="29" s="1"/>
  <c r="CU35" i="29"/>
  <c r="BZ35" i="29"/>
  <c r="BN35" i="29"/>
  <c r="BK35" i="29"/>
  <c r="BE35" i="29"/>
  <c r="BB35" i="29"/>
  <c r="AV35" i="29"/>
  <c r="AS35" i="29"/>
  <c r="AM35" i="29"/>
  <c r="AJ35" i="29"/>
  <c r="AG35" i="29"/>
  <c r="AF35" i="29"/>
  <c r="AE35" i="29"/>
  <c r="AD35" i="29"/>
  <c r="AC35" i="29"/>
  <c r="Z35" i="29"/>
  <c r="W35" i="29"/>
  <c r="Q35" i="29"/>
  <c r="N35" i="29"/>
  <c r="K35" i="29"/>
  <c r="H35" i="29"/>
  <c r="E35" i="29"/>
  <c r="HE34" i="29"/>
  <c r="DA34" i="29"/>
  <c r="CU34" i="29"/>
  <c r="BZ34" i="29"/>
  <c r="BW34" i="29"/>
  <c r="BN34" i="29"/>
  <c r="BK34" i="29"/>
  <c r="BE34" i="29"/>
  <c r="BB34" i="29"/>
  <c r="AV34" i="29"/>
  <c r="AS34" i="29"/>
  <c r="AM34" i="29"/>
  <c r="AJ34" i="29"/>
  <c r="Z34" i="29"/>
  <c r="W34" i="29"/>
  <c r="Q34" i="29"/>
  <c r="N34" i="29"/>
  <c r="K34" i="29"/>
  <c r="H34" i="29"/>
  <c r="E34" i="29"/>
  <c r="HE33" i="29"/>
  <c r="DA33" i="29"/>
  <c r="CU33" i="29"/>
  <c r="CU43" i="29" s="1"/>
  <c r="CU11" i="29" s="1"/>
  <c r="CU15" i="29" s="1"/>
  <c r="CO33" i="29"/>
  <c r="CO32" i="29" s="1"/>
  <c r="CF33" i="29"/>
  <c r="CC33" i="29"/>
  <c r="BW33" i="29"/>
  <c r="BN33" i="29"/>
  <c r="BK33" i="29"/>
  <c r="BE33" i="29"/>
  <c r="BB33" i="29"/>
  <c r="AV33" i="29"/>
  <c r="AS33" i="29"/>
  <c r="AM33" i="29"/>
  <c r="AJ33" i="29"/>
  <c r="AF33" i="29"/>
  <c r="Z33" i="29"/>
  <c r="W33" i="29"/>
  <c r="Q33" i="29"/>
  <c r="N33" i="29"/>
  <c r="K33" i="29"/>
  <c r="K43" i="29" s="1"/>
  <c r="K11" i="29" s="1"/>
  <c r="H33" i="29"/>
  <c r="E33" i="29"/>
  <c r="E38" i="29" s="1"/>
  <c r="E31" i="29" s="1"/>
  <c r="DA32" i="29"/>
  <c r="CU32" i="29"/>
  <c r="CF32" i="29"/>
  <c r="CC32" i="29"/>
  <c r="BW32" i="29"/>
  <c r="BN32" i="29"/>
  <c r="BK32" i="29"/>
  <c r="BE32" i="29"/>
  <c r="BB32" i="29"/>
  <c r="AV32" i="29"/>
  <c r="AS32" i="29"/>
  <c r="AM32" i="29"/>
  <c r="AJ32" i="29"/>
  <c r="AE32" i="29"/>
  <c r="AD32" i="29"/>
  <c r="AC32" i="29"/>
  <c r="Z32" i="29"/>
  <c r="Z28" i="29" s="1"/>
  <c r="W32" i="29"/>
  <c r="W28" i="29" s="1"/>
  <c r="Q32" i="29"/>
  <c r="N32" i="29"/>
  <c r="K32" i="29"/>
  <c r="H32" i="29"/>
  <c r="HE31" i="29"/>
  <c r="DA31" i="29"/>
  <c r="CU31" i="29"/>
  <c r="CO31" i="29"/>
  <c r="CF31" i="29"/>
  <c r="CC31" i="29"/>
  <c r="BW31" i="29"/>
  <c r="BN31" i="29"/>
  <c r="BK31" i="29"/>
  <c r="BE31" i="29"/>
  <c r="BB31" i="29"/>
  <c r="AV31" i="29"/>
  <c r="AS31" i="29"/>
  <c r="AM31" i="29"/>
  <c r="AJ31" i="29"/>
  <c r="Z31" i="29"/>
  <c r="W31" i="29"/>
  <c r="Q31" i="29"/>
  <c r="N31" i="29"/>
  <c r="K31" i="29"/>
  <c r="K20" i="29" s="1"/>
  <c r="H31" i="29"/>
  <c r="HE30" i="29"/>
  <c r="DA30" i="29"/>
  <c r="CU30" i="29"/>
  <c r="CO30" i="29"/>
  <c r="CF30" i="29"/>
  <c r="CC30" i="29"/>
  <c r="BZ30" i="29"/>
  <c r="BW30" i="29"/>
  <c r="BN30" i="29"/>
  <c r="BK30" i="29"/>
  <c r="BE30" i="29"/>
  <c r="BB30" i="29"/>
  <c r="AS30" i="29"/>
  <c r="AM30" i="29"/>
  <c r="AJ30" i="29"/>
  <c r="Z30" i="29"/>
  <c r="W30" i="29"/>
  <c r="Q30" i="29"/>
  <c r="N30" i="29"/>
  <c r="K30" i="29"/>
  <c r="H30" i="29"/>
  <c r="H22" i="29" s="1"/>
  <c r="H14" i="29" s="1"/>
  <c r="HE29" i="29"/>
  <c r="HE27" i="29" s="1"/>
  <c r="HE28" i="29" s="1"/>
  <c r="DA29" i="29"/>
  <c r="CU29" i="29"/>
  <c r="CO29" i="29"/>
  <c r="CF29" i="29"/>
  <c r="CC29" i="29"/>
  <c r="BZ29" i="29"/>
  <c r="BN29" i="29"/>
  <c r="BN28" i="29" s="1"/>
  <c r="BN21" i="29" s="1"/>
  <c r="BK29" i="29"/>
  <c r="BK28" i="29" s="1"/>
  <c r="BK21" i="29" s="1"/>
  <c r="BE29" i="29"/>
  <c r="BB29" i="29"/>
  <c r="AV29" i="29"/>
  <c r="AV25" i="29" s="1"/>
  <c r="AS29" i="29"/>
  <c r="AS25" i="29" s="1"/>
  <c r="AM29" i="29"/>
  <c r="AM25" i="29" s="1"/>
  <c r="AJ29" i="29"/>
  <c r="AJ25" i="29" s="1"/>
  <c r="AJ21" i="29" s="1"/>
  <c r="Z29" i="29"/>
  <c r="W29" i="29"/>
  <c r="Q29" i="29"/>
  <c r="Q25" i="29" s="1"/>
  <c r="N29" i="29"/>
  <c r="N25" i="29" s="1"/>
  <c r="K29" i="29"/>
  <c r="H29" i="29"/>
  <c r="DA28" i="29"/>
  <c r="CX28" i="29"/>
  <c r="CU28" i="29"/>
  <c r="CO28" i="29"/>
  <c r="CL28" i="29"/>
  <c r="CL20" i="29" s="1"/>
  <c r="CF28" i="29"/>
  <c r="CC28" i="29"/>
  <c r="BZ28" i="29"/>
  <c r="BT28" i="29"/>
  <c r="BE28" i="29"/>
  <c r="BB28" i="29"/>
  <c r="AV28" i="29"/>
  <c r="AS28" i="29"/>
  <c r="AM28" i="29"/>
  <c r="AJ28" i="29"/>
  <c r="Q28" i="29"/>
  <c r="N28" i="29"/>
  <c r="K28" i="29"/>
  <c r="K18" i="29" s="1"/>
  <c r="K17" i="29" s="1"/>
  <c r="H28" i="29"/>
  <c r="E28" i="29"/>
  <c r="HB27" i="29"/>
  <c r="GM27" i="29"/>
  <c r="FI27" i="29"/>
  <c r="ET27" i="29"/>
  <c r="EE27" i="29"/>
  <c r="DA27" i="29"/>
  <c r="CX27" i="29"/>
  <c r="CU27" i="29"/>
  <c r="CO27" i="29"/>
  <c r="CL27" i="29"/>
  <c r="CF27" i="29"/>
  <c r="CF23" i="29" s="1"/>
  <c r="CF19" i="29" s="1"/>
  <c r="CC27" i="29"/>
  <c r="CC23" i="29" s="1"/>
  <c r="CC19" i="29" s="1"/>
  <c r="BZ27" i="29"/>
  <c r="BT27" i="29"/>
  <c r="BN27" i="29"/>
  <c r="BK27" i="29"/>
  <c r="BE27" i="29"/>
  <c r="BB27" i="29"/>
  <c r="BB26" i="29" s="1"/>
  <c r="AV27" i="29"/>
  <c r="AV26" i="29" s="1"/>
  <c r="AS27" i="29"/>
  <c r="AS26" i="29" s="1"/>
  <c r="AM27" i="29"/>
  <c r="AM26" i="29" s="1"/>
  <c r="AJ27" i="29"/>
  <c r="Z27" i="29"/>
  <c r="Z39" i="29" s="1"/>
  <c r="W27" i="29"/>
  <c r="W39" i="29" s="1"/>
  <c r="Q27" i="29"/>
  <c r="N27" i="29"/>
  <c r="N26" i="29" s="1"/>
  <c r="K27" i="29"/>
  <c r="H27" i="29"/>
  <c r="E27" i="29"/>
  <c r="HB26" i="29"/>
  <c r="HB24" i="29" s="1"/>
  <c r="GM26" i="29"/>
  <c r="GM24" i="29" s="1"/>
  <c r="FI26" i="29"/>
  <c r="ET26" i="29"/>
  <c r="EE26" i="29"/>
  <c r="DP26" i="29"/>
  <c r="CX26" i="29"/>
  <c r="CU26" i="29"/>
  <c r="CO26" i="29"/>
  <c r="CO24" i="29" s="1"/>
  <c r="CL26" i="29"/>
  <c r="CF26" i="29"/>
  <c r="CC26" i="29"/>
  <c r="BZ26" i="29"/>
  <c r="BT26" i="29"/>
  <c r="BN26" i="29"/>
  <c r="BK26" i="29"/>
  <c r="BE26" i="29"/>
  <c r="AJ26" i="29"/>
  <c r="Q26" i="29"/>
  <c r="K26" i="29"/>
  <c r="H26" i="29"/>
  <c r="E26" i="29"/>
  <c r="HE25" i="29"/>
  <c r="HE23" i="29" s="1"/>
  <c r="HB25" i="29"/>
  <c r="HB23" i="29" s="1"/>
  <c r="GM25" i="29"/>
  <c r="GM23" i="29" s="1"/>
  <c r="FI25" i="29"/>
  <c r="ET25" i="29"/>
  <c r="EE25" i="29"/>
  <c r="EE23" i="29" s="1"/>
  <c r="DP25" i="29"/>
  <c r="DP23" i="29" s="1"/>
  <c r="DG25" i="29"/>
  <c r="CX25" i="29"/>
  <c r="CU25" i="29"/>
  <c r="CO25" i="29"/>
  <c r="CL25" i="29"/>
  <c r="CF25" i="29"/>
  <c r="CC25" i="29"/>
  <c r="BZ25" i="29"/>
  <c r="BW25" i="29"/>
  <c r="BT25" i="29"/>
  <c r="BE25" i="29"/>
  <c r="BE21" i="29" s="1"/>
  <c r="BB25" i="29"/>
  <c r="AG25" i="29"/>
  <c r="AG24" i="29" s="1"/>
  <c r="AF25" i="29"/>
  <c r="AF24" i="29" s="1"/>
  <c r="AE25" i="29"/>
  <c r="AE24" i="29" s="1"/>
  <c r="AD25" i="29"/>
  <c r="AD24" i="29" s="1"/>
  <c r="AC25" i="29"/>
  <c r="K25" i="29"/>
  <c r="H25" i="29"/>
  <c r="E25" i="29"/>
  <c r="ET24" i="29"/>
  <c r="EE24" i="29"/>
  <c r="DP24" i="29"/>
  <c r="DA24" i="29"/>
  <c r="CX24" i="29"/>
  <c r="CR24" i="29"/>
  <c r="CL24" i="29"/>
  <c r="CF24" i="29"/>
  <c r="CC24" i="29"/>
  <c r="BZ24" i="29"/>
  <c r="BW24" i="29"/>
  <c r="BT24" i="29"/>
  <c r="BN24" i="29"/>
  <c r="BK24" i="29"/>
  <c r="BE24" i="29"/>
  <c r="BB24" i="29"/>
  <c r="AV24" i="29"/>
  <c r="AS24" i="29"/>
  <c r="AM24" i="29"/>
  <c r="AM21" i="29" s="1"/>
  <c r="AJ24" i="29"/>
  <c r="AC24" i="29"/>
  <c r="Q24" i="29"/>
  <c r="Q21" i="29" s="1"/>
  <c r="N24" i="29"/>
  <c r="K24" i="29"/>
  <c r="H24" i="29"/>
  <c r="E24" i="29"/>
  <c r="FI23" i="29"/>
  <c r="ET23" i="29"/>
  <c r="DG23" i="29"/>
  <c r="DD23" i="29"/>
  <c r="CX23" i="29"/>
  <c r="CR23" i="29"/>
  <c r="CO23" i="29"/>
  <c r="CL23" i="29"/>
  <c r="BZ23" i="29"/>
  <c r="BW23" i="29"/>
  <c r="BT23" i="29"/>
  <c r="AG23" i="29"/>
  <c r="AG27" i="29" s="1"/>
  <c r="K23" i="29"/>
  <c r="H23" i="29"/>
  <c r="E23" i="29"/>
  <c r="HB22" i="29"/>
  <c r="HB16" i="29" s="1"/>
  <c r="GM22" i="29"/>
  <c r="FI22" i="29"/>
  <c r="ET22" i="29"/>
  <c r="ET16" i="29" s="1"/>
  <c r="EE22" i="29"/>
  <c r="DP22" i="29"/>
  <c r="DG22" i="29"/>
  <c r="DD22" i="29"/>
  <c r="CF22" i="29"/>
  <c r="CC22" i="29"/>
  <c r="BZ22" i="29"/>
  <c r="BW22" i="29"/>
  <c r="BT22" i="29"/>
  <c r="BT10" i="29" s="1"/>
  <c r="BT18" i="29" s="1"/>
  <c r="AG22" i="29"/>
  <c r="AF22" i="29"/>
  <c r="AE22" i="29"/>
  <c r="AD22" i="29"/>
  <c r="AC22" i="29"/>
  <c r="K22" i="29"/>
  <c r="HB21" i="29"/>
  <c r="GM21" i="29"/>
  <c r="FI21" i="29"/>
  <c r="ET21" i="29"/>
  <c r="EE21" i="29"/>
  <c r="DP21" i="29"/>
  <c r="DG21" i="29"/>
  <c r="DD21" i="29"/>
  <c r="BZ21" i="29"/>
  <c r="BW21" i="29"/>
  <c r="AG21" i="29"/>
  <c r="AF21" i="29"/>
  <c r="AE21" i="29"/>
  <c r="AD21" i="29"/>
  <c r="AC21" i="29"/>
  <c r="Z21" i="29"/>
  <c r="W21" i="29"/>
  <c r="K21" i="29"/>
  <c r="K19" i="29" s="1"/>
  <c r="K14" i="29" s="1"/>
  <c r="H21" i="29"/>
  <c r="GA20" i="29"/>
  <c r="FL20" i="29"/>
  <c r="EW20" i="29"/>
  <c r="EH20" i="29"/>
  <c r="DS20" i="29"/>
  <c r="DG20" i="29"/>
  <c r="DD20" i="29"/>
  <c r="BZ20" i="29"/>
  <c r="BW20" i="29"/>
  <c r="AG20" i="29"/>
  <c r="AF20" i="29"/>
  <c r="AE20" i="29"/>
  <c r="AD20" i="29"/>
  <c r="AC20" i="29"/>
  <c r="Z20" i="29"/>
  <c r="W20" i="29"/>
  <c r="H20" i="29"/>
  <c r="HB19" i="29"/>
  <c r="GP19" i="29"/>
  <c r="GM19" i="29"/>
  <c r="GA19" i="29"/>
  <c r="FL19" i="29"/>
  <c r="FI19" i="29"/>
  <c r="EW19" i="29"/>
  <c r="ET19" i="29"/>
  <c r="EH19" i="29"/>
  <c r="EE19" i="29"/>
  <c r="DS19" i="29"/>
  <c r="DP19" i="29"/>
  <c r="DP11" i="29" s="1"/>
  <c r="DG19" i="29"/>
  <c r="DG11" i="29" s="1"/>
  <c r="DD19" i="29"/>
  <c r="BZ19" i="29"/>
  <c r="BZ16" i="29" s="1"/>
  <c r="BW19" i="29"/>
  <c r="AG19" i="29"/>
  <c r="AF19" i="29"/>
  <c r="AE19" i="29"/>
  <c r="AD19" i="29"/>
  <c r="AC19" i="29"/>
  <c r="H19" i="29"/>
  <c r="HB18" i="29"/>
  <c r="GP18" i="29"/>
  <c r="GM18" i="29"/>
  <c r="GA18" i="29"/>
  <c r="FL18" i="29"/>
  <c r="FI18" i="29"/>
  <c r="EW18" i="29"/>
  <c r="ET18" i="29"/>
  <c r="EH18" i="29"/>
  <c r="EE18" i="29"/>
  <c r="DS18" i="29"/>
  <c r="DP18" i="29"/>
  <c r="DP7" i="29" s="1"/>
  <c r="DG18" i="29"/>
  <c r="CX18" i="29"/>
  <c r="BZ18" i="29"/>
  <c r="BW18" i="29"/>
  <c r="BW16" i="29" s="1"/>
  <c r="BW12" i="29" s="1"/>
  <c r="BQ18" i="29"/>
  <c r="BN18" i="29"/>
  <c r="BK18" i="29"/>
  <c r="BH18" i="29"/>
  <c r="BE18" i="29"/>
  <c r="BB18" i="29"/>
  <c r="AY18" i="29"/>
  <c r="AV18" i="29"/>
  <c r="AS18" i="29"/>
  <c r="AP18" i="29"/>
  <c r="AM18" i="29"/>
  <c r="AJ18" i="29"/>
  <c r="AG18" i="29"/>
  <c r="AF18" i="29"/>
  <c r="AE18" i="29"/>
  <c r="AD18" i="29"/>
  <c r="AC18" i="29"/>
  <c r="T18" i="29"/>
  <c r="Q18" i="29"/>
  <c r="N18" i="29"/>
  <c r="H18" i="29"/>
  <c r="E18" i="29"/>
  <c r="HB17" i="29"/>
  <c r="GP17" i="29"/>
  <c r="GM17" i="29"/>
  <c r="GA17" i="29"/>
  <c r="FL17" i="29"/>
  <c r="FI17" i="29"/>
  <c r="EW17" i="29"/>
  <c r="ET17" i="29"/>
  <c r="EH17" i="29"/>
  <c r="EE17" i="29"/>
  <c r="DY17" i="29"/>
  <c r="DY16" i="29" s="1"/>
  <c r="DS17" i="29"/>
  <c r="DP17" i="29"/>
  <c r="DG17" i="29"/>
  <c r="CX17" i="29"/>
  <c r="BZ17" i="29"/>
  <c r="BW17" i="29"/>
  <c r="BT17" i="29"/>
  <c r="BQ17" i="29"/>
  <c r="BN17" i="29"/>
  <c r="BK17" i="29"/>
  <c r="BH17" i="29"/>
  <c r="BE17" i="29"/>
  <c r="BB17" i="29"/>
  <c r="AY17" i="29"/>
  <c r="AV17" i="29"/>
  <c r="AS17" i="29"/>
  <c r="AP17" i="29"/>
  <c r="AM17" i="29"/>
  <c r="AJ17" i="29"/>
  <c r="AG17" i="29"/>
  <c r="AF17" i="29"/>
  <c r="AE17" i="29"/>
  <c r="AD17" i="29"/>
  <c r="AC17" i="29"/>
  <c r="T17" i="29"/>
  <c r="Q17" i="29"/>
  <c r="N17" i="29"/>
  <c r="H17" i="29"/>
  <c r="E17" i="29"/>
  <c r="GV16" i="29"/>
  <c r="GP16" i="29"/>
  <c r="GM16" i="29"/>
  <c r="GG16" i="29"/>
  <c r="GG15" i="29" s="1"/>
  <c r="GG17" i="29" s="1"/>
  <c r="FI16" i="29"/>
  <c r="FC16" i="29"/>
  <c r="EN16" i="29"/>
  <c r="EE16" i="29"/>
  <c r="DP16" i="29"/>
  <c r="DG16" i="29"/>
  <c r="DD16" i="29"/>
  <c r="CX16" i="29"/>
  <c r="CO16" i="29"/>
  <c r="CI16" i="29"/>
  <c r="CF16" i="29"/>
  <c r="CC16" i="29"/>
  <c r="BT16" i="29"/>
  <c r="BQ16" i="29"/>
  <c r="BN16" i="29"/>
  <c r="BK16" i="29"/>
  <c r="BH16" i="29"/>
  <c r="BE16" i="29"/>
  <c r="BB16" i="29"/>
  <c r="AY16" i="29"/>
  <c r="AV16" i="29"/>
  <c r="AS16" i="29"/>
  <c r="AP16" i="29"/>
  <c r="AM16" i="29"/>
  <c r="AJ16" i="29"/>
  <c r="AG16" i="29"/>
  <c r="AF16" i="29"/>
  <c r="AE16" i="29"/>
  <c r="AD16" i="29"/>
  <c r="AC16" i="29"/>
  <c r="T16" i="29"/>
  <c r="Q16" i="29"/>
  <c r="N16" i="29"/>
  <c r="HB15" i="29"/>
  <c r="GV15" i="29"/>
  <c r="GV17" i="29" s="1"/>
  <c r="GM15" i="29"/>
  <c r="GA15" i="29"/>
  <c r="FL15" i="29"/>
  <c r="FI15" i="29"/>
  <c r="FC15" i="29"/>
  <c r="EW15" i="29"/>
  <c r="ET15" i="29"/>
  <c r="EN15" i="29"/>
  <c r="EH15" i="29"/>
  <c r="EE15" i="29"/>
  <c r="EE2" i="29" s="1"/>
  <c r="DY15" i="29"/>
  <c r="DY18" i="29" s="1"/>
  <c r="DS15" i="29"/>
  <c r="DP15" i="29"/>
  <c r="DG15" i="29"/>
  <c r="DD15" i="29"/>
  <c r="DD8" i="29" s="1"/>
  <c r="CX15" i="29"/>
  <c r="CO15" i="29"/>
  <c r="CO17" i="29" s="1"/>
  <c r="CI15" i="29"/>
  <c r="CF15" i="29"/>
  <c r="CC15" i="29"/>
  <c r="BW15" i="29"/>
  <c r="BT15" i="29"/>
  <c r="BQ15" i="29"/>
  <c r="BN15" i="29"/>
  <c r="BK15" i="29"/>
  <c r="BH15" i="29"/>
  <c r="BE15" i="29"/>
  <c r="BB15" i="29"/>
  <c r="AY15" i="29"/>
  <c r="AV15" i="29"/>
  <c r="AS15" i="29"/>
  <c r="AP15" i="29"/>
  <c r="AM15" i="29"/>
  <c r="AJ15" i="29"/>
  <c r="AG15" i="29"/>
  <c r="AF15" i="29"/>
  <c r="AE15" i="29"/>
  <c r="AD15" i="29"/>
  <c r="AC15" i="29"/>
  <c r="Z15" i="29"/>
  <c r="W15" i="29"/>
  <c r="T15" i="29"/>
  <c r="Q15" i="29"/>
  <c r="N15" i="29"/>
  <c r="E15" i="29"/>
  <c r="E12" i="29" s="1"/>
  <c r="HB14" i="29"/>
  <c r="GV14" i="29"/>
  <c r="GP14" i="29"/>
  <c r="GM14" i="29"/>
  <c r="GG14" i="29"/>
  <c r="FI14" i="29"/>
  <c r="FC14" i="29"/>
  <c r="FC17" i="29" s="1"/>
  <c r="ET14" i="29"/>
  <c r="EN14" i="29"/>
  <c r="EN17" i="29" s="1"/>
  <c r="EE14" i="29"/>
  <c r="EB14" i="29"/>
  <c r="DY14" i="29"/>
  <c r="DP14" i="29"/>
  <c r="DG14" i="29"/>
  <c r="DD14" i="29"/>
  <c r="CX14" i="29"/>
  <c r="CO14" i="29"/>
  <c r="CI14" i="29"/>
  <c r="CF14" i="29"/>
  <c r="CC14" i="29"/>
  <c r="BW14" i="29"/>
  <c r="BT14" i="29"/>
  <c r="BQ14" i="29"/>
  <c r="BN14" i="29"/>
  <c r="BK14" i="29"/>
  <c r="BH14" i="29"/>
  <c r="BE14" i="29"/>
  <c r="BB14" i="29"/>
  <c r="AY14" i="29"/>
  <c r="AV14" i="29"/>
  <c r="AS14" i="29"/>
  <c r="AP14" i="29"/>
  <c r="AM14" i="29"/>
  <c r="AJ14" i="29"/>
  <c r="AG14" i="29"/>
  <c r="AF14" i="29"/>
  <c r="AE14" i="29"/>
  <c r="AD14" i="29"/>
  <c r="AC14" i="29"/>
  <c r="Z14" i="29"/>
  <c r="W14" i="29"/>
  <c r="T14" i="29"/>
  <c r="Q14" i="29"/>
  <c r="N14" i="29"/>
  <c r="E14" i="29"/>
  <c r="HE13" i="29"/>
  <c r="HB13" i="29"/>
  <c r="GY13" i="29"/>
  <c r="GV13" i="29"/>
  <c r="GP13" i="29"/>
  <c r="GM13" i="29"/>
  <c r="GJ13" i="29"/>
  <c r="GG13" i="29"/>
  <c r="GA13" i="29"/>
  <c r="FL13" i="29"/>
  <c r="FI13" i="29"/>
  <c r="FF13" i="29"/>
  <c r="FC13" i="29"/>
  <c r="EW13" i="29"/>
  <c r="ET13" i="29"/>
  <c r="EQ13" i="29"/>
  <c r="EN13" i="29"/>
  <c r="EH13" i="29"/>
  <c r="EE13" i="29"/>
  <c r="EB13" i="29"/>
  <c r="DY13" i="29"/>
  <c r="DP13" i="29"/>
  <c r="DG13" i="29"/>
  <c r="DD13" i="29"/>
  <c r="CX13" i="29"/>
  <c r="CU13" i="29"/>
  <c r="CO13" i="29"/>
  <c r="CI13" i="29"/>
  <c r="CF13" i="29"/>
  <c r="CC13" i="29"/>
  <c r="BT13" i="29"/>
  <c r="BQ13" i="29"/>
  <c r="BN13" i="29"/>
  <c r="BK13" i="29"/>
  <c r="BH13" i="29"/>
  <c r="BE13" i="29"/>
  <c r="BB13" i="29"/>
  <c r="AY13" i="29"/>
  <c r="AV13" i="29"/>
  <c r="AS13" i="29"/>
  <c r="AP13" i="29"/>
  <c r="AM13" i="29"/>
  <c r="AJ13" i="29"/>
  <c r="AG13" i="29"/>
  <c r="AF13" i="29"/>
  <c r="AE13" i="29"/>
  <c r="AD13" i="29"/>
  <c r="AC13" i="29"/>
  <c r="Z13" i="29"/>
  <c r="W13" i="29"/>
  <c r="T13" i="29"/>
  <c r="Q13" i="29"/>
  <c r="N13" i="29"/>
  <c r="K13" i="29"/>
  <c r="E13" i="29"/>
  <c r="HB12" i="29"/>
  <c r="GY12" i="29"/>
  <c r="GV12" i="29"/>
  <c r="GP12" i="29"/>
  <c r="GM12" i="29"/>
  <c r="GJ12" i="29"/>
  <c r="GG12" i="29"/>
  <c r="GA12" i="29"/>
  <c r="FL12" i="29"/>
  <c r="FI12" i="29"/>
  <c r="FF12" i="29"/>
  <c r="FC12" i="29"/>
  <c r="EW12" i="29"/>
  <c r="ET12" i="29"/>
  <c r="EQ12" i="29"/>
  <c r="EN12" i="29"/>
  <c r="EH12" i="29"/>
  <c r="EE12" i="29"/>
  <c r="EB12" i="29"/>
  <c r="DY12" i="29"/>
  <c r="DS12" i="29"/>
  <c r="DP12" i="29"/>
  <c r="DG12" i="29"/>
  <c r="DD12" i="29"/>
  <c r="DD11" i="29" s="1"/>
  <c r="DA12" i="29"/>
  <c r="DA11" i="29" s="1"/>
  <c r="DA10" i="29" s="1"/>
  <c r="CX12" i="29"/>
  <c r="CU12" i="29"/>
  <c r="CO12" i="29"/>
  <c r="CI12" i="29"/>
  <c r="CF12" i="29"/>
  <c r="CC12" i="29"/>
  <c r="BZ12" i="29"/>
  <c r="BZ11" i="29" s="1"/>
  <c r="BZ10" i="29" s="1"/>
  <c r="BT12" i="29"/>
  <c r="BQ12" i="29"/>
  <c r="BN12" i="29"/>
  <c r="BK12" i="29"/>
  <c r="BH12" i="29"/>
  <c r="BE12" i="29"/>
  <c r="BB12" i="29"/>
  <c r="AY12" i="29"/>
  <c r="AV12" i="29"/>
  <c r="AS12" i="29"/>
  <c r="AP12" i="29"/>
  <c r="AM12" i="29"/>
  <c r="AJ12" i="29"/>
  <c r="AG12" i="29"/>
  <c r="AF12" i="29"/>
  <c r="Z12" i="29"/>
  <c r="W12" i="29"/>
  <c r="T12" i="29"/>
  <c r="Q12" i="29"/>
  <c r="N12" i="29"/>
  <c r="K12" i="29"/>
  <c r="HE11" i="29"/>
  <c r="HB11" i="29"/>
  <c r="GY11" i="29"/>
  <c r="GV11" i="29"/>
  <c r="GP11" i="29"/>
  <c r="GM11" i="29"/>
  <c r="GJ11" i="29"/>
  <c r="GG11" i="29"/>
  <c r="GA11" i="29"/>
  <c r="FL11" i="29"/>
  <c r="FL8" i="29" s="1"/>
  <c r="FI11" i="29"/>
  <c r="FF11" i="29"/>
  <c r="FC11" i="29"/>
  <c r="EW11" i="29"/>
  <c r="ET11" i="29"/>
  <c r="EQ11" i="29"/>
  <c r="EN11" i="29"/>
  <c r="EH11" i="29"/>
  <c r="EH8" i="29" s="1"/>
  <c r="DS11" i="29"/>
  <c r="DS8" i="29" s="1"/>
  <c r="DS7" i="29" s="1"/>
  <c r="DJ11" i="29"/>
  <c r="CX11" i="29"/>
  <c r="CO11" i="29"/>
  <c r="CI11" i="29"/>
  <c r="CF11" i="29"/>
  <c r="CC11" i="29"/>
  <c r="BT11" i="29"/>
  <c r="BQ11" i="29"/>
  <c r="BQ9" i="29" s="1"/>
  <c r="BQ2" i="29" s="1"/>
  <c r="BN11" i="29"/>
  <c r="BN9" i="29" s="1"/>
  <c r="BK11" i="29"/>
  <c r="BH11" i="29"/>
  <c r="BE11" i="29"/>
  <c r="BB11" i="29"/>
  <c r="AY11" i="29"/>
  <c r="AV11" i="29"/>
  <c r="AS11" i="29"/>
  <c r="AP11" i="29"/>
  <c r="AM11" i="29"/>
  <c r="AJ11" i="29"/>
  <c r="AG11" i="29"/>
  <c r="AF11" i="29"/>
  <c r="Z11" i="29"/>
  <c r="W11" i="29"/>
  <c r="T11" i="29"/>
  <c r="Q11" i="29"/>
  <c r="N11" i="29"/>
  <c r="E11" i="29"/>
  <c r="HE10" i="29"/>
  <c r="HB10" i="29"/>
  <c r="GY10" i="29"/>
  <c r="GV10" i="29"/>
  <c r="GP10" i="29"/>
  <c r="GM10" i="29"/>
  <c r="GJ10" i="29"/>
  <c r="GG10" i="29"/>
  <c r="GA10" i="29"/>
  <c r="FL10" i="29"/>
  <c r="FI10" i="29"/>
  <c r="FI2" i="29" s="1"/>
  <c r="FF10" i="29"/>
  <c r="FC10" i="29"/>
  <c r="EW10" i="29"/>
  <c r="ET10" i="29"/>
  <c r="EQ10" i="29"/>
  <c r="EN10" i="29"/>
  <c r="EH10" i="29"/>
  <c r="EE10" i="29"/>
  <c r="EB10" i="29"/>
  <c r="DY10" i="29"/>
  <c r="DS10" i="29"/>
  <c r="DP10" i="29"/>
  <c r="DJ10" i="29"/>
  <c r="DG10" i="29"/>
  <c r="DD10" i="29"/>
  <c r="CX10" i="29"/>
  <c r="CU10" i="29"/>
  <c r="CO10" i="29"/>
  <c r="CL10" i="29"/>
  <c r="CI10" i="29"/>
  <c r="CF10" i="29"/>
  <c r="CC10" i="29"/>
  <c r="CC6" i="29" s="1"/>
  <c r="CC2" i="29" s="1"/>
  <c r="BQ10" i="29"/>
  <c r="BN10" i="29"/>
  <c r="BK10" i="29"/>
  <c r="BH10" i="29"/>
  <c r="BE10" i="29"/>
  <c r="BB10" i="29"/>
  <c r="AY10" i="29"/>
  <c r="AV10" i="29"/>
  <c r="AS10" i="29"/>
  <c r="AP10" i="29"/>
  <c r="AM10" i="29"/>
  <c r="AG10" i="29"/>
  <c r="AF10" i="29"/>
  <c r="Z10" i="29"/>
  <c r="Z6" i="29" s="1"/>
  <c r="W10" i="29"/>
  <c r="T10" i="29"/>
  <c r="Q10" i="29"/>
  <c r="Q6" i="29" s="1"/>
  <c r="Q2" i="29" s="1"/>
  <c r="N10" i="29"/>
  <c r="N6" i="29" s="1"/>
  <c r="N2" i="29" s="1"/>
  <c r="K10" i="29"/>
  <c r="E10" i="29"/>
  <c r="HE9" i="29"/>
  <c r="HB9" i="29"/>
  <c r="GY9" i="29"/>
  <c r="GV9" i="29"/>
  <c r="GP9" i="29"/>
  <c r="GP8" i="29" s="1"/>
  <c r="GM9" i="29"/>
  <c r="GJ9" i="29"/>
  <c r="GG9" i="29"/>
  <c r="GA9" i="29"/>
  <c r="GA8" i="29" s="1"/>
  <c r="GA7" i="29" s="1"/>
  <c r="FR9" i="29"/>
  <c r="FL9" i="29"/>
  <c r="FI9" i="29"/>
  <c r="FF9" i="29"/>
  <c r="FC9" i="29"/>
  <c r="EW9" i="29"/>
  <c r="EW8" i="29" s="1"/>
  <c r="EW7" i="29" s="1"/>
  <c r="ET9" i="29"/>
  <c r="EQ9" i="29"/>
  <c r="EN9" i="29"/>
  <c r="EH9" i="29"/>
  <c r="EE9" i="29"/>
  <c r="EB9" i="29"/>
  <c r="DY9" i="29"/>
  <c r="DS9" i="29"/>
  <c r="DP9" i="29"/>
  <c r="DJ9" i="29"/>
  <c r="DJ12" i="29" s="1"/>
  <c r="DG9" i="29"/>
  <c r="DG7" i="29" s="1"/>
  <c r="DD9" i="29"/>
  <c r="DA9" i="29"/>
  <c r="CX9" i="29"/>
  <c r="CU9" i="29"/>
  <c r="CO9" i="29"/>
  <c r="CL9" i="29"/>
  <c r="CI9" i="29"/>
  <c r="CF9" i="29"/>
  <c r="CC9" i="29"/>
  <c r="BZ9" i="29"/>
  <c r="BW9" i="29"/>
  <c r="BT9" i="29"/>
  <c r="BK9" i="29"/>
  <c r="BH9" i="29"/>
  <c r="BE9" i="29"/>
  <c r="BB9" i="29"/>
  <c r="AY9" i="29"/>
  <c r="AV9" i="29"/>
  <c r="AS9" i="29"/>
  <c r="AP9" i="29"/>
  <c r="AM9" i="29"/>
  <c r="AJ9" i="29"/>
  <c r="AG9" i="29"/>
  <c r="AF9" i="29"/>
  <c r="AF23" i="29" s="1"/>
  <c r="AE9" i="29"/>
  <c r="AE23" i="29" s="1"/>
  <c r="AD9" i="29"/>
  <c r="AD23" i="29" s="1"/>
  <c r="AC9" i="29"/>
  <c r="AC23" i="29" s="1"/>
  <c r="AC27" i="29" s="1"/>
  <c r="Z9" i="29"/>
  <c r="W9" i="29"/>
  <c r="T9" i="29"/>
  <c r="Q9" i="29"/>
  <c r="N9" i="29"/>
  <c r="K9" i="29"/>
  <c r="H9" i="29"/>
  <c r="E9" i="29"/>
  <c r="HB8" i="29"/>
  <c r="HB6" i="29" s="1"/>
  <c r="GY8" i="29"/>
  <c r="GY6" i="29" s="1"/>
  <c r="GV8" i="29"/>
  <c r="GM8" i="29"/>
  <c r="GJ8" i="29"/>
  <c r="GG8" i="29"/>
  <c r="FR8" i="29"/>
  <c r="FI8" i="29"/>
  <c r="FF8" i="29"/>
  <c r="FC8" i="29"/>
  <c r="ET8" i="29"/>
  <c r="ET6" i="29" s="1"/>
  <c r="EQ8" i="29"/>
  <c r="EQ6" i="29" s="1"/>
  <c r="EN8" i="29"/>
  <c r="EN6" i="29" s="1"/>
  <c r="EE8" i="29"/>
  <c r="EB8" i="29"/>
  <c r="DY8" i="29"/>
  <c r="DY6" i="29" s="1"/>
  <c r="DV8" i="29"/>
  <c r="DP8" i="29"/>
  <c r="DM8" i="29"/>
  <c r="DM6" i="29" s="1"/>
  <c r="DJ8" i="29"/>
  <c r="DJ6" i="29" s="1"/>
  <c r="DG8" i="29"/>
  <c r="DA8" i="29"/>
  <c r="CX8" i="29"/>
  <c r="CU8" i="29"/>
  <c r="CO8" i="29"/>
  <c r="CO6" i="29" s="1"/>
  <c r="CL8" i="29"/>
  <c r="CI8" i="29"/>
  <c r="CF8" i="29"/>
  <c r="CC8" i="29"/>
  <c r="BZ8" i="29"/>
  <c r="BW8" i="29"/>
  <c r="BT8" i="29"/>
  <c r="BQ8" i="29"/>
  <c r="BN8" i="29"/>
  <c r="BK8" i="29"/>
  <c r="BH8" i="29"/>
  <c r="BE8" i="29"/>
  <c r="BB8" i="29"/>
  <c r="AY8" i="29"/>
  <c r="AV8" i="29"/>
  <c r="AS8" i="29"/>
  <c r="AP8" i="29"/>
  <c r="AM8" i="29"/>
  <c r="AJ8" i="29"/>
  <c r="AG8" i="29"/>
  <c r="AF8" i="29"/>
  <c r="AE8" i="29"/>
  <c r="AD8" i="29"/>
  <c r="AC8" i="29"/>
  <c r="Z8" i="29"/>
  <c r="W8" i="29"/>
  <c r="T8" i="29"/>
  <c r="Q8" i="29"/>
  <c r="N8" i="29"/>
  <c r="K8" i="29"/>
  <c r="H8" i="29"/>
  <c r="E8" i="29"/>
  <c r="HE7" i="29"/>
  <c r="HE8" i="29" s="1"/>
  <c r="HB7" i="29"/>
  <c r="GY7" i="29"/>
  <c r="GV7" i="29"/>
  <c r="GV5" i="29" s="1"/>
  <c r="GM7" i="29"/>
  <c r="GJ7" i="29"/>
  <c r="GG7" i="29"/>
  <c r="FR7" i="29"/>
  <c r="FR10" i="29" s="1"/>
  <c r="FI7" i="29"/>
  <c r="FF7" i="29"/>
  <c r="FC7" i="29"/>
  <c r="ET7" i="29"/>
  <c r="ET5" i="29" s="1"/>
  <c r="ET2" i="29" s="1"/>
  <c r="EQ7" i="29"/>
  <c r="EQ5" i="29" s="1"/>
  <c r="EN7" i="29"/>
  <c r="EN5" i="29" s="1"/>
  <c r="EE7" i="29"/>
  <c r="EB7" i="29"/>
  <c r="EB5" i="29" s="1"/>
  <c r="DY7" i="29"/>
  <c r="DY5" i="29" s="1"/>
  <c r="DM7" i="29"/>
  <c r="DM5" i="29" s="1"/>
  <c r="DJ7" i="29"/>
  <c r="DA7" i="29"/>
  <c r="CX7" i="29"/>
  <c r="CX6" i="29" s="1"/>
  <c r="CU7" i="29"/>
  <c r="CO7" i="29"/>
  <c r="CL7" i="29"/>
  <c r="CI7" i="29"/>
  <c r="CF7" i="29"/>
  <c r="CC7" i="29"/>
  <c r="BZ7" i="29"/>
  <c r="BW7" i="29"/>
  <c r="BT7" i="29"/>
  <c r="BT6" i="29" s="1"/>
  <c r="BQ7" i="29"/>
  <c r="BN7" i="29"/>
  <c r="BK7" i="29"/>
  <c r="BH7" i="29"/>
  <c r="BE7" i="29"/>
  <c r="BB7" i="29"/>
  <c r="AY7" i="29"/>
  <c r="AV7" i="29"/>
  <c r="AS7" i="29"/>
  <c r="AP7" i="29"/>
  <c r="AM7" i="29"/>
  <c r="AJ7" i="29"/>
  <c r="AG7" i="29"/>
  <c r="AF7" i="29"/>
  <c r="AE7" i="29"/>
  <c r="AD7" i="29"/>
  <c r="AC7" i="29"/>
  <c r="Z7" i="29"/>
  <c r="W7" i="29"/>
  <c r="T7" i="29"/>
  <c r="Q7" i="29"/>
  <c r="N7" i="29"/>
  <c r="K7" i="29"/>
  <c r="H7" i="29"/>
  <c r="E7" i="29"/>
  <c r="E6" i="29" s="1"/>
  <c r="E22" i="29" s="1"/>
  <c r="GV6" i="29"/>
  <c r="GS6" i="29"/>
  <c r="GP6" i="29"/>
  <c r="GM6" i="29"/>
  <c r="GJ6" i="29"/>
  <c r="GG6" i="29"/>
  <c r="GD6" i="29"/>
  <c r="GA6" i="29"/>
  <c r="FU6" i="29"/>
  <c r="FR6" i="29"/>
  <c r="FL6" i="29"/>
  <c r="FI6" i="29"/>
  <c r="FF6" i="29"/>
  <c r="FC6" i="29"/>
  <c r="EZ6" i="29"/>
  <c r="EW6" i="29"/>
  <c r="EK6" i="29"/>
  <c r="EH6" i="29"/>
  <c r="EE6" i="29"/>
  <c r="EB6" i="29"/>
  <c r="DV6" i="29"/>
  <c r="DS6" i="29"/>
  <c r="DD6" i="29"/>
  <c r="DA6" i="29"/>
  <c r="CU6" i="29"/>
  <c r="CR6" i="29"/>
  <c r="CL6" i="29"/>
  <c r="CI6" i="29"/>
  <c r="CF6" i="29"/>
  <c r="CF2" i="29" s="1"/>
  <c r="BZ6" i="29"/>
  <c r="BW6" i="29"/>
  <c r="BH6" i="29"/>
  <c r="BH2" i="29" s="1"/>
  <c r="BE6" i="29"/>
  <c r="BE2" i="29" s="1"/>
  <c r="BB6" i="29"/>
  <c r="BB2" i="29" s="1"/>
  <c r="AY6" i="29"/>
  <c r="AY2" i="29" s="1"/>
  <c r="AV6" i="29"/>
  <c r="AS6" i="29"/>
  <c r="AP6" i="29"/>
  <c r="AM6" i="29"/>
  <c r="AJ6" i="29"/>
  <c r="AJ2" i="29" s="1"/>
  <c r="W6" i="29"/>
  <c r="T6" i="29"/>
  <c r="T2" i="29" s="1"/>
  <c r="K6" i="29"/>
  <c r="H6" i="29"/>
  <c r="HE5" i="29"/>
  <c r="HE3" i="29" s="1"/>
  <c r="HB5" i="29"/>
  <c r="GY5" i="29"/>
  <c r="GS5" i="29"/>
  <c r="GP5" i="29"/>
  <c r="GP7" i="29" s="1"/>
  <c r="GM5" i="29"/>
  <c r="GJ5" i="29"/>
  <c r="GG5" i="29"/>
  <c r="GD5" i="29"/>
  <c r="GA5" i="29"/>
  <c r="FX5" i="29"/>
  <c r="FU5" i="29"/>
  <c r="FR5" i="29"/>
  <c r="FO5" i="29"/>
  <c r="FL5" i="29"/>
  <c r="FL7" i="29" s="1"/>
  <c r="FI5" i="29"/>
  <c r="FF5" i="29"/>
  <c r="FC5" i="29"/>
  <c r="EZ5" i="29"/>
  <c r="EW5" i="29"/>
  <c r="EK5" i="29"/>
  <c r="EH5" i="29"/>
  <c r="EH7" i="29" s="1"/>
  <c r="EE5" i="29"/>
  <c r="DV5" i="29"/>
  <c r="DS5" i="29"/>
  <c r="DJ5" i="29"/>
  <c r="DD5" i="29"/>
  <c r="DA5" i="29"/>
  <c r="DA13" i="29" s="1"/>
  <c r="CX5" i="29"/>
  <c r="CX22" i="29" s="1"/>
  <c r="CU5" i="29"/>
  <c r="CO5" i="29"/>
  <c r="CR5" i="29" s="1"/>
  <c r="CL5" i="29"/>
  <c r="CL2" i="29" s="1"/>
  <c r="CI5" i="29"/>
  <c r="CI2" i="29" s="1"/>
  <c r="CF5" i="29"/>
  <c r="CC5" i="29"/>
  <c r="BZ5" i="29"/>
  <c r="BW5" i="29"/>
  <c r="BT5" i="29"/>
  <c r="BQ5" i="29"/>
  <c r="BN5" i="29"/>
  <c r="BN2" i="29" s="1"/>
  <c r="BK5" i="29"/>
  <c r="BK2" i="29" s="1"/>
  <c r="BH5" i="29"/>
  <c r="BE5" i="29"/>
  <c r="BB5" i="29"/>
  <c r="AY5" i="29"/>
  <c r="AV5" i="29"/>
  <c r="AS5" i="29"/>
  <c r="AP5" i="29"/>
  <c r="AP2" i="29" s="1"/>
  <c r="AM5" i="29"/>
  <c r="AM2" i="29" s="1"/>
  <c r="AJ5" i="29"/>
  <c r="AG5" i="29"/>
  <c r="AF5" i="29"/>
  <c r="AE5" i="29"/>
  <c r="AD5" i="29"/>
  <c r="AC5" i="29"/>
  <c r="AC30" i="29" s="1"/>
  <c r="Z5" i="29"/>
  <c r="Z18" i="29" s="1"/>
  <c r="W5" i="29"/>
  <c r="W18" i="29" s="1"/>
  <c r="T5" i="29"/>
  <c r="Q5" i="29"/>
  <c r="N5" i="29"/>
  <c r="K5" i="29"/>
  <c r="K16" i="29" s="1"/>
  <c r="H5" i="29"/>
  <c r="E5" i="29"/>
  <c r="E21" i="29" s="1"/>
  <c r="E4" i="29" s="1"/>
  <c r="GM2" i="29"/>
  <c r="FX2" i="29"/>
  <c r="AV2" i="29"/>
  <c r="AS2" i="29"/>
  <c r="H73" i="28"/>
  <c r="H72" i="28"/>
  <c r="H71" i="28"/>
  <c r="H70" i="28"/>
  <c r="H69" i="28"/>
  <c r="H68" i="28"/>
  <c r="H16" i="28" s="1"/>
  <c r="H67" i="28"/>
  <c r="H63" i="28" s="1"/>
  <c r="H66" i="28"/>
  <c r="H65" i="28"/>
  <c r="H64" i="28"/>
  <c r="H62" i="28"/>
  <c r="H61" i="28"/>
  <c r="H60" i="28"/>
  <c r="H57" i="28"/>
  <c r="E57" i="28"/>
  <c r="H56" i="28"/>
  <c r="E56" i="28"/>
  <c r="H55" i="28"/>
  <c r="E55" i="28"/>
  <c r="K54" i="28"/>
  <c r="K53" i="28"/>
  <c r="H53" i="28"/>
  <c r="E53" i="28"/>
  <c r="DA52" i="28"/>
  <c r="K52" i="28"/>
  <c r="H52" i="28"/>
  <c r="E52" i="28"/>
  <c r="DA51" i="28"/>
  <c r="K51" i="28"/>
  <c r="H51" i="28"/>
  <c r="DA50" i="28"/>
  <c r="CU50" i="28"/>
  <c r="K50" i="28"/>
  <c r="E50" i="28"/>
  <c r="DA49" i="28"/>
  <c r="CU49" i="28"/>
  <c r="K49" i="28"/>
  <c r="E49" i="28"/>
  <c r="CU48" i="28"/>
  <c r="K48" i="28"/>
  <c r="E48" i="28"/>
  <c r="CU47" i="28"/>
  <c r="K47" i="28"/>
  <c r="H47" i="28"/>
  <c r="H45" i="28" s="1"/>
  <c r="E47" i="28"/>
  <c r="Z46" i="28"/>
  <c r="H46" i="28"/>
  <c r="H44" i="28" s="1"/>
  <c r="E46" i="28"/>
  <c r="E54" i="28" s="1"/>
  <c r="E44" i="28" s="1"/>
  <c r="DA45" i="28"/>
  <c r="Z45" i="28"/>
  <c r="DA43" i="28"/>
  <c r="Z43" i="28"/>
  <c r="W43" i="28"/>
  <c r="DA42" i="28"/>
  <c r="CU42" i="28"/>
  <c r="Z42" i="28"/>
  <c r="W42" i="28"/>
  <c r="K42" i="28"/>
  <c r="HE41" i="28"/>
  <c r="DA41" i="28"/>
  <c r="CU41" i="28"/>
  <c r="K41" i="28"/>
  <c r="H41" i="28"/>
  <c r="E41" i="28"/>
  <c r="HE40" i="28"/>
  <c r="DA40" i="28"/>
  <c r="CU40" i="28"/>
  <c r="E40" i="28"/>
  <c r="HE39" i="28"/>
  <c r="HE37" i="28" s="1"/>
  <c r="DA39" i="28"/>
  <c r="CU39" i="28"/>
  <c r="E39" i="28"/>
  <c r="HE38" i="28"/>
  <c r="DA38" i="28"/>
  <c r="CU38" i="28"/>
  <c r="K38" i="28"/>
  <c r="H38" i="28"/>
  <c r="DA37" i="28"/>
  <c r="CU37" i="28"/>
  <c r="BZ37" i="28"/>
  <c r="BN37" i="28"/>
  <c r="BK37" i="28"/>
  <c r="BE37" i="28"/>
  <c r="BB37" i="28"/>
  <c r="AV37" i="28"/>
  <c r="AS37" i="28"/>
  <c r="AM37" i="28"/>
  <c r="AJ37" i="28"/>
  <c r="Z37" i="28"/>
  <c r="W37" i="28"/>
  <c r="Q37" i="28"/>
  <c r="N37" i="28"/>
  <c r="K37" i="28"/>
  <c r="H37" i="28"/>
  <c r="E37" i="28"/>
  <c r="HE36" i="28"/>
  <c r="DA36" i="28"/>
  <c r="CU36" i="28"/>
  <c r="BZ36" i="28"/>
  <c r="BN36" i="28"/>
  <c r="BK36" i="28"/>
  <c r="BE36" i="28"/>
  <c r="BB36" i="28"/>
  <c r="AV36" i="28"/>
  <c r="AS36" i="28"/>
  <c r="AM36" i="28"/>
  <c r="AJ36" i="28"/>
  <c r="AG36" i="28"/>
  <c r="AF36" i="28"/>
  <c r="AE36" i="28"/>
  <c r="AD36" i="28"/>
  <c r="AC36" i="28"/>
  <c r="Z36" i="28"/>
  <c r="W36" i="28"/>
  <c r="Q36" i="28"/>
  <c r="N36" i="28"/>
  <c r="K36" i="28"/>
  <c r="H36" i="28"/>
  <c r="E36" i="28"/>
  <c r="HE35" i="28"/>
  <c r="HE42" i="28" s="1"/>
  <c r="DA35" i="28"/>
  <c r="DA26" i="28" s="1"/>
  <c r="DA15" i="28" s="1"/>
  <c r="CU35" i="28"/>
  <c r="BZ35" i="28"/>
  <c r="BN35" i="28"/>
  <c r="BK35" i="28"/>
  <c r="BE35" i="28"/>
  <c r="BB35" i="28"/>
  <c r="AV35" i="28"/>
  <c r="AS35" i="28"/>
  <c r="AM35" i="28"/>
  <c r="AJ35" i="28"/>
  <c r="AG35" i="28"/>
  <c r="AF35" i="28"/>
  <c r="AE35" i="28"/>
  <c r="AD35" i="28"/>
  <c r="AC35" i="28"/>
  <c r="Z35" i="28"/>
  <c r="W35" i="28"/>
  <c r="Q35" i="28"/>
  <c r="N35" i="28"/>
  <c r="K35" i="28"/>
  <c r="H35" i="28"/>
  <c r="E35" i="28"/>
  <c r="HE34" i="28"/>
  <c r="DA34" i="28"/>
  <c r="CU34" i="28"/>
  <c r="BZ34" i="28"/>
  <c r="BW34" i="28"/>
  <c r="BN34" i="28"/>
  <c r="BK34" i="28"/>
  <c r="BE34" i="28"/>
  <c r="BB34" i="28"/>
  <c r="AV34" i="28"/>
  <c r="AS34" i="28"/>
  <c r="AM34" i="28"/>
  <c r="AJ34" i="28"/>
  <c r="Z34" i="28"/>
  <c r="W34" i="28"/>
  <c r="Q34" i="28"/>
  <c r="N34" i="28"/>
  <c r="K34" i="28"/>
  <c r="H34" i="28"/>
  <c r="E34" i="28"/>
  <c r="HE33" i="28"/>
  <c r="DA33" i="28"/>
  <c r="CU33" i="28"/>
  <c r="CU43" i="28" s="1"/>
  <c r="CU11" i="28" s="1"/>
  <c r="CU15" i="28" s="1"/>
  <c r="CO33" i="28"/>
  <c r="CO32" i="28" s="1"/>
  <c r="CF33" i="28"/>
  <c r="CC33" i="28"/>
  <c r="BW33" i="28"/>
  <c r="BN33" i="28"/>
  <c r="BK33" i="28"/>
  <c r="BE33" i="28"/>
  <c r="BB33" i="28"/>
  <c r="AV33" i="28"/>
  <c r="AS33" i="28"/>
  <c r="AM33" i="28"/>
  <c r="AJ33" i="28"/>
  <c r="AF33" i="28"/>
  <c r="Z33" i="28"/>
  <c r="W33" i="28"/>
  <c r="Q33" i="28"/>
  <c r="N33" i="28"/>
  <c r="K33" i="28"/>
  <c r="K43" i="28" s="1"/>
  <c r="K11" i="28" s="1"/>
  <c r="H33" i="28"/>
  <c r="E33" i="28"/>
  <c r="E38" i="28" s="1"/>
  <c r="E31" i="28" s="1"/>
  <c r="DA32" i="28"/>
  <c r="CU32" i="28"/>
  <c r="CF32" i="28"/>
  <c r="CC32" i="28"/>
  <c r="BW32" i="28"/>
  <c r="BN32" i="28"/>
  <c r="BK32" i="28"/>
  <c r="BE32" i="28"/>
  <c r="BB32" i="28"/>
  <c r="AV32" i="28"/>
  <c r="AS32" i="28"/>
  <c r="AM32" i="28"/>
  <c r="AJ32" i="28"/>
  <c r="AE32" i="28"/>
  <c r="AD32" i="28"/>
  <c r="AC32" i="28"/>
  <c r="Z32" i="28"/>
  <c r="Z28" i="28" s="1"/>
  <c r="W32" i="28"/>
  <c r="W28" i="28" s="1"/>
  <c r="Q32" i="28"/>
  <c r="N32" i="28"/>
  <c r="K32" i="28"/>
  <c r="H32" i="28"/>
  <c r="HE31" i="28"/>
  <c r="DA31" i="28"/>
  <c r="CU31" i="28"/>
  <c r="CO31" i="28"/>
  <c r="CF31" i="28"/>
  <c r="CC31" i="28"/>
  <c r="BW31" i="28"/>
  <c r="BN31" i="28"/>
  <c r="BK31" i="28"/>
  <c r="BE31" i="28"/>
  <c r="BB31" i="28"/>
  <c r="AV31" i="28"/>
  <c r="AS31" i="28"/>
  <c r="AM31" i="28"/>
  <c r="AJ31" i="28"/>
  <c r="Z31" i="28"/>
  <c r="W31" i="28"/>
  <c r="Q31" i="28"/>
  <c r="N31" i="28"/>
  <c r="K31" i="28"/>
  <c r="K20" i="28" s="1"/>
  <c r="H31" i="28"/>
  <c r="HE30" i="28"/>
  <c r="DA30" i="28"/>
  <c r="CU30" i="28"/>
  <c r="CO30" i="28"/>
  <c r="CF30" i="28"/>
  <c r="CC30" i="28"/>
  <c r="BZ30" i="28"/>
  <c r="BW30" i="28"/>
  <c r="BN30" i="28"/>
  <c r="BK30" i="28"/>
  <c r="BE30" i="28"/>
  <c r="BB30" i="28"/>
  <c r="AS30" i="28"/>
  <c r="AM30" i="28"/>
  <c r="AJ30" i="28"/>
  <c r="Z30" i="28"/>
  <c r="W30" i="28"/>
  <c r="Q30" i="28"/>
  <c r="N30" i="28"/>
  <c r="K30" i="28"/>
  <c r="H30" i="28"/>
  <c r="H22" i="28" s="1"/>
  <c r="H14" i="28" s="1"/>
  <c r="HE29" i="28"/>
  <c r="HE27" i="28" s="1"/>
  <c r="HE28" i="28" s="1"/>
  <c r="DA29" i="28"/>
  <c r="CU29" i="28"/>
  <c r="CO29" i="28"/>
  <c r="CF29" i="28"/>
  <c r="CC29" i="28"/>
  <c r="BZ29" i="28"/>
  <c r="BN29" i="28"/>
  <c r="BN28" i="28" s="1"/>
  <c r="BN21" i="28" s="1"/>
  <c r="BK29" i="28"/>
  <c r="BK28" i="28" s="1"/>
  <c r="BK21" i="28" s="1"/>
  <c r="BE29" i="28"/>
  <c r="BB29" i="28"/>
  <c r="AV29" i="28"/>
  <c r="AV25" i="28" s="1"/>
  <c r="AS29" i="28"/>
  <c r="AS25" i="28" s="1"/>
  <c r="AM29" i="28"/>
  <c r="AM25" i="28" s="1"/>
  <c r="AJ29" i="28"/>
  <c r="AJ25" i="28" s="1"/>
  <c r="AJ21" i="28" s="1"/>
  <c r="Z29" i="28"/>
  <c r="W29" i="28"/>
  <c r="Q29" i="28"/>
  <c r="Q25" i="28" s="1"/>
  <c r="N29" i="28"/>
  <c r="N25" i="28" s="1"/>
  <c r="K29" i="28"/>
  <c r="H29" i="28"/>
  <c r="DA28" i="28"/>
  <c r="CX28" i="28"/>
  <c r="CU28" i="28"/>
  <c r="CO28" i="28"/>
  <c r="CL28" i="28"/>
  <c r="CL20" i="28" s="1"/>
  <c r="CF28" i="28"/>
  <c r="CC28" i="28"/>
  <c r="BZ28" i="28"/>
  <c r="BT28" i="28"/>
  <c r="BE28" i="28"/>
  <c r="BB28" i="28"/>
  <c r="AV28" i="28"/>
  <c r="AS28" i="28"/>
  <c r="AM28" i="28"/>
  <c r="AJ28" i="28"/>
  <c r="Q28" i="28"/>
  <c r="N28" i="28"/>
  <c r="K28" i="28"/>
  <c r="K18" i="28" s="1"/>
  <c r="K17" i="28" s="1"/>
  <c r="H28" i="28"/>
  <c r="E28" i="28"/>
  <c r="HB27" i="28"/>
  <c r="GM27" i="28"/>
  <c r="FI27" i="28"/>
  <c r="ET27" i="28"/>
  <c r="EE27" i="28"/>
  <c r="DA27" i="28"/>
  <c r="CX27" i="28"/>
  <c r="CU27" i="28"/>
  <c r="CO27" i="28"/>
  <c r="CL27" i="28"/>
  <c r="CF27" i="28"/>
  <c r="CF23" i="28" s="1"/>
  <c r="CF19" i="28" s="1"/>
  <c r="CC27" i="28"/>
  <c r="CC23" i="28" s="1"/>
  <c r="CC19" i="28" s="1"/>
  <c r="BZ27" i="28"/>
  <c r="BT27" i="28"/>
  <c r="BN27" i="28"/>
  <c r="BK27" i="28"/>
  <c r="BE27" i="28"/>
  <c r="BB27" i="28"/>
  <c r="BB26" i="28" s="1"/>
  <c r="AV27" i="28"/>
  <c r="AV26" i="28" s="1"/>
  <c r="AS27" i="28"/>
  <c r="AS26" i="28" s="1"/>
  <c r="AM27" i="28"/>
  <c r="AM26" i="28" s="1"/>
  <c r="AJ27" i="28"/>
  <c r="Z27" i="28"/>
  <c r="Z39" i="28" s="1"/>
  <c r="W27" i="28"/>
  <c r="W39" i="28" s="1"/>
  <c r="Q27" i="28"/>
  <c r="N27" i="28"/>
  <c r="N26" i="28" s="1"/>
  <c r="K27" i="28"/>
  <c r="H27" i="28"/>
  <c r="E27" i="28"/>
  <c r="HB26" i="28"/>
  <c r="HB24" i="28" s="1"/>
  <c r="GM26" i="28"/>
  <c r="GM24" i="28" s="1"/>
  <c r="FI26" i="28"/>
  <c r="ET26" i="28"/>
  <c r="EE26" i="28"/>
  <c r="DP26" i="28"/>
  <c r="CX26" i="28"/>
  <c r="CU26" i="28"/>
  <c r="CO26" i="28"/>
  <c r="CO24" i="28" s="1"/>
  <c r="CL26" i="28"/>
  <c r="CF26" i="28"/>
  <c r="CC26" i="28"/>
  <c r="BZ26" i="28"/>
  <c r="BT26" i="28"/>
  <c r="BN26" i="28"/>
  <c r="BK26" i="28"/>
  <c r="BE26" i="28"/>
  <c r="AJ26" i="28"/>
  <c r="Q26" i="28"/>
  <c r="K26" i="28"/>
  <c r="H26" i="28"/>
  <c r="E26" i="28"/>
  <c r="HE25" i="28"/>
  <c r="HE23" i="28" s="1"/>
  <c r="HB25" i="28"/>
  <c r="HB23" i="28" s="1"/>
  <c r="GM25" i="28"/>
  <c r="GM23" i="28" s="1"/>
  <c r="FI25" i="28"/>
  <c r="ET25" i="28"/>
  <c r="EE25" i="28"/>
  <c r="EE23" i="28" s="1"/>
  <c r="DP25" i="28"/>
  <c r="DP23" i="28" s="1"/>
  <c r="DG25" i="28"/>
  <c r="CX25" i="28"/>
  <c r="CU25" i="28"/>
  <c r="CO25" i="28"/>
  <c r="CL25" i="28"/>
  <c r="CF25" i="28"/>
  <c r="CC25" i="28"/>
  <c r="BZ25" i="28"/>
  <c r="BW25" i="28"/>
  <c r="BT25" i="28"/>
  <c r="BE25" i="28"/>
  <c r="BE21" i="28" s="1"/>
  <c r="BB25" i="28"/>
  <c r="AG25" i="28"/>
  <c r="AG24" i="28" s="1"/>
  <c r="AF25" i="28"/>
  <c r="AF24" i="28" s="1"/>
  <c r="AE25" i="28"/>
  <c r="AE24" i="28" s="1"/>
  <c r="AD25" i="28"/>
  <c r="AD24" i="28" s="1"/>
  <c r="AC25" i="28"/>
  <c r="K25" i="28"/>
  <c r="H25" i="28"/>
  <c r="E25" i="28"/>
  <c r="ET24" i="28"/>
  <c r="EE24" i="28"/>
  <c r="DP24" i="28"/>
  <c r="DA24" i="28"/>
  <c r="CX24" i="28"/>
  <c r="CR24" i="28"/>
  <c r="CL24" i="28"/>
  <c r="CF24" i="28"/>
  <c r="CC24" i="28"/>
  <c r="BZ24" i="28"/>
  <c r="BW24" i="28"/>
  <c r="BT24" i="28"/>
  <c r="BN24" i="28"/>
  <c r="BK24" i="28"/>
  <c r="BE24" i="28"/>
  <c r="BB24" i="28"/>
  <c r="AV24" i="28"/>
  <c r="AS24" i="28"/>
  <c r="AM24" i="28"/>
  <c r="AM21" i="28" s="1"/>
  <c r="AJ24" i="28"/>
  <c r="AC24" i="28"/>
  <c r="Q24" i="28"/>
  <c r="Q21" i="28" s="1"/>
  <c r="N24" i="28"/>
  <c r="K24" i="28"/>
  <c r="H24" i="28"/>
  <c r="E24" i="28"/>
  <c r="FI23" i="28"/>
  <c r="ET23" i="28"/>
  <c r="DG23" i="28"/>
  <c r="DD23" i="28"/>
  <c r="CX23" i="28"/>
  <c r="CR23" i="28"/>
  <c r="CO23" i="28"/>
  <c r="CL23" i="28"/>
  <c r="BZ23" i="28"/>
  <c r="BW23" i="28"/>
  <c r="BT23" i="28"/>
  <c r="AG23" i="28"/>
  <c r="AG27" i="28" s="1"/>
  <c r="K23" i="28"/>
  <c r="H23" i="28"/>
  <c r="E23" i="28"/>
  <c r="HB22" i="28"/>
  <c r="HB16" i="28" s="1"/>
  <c r="GM22" i="28"/>
  <c r="FI22" i="28"/>
  <c r="ET22" i="28"/>
  <c r="ET16" i="28" s="1"/>
  <c r="EE22" i="28"/>
  <c r="DP22" i="28"/>
  <c r="DG22" i="28"/>
  <c r="DD22" i="28"/>
  <c r="CF22" i="28"/>
  <c r="CC22" i="28"/>
  <c r="BZ22" i="28"/>
  <c r="BW22" i="28"/>
  <c r="BT22" i="28"/>
  <c r="BT10" i="28" s="1"/>
  <c r="BT18" i="28" s="1"/>
  <c r="AG22" i="28"/>
  <c r="AF22" i="28"/>
  <c r="AE22" i="28"/>
  <c r="AD22" i="28"/>
  <c r="AC22" i="28"/>
  <c r="K22" i="28"/>
  <c r="HB21" i="28"/>
  <c r="GM21" i="28"/>
  <c r="FI21" i="28"/>
  <c r="ET21" i="28"/>
  <c r="EE21" i="28"/>
  <c r="DP21" i="28"/>
  <c r="DG21" i="28"/>
  <c r="DD21" i="28"/>
  <c r="BZ21" i="28"/>
  <c r="BW21" i="28"/>
  <c r="AG21" i="28"/>
  <c r="AF21" i="28"/>
  <c r="AE21" i="28"/>
  <c r="AD21" i="28"/>
  <c r="AC21" i="28"/>
  <c r="Z21" i="28"/>
  <c r="W21" i="28"/>
  <c r="K21" i="28"/>
  <c r="K19" i="28" s="1"/>
  <c r="K14" i="28" s="1"/>
  <c r="H21" i="28"/>
  <c r="GA20" i="28"/>
  <c r="FL20" i="28"/>
  <c r="EW20" i="28"/>
  <c r="EH20" i="28"/>
  <c r="DS20" i="28"/>
  <c r="DG20" i="28"/>
  <c r="DD20" i="28"/>
  <c r="BZ20" i="28"/>
  <c r="BW20" i="28"/>
  <c r="AG20" i="28"/>
  <c r="AF20" i="28"/>
  <c r="AE20" i="28"/>
  <c r="AD20" i="28"/>
  <c r="AC20" i="28"/>
  <c r="Z20" i="28"/>
  <c r="W20" i="28"/>
  <c r="H20" i="28"/>
  <c r="HB19" i="28"/>
  <c r="GP19" i="28"/>
  <c r="GM19" i="28"/>
  <c r="GA19" i="28"/>
  <c r="FL19" i="28"/>
  <c r="FI19" i="28"/>
  <c r="EW19" i="28"/>
  <c r="ET19" i="28"/>
  <c r="EH19" i="28"/>
  <c r="EE19" i="28"/>
  <c r="DS19" i="28"/>
  <c r="DP19" i="28"/>
  <c r="DP11" i="28" s="1"/>
  <c r="DG19" i="28"/>
  <c r="DG11" i="28" s="1"/>
  <c r="DD19" i="28"/>
  <c r="BZ19" i="28"/>
  <c r="BZ16" i="28" s="1"/>
  <c r="BW19" i="28"/>
  <c r="AG19" i="28"/>
  <c r="AF19" i="28"/>
  <c r="AE19" i="28"/>
  <c r="AD19" i="28"/>
  <c r="AC19" i="28"/>
  <c r="H19" i="28"/>
  <c r="HB18" i="28"/>
  <c r="GP18" i="28"/>
  <c r="GM18" i="28"/>
  <c r="GA18" i="28"/>
  <c r="FL18" i="28"/>
  <c r="FI18" i="28"/>
  <c r="EW18" i="28"/>
  <c r="ET18" i="28"/>
  <c r="EH18" i="28"/>
  <c r="EE18" i="28"/>
  <c r="DS18" i="28"/>
  <c r="DP18" i="28"/>
  <c r="DP7" i="28" s="1"/>
  <c r="DG18" i="28"/>
  <c r="CX18" i="28"/>
  <c r="BZ18" i="28"/>
  <c r="BW18" i="28"/>
  <c r="BW16" i="28" s="1"/>
  <c r="BW12" i="28" s="1"/>
  <c r="BQ18" i="28"/>
  <c r="BN18" i="28"/>
  <c r="BK18" i="28"/>
  <c r="BH18" i="28"/>
  <c r="BE18" i="28"/>
  <c r="BB18" i="28"/>
  <c r="AY18" i="28"/>
  <c r="AV18" i="28"/>
  <c r="AS18" i="28"/>
  <c r="AP18" i="28"/>
  <c r="AM18" i="28"/>
  <c r="AJ18" i="28"/>
  <c r="AG18" i="28"/>
  <c r="AF18" i="28"/>
  <c r="AE18" i="28"/>
  <c r="AD18" i="28"/>
  <c r="AC18" i="28"/>
  <c r="T18" i="28"/>
  <c r="Q18" i="28"/>
  <c r="N18" i="28"/>
  <c r="H18" i="28"/>
  <c r="E18" i="28"/>
  <c r="HB17" i="28"/>
  <c r="GP17" i="28"/>
  <c r="GM17" i="28"/>
  <c r="GA17" i="28"/>
  <c r="FL17" i="28"/>
  <c r="FI17" i="28"/>
  <c r="EW17" i="28"/>
  <c r="ET17" i="28"/>
  <c r="EH17" i="28"/>
  <c r="EE17" i="28"/>
  <c r="DY17" i="28"/>
  <c r="DY16" i="28" s="1"/>
  <c r="DS17" i="28"/>
  <c r="DP17" i="28"/>
  <c r="DG17" i="28"/>
  <c r="CX17" i="28"/>
  <c r="BZ17" i="28"/>
  <c r="BW17" i="28"/>
  <c r="BT17" i="28"/>
  <c r="BQ17" i="28"/>
  <c r="BN17" i="28"/>
  <c r="BK17" i="28"/>
  <c r="BH17" i="28"/>
  <c r="BE17" i="28"/>
  <c r="BB17" i="28"/>
  <c r="AY17" i="28"/>
  <c r="AV17" i="28"/>
  <c r="AS17" i="28"/>
  <c r="AP17" i="28"/>
  <c r="AM17" i="28"/>
  <c r="AJ17" i="28"/>
  <c r="AG17" i="28"/>
  <c r="AF17" i="28"/>
  <c r="AE17" i="28"/>
  <c r="AD17" i="28"/>
  <c r="AC17" i="28"/>
  <c r="T17" i="28"/>
  <c r="Q17" i="28"/>
  <c r="N17" i="28"/>
  <c r="H17" i="28"/>
  <c r="E17" i="28"/>
  <c r="GV16" i="28"/>
  <c r="GP16" i="28"/>
  <c r="GM16" i="28"/>
  <c r="GG16" i="28"/>
  <c r="GG15" i="28" s="1"/>
  <c r="GG17" i="28" s="1"/>
  <c r="FI16" i="28"/>
  <c r="FC16" i="28"/>
  <c r="EN16" i="28"/>
  <c r="EE16" i="28"/>
  <c r="DP16" i="28"/>
  <c r="DG16" i="28"/>
  <c r="DD16" i="28"/>
  <c r="CX16" i="28"/>
  <c r="CO16" i="28"/>
  <c r="CI16" i="28"/>
  <c r="CF16" i="28"/>
  <c r="CC16" i="28"/>
  <c r="BT16" i="28"/>
  <c r="BQ16" i="28"/>
  <c r="BN16" i="28"/>
  <c r="BK16" i="28"/>
  <c r="BH16" i="28"/>
  <c r="BE16" i="28"/>
  <c r="BB16" i="28"/>
  <c r="AY16" i="28"/>
  <c r="AV16" i="28"/>
  <c r="AS16" i="28"/>
  <c r="AP16" i="28"/>
  <c r="AM16" i="28"/>
  <c r="AJ16" i="28"/>
  <c r="AG16" i="28"/>
  <c r="AF16" i="28"/>
  <c r="AE16" i="28"/>
  <c r="AD16" i="28"/>
  <c r="AC16" i="28"/>
  <c r="T16" i="28"/>
  <c r="Q16" i="28"/>
  <c r="N16" i="28"/>
  <c r="HB15" i="28"/>
  <c r="GV15" i="28"/>
  <c r="GV17" i="28" s="1"/>
  <c r="GM15" i="28"/>
  <c r="GA15" i="28"/>
  <c r="FL15" i="28"/>
  <c r="FI15" i="28"/>
  <c r="FC15" i="28"/>
  <c r="EW15" i="28"/>
  <c r="ET15" i="28"/>
  <c r="EN15" i="28"/>
  <c r="EH15" i="28"/>
  <c r="EE15" i="28"/>
  <c r="EE2" i="28" s="1"/>
  <c r="DY15" i="28"/>
  <c r="DY18" i="28" s="1"/>
  <c r="DS15" i="28"/>
  <c r="DP15" i="28"/>
  <c r="DG15" i="28"/>
  <c r="DD15" i="28"/>
  <c r="DD8" i="28" s="1"/>
  <c r="CX15" i="28"/>
  <c r="CO15" i="28"/>
  <c r="CO17" i="28" s="1"/>
  <c r="CI15" i="28"/>
  <c r="CF15" i="28"/>
  <c r="CC15" i="28"/>
  <c r="BW15" i="28"/>
  <c r="BT15" i="28"/>
  <c r="BQ15" i="28"/>
  <c r="BN15" i="28"/>
  <c r="BK15" i="28"/>
  <c r="BH15" i="28"/>
  <c r="BE15" i="28"/>
  <c r="BB15" i="28"/>
  <c r="AY15" i="28"/>
  <c r="AV15" i="28"/>
  <c r="AS15" i="28"/>
  <c r="AP15" i="28"/>
  <c r="AM15" i="28"/>
  <c r="AJ15" i="28"/>
  <c r="AG15" i="28"/>
  <c r="AF15" i="28"/>
  <c r="AE15" i="28"/>
  <c r="AD15" i="28"/>
  <c r="AC15" i="28"/>
  <c r="Z15" i="28"/>
  <c r="W15" i="28"/>
  <c r="T15" i="28"/>
  <c r="Q15" i="28"/>
  <c r="N15" i="28"/>
  <c r="E15" i="28"/>
  <c r="E12" i="28" s="1"/>
  <c r="HB14" i="28"/>
  <c r="GV14" i="28"/>
  <c r="GP14" i="28"/>
  <c r="GM14" i="28"/>
  <c r="GG14" i="28"/>
  <c r="FI14" i="28"/>
  <c r="FC14" i="28"/>
  <c r="FC17" i="28" s="1"/>
  <c r="ET14" i="28"/>
  <c r="EN14" i="28"/>
  <c r="EN17" i="28" s="1"/>
  <c r="EE14" i="28"/>
  <c r="EB14" i="28"/>
  <c r="DY14" i="28"/>
  <c r="DP14" i="28"/>
  <c r="DG14" i="28"/>
  <c r="DD14" i="28"/>
  <c r="CX14" i="28"/>
  <c r="CO14" i="28"/>
  <c r="CI14" i="28"/>
  <c r="CF14" i="28"/>
  <c r="CC14" i="28"/>
  <c r="BW14" i="28"/>
  <c r="BT14" i="28"/>
  <c r="BQ14" i="28"/>
  <c r="BN14" i="28"/>
  <c r="BK14" i="28"/>
  <c r="BH14" i="28"/>
  <c r="BE14" i="28"/>
  <c r="BB14" i="28"/>
  <c r="AY14" i="28"/>
  <c r="AV14" i="28"/>
  <c r="AS14" i="28"/>
  <c r="AP14" i="28"/>
  <c r="AM14" i="28"/>
  <c r="AJ14" i="28"/>
  <c r="AG14" i="28"/>
  <c r="AF14" i="28"/>
  <c r="AE14" i="28"/>
  <c r="AD14" i="28"/>
  <c r="AC14" i="28"/>
  <c r="Z14" i="28"/>
  <c r="W14" i="28"/>
  <c r="T14" i="28"/>
  <c r="Q14" i="28"/>
  <c r="N14" i="28"/>
  <c r="E14" i="28"/>
  <c r="HE13" i="28"/>
  <c r="HB13" i="28"/>
  <c r="GY13" i="28"/>
  <c r="GV13" i="28"/>
  <c r="GP13" i="28"/>
  <c r="GM13" i="28"/>
  <c r="GJ13" i="28"/>
  <c r="GG13" i="28"/>
  <c r="GA13" i="28"/>
  <c r="FL13" i="28"/>
  <c r="FI13" i="28"/>
  <c r="FF13" i="28"/>
  <c r="FC13" i="28"/>
  <c r="EW13" i="28"/>
  <c r="ET13" i="28"/>
  <c r="EQ13" i="28"/>
  <c r="EN13" i="28"/>
  <c r="EH13" i="28"/>
  <c r="EE13" i="28"/>
  <c r="EB13" i="28"/>
  <c r="DY13" i="28"/>
  <c r="DP13" i="28"/>
  <c r="DG13" i="28"/>
  <c r="DD13" i="28"/>
  <c r="CX13" i="28"/>
  <c r="CU13" i="28"/>
  <c r="CO13" i="28"/>
  <c r="CI13" i="28"/>
  <c r="CF13" i="28"/>
  <c r="CC13" i="28"/>
  <c r="BT13" i="28"/>
  <c r="BQ13" i="28"/>
  <c r="BN13" i="28"/>
  <c r="BK13" i="28"/>
  <c r="BH13" i="28"/>
  <c r="BE13" i="28"/>
  <c r="BB13" i="28"/>
  <c r="AY13" i="28"/>
  <c r="AV13" i="28"/>
  <c r="AS13" i="28"/>
  <c r="AP13" i="28"/>
  <c r="AM13" i="28"/>
  <c r="AJ13" i="28"/>
  <c r="AG13" i="28"/>
  <c r="AF13" i="28"/>
  <c r="AE13" i="28"/>
  <c r="AD13" i="28"/>
  <c r="AC13" i="28"/>
  <c r="Z13" i="28"/>
  <c r="W13" i="28"/>
  <c r="T13" i="28"/>
  <c r="Q13" i="28"/>
  <c r="N13" i="28"/>
  <c r="K13" i="28"/>
  <c r="E13" i="28"/>
  <c r="HB12" i="28"/>
  <c r="GY12" i="28"/>
  <c r="GV12" i="28"/>
  <c r="GP12" i="28"/>
  <c r="GM12" i="28"/>
  <c r="GJ12" i="28"/>
  <c r="GG12" i="28"/>
  <c r="GA12" i="28"/>
  <c r="FL12" i="28"/>
  <c r="FI12" i="28"/>
  <c r="FF12" i="28"/>
  <c r="FC12" i="28"/>
  <c r="EW12" i="28"/>
  <c r="ET12" i="28"/>
  <c r="EQ12" i="28"/>
  <c r="EN12" i="28"/>
  <c r="EH12" i="28"/>
  <c r="EE12" i="28"/>
  <c r="EB12" i="28"/>
  <c r="DY12" i="28"/>
  <c r="DS12" i="28"/>
  <c r="DP12" i="28"/>
  <c r="DG12" i="28"/>
  <c r="DD12" i="28"/>
  <c r="DD11" i="28" s="1"/>
  <c r="DA12" i="28"/>
  <c r="DA11" i="28" s="1"/>
  <c r="DA10" i="28" s="1"/>
  <c r="CX12" i="28"/>
  <c r="CU12" i="28"/>
  <c r="CO12" i="28"/>
  <c r="CI12" i="28"/>
  <c r="CF12" i="28"/>
  <c r="CC12" i="28"/>
  <c r="BZ12" i="28"/>
  <c r="BZ11" i="28" s="1"/>
  <c r="BZ10" i="28" s="1"/>
  <c r="BT12" i="28"/>
  <c r="BQ12" i="28"/>
  <c r="BN12" i="28"/>
  <c r="BK12" i="28"/>
  <c r="BH12" i="28"/>
  <c r="BE12" i="28"/>
  <c r="BB12" i="28"/>
  <c r="AY12" i="28"/>
  <c r="AV12" i="28"/>
  <c r="AS12" i="28"/>
  <c r="AP12" i="28"/>
  <c r="AM12" i="28"/>
  <c r="AJ12" i="28"/>
  <c r="AG12" i="28"/>
  <c r="AF12" i="28"/>
  <c r="Z12" i="28"/>
  <c r="W12" i="28"/>
  <c r="T12" i="28"/>
  <c r="Q12" i="28"/>
  <c r="N12" i="28"/>
  <c r="K12" i="28"/>
  <c r="HE11" i="28"/>
  <c r="HB11" i="28"/>
  <c r="GY11" i="28"/>
  <c r="GV11" i="28"/>
  <c r="GP11" i="28"/>
  <c r="GM11" i="28"/>
  <c r="GJ11" i="28"/>
  <c r="GG11" i="28"/>
  <c r="GA11" i="28"/>
  <c r="FL11" i="28"/>
  <c r="FL8" i="28" s="1"/>
  <c r="FI11" i="28"/>
  <c r="FF11" i="28"/>
  <c r="FC11" i="28"/>
  <c r="EW11" i="28"/>
  <c r="ET11" i="28"/>
  <c r="EQ11" i="28"/>
  <c r="EN11" i="28"/>
  <c r="EH11" i="28"/>
  <c r="EH8" i="28" s="1"/>
  <c r="DS11" i="28"/>
  <c r="DS8" i="28" s="1"/>
  <c r="DS7" i="28" s="1"/>
  <c r="DJ11" i="28"/>
  <c r="CX11" i="28"/>
  <c r="CO11" i="28"/>
  <c r="CI11" i="28"/>
  <c r="CF11" i="28"/>
  <c r="CC11" i="28"/>
  <c r="BT11" i="28"/>
  <c r="BQ11" i="28"/>
  <c r="BQ9" i="28" s="1"/>
  <c r="BQ2" i="28" s="1"/>
  <c r="BN11" i="28"/>
  <c r="BN9" i="28" s="1"/>
  <c r="BK11" i="28"/>
  <c r="BH11" i="28"/>
  <c r="BE11" i="28"/>
  <c r="BB11" i="28"/>
  <c r="AY11" i="28"/>
  <c r="AV11" i="28"/>
  <c r="AS11" i="28"/>
  <c r="AP11" i="28"/>
  <c r="AM11" i="28"/>
  <c r="AJ11" i="28"/>
  <c r="AG11" i="28"/>
  <c r="AF11" i="28"/>
  <c r="Z11" i="28"/>
  <c r="W11" i="28"/>
  <c r="T11" i="28"/>
  <c r="Q11" i="28"/>
  <c r="N11" i="28"/>
  <c r="E11" i="28"/>
  <c r="HE10" i="28"/>
  <c r="HB10" i="28"/>
  <c r="GY10" i="28"/>
  <c r="GV10" i="28"/>
  <c r="GP10" i="28"/>
  <c r="GM10" i="28"/>
  <c r="GJ10" i="28"/>
  <c r="GG10" i="28"/>
  <c r="GA10" i="28"/>
  <c r="FL10" i="28"/>
  <c r="FI10" i="28"/>
  <c r="FI2" i="28" s="1"/>
  <c r="FF10" i="28"/>
  <c r="FC10" i="28"/>
  <c r="EW10" i="28"/>
  <c r="ET10" i="28"/>
  <c r="EQ10" i="28"/>
  <c r="EN10" i="28"/>
  <c r="EH10" i="28"/>
  <c r="EE10" i="28"/>
  <c r="EB10" i="28"/>
  <c r="DY10" i="28"/>
  <c r="DS10" i="28"/>
  <c r="DP10" i="28"/>
  <c r="DJ10" i="28"/>
  <c r="DG10" i="28"/>
  <c r="DD10" i="28"/>
  <c r="CX10" i="28"/>
  <c r="CU10" i="28"/>
  <c r="CO10" i="28"/>
  <c r="CL10" i="28"/>
  <c r="CI10" i="28"/>
  <c r="CF10" i="28"/>
  <c r="CC10" i="28"/>
  <c r="CC6" i="28" s="1"/>
  <c r="CC2" i="28" s="1"/>
  <c r="BQ10" i="28"/>
  <c r="BN10" i="28"/>
  <c r="BK10" i="28"/>
  <c r="BH10" i="28"/>
  <c r="BE10" i="28"/>
  <c r="BB10" i="28"/>
  <c r="AY10" i="28"/>
  <c r="AV10" i="28"/>
  <c r="AS10" i="28"/>
  <c r="AP10" i="28"/>
  <c r="AM10" i="28"/>
  <c r="AG10" i="28"/>
  <c r="AF10" i="28"/>
  <c r="Z10" i="28"/>
  <c r="Z6" i="28" s="1"/>
  <c r="W10" i="28"/>
  <c r="T10" i="28"/>
  <c r="Q10" i="28"/>
  <c r="Q6" i="28" s="1"/>
  <c r="Q2" i="28" s="1"/>
  <c r="N10" i="28"/>
  <c r="N6" i="28" s="1"/>
  <c r="N2" i="28" s="1"/>
  <c r="K10" i="28"/>
  <c r="E10" i="28"/>
  <c r="HE9" i="28"/>
  <c r="HB9" i="28"/>
  <c r="GY9" i="28"/>
  <c r="GV9" i="28"/>
  <c r="GP9" i="28"/>
  <c r="GP8" i="28" s="1"/>
  <c r="GM9" i="28"/>
  <c r="GJ9" i="28"/>
  <c r="GG9" i="28"/>
  <c r="GA9" i="28"/>
  <c r="GA8" i="28" s="1"/>
  <c r="GA7" i="28" s="1"/>
  <c r="FR9" i="28"/>
  <c r="FL9" i="28"/>
  <c r="FI9" i="28"/>
  <c r="FF9" i="28"/>
  <c r="FC9" i="28"/>
  <c r="EW9" i="28"/>
  <c r="EW8" i="28" s="1"/>
  <c r="EW7" i="28" s="1"/>
  <c r="ET9" i="28"/>
  <c r="EQ9" i="28"/>
  <c r="EN9" i="28"/>
  <c r="EH9" i="28"/>
  <c r="EE9" i="28"/>
  <c r="EB9" i="28"/>
  <c r="DY9" i="28"/>
  <c r="DS9" i="28"/>
  <c r="DP9" i="28"/>
  <c r="DJ9" i="28"/>
  <c r="DJ12" i="28" s="1"/>
  <c r="DG9" i="28"/>
  <c r="DG7" i="28" s="1"/>
  <c r="DD9" i="28"/>
  <c r="DA9" i="28"/>
  <c r="CX9" i="28"/>
  <c r="CU9" i="28"/>
  <c r="CO9" i="28"/>
  <c r="CL9" i="28"/>
  <c r="CI9" i="28"/>
  <c r="CF9" i="28"/>
  <c r="CC9" i="28"/>
  <c r="BZ9" i="28"/>
  <c r="BW9" i="28"/>
  <c r="BT9" i="28"/>
  <c r="BK9" i="28"/>
  <c r="BH9" i="28"/>
  <c r="BE9" i="28"/>
  <c r="BB9" i="28"/>
  <c r="AY9" i="28"/>
  <c r="AV9" i="28"/>
  <c r="AS9" i="28"/>
  <c r="AP9" i="28"/>
  <c r="AM9" i="28"/>
  <c r="AJ9" i="28"/>
  <c r="AG9" i="28"/>
  <c r="AF9" i="28"/>
  <c r="AF23" i="28" s="1"/>
  <c r="AE9" i="28"/>
  <c r="AE23" i="28" s="1"/>
  <c r="AD9" i="28"/>
  <c r="AD23" i="28" s="1"/>
  <c r="AC9" i="28"/>
  <c r="AC23" i="28" s="1"/>
  <c r="AC27" i="28" s="1"/>
  <c r="Z9" i="28"/>
  <c r="W9" i="28"/>
  <c r="T9" i="28"/>
  <c r="Q9" i="28"/>
  <c r="N9" i="28"/>
  <c r="K9" i="28"/>
  <c r="H9" i="28"/>
  <c r="E9" i="28"/>
  <c r="HB8" i="28"/>
  <c r="HB6" i="28" s="1"/>
  <c r="GY8" i="28"/>
  <c r="GY6" i="28" s="1"/>
  <c r="GV8" i="28"/>
  <c r="GM8" i="28"/>
  <c r="GJ8" i="28"/>
  <c r="GG8" i="28"/>
  <c r="FR8" i="28"/>
  <c r="FI8" i="28"/>
  <c r="FF8" i="28"/>
  <c r="FC8" i="28"/>
  <c r="ET8" i="28"/>
  <c r="ET6" i="28" s="1"/>
  <c r="EQ8" i="28"/>
  <c r="EQ6" i="28" s="1"/>
  <c r="EN8" i="28"/>
  <c r="EN6" i="28" s="1"/>
  <c r="EE8" i="28"/>
  <c r="EB8" i="28"/>
  <c r="DY8" i="28"/>
  <c r="DY6" i="28" s="1"/>
  <c r="DV8" i="28"/>
  <c r="DP8" i="28"/>
  <c r="DM8" i="28"/>
  <c r="DM6" i="28" s="1"/>
  <c r="DJ8" i="28"/>
  <c r="DJ6" i="28" s="1"/>
  <c r="DG8" i="28"/>
  <c r="DA8" i="28"/>
  <c r="CX8" i="28"/>
  <c r="CU8" i="28"/>
  <c r="CO8" i="28"/>
  <c r="CO6" i="28" s="1"/>
  <c r="CL8" i="28"/>
  <c r="CI8" i="28"/>
  <c r="CF8" i="28"/>
  <c r="CC8" i="28"/>
  <c r="BZ8" i="28"/>
  <c r="BW8" i="28"/>
  <c r="BT8" i="28"/>
  <c r="BQ8" i="28"/>
  <c r="BN8" i="28"/>
  <c r="BK8" i="28"/>
  <c r="BH8" i="28"/>
  <c r="BE8" i="28"/>
  <c r="BB8" i="28"/>
  <c r="AY8" i="28"/>
  <c r="AV8" i="28"/>
  <c r="AS8" i="28"/>
  <c r="AP8" i="28"/>
  <c r="AM8" i="28"/>
  <c r="AJ8" i="28"/>
  <c r="AG8" i="28"/>
  <c r="AF8" i="28"/>
  <c r="AE8" i="28"/>
  <c r="AD8" i="28"/>
  <c r="AC8" i="28"/>
  <c r="Z8" i="28"/>
  <c r="W8" i="28"/>
  <c r="T8" i="28"/>
  <c r="Q8" i="28"/>
  <c r="N8" i="28"/>
  <c r="K8" i="28"/>
  <c r="H8" i="28"/>
  <c r="E8" i="28"/>
  <c r="HE7" i="28"/>
  <c r="HE8" i="28" s="1"/>
  <c r="HB7" i="28"/>
  <c r="GY7" i="28"/>
  <c r="GV7" i="28"/>
  <c r="GV5" i="28" s="1"/>
  <c r="GM7" i="28"/>
  <c r="GJ7" i="28"/>
  <c r="GG7" i="28"/>
  <c r="FR7" i="28"/>
  <c r="FR10" i="28" s="1"/>
  <c r="FI7" i="28"/>
  <c r="FF7" i="28"/>
  <c r="FC7" i="28"/>
  <c r="ET7" i="28"/>
  <c r="ET5" i="28" s="1"/>
  <c r="ET2" i="28" s="1"/>
  <c r="EQ7" i="28"/>
  <c r="EQ5" i="28" s="1"/>
  <c r="EN7" i="28"/>
  <c r="EN5" i="28" s="1"/>
  <c r="EE7" i="28"/>
  <c r="EB7" i="28"/>
  <c r="EB5" i="28" s="1"/>
  <c r="DY7" i="28"/>
  <c r="DY5" i="28" s="1"/>
  <c r="DM7" i="28"/>
  <c r="DM5" i="28" s="1"/>
  <c r="DJ7" i="28"/>
  <c r="DA7" i="28"/>
  <c r="CX7" i="28"/>
  <c r="CX6" i="28" s="1"/>
  <c r="CU7" i="28"/>
  <c r="CO7" i="28"/>
  <c r="CL7" i="28"/>
  <c r="CI7" i="28"/>
  <c r="CF7" i="28"/>
  <c r="CC7" i="28"/>
  <c r="BZ7" i="28"/>
  <c r="BW7" i="28"/>
  <c r="BT7" i="28"/>
  <c r="BT6" i="28" s="1"/>
  <c r="BQ7" i="28"/>
  <c r="BN7" i="28"/>
  <c r="BK7" i="28"/>
  <c r="BH7" i="28"/>
  <c r="BE7" i="28"/>
  <c r="BB7" i="28"/>
  <c r="AY7" i="28"/>
  <c r="AV7" i="28"/>
  <c r="AS7" i="28"/>
  <c r="AP7" i="28"/>
  <c r="AM7" i="28"/>
  <c r="AJ7" i="28"/>
  <c r="AG7" i="28"/>
  <c r="AF7" i="28"/>
  <c r="AE7" i="28"/>
  <c r="AD7" i="28"/>
  <c r="AC7" i="28"/>
  <c r="Z7" i="28"/>
  <c r="W7" i="28"/>
  <c r="T7" i="28"/>
  <c r="Q7" i="28"/>
  <c r="N7" i="28"/>
  <c r="K7" i="28"/>
  <c r="H7" i="28"/>
  <c r="E7" i="28"/>
  <c r="E6" i="28" s="1"/>
  <c r="E22" i="28" s="1"/>
  <c r="GV6" i="28"/>
  <c r="GS6" i="28"/>
  <c r="GP6" i="28"/>
  <c r="GM6" i="28"/>
  <c r="GJ6" i="28"/>
  <c r="GG6" i="28"/>
  <c r="GD6" i="28"/>
  <c r="GA6" i="28"/>
  <c r="FU6" i="28"/>
  <c r="FR6" i="28"/>
  <c r="FL6" i="28"/>
  <c r="FI6" i="28"/>
  <c r="FF6" i="28"/>
  <c r="FC6" i="28"/>
  <c r="EZ6" i="28"/>
  <c r="EW6" i="28"/>
  <c r="EK6" i="28"/>
  <c r="EH6" i="28"/>
  <c r="EE6" i="28"/>
  <c r="EB6" i="28"/>
  <c r="DV6" i="28"/>
  <c r="DS6" i="28"/>
  <c r="DD6" i="28"/>
  <c r="DA6" i="28"/>
  <c r="CU6" i="28"/>
  <c r="CR6" i="28"/>
  <c r="CL6" i="28"/>
  <c r="CI6" i="28"/>
  <c r="CF6" i="28"/>
  <c r="CF2" i="28" s="1"/>
  <c r="BZ6" i="28"/>
  <c r="BW6" i="28"/>
  <c r="BH6" i="28"/>
  <c r="BH2" i="28" s="1"/>
  <c r="BE6" i="28"/>
  <c r="BE2" i="28" s="1"/>
  <c r="BB6" i="28"/>
  <c r="BB2" i="28" s="1"/>
  <c r="AY6" i="28"/>
  <c r="AY2" i="28" s="1"/>
  <c r="AV6" i="28"/>
  <c r="AS6" i="28"/>
  <c r="AP6" i="28"/>
  <c r="AM6" i="28"/>
  <c r="AJ6" i="28"/>
  <c r="AJ2" i="28" s="1"/>
  <c r="W6" i="28"/>
  <c r="T6" i="28"/>
  <c r="T2" i="28" s="1"/>
  <c r="K6" i="28"/>
  <c r="H6" i="28"/>
  <c r="HE5" i="28"/>
  <c r="HE3" i="28" s="1"/>
  <c r="HB5" i="28"/>
  <c r="GY5" i="28"/>
  <c r="GS5" i="28"/>
  <c r="GP5" i="28"/>
  <c r="GP7" i="28" s="1"/>
  <c r="GM5" i="28"/>
  <c r="GJ5" i="28"/>
  <c r="GG5" i="28"/>
  <c r="GD5" i="28"/>
  <c r="GA5" i="28"/>
  <c r="FX5" i="28"/>
  <c r="FU5" i="28"/>
  <c r="FR5" i="28"/>
  <c r="FO5" i="28"/>
  <c r="FL5" i="28"/>
  <c r="FL7" i="28" s="1"/>
  <c r="FI5" i="28"/>
  <c r="FF5" i="28"/>
  <c r="FC5" i="28"/>
  <c r="EZ5" i="28"/>
  <c r="EW5" i="28"/>
  <c r="EK5" i="28"/>
  <c r="EH5" i="28"/>
  <c r="EH7" i="28" s="1"/>
  <c r="EE5" i="28"/>
  <c r="DV5" i="28"/>
  <c r="DS5" i="28"/>
  <c r="DJ5" i="28"/>
  <c r="DD5" i="28"/>
  <c r="DA5" i="28"/>
  <c r="DA13" i="28" s="1"/>
  <c r="CX5" i="28"/>
  <c r="CX22" i="28" s="1"/>
  <c r="CU5" i="28"/>
  <c r="CO5" i="28"/>
  <c r="CR5" i="28" s="1"/>
  <c r="CL5" i="28"/>
  <c r="CL2" i="28" s="1"/>
  <c r="CI5" i="28"/>
  <c r="CI2" i="28" s="1"/>
  <c r="CF5" i="28"/>
  <c r="CC5" i="28"/>
  <c r="BZ5" i="28"/>
  <c r="BW5" i="28"/>
  <c r="BT5" i="28"/>
  <c r="BQ5" i="28"/>
  <c r="BN5" i="28"/>
  <c r="BN2" i="28" s="1"/>
  <c r="BK5" i="28"/>
  <c r="BK2" i="28" s="1"/>
  <c r="BH5" i="28"/>
  <c r="BE5" i="28"/>
  <c r="BB5" i="28"/>
  <c r="AY5" i="28"/>
  <c r="AV5" i="28"/>
  <c r="AS5" i="28"/>
  <c r="AP5" i="28"/>
  <c r="AP2" i="28" s="1"/>
  <c r="AM5" i="28"/>
  <c r="AM2" i="28" s="1"/>
  <c r="AJ5" i="28"/>
  <c r="AG5" i="28"/>
  <c r="AF5" i="28"/>
  <c r="AE5" i="28"/>
  <c r="AD5" i="28"/>
  <c r="AC5" i="28"/>
  <c r="AC30" i="28" s="1"/>
  <c r="Z5" i="28"/>
  <c r="Z18" i="28" s="1"/>
  <c r="W5" i="28"/>
  <c r="W18" i="28" s="1"/>
  <c r="T5" i="28"/>
  <c r="Q5" i="28"/>
  <c r="N5" i="28"/>
  <c r="K5" i="28"/>
  <c r="K16" i="28" s="1"/>
  <c r="H5" i="28"/>
  <c r="E5" i="28"/>
  <c r="E21" i="28" s="1"/>
  <c r="E4" i="28" s="1"/>
  <c r="GM2" i="28"/>
  <c r="FX2" i="28"/>
  <c r="AV2" i="28"/>
  <c r="AS2" i="28"/>
  <c r="B46" i="30"/>
  <c r="B46" i="29"/>
  <c r="B46" i="28"/>
  <c r="B46" i="24"/>
  <c r="B279" i="28"/>
  <c r="B279" i="29"/>
  <c r="B279" i="30"/>
  <c r="B42" i="30"/>
  <c r="B41" i="30"/>
  <c r="B34" i="30"/>
  <c r="B32" i="30"/>
  <c r="B31" i="30"/>
  <c r="B43" i="29"/>
  <c r="B42" i="29"/>
  <c r="B41" i="29"/>
  <c r="B34" i="29"/>
  <c r="B32" i="29"/>
  <c r="B31" i="29"/>
  <c r="B43" i="28"/>
  <c r="B34" i="28"/>
  <c r="B32" i="28"/>
  <c r="B31" i="28"/>
  <c r="E22" i="24"/>
  <c r="E21" i="24"/>
  <c r="E20" i="24"/>
  <c r="E19" i="24"/>
  <c r="E57" i="24"/>
  <c r="E41" i="24"/>
  <c r="E54" i="24"/>
  <c r="E38" i="24"/>
  <c r="H14" i="24"/>
  <c r="H13" i="24"/>
  <c r="H12" i="24"/>
  <c r="H11" i="24"/>
  <c r="H10" i="24"/>
  <c r="K18" i="24"/>
  <c r="K17" i="24"/>
  <c r="K16" i="24"/>
  <c r="K15" i="24"/>
  <c r="K14" i="24"/>
  <c r="Q21" i="24"/>
  <c r="N21" i="24"/>
  <c r="T2" i="24"/>
  <c r="Q2" i="24"/>
  <c r="N2" i="24"/>
  <c r="Z41" i="24"/>
  <c r="Z40" i="24"/>
  <c r="Z39" i="24"/>
  <c r="Z38" i="24"/>
  <c r="W41" i="24"/>
  <c r="W40" i="24"/>
  <c r="W39" i="24"/>
  <c r="W38" i="24"/>
  <c r="Z19" i="24"/>
  <c r="Z18" i="24"/>
  <c r="Z17" i="24"/>
  <c r="Z16" i="24"/>
  <c r="W19" i="24"/>
  <c r="W18" i="24"/>
  <c r="W17" i="24"/>
  <c r="W16" i="24"/>
  <c r="AG31" i="24"/>
  <c r="AF31" i="24"/>
  <c r="AF30" i="24"/>
  <c r="AF29" i="24"/>
  <c r="AE31" i="24"/>
  <c r="AE30" i="24"/>
  <c r="AD31" i="24"/>
  <c r="AD30" i="24"/>
  <c r="AC31" i="24"/>
  <c r="AC30" i="24"/>
  <c r="AV21" i="24"/>
  <c r="AS21" i="24"/>
  <c r="AY2" i="24"/>
  <c r="AV2" i="24"/>
  <c r="AS2" i="24"/>
  <c r="AM21" i="24"/>
  <c r="AJ21" i="24"/>
  <c r="AP2" i="24"/>
  <c r="AM2" i="24"/>
  <c r="AJ2" i="24"/>
  <c r="BE21" i="24"/>
  <c r="BB21" i="24"/>
  <c r="BH2" i="24"/>
  <c r="BE2" i="24"/>
  <c r="BB2" i="24"/>
  <c r="BN21" i="24"/>
  <c r="BK21" i="24"/>
  <c r="BQ2" i="24"/>
  <c r="BN2" i="24"/>
  <c r="BK2" i="24"/>
  <c r="BT21" i="24"/>
  <c r="BT20" i="24"/>
  <c r="BT19" i="24"/>
  <c r="BT18" i="24"/>
  <c r="BW12" i="24"/>
  <c r="BW10" i="24"/>
  <c r="BW34" i="24"/>
  <c r="BZ12" i="24"/>
  <c r="BZ15" i="24"/>
  <c r="BZ14" i="24"/>
  <c r="BZ13" i="24"/>
  <c r="CF19" i="24"/>
  <c r="CC19" i="24"/>
  <c r="CI2" i="24"/>
  <c r="CF2" i="24"/>
  <c r="CC2" i="24"/>
  <c r="CL20" i="24"/>
  <c r="CL2" i="24"/>
  <c r="CU16" i="24"/>
  <c r="CU15" i="24"/>
  <c r="CU14" i="24"/>
  <c r="CX22" i="24"/>
  <c r="CX21" i="24"/>
  <c r="CX20" i="24"/>
  <c r="CX19" i="24"/>
  <c r="DA15" i="24"/>
  <c r="DA14" i="24"/>
  <c r="DA13" i="24"/>
  <c r="DD7" i="24"/>
  <c r="DS7" i="24"/>
  <c r="EH7" i="24"/>
  <c r="EW7" i="24"/>
  <c r="FL7" i="24"/>
  <c r="GA7" i="24"/>
  <c r="GP7" i="24"/>
  <c r="GA20" i="24"/>
  <c r="FL20" i="24"/>
  <c r="EW20" i="24"/>
  <c r="EH20" i="24"/>
  <c r="DS20" i="24"/>
  <c r="DD23" i="24"/>
  <c r="DS19" i="24"/>
  <c r="EH19" i="24"/>
  <c r="EW19" i="24"/>
  <c r="FL19" i="24"/>
  <c r="GA19" i="24"/>
  <c r="GP18" i="24"/>
  <c r="GP19" i="24"/>
  <c r="DA52" i="24"/>
  <c r="CX28" i="24"/>
  <c r="DD22" i="24"/>
  <c r="DA51" i="24"/>
  <c r="CX27" i="24"/>
  <c r="CU49" i="24"/>
  <c r="CU50" i="24"/>
  <c r="CL10" i="24"/>
  <c r="CL9" i="24"/>
  <c r="CL28" i="24"/>
  <c r="CL27" i="24"/>
  <c r="CF33" i="24"/>
  <c r="CC33" i="24"/>
  <c r="CI16" i="24"/>
  <c r="CF16" i="24"/>
  <c r="CC16" i="24"/>
  <c r="BZ37" i="24"/>
  <c r="BW33" i="24"/>
  <c r="BT28" i="24"/>
  <c r="BW32" i="24"/>
  <c r="BZ36" i="24"/>
  <c r="CC32" i="24"/>
  <c r="CF32" i="24"/>
  <c r="CI15" i="24"/>
  <c r="CF15" i="24"/>
  <c r="CC15" i="24"/>
  <c r="BT27" i="24"/>
  <c r="BN37" i="24"/>
  <c r="BK37" i="24"/>
  <c r="BE37" i="24"/>
  <c r="BB37" i="24"/>
  <c r="BQ18" i="24"/>
  <c r="BN18" i="24"/>
  <c r="BK18" i="24"/>
  <c r="BH18" i="24"/>
  <c r="BE18" i="24"/>
  <c r="BB18" i="24"/>
  <c r="BN36" i="24"/>
  <c r="BK36" i="24"/>
  <c r="BE36" i="24"/>
  <c r="BB36" i="24"/>
  <c r="BQ17" i="24"/>
  <c r="BN17" i="24"/>
  <c r="BK17" i="24"/>
  <c r="BH17" i="24"/>
  <c r="BE17" i="24"/>
  <c r="BB17" i="24"/>
  <c r="AM37" i="24"/>
  <c r="AJ37" i="24"/>
  <c r="AV37" i="24"/>
  <c r="AS37" i="24"/>
  <c r="AY18" i="24"/>
  <c r="AV18" i="24"/>
  <c r="AS18" i="24"/>
  <c r="AP18" i="24"/>
  <c r="AM18" i="24"/>
  <c r="AJ18" i="24"/>
  <c r="AV36" i="24"/>
  <c r="AS36" i="24"/>
  <c r="AM36" i="24"/>
  <c r="AJ36" i="24"/>
  <c r="AY17" i="24"/>
  <c r="AV17" i="24"/>
  <c r="AS17" i="24"/>
  <c r="AP17" i="24"/>
  <c r="AM17" i="24"/>
  <c r="AJ17" i="24"/>
  <c r="AG36" i="24"/>
  <c r="AF36" i="24"/>
  <c r="AE36" i="24"/>
  <c r="AD36" i="24"/>
  <c r="AC36" i="24"/>
  <c r="AG35" i="24"/>
  <c r="AF35" i="24"/>
  <c r="AE35" i="24"/>
  <c r="AD35" i="24"/>
  <c r="AC35" i="24"/>
  <c r="W43" i="24"/>
  <c r="Z46" i="24"/>
  <c r="Z21" i="24"/>
  <c r="W21" i="24"/>
  <c r="K54" i="24"/>
  <c r="Q37" i="24"/>
  <c r="N37" i="24"/>
  <c r="T18" i="24"/>
  <c r="Q18" i="24"/>
  <c r="N18" i="24"/>
  <c r="E56" i="24"/>
  <c r="E40" i="24"/>
  <c r="H72" i="24"/>
  <c r="H71" i="24"/>
  <c r="H72" i="15"/>
  <c r="H73" i="24"/>
  <c r="Z45" i="24"/>
  <c r="W42" i="24"/>
  <c r="Z20" i="24"/>
  <c r="W20" i="24"/>
  <c r="T17" i="24"/>
  <c r="Q17" i="24"/>
  <c r="N17" i="24"/>
  <c r="Q36" i="24"/>
  <c r="N36" i="24"/>
  <c r="K53" i="24"/>
  <c r="H70" i="24"/>
  <c r="E55" i="24"/>
  <c r="E39" i="24"/>
  <c r="E27" i="24"/>
  <c r="E28" i="24"/>
  <c r="B279" i="24"/>
  <c r="H69" i="24"/>
  <c r="H68" i="24"/>
  <c r="H66" i="24"/>
  <c r="H65" i="24"/>
  <c r="H64" i="24"/>
  <c r="H62" i="24"/>
  <c r="H61" i="24"/>
  <c r="H60" i="24"/>
  <c r="H57" i="24"/>
  <c r="H56" i="24"/>
  <c r="H55" i="24"/>
  <c r="H53" i="24"/>
  <c r="K52" i="24"/>
  <c r="H52" i="24"/>
  <c r="E53" i="24"/>
  <c r="K51" i="24"/>
  <c r="H51" i="24"/>
  <c r="E52" i="24"/>
  <c r="DA50" i="24"/>
  <c r="K50" i="24"/>
  <c r="DA49" i="24"/>
  <c r="K49" i="24"/>
  <c r="E50" i="24"/>
  <c r="CU48" i="24"/>
  <c r="K48" i="24"/>
  <c r="E49" i="24"/>
  <c r="CU47" i="24"/>
  <c r="K47" i="24"/>
  <c r="H47" i="24"/>
  <c r="H45" i="24" s="1"/>
  <c r="E48" i="24"/>
  <c r="H46" i="24"/>
  <c r="H44" i="24" s="1"/>
  <c r="E47" i="24"/>
  <c r="DA45" i="24"/>
  <c r="E46" i="24"/>
  <c r="E44" i="24" s="1"/>
  <c r="DA43" i="24"/>
  <c r="CU43" i="24"/>
  <c r="Z43" i="24"/>
  <c r="B43" i="24"/>
  <c r="DA42" i="24"/>
  <c r="CU42" i="24"/>
  <c r="Z42" i="24"/>
  <c r="K42" i="24"/>
  <c r="HE41" i="24"/>
  <c r="DA41" i="24"/>
  <c r="CU41" i="24"/>
  <c r="K41" i="24"/>
  <c r="H41" i="24"/>
  <c r="HE40" i="24"/>
  <c r="HE37" i="24" s="1"/>
  <c r="DA40" i="24"/>
  <c r="CU40" i="24"/>
  <c r="HE39" i="24"/>
  <c r="DA39" i="24"/>
  <c r="CU39" i="24"/>
  <c r="HE38" i="24"/>
  <c r="DA38" i="24"/>
  <c r="CU38" i="24"/>
  <c r="K38" i="24"/>
  <c r="H38" i="24"/>
  <c r="DA37" i="24"/>
  <c r="CU37" i="24"/>
  <c r="Z37" i="24"/>
  <c r="W37" i="24"/>
  <c r="K37" i="24"/>
  <c r="H37" i="24"/>
  <c r="E37" i="24"/>
  <c r="HE36" i="24"/>
  <c r="DA36" i="24"/>
  <c r="CU36" i="24"/>
  <c r="Z36" i="24"/>
  <c r="W36" i="24"/>
  <c r="K36" i="24"/>
  <c r="H36" i="24"/>
  <c r="E36" i="24"/>
  <c r="HE35" i="24"/>
  <c r="HE42" i="24" s="1"/>
  <c r="DA35" i="24"/>
  <c r="CU35" i="24"/>
  <c r="BZ35" i="24"/>
  <c r="BN35" i="24"/>
  <c r="BK35" i="24"/>
  <c r="BE35" i="24"/>
  <c r="BB35" i="24"/>
  <c r="AV35" i="24"/>
  <c r="AS35" i="24"/>
  <c r="AM35" i="24"/>
  <c r="AJ35" i="24"/>
  <c r="Z35" i="24"/>
  <c r="W35" i="24"/>
  <c r="Q35" i="24"/>
  <c r="N35" i="24"/>
  <c r="K35" i="24"/>
  <c r="H35" i="24"/>
  <c r="E35" i="24"/>
  <c r="HE34" i="24"/>
  <c r="DA34" i="24"/>
  <c r="CU34" i="24"/>
  <c r="BZ34" i="24"/>
  <c r="BN34" i="24"/>
  <c r="BK34" i="24"/>
  <c r="BE34" i="24"/>
  <c r="BB34" i="24"/>
  <c r="AV34" i="24"/>
  <c r="AS34" i="24"/>
  <c r="AM34" i="24"/>
  <c r="AJ34" i="24"/>
  <c r="Z34" i="24"/>
  <c r="W34" i="24"/>
  <c r="Q34" i="24"/>
  <c r="N34" i="24"/>
  <c r="K34" i="24"/>
  <c r="H34" i="24"/>
  <c r="E34" i="24"/>
  <c r="B34" i="24"/>
  <c r="H67" i="24" s="1"/>
  <c r="H63" i="24" s="1"/>
  <c r="HE33" i="24"/>
  <c r="DA33" i="24"/>
  <c r="CU33" i="24"/>
  <c r="CO33" i="24"/>
  <c r="CO32" i="24" s="1"/>
  <c r="BN33" i="24"/>
  <c r="BK33" i="24"/>
  <c r="BE33" i="24"/>
  <c r="BB33" i="24"/>
  <c r="AV33" i="24"/>
  <c r="AS33" i="24"/>
  <c r="AM33" i="24"/>
  <c r="AJ33" i="24"/>
  <c r="AF33" i="24"/>
  <c r="Z33" i="24"/>
  <c r="W33" i="24"/>
  <c r="Q33" i="24"/>
  <c r="N33" i="24"/>
  <c r="K33" i="24"/>
  <c r="K43" i="24" s="1"/>
  <c r="H33" i="24"/>
  <c r="E33" i="24"/>
  <c r="E31" i="24" s="1"/>
  <c r="DA32" i="24"/>
  <c r="CU32" i="24"/>
  <c r="BN32" i="24"/>
  <c r="BK32" i="24"/>
  <c r="BE32" i="24"/>
  <c r="BB32" i="24"/>
  <c r="AV32" i="24"/>
  <c r="AS32" i="24"/>
  <c r="AM32" i="24"/>
  <c r="AJ32" i="24"/>
  <c r="Z32" i="24"/>
  <c r="Z28" i="24" s="1"/>
  <c r="W32" i="24"/>
  <c r="W28" i="24" s="1"/>
  <c r="Q32" i="24"/>
  <c r="N32" i="24"/>
  <c r="K32" i="24"/>
  <c r="H32" i="24"/>
  <c r="B32" i="24"/>
  <c r="HE31" i="24"/>
  <c r="DA31" i="24"/>
  <c r="CU31" i="24"/>
  <c r="CU26" i="24" s="1"/>
  <c r="CO31" i="24"/>
  <c r="CF31" i="24"/>
  <c r="CC31" i="24"/>
  <c r="BW31" i="24"/>
  <c r="BN31" i="24"/>
  <c r="BK31" i="24"/>
  <c r="BE31" i="24"/>
  <c r="BB31" i="24"/>
  <c r="AV31" i="24"/>
  <c r="AS31" i="24"/>
  <c r="AM31" i="24"/>
  <c r="AJ31" i="24"/>
  <c r="Z31" i="24"/>
  <c r="W31" i="24"/>
  <c r="Q31" i="24"/>
  <c r="N31" i="24"/>
  <c r="K31" i="24"/>
  <c r="K25" i="24" s="1"/>
  <c r="H31" i="24"/>
  <c r="B31" i="24"/>
  <c r="AE32" i="24" s="1"/>
  <c r="HE30" i="24"/>
  <c r="DA30" i="24"/>
  <c r="CU30" i="24"/>
  <c r="CO30" i="24"/>
  <c r="CF30" i="24"/>
  <c r="CC30" i="24"/>
  <c r="BZ30" i="24"/>
  <c r="BW30" i="24"/>
  <c r="BN30" i="24"/>
  <c r="BK30" i="24"/>
  <c r="BE30" i="24"/>
  <c r="BB30" i="24"/>
  <c r="AS30" i="24"/>
  <c r="AM30" i="24"/>
  <c r="AJ30" i="24"/>
  <c r="Z30" i="24"/>
  <c r="W30" i="24"/>
  <c r="Q30" i="24"/>
  <c r="N30" i="24"/>
  <c r="K30" i="24"/>
  <c r="H30" i="24"/>
  <c r="HE29" i="24"/>
  <c r="DA29" i="24"/>
  <c r="CU29" i="24"/>
  <c r="CO29" i="24"/>
  <c r="CF29" i="24"/>
  <c r="CC29" i="24"/>
  <c r="BZ29" i="24"/>
  <c r="BN29" i="24"/>
  <c r="BK29" i="24"/>
  <c r="BE29" i="24"/>
  <c r="BE25" i="24" s="1"/>
  <c r="BB29" i="24"/>
  <c r="BB25" i="24" s="1"/>
  <c r="AV29" i="24"/>
  <c r="AV25" i="24" s="1"/>
  <c r="AS29" i="24"/>
  <c r="AS25" i="24" s="1"/>
  <c r="AM29" i="24"/>
  <c r="AM25" i="24" s="1"/>
  <c r="AJ29" i="24"/>
  <c r="Z29" i="24"/>
  <c r="W29" i="24"/>
  <c r="Q29" i="24"/>
  <c r="N29" i="24"/>
  <c r="K29" i="24"/>
  <c r="H29" i="24"/>
  <c r="H25" i="24" s="1"/>
  <c r="HE28" i="24"/>
  <c r="DA28" i="24"/>
  <c r="CU28" i="24"/>
  <c r="CO28" i="24"/>
  <c r="CF28" i="24"/>
  <c r="CC28" i="24"/>
  <c r="BZ28" i="24"/>
  <c r="BN28" i="24"/>
  <c r="BK28" i="24"/>
  <c r="BE28" i="24"/>
  <c r="BB28" i="24"/>
  <c r="AV28" i="24"/>
  <c r="AS28" i="24"/>
  <c r="AM28" i="24"/>
  <c r="AJ28" i="24"/>
  <c r="Q28" i="24"/>
  <c r="N28" i="24"/>
  <c r="K28" i="24"/>
  <c r="H28" i="24"/>
  <c r="HE27" i="24"/>
  <c r="HB27" i="24"/>
  <c r="GM27" i="24"/>
  <c r="FI27" i="24"/>
  <c r="ET27" i="24"/>
  <c r="EE27" i="24"/>
  <c r="DA27" i="24"/>
  <c r="DA24" i="24" s="1"/>
  <c r="CU27" i="24"/>
  <c r="CO27" i="24"/>
  <c r="CO25" i="24" s="1"/>
  <c r="CF27" i="24"/>
  <c r="CC27" i="24"/>
  <c r="BZ27" i="24"/>
  <c r="BN27" i="24"/>
  <c r="BN26" i="24" s="1"/>
  <c r="BK27" i="24"/>
  <c r="BK26" i="24" s="1"/>
  <c r="BE27" i="24"/>
  <c r="BE26" i="24" s="1"/>
  <c r="BB27" i="24"/>
  <c r="AV27" i="24"/>
  <c r="AS27" i="24"/>
  <c r="AM27" i="24"/>
  <c r="AJ27" i="24"/>
  <c r="Z27" i="24"/>
  <c r="W27" i="24"/>
  <c r="Q27" i="24"/>
  <c r="Q26" i="24" s="1"/>
  <c r="N27" i="24"/>
  <c r="N26" i="24" s="1"/>
  <c r="K27" i="24"/>
  <c r="H27" i="24"/>
  <c r="HB26" i="24"/>
  <c r="GM26" i="24"/>
  <c r="FI26" i="24"/>
  <c r="ET26" i="24"/>
  <c r="EE26" i="24"/>
  <c r="DP26" i="24"/>
  <c r="DP24" i="24" s="1"/>
  <c r="DA26" i="24"/>
  <c r="CX26" i="24"/>
  <c r="CO26" i="24"/>
  <c r="CL26" i="24"/>
  <c r="CF26" i="24"/>
  <c r="CC26" i="24"/>
  <c r="BZ26" i="24"/>
  <c r="BT26" i="24"/>
  <c r="BB26" i="24"/>
  <c r="AV26" i="24"/>
  <c r="AS26" i="24"/>
  <c r="AM26" i="24"/>
  <c r="AJ26" i="24"/>
  <c r="K26" i="24"/>
  <c r="H26" i="24"/>
  <c r="E26" i="24"/>
  <c r="HE25" i="24"/>
  <c r="HB25" i="24"/>
  <c r="GM25" i="24"/>
  <c r="GM23" i="24" s="1"/>
  <c r="FI25" i="24"/>
  <c r="ET25" i="24"/>
  <c r="ET23" i="24" s="1"/>
  <c r="EE25" i="24"/>
  <c r="DP25" i="24"/>
  <c r="DP23" i="24" s="1"/>
  <c r="DG25" i="24"/>
  <c r="DA25" i="24"/>
  <c r="CX25" i="24"/>
  <c r="CL25" i="24"/>
  <c r="CF25" i="24"/>
  <c r="CC25" i="24"/>
  <c r="CC24" i="24" s="1"/>
  <c r="BZ25" i="24"/>
  <c r="BW25" i="24"/>
  <c r="BT25" i="24"/>
  <c r="AJ25" i="24"/>
  <c r="AG25" i="24"/>
  <c r="AG24" i="24" s="1"/>
  <c r="AF25" i="24"/>
  <c r="AE25" i="24"/>
  <c r="AD25" i="24"/>
  <c r="AC25" i="24"/>
  <c r="AC24" i="24" s="1"/>
  <c r="Q25" i="24"/>
  <c r="N25" i="24"/>
  <c r="E25" i="24"/>
  <c r="HB24" i="24"/>
  <c r="GM24" i="24"/>
  <c r="ET24" i="24"/>
  <c r="EE24" i="24"/>
  <c r="CX24" i="24"/>
  <c r="CR24" i="24"/>
  <c r="CO24" i="24"/>
  <c r="CL24" i="24"/>
  <c r="CF24" i="24"/>
  <c r="BZ24" i="24"/>
  <c r="BZ17" i="24" s="1"/>
  <c r="BW24" i="24"/>
  <c r="BT24" i="24"/>
  <c r="BN24" i="24"/>
  <c r="BK24" i="24"/>
  <c r="BE24" i="24"/>
  <c r="BB24" i="24"/>
  <c r="AV24" i="24"/>
  <c r="AS24" i="24"/>
  <c r="AM24" i="24"/>
  <c r="AJ24" i="24"/>
  <c r="AF24" i="24"/>
  <c r="AE24" i="24"/>
  <c r="AD24" i="24"/>
  <c r="Q24" i="24"/>
  <c r="N24" i="24"/>
  <c r="K24" i="24"/>
  <c r="H24" i="24"/>
  <c r="E24" i="24"/>
  <c r="HB23" i="24"/>
  <c r="FI23" i="24"/>
  <c r="EE23" i="24"/>
  <c r="DG23" i="24"/>
  <c r="DG20" i="24" s="1"/>
  <c r="CX23" i="24"/>
  <c r="CX12" i="24" s="1"/>
  <c r="CR23" i="24"/>
  <c r="CO23" i="24"/>
  <c r="CL23" i="24"/>
  <c r="CF23" i="24"/>
  <c r="CC23" i="24"/>
  <c r="BZ23" i="24"/>
  <c r="BW23" i="24"/>
  <c r="BT23" i="24"/>
  <c r="K23" i="24"/>
  <c r="H23" i="24"/>
  <c r="E23" i="24"/>
  <c r="HB22" i="24"/>
  <c r="GM22" i="24"/>
  <c r="GM16" i="24" s="1"/>
  <c r="FI22" i="24"/>
  <c r="FI16" i="24" s="1"/>
  <c r="ET22" i="24"/>
  <c r="EE22" i="24"/>
  <c r="DP22" i="24"/>
  <c r="DP16" i="24" s="1"/>
  <c r="DG22" i="24"/>
  <c r="CF22" i="24"/>
  <c r="CC22" i="24"/>
  <c r="BZ22" i="24"/>
  <c r="BW22" i="24"/>
  <c r="BT22" i="24"/>
  <c r="BT10" i="24" s="1"/>
  <c r="AG22" i="24"/>
  <c r="AF22" i="24"/>
  <c r="AE22" i="24"/>
  <c r="AD22" i="24"/>
  <c r="AC22" i="24"/>
  <c r="K22" i="24"/>
  <c r="H22" i="24"/>
  <c r="HB21" i="24"/>
  <c r="GM21" i="24"/>
  <c r="FI21" i="24"/>
  <c r="ET21" i="24"/>
  <c r="EE21" i="24"/>
  <c r="DP21" i="24"/>
  <c r="DG21" i="24"/>
  <c r="DD21" i="24"/>
  <c r="DD8" i="24" s="1"/>
  <c r="BZ21" i="24"/>
  <c r="BW21" i="24"/>
  <c r="AG21" i="24"/>
  <c r="AF21" i="24"/>
  <c r="AE21" i="24"/>
  <c r="AD21" i="24"/>
  <c r="AC21" i="24"/>
  <c r="K21" i="24"/>
  <c r="K19" i="24" s="1"/>
  <c r="H21" i="24"/>
  <c r="DD20" i="24"/>
  <c r="CR20" i="24"/>
  <c r="BZ20" i="24"/>
  <c r="BW20" i="24"/>
  <c r="AG20" i="24"/>
  <c r="AF20" i="24"/>
  <c r="AE20" i="24"/>
  <c r="AD20" i="24"/>
  <c r="AC20" i="24"/>
  <c r="H20" i="24"/>
  <c r="HB19" i="24"/>
  <c r="GM19" i="24"/>
  <c r="FI19" i="24"/>
  <c r="ET19" i="24"/>
  <c r="EE19" i="24"/>
  <c r="DP19" i="24"/>
  <c r="DG19" i="24"/>
  <c r="DD19" i="24"/>
  <c r="BZ19" i="24"/>
  <c r="BW19" i="24"/>
  <c r="AG19" i="24"/>
  <c r="AF19" i="24"/>
  <c r="AE19" i="24"/>
  <c r="AD19" i="24"/>
  <c r="AC19" i="24"/>
  <c r="H19" i="24"/>
  <c r="H16" i="24" s="1"/>
  <c r="HB18" i="24"/>
  <c r="GM18" i="24"/>
  <c r="GA18" i="24"/>
  <c r="FL18" i="24"/>
  <c r="FI18" i="24"/>
  <c r="EW18" i="24"/>
  <c r="ET18" i="24"/>
  <c r="EH18" i="24"/>
  <c r="EE18" i="24"/>
  <c r="DY18" i="24"/>
  <c r="DS18" i="24"/>
  <c r="DP18" i="24"/>
  <c r="DG18" i="24"/>
  <c r="CX18" i="24"/>
  <c r="BZ18" i="24"/>
  <c r="BW18" i="24"/>
  <c r="BW16" i="24" s="1"/>
  <c r="AG18" i="24"/>
  <c r="AF18" i="24"/>
  <c r="AE18" i="24"/>
  <c r="AD18" i="24"/>
  <c r="AC18" i="24"/>
  <c r="H18" i="24"/>
  <c r="E18" i="24"/>
  <c r="HB17" i="24"/>
  <c r="GP17" i="24"/>
  <c r="GM17" i="24"/>
  <c r="GG17" i="24"/>
  <c r="GA17" i="24"/>
  <c r="FL17" i="24"/>
  <c r="FI17" i="24"/>
  <c r="EW17" i="24"/>
  <c r="ET17" i="24"/>
  <c r="EH17" i="24"/>
  <c r="EE17" i="24"/>
  <c r="DY17" i="24"/>
  <c r="DS17" i="24"/>
  <c r="DP17" i="24"/>
  <c r="DG17" i="24"/>
  <c r="CX17" i="24"/>
  <c r="BW17" i="24"/>
  <c r="BT17" i="24"/>
  <c r="AG17" i="24"/>
  <c r="AF17" i="24"/>
  <c r="AE17" i="24"/>
  <c r="AD17" i="24"/>
  <c r="AC17" i="24"/>
  <c r="H17" i="24"/>
  <c r="E17" i="24"/>
  <c r="BT16" i="24" s="1"/>
  <c r="HB16" i="24"/>
  <c r="GV16" i="24"/>
  <c r="GV15" i="24" s="1"/>
  <c r="GP16" i="24"/>
  <c r="GG16" i="24"/>
  <c r="FC16" i="24"/>
  <c r="FC15" i="24" s="1"/>
  <c r="ET16" i="24"/>
  <c r="EN16" i="24"/>
  <c r="EN15" i="24" s="1"/>
  <c r="EE16" i="24"/>
  <c r="DY16" i="24"/>
  <c r="DD16" i="24"/>
  <c r="CX16" i="24"/>
  <c r="CO16" i="24"/>
  <c r="CO15" i="24" s="1"/>
  <c r="BZ16" i="24"/>
  <c r="BQ16" i="24"/>
  <c r="BN16" i="24"/>
  <c r="BK16" i="24"/>
  <c r="BH16" i="24"/>
  <c r="BE16" i="24"/>
  <c r="BB16" i="24"/>
  <c r="AY16" i="24"/>
  <c r="AV16" i="24"/>
  <c r="AS16" i="24"/>
  <c r="AP16" i="24"/>
  <c r="AM16" i="24"/>
  <c r="AJ16" i="24"/>
  <c r="AG16" i="24"/>
  <c r="AF16" i="24"/>
  <c r="AE16" i="24"/>
  <c r="AD16" i="24"/>
  <c r="AC16" i="24"/>
  <c r="T16" i="24"/>
  <c r="Q16" i="24"/>
  <c r="N16" i="24"/>
  <c r="HB15" i="24"/>
  <c r="GM15" i="24"/>
  <c r="GM2" i="24" s="1"/>
  <c r="GG15" i="24"/>
  <c r="GA15" i="24"/>
  <c r="FL15" i="24"/>
  <c r="FI15" i="24"/>
  <c r="EW15" i="24"/>
  <c r="ET15" i="24"/>
  <c r="EH15" i="24"/>
  <c r="EE15" i="24"/>
  <c r="DY15" i="24"/>
  <c r="DS15" i="24"/>
  <c r="DP15" i="24"/>
  <c r="DG15" i="24"/>
  <c r="DD15" i="24"/>
  <c r="CX15" i="24"/>
  <c r="BW15" i="24"/>
  <c r="BT15" i="24"/>
  <c r="BQ15" i="24"/>
  <c r="BN15" i="24"/>
  <c r="BK15" i="24"/>
  <c r="BH15" i="24"/>
  <c r="BE15" i="24"/>
  <c r="BB15" i="24"/>
  <c r="AY15" i="24"/>
  <c r="AV15" i="24"/>
  <c r="AS15" i="24"/>
  <c r="AP15" i="24"/>
  <c r="AM15" i="24"/>
  <c r="AJ15" i="24"/>
  <c r="AG15" i="24"/>
  <c r="AF15" i="24"/>
  <c r="AE15" i="24"/>
  <c r="AD15" i="24"/>
  <c r="AC15" i="24"/>
  <c r="Z15" i="24"/>
  <c r="W15" i="24"/>
  <c r="T15" i="24"/>
  <c r="Q15" i="24"/>
  <c r="N15" i="24"/>
  <c r="E15" i="24"/>
  <c r="E12" i="24" s="1"/>
  <c r="HB14" i="24"/>
  <c r="GV14" i="24"/>
  <c r="GV17" i="24" s="1"/>
  <c r="GP14" i="24"/>
  <c r="GM14" i="24"/>
  <c r="GG14" i="24"/>
  <c r="FI14" i="24"/>
  <c r="FC14" i="24"/>
  <c r="FC17" i="24" s="1"/>
  <c r="ET14" i="24"/>
  <c r="EN14" i="24"/>
  <c r="EE14" i="24"/>
  <c r="EB14" i="24"/>
  <c r="DY14" i="24"/>
  <c r="DP14" i="24"/>
  <c r="DG14" i="24"/>
  <c r="DD14" i="24"/>
  <c r="CX14" i="24"/>
  <c r="CO14" i="24"/>
  <c r="CI14" i="24"/>
  <c r="CF14" i="24"/>
  <c r="CC14" i="24"/>
  <c r="BW14" i="24"/>
  <c r="BT14" i="24"/>
  <c r="BQ14" i="24"/>
  <c r="BN14" i="24"/>
  <c r="BK14" i="24"/>
  <c r="BH14" i="24"/>
  <c r="BE14" i="24"/>
  <c r="BB14" i="24"/>
  <c r="AY14" i="24"/>
  <c r="AV14" i="24"/>
  <c r="AS14" i="24"/>
  <c r="AP14" i="24"/>
  <c r="AM14" i="24"/>
  <c r="AJ14" i="24"/>
  <c r="AG14" i="24"/>
  <c r="AF14" i="24"/>
  <c r="AE14" i="24"/>
  <c r="AD14" i="24"/>
  <c r="AC14" i="24"/>
  <c r="Z14" i="24"/>
  <c r="W14" i="24"/>
  <c r="T14" i="24"/>
  <c r="Q14" i="24"/>
  <c r="N14" i="24"/>
  <c r="E14" i="24"/>
  <c r="HE13" i="24"/>
  <c r="HB13" i="24"/>
  <c r="GY13" i="24"/>
  <c r="GV13" i="24"/>
  <c r="GP13" i="24"/>
  <c r="GM13" i="24"/>
  <c r="GJ13" i="24"/>
  <c r="GG13" i="24"/>
  <c r="GA13" i="24"/>
  <c r="FL13" i="24"/>
  <c r="FI13" i="24"/>
  <c r="FF13" i="24"/>
  <c r="FC13" i="24"/>
  <c r="EW13" i="24"/>
  <c r="ET13" i="24"/>
  <c r="EQ13" i="24"/>
  <c r="EN13" i="24"/>
  <c r="EH13" i="24"/>
  <c r="EE13" i="24"/>
  <c r="EB13" i="24"/>
  <c r="DY13" i="24"/>
  <c r="DP13" i="24"/>
  <c r="DG13" i="24"/>
  <c r="DD13" i="24"/>
  <c r="CX13" i="24"/>
  <c r="CU13" i="24"/>
  <c r="CO13" i="24"/>
  <c r="CI13" i="24"/>
  <c r="CF13" i="24"/>
  <c r="CC13" i="24"/>
  <c r="BW13" i="24"/>
  <c r="BT13" i="24"/>
  <c r="BQ13" i="24"/>
  <c r="BN13" i="24"/>
  <c r="BK13" i="24"/>
  <c r="BH13" i="24"/>
  <c r="BE13" i="24"/>
  <c r="BB13" i="24"/>
  <c r="AY13" i="24"/>
  <c r="AV13" i="24"/>
  <c r="AS13" i="24"/>
  <c r="AP13" i="24"/>
  <c r="AM13" i="24"/>
  <c r="AJ13" i="24"/>
  <c r="AG13" i="24"/>
  <c r="AF13" i="24"/>
  <c r="AE13" i="24"/>
  <c r="AD13" i="24"/>
  <c r="AC13" i="24"/>
  <c r="Z13" i="24"/>
  <c r="W13" i="24"/>
  <c r="T13" i="24"/>
  <c r="Q13" i="24"/>
  <c r="N13" i="24"/>
  <c r="K13" i="24"/>
  <c r="K12" i="24" s="1"/>
  <c r="E13" i="24"/>
  <c r="HB12" i="24"/>
  <c r="GY12" i="24"/>
  <c r="GV12" i="24"/>
  <c r="GP12" i="24"/>
  <c r="GM12" i="24"/>
  <c r="GJ12" i="24"/>
  <c r="GG12" i="24"/>
  <c r="GA12" i="24"/>
  <c r="FL12" i="24"/>
  <c r="FI12" i="24"/>
  <c r="FF12" i="24"/>
  <c r="FC12" i="24"/>
  <c r="EW12" i="24"/>
  <c r="ET12" i="24"/>
  <c r="EQ12" i="24"/>
  <c r="EN12" i="24"/>
  <c r="EH12" i="24"/>
  <c r="EE12" i="24"/>
  <c r="EB12" i="24"/>
  <c r="DY12" i="24"/>
  <c r="DS12" i="24"/>
  <c r="DP12" i="24"/>
  <c r="DG12" i="24"/>
  <c r="DD12" i="24"/>
  <c r="DD11" i="24" s="1"/>
  <c r="DA12" i="24"/>
  <c r="CU12" i="24"/>
  <c r="CO12" i="24"/>
  <c r="CI12" i="24"/>
  <c r="CF12" i="24"/>
  <c r="CC12" i="24"/>
  <c r="BZ11" i="24"/>
  <c r="BT12" i="24"/>
  <c r="BQ12" i="24"/>
  <c r="BN12" i="24"/>
  <c r="BK12" i="24"/>
  <c r="BH12" i="24"/>
  <c r="BE12" i="24"/>
  <c r="BB12" i="24"/>
  <c r="AY12" i="24"/>
  <c r="AV12" i="24"/>
  <c r="AS12" i="24"/>
  <c r="AP12" i="24"/>
  <c r="AM12" i="24"/>
  <c r="AJ12" i="24"/>
  <c r="AG12" i="24"/>
  <c r="AF12" i="24"/>
  <c r="Z12" i="24"/>
  <c r="W12" i="24"/>
  <c r="T12" i="24"/>
  <c r="Q12" i="24"/>
  <c r="N12" i="24"/>
  <c r="HE11" i="24"/>
  <c r="HB11" i="24"/>
  <c r="GY11" i="24"/>
  <c r="GV11" i="24"/>
  <c r="GP11" i="24"/>
  <c r="GM11" i="24"/>
  <c r="GJ11" i="24"/>
  <c r="GG11" i="24"/>
  <c r="GA11" i="24"/>
  <c r="GA8" i="24" s="1"/>
  <c r="FL11" i="24"/>
  <c r="FI11" i="24"/>
  <c r="FF11" i="24"/>
  <c r="FC11" i="24"/>
  <c r="EW11" i="24"/>
  <c r="ET11" i="24"/>
  <c r="EQ11" i="24"/>
  <c r="EN11" i="24"/>
  <c r="EH11" i="24"/>
  <c r="EH8" i="24" s="1"/>
  <c r="DS11" i="24"/>
  <c r="DP11" i="24"/>
  <c r="DJ11" i="24"/>
  <c r="DJ10" i="24" s="1"/>
  <c r="DJ12" i="24" s="1"/>
  <c r="DA11" i="24"/>
  <c r="CX11" i="24"/>
  <c r="CU11" i="24"/>
  <c r="CO11" i="24"/>
  <c r="CI11" i="24"/>
  <c r="CF11" i="24"/>
  <c r="CC11" i="24"/>
  <c r="BT11" i="24"/>
  <c r="BQ11" i="24"/>
  <c r="BN11" i="24"/>
  <c r="BK11" i="24"/>
  <c r="BH11" i="24"/>
  <c r="BE11" i="24"/>
  <c r="BB11" i="24"/>
  <c r="AY11" i="24"/>
  <c r="AV11" i="24"/>
  <c r="AS11" i="24"/>
  <c r="AP11" i="24"/>
  <c r="AM11" i="24"/>
  <c r="AJ11" i="24"/>
  <c r="AG11" i="24"/>
  <c r="AF11" i="24"/>
  <c r="Z11" i="24"/>
  <c r="W11" i="24"/>
  <c r="T11" i="24"/>
  <c r="Q11" i="24"/>
  <c r="N11" i="24"/>
  <c r="E11" i="24"/>
  <c r="HE10" i="24"/>
  <c r="HB10" i="24"/>
  <c r="GY10" i="24"/>
  <c r="GV10" i="24"/>
  <c r="GP10" i="24"/>
  <c r="GM10" i="24"/>
  <c r="GJ10" i="24"/>
  <c r="GG10" i="24"/>
  <c r="GA10" i="24"/>
  <c r="FL10" i="24"/>
  <c r="FI10" i="24"/>
  <c r="FF10" i="24"/>
  <c r="FC10" i="24"/>
  <c r="EW10" i="24"/>
  <c r="ET10" i="24"/>
  <c r="EQ10" i="24"/>
  <c r="EN10" i="24"/>
  <c r="EH10" i="24"/>
  <c r="EE10" i="24"/>
  <c r="EB10" i="24"/>
  <c r="DY10" i="24"/>
  <c r="DS10" i="24"/>
  <c r="DS8" i="24" s="1"/>
  <c r="DP10" i="24"/>
  <c r="DG10" i="24"/>
  <c r="DD10" i="24"/>
  <c r="DA10" i="24"/>
  <c r="CU10" i="24"/>
  <c r="CO10" i="24"/>
  <c r="CI10" i="24"/>
  <c r="CI6" i="24" s="1"/>
  <c r="CF10" i="24"/>
  <c r="CC10" i="24"/>
  <c r="BQ10" i="24"/>
  <c r="BN10" i="24"/>
  <c r="BN9" i="24" s="1"/>
  <c r="BK10" i="24"/>
  <c r="BK9" i="24" s="1"/>
  <c r="BH10" i="24"/>
  <c r="BE10" i="24"/>
  <c r="BE6" i="24" s="1"/>
  <c r="BB10" i="24"/>
  <c r="AY10" i="24"/>
  <c r="AY6" i="24" s="1"/>
  <c r="AV10" i="24"/>
  <c r="AS10" i="24"/>
  <c r="AP10" i="24"/>
  <c r="AP6" i="24" s="1"/>
  <c r="AM10" i="24"/>
  <c r="AG10" i="24"/>
  <c r="AF10" i="24"/>
  <c r="Z10" i="24"/>
  <c r="Z6" i="24" s="1"/>
  <c r="W10" i="24"/>
  <c r="W6" i="24" s="1"/>
  <c r="T10" i="24"/>
  <c r="T6" i="24" s="1"/>
  <c r="Q10" i="24"/>
  <c r="N10" i="24"/>
  <c r="N6" i="24" s="1"/>
  <c r="K10" i="24"/>
  <c r="HE9" i="24"/>
  <c r="HB9" i="24"/>
  <c r="GY9" i="24"/>
  <c r="GV9" i="24"/>
  <c r="GP9" i="24"/>
  <c r="GP8" i="24" s="1"/>
  <c r="GM9" i="24"/>
  <c r="GJ9" i="24"/>
  <c r="GG9" i="24"/>
  <c r="GA9" i="24"/>
  <c r="FR9" i="24"/>
  <c r="FR8" i="24" s="1"/>
  <c r="FR10" i="24" s="1"/>
  <c r="FL9" i="24"/>
  <c r="FL8" i="24" s="1"/>
  <c r="FI9" i="24"/>
  <c r="FF9" i="24"/>
  <c r="FC9" i="24"/>
  <c r="EW9" i="24"/>
  <c r="ET9" i="24"/>
  <c r="EQ9" i="24"/>
  <c r="EN9" i="24"/>
  <c r="EH9" i="24"/>
  <c r="EE9" i="24"/>
  <c r="EB9" i="24"/>
  <c r="DY9" i="24"/>
  <c r="DS9" i="24"/>
  <c r="DP9" i="24"/>
  <c r="DJ9" i="24"/>
  <c r="DG9" i="24"/>
  <c r="DD9" i="24"/>
  <c r="DA9" i="24"/>
  <c r="CX9" i="24"/>
  <c r="CX10" i="24" s="1"/>
  <c r="CU9" i="24"/>
  <c r="CO9" i="24"/>
  <c r="CI9" i="24"/>
  <c r="CF9" i="24"/>
  <c r="CC9" i="24"/>
  <c r="BZ9" i="24"/>
  <c r="BW9" i="24"/>
  <c r="BT9" i="24"/>
  <c r="BQ9" i="24"/>
  <c r="BH9" i="24"/>
  <c r="BE9" i="24"/>
  <c r="BB9" i="24"/>
  <c r="AY9" i="24"/>
  <c r="AV9" i="24"/>
  <c r="AS9" i="24"/>
  <c r="AP9" i="24"/>
  <c r="AM9" i="24"/>
  <c r="AJ9" i="24"/>
  <c r="AG9" i="24"/>
  <c r="AG23" i="24" s="1"/>
  <c r="AF9" i="24"/>
  <c r="AF23" i="24" s="1"/>
  <c r="AF27" i="24" s="1"/>
  <c r="AE9" i="24"/>
  <c r="AE23" i="24" s="1"/>
  <c r="AE27" i="24" s="1"/>
  <c r="AD9" i="24"/>
  <c r="AD23" i="24" s="1"/>
  <c r="AD27" i="24" s="1"/>
  <c r="AC9" i="24"/>
  <c r="Z9" i="24"/>
  <c r="W9" i="24"/>
  <c r="T9" i="24"/>
  <c r="Q9" i="24"/>
  <c r="N9" i="24"/>
  <c r="K9" i="24"/>
  <c r="H9" i="24"/>
  <c r="E9" i="24"/>
  <c r="E10" i="24" s="1"/>
  <c r="HB8" i="24"/>
  <c r="HB6" i="24" s="1"/>
  <c r="GY8" i="24"/>
  <c r="GV8" i="24"/>
  <c r="GM8" i="24"/>
  <c r="GJ8" i="24"/>
  <c r="GJ6" i="24" s="1"/>
  <c r="GG8" i="24"/>
  <c r="GG6" i="24" s="1"/>
  <c r="FI8" i="24"/>
  <c r="FF8" i="24"/>
  <c r="FF6" i="24" s="1"/>
  <c r="FC8" i="24"/>
  <c r="FC6" i="24" s="1"/>
  <c r="EW8" i="24"/>
  <c r="ET8" i="24"/>
  <c r="ET6" i="24" s="1"/>
  <c r="EQ8" i="24"/>
  <c r="EN8" i="24"/>
  <c r="EE8" i="24"/>
  <c r="EE6" i="24" s="1"/>
  <c r="EB8" i="24"/>
  <c r="EB6" i="24" s="1"/>
  <c r="DY8" i="24"/>
  <c r="DV8" i="24"/>
  <c r="DP8" i="24"/>
  <c r="DM8" i="24"/>
  <c r="DJ8" i="24"/>
  <c r="DJ6" i="24" s="1"/>
  <c r="DG8" i="24"/>
  <c r="DA8" i="24"/>
  <c r="CX8" i="24"/>
  <c r="CU8" i="24"/>
  <c r="CO8" i="24"/>
  <c r="CL8" i="24"/>
  <c r="CI8" i="24"/>
  <c r="CF8" i="24"/>
  <c r="CC8" i="24"/>
  <c r="BZ8" i="24"/>
  <c r="BW8" i="24"/>
  <c r="BT8" i="24"/>
  <c r="BQ8" i="24"/>
  <c r="BN8" i="24"/>
  <c r="BK8" i="24"/>
  <c r="BH8" i="24"/>
  <c r="BE8" i="24"/>
  <c r="BB8" i="24"/>
  <c r="AY8" i="24"/>
  <c r="AV8" i="24"/>
  <c r="AS8" i="24"/>
  <c r="AP8" i="24"/>
  <c r="AM8" i="24"/>
  <c r="AJ8" i="24"/>
  <c r="AG8" i="24"/>
  <c r="AG29" i="24" s="1"/>
  <c r="AF8" i="24"/>
  <c r="AE8" i="24"/>
  <c r="AE29" i="24" s="1"/>
  <c r="AD8" i="24"/>
  <c r="AD29" i="24" s="1"/>
  <c r="AC8" i="24"/>
  <c r="AC29" i="24" s="1"/>
  <c r="Z8" i="24"/>
  <c r="W8" i="24"/>
  <c r="T8" i="24"/>
  <c r="Q8" i="24"/>
  <c r="N8" i="24"/>
  <c r="K8" i="24"/>
  <c r="H8" i="24"/>
  <c r="E8" i="24"/>
  <c r="HE7" i="24"/>
  <c r="HE8" i="24" s="1"/>
  <c r="HB7" i="24"/>
  <c r="GY7" i="24"/>
  <c r="GY5" i="24" s="1"/>
  <c r="GV7" i="24"/>
  <c r="GM7" i="24"/>
  <c r="GJ7" i="24"/>
  <c r="GG7" i="24"/>
  <c r="FR7" i="24"/>
  <c r="FI7" i="24"/>
  <c r="FI5" i="24" s="1"/>
  <c r="FI2" i="24" s="1"/>
  <c r="FF7" i="24"/>
  <c r="FF5" i="24" s="1"/>
  <c r="FC7" i="24"/>
  <c r="FC5" i="24" s="1"/>
  <c r="ET7" i="24"/>
  <c r="EQ7" i="24"/>
  <c r="EN7" i="24"/>
  <c r="EE7" i="24"/>
  <c r="EE5" i="24" s="1"/>
  <c r="EE2" i="24" s="1"/>
  <c r="EB7" i="24"/>
  <c r="DY7" i="24"/>
  <c r="DY5" i="24" s="1"/>
  <c r="DM7" i="24"/>
  <c r="DM5" i="24" s="1"/>
  <c r="DJ7" i="24"/>
  <c r="DA7" i="24"/>
  <c r="CX7" i="24"/>
  <c r="CX6" i="24" s="1"/>
  <c r="CU7" i="24"/>
  <c r="CO7" i="24"/>
  <c r="CL7" i="24"/>
  <c r="CI7" i="24"/>
  <c r="CF7" i="24"/>
  <c r="CC7" i="24"/>
  <c r="BZ7" i="24"/>
  <c r="BW7" i="24"/>
  <c r="BT7" i="24"/>
  <c r="BQ7" i="24"/>
  <c r="BN7" i="24"/>
  <c r="BK7" i="24"/>
  <c r="BH7" i="24"/>
  <c r="BE7" i="24"/>
  <c r="BB7" i="24"/>
  <c r="AY7" i="24"/>
  <c r="AV7" i="24"/>
  <c r="AS7" i="24"/>
  <c r="AP7" i="24"/>
  <c r="AM7" i="24"/>
  <c r="AJ7" i="24"/>
  <c r="AG7" i="24"/>
  <c r="AF7" i="24"/>
  <c r="AE7" i="24"/>
  <c r="AD7" i="24"/>
  <c r="AC7" i="24"/>
  <c r="Z7" i="24"/>
  <c r="W7" i="24"/>
  <c r="T7" i="24"/>
  <c r="Q7" i="24"/>
  <c r="N7" i="24"/>
  <c r="K7" i="24"/>
  <c r="H7" i="24"/>
  <c r="E7" i="24"/>
  <c r="GY6" i="24"/>
  <c r="GV6" i="24"/>
  <c r="GS6" i="24"/>
  <c r="GP6" i="24"/>
  <c r="GM6" i="24"/>
  <c r="GD6" i="24"/>
  <c r="GA6" i="24"/>
  <c r="FU6" i="24"/>
  <c r="FR6" i="24"/>
  <c r="FL6" i="24"/>
  <c r="FI6" i="24"/>
  <c r="EZ6" i="24"/>
  <c r="EW6" i="24"/>
  <c r="EQ6" i="24"/>
  <c r="EN6" i="24"/>
  <c r="EK6" i="24"/>
  <c r="EH6" i="24"/>
  <c r="DY6" i="24"/>
  <c r="DV6" i="24"/>
  <c r="DS6" i="24"/>
  <c r="DP6" i="24"/>
  <c r="DM6" i="24"/>
  <c r="DD6" i="24"/>
  <c r="DA6" i="24"/>
  <c r="CU6" i="24"/>
  <c r="CR6" i="24"/>
  <c r="CO6" i="24"/>
  <c r="CL6" i="24"/>
  <c r="CF6" i="24"/>
  <c r="CC6" i="24"/>
  <c r="BZ6" i="24"/>
  <c r="BW6" i="24"/>
  <c r="BT6" i="24"/>
  <c r="BH6" i="24"/>
  <c r="BB6" i="24"/>
  <c r="AV6" i="24"/>
  <c r="AS6" i="24"/>
  <c r="AM6" i="24"/>
  <c r="AJ6" i="24"/>
  <c r="Q6" i="24"/>
  <c r="K6" i="24"/>
  <c r="H6" i="24"/>
  <c r="E6" i="24"/>
  <c r="HE5" i="24"/>
  <c r="HB5" i="24"/>
  <c r="GV5" i="24"/>
  <c r="GS5" i="24"/>
  <c r="GP5" i="24"/>
  <c r="GM5" i="24"/>
  <c r="GJ5" i="24"/>
  <c r="GG5" i="24"/>
  <c r="GD5" i="24"/>
  <c r="GA5" i="24"/>
  <c r="FX5" i="24"/>
  <c r="FU5" i="24"/>
  <c r="FR5" i="24"/>
  <c r="FO5" i="24"/>
  <c r="FL5" i="24"/>
  <c r="EZ5" i="24"/>
  <c r="EW5" i="24"/>
  <c r="ET5" i="24"/>
  <c r="EQ5" i="24"/>
  <c r="EN5" i="24"/>
  <c r="EK5" i="24"/>
  <c r="EH5" i="24"/>
  <c r="EB5" i="24"/>
  <c r="DV5" i="24"/>
  <c r="DS5" i="24"/>
  <c r="DP5" i="24"/>
  <c r="DJ5" i="24"/>
  <c r="DD5" i="24"/>
  <c r="DA5" i="24"/>
  <c r="CX5" i="24"/>
  <c r="CU5" i="24"/>
  <c r="CR5" i="24"/>
  <c r="CO5" i="24"/>
  <c r="CL5" i="24"/>
  <c r="CI5" i="24"/>
  <c r="CF5" i="24"/>
  <c r="CC5" i="24"/>
  <c r="BZ5" i="24"/>
  <c r="BW5" i="24"/>
  <c r="BT5" i="24"/>
  <c r="BQ5" i="24"/>
  <c r="BN5" i="24"/>
  <c r="BK5" i="24"/>
  <c r="BH5" i="24"/>
  <c r="BE5" i="24"/>
  <c r="BB5" i="24"/>
  <c r="AY5" i="24"/>
  <c r="AV5" i="24"/>
  <c r="AS5" i="24"/>
  <c r="AP5" i="24"/>
  <c r="AM5" i="24"/>
  <c r="AJ5" i="24"/>
  <c r="AG5" i="24"/>
  <c r="AF5" i="24"/>
  <c r="AE5" i="24"/>
  <c r="AD5" i="24"/>
  <c r="AC5" i="24"/>
  <c r="Z5" i="24"/>
  <c r="W5" i="24"/>
  <c r="T5" i="24"/>
  <c r="Q5" i="24"/>
  <c r="N5" i="24"/>
  <c r="K5" i="24"/>
  <c r="H5" i="24"/>
  <c r="E5" i="24"/>
  <c r="FX2" i="24"/>
  <c r="CR2" i="24"/>
  <c r="H69" i="27"/>
  <c r="H68" i="27"/>
  <c r="H67" i="27"/>
  <c r="H66" i="27"/>
  <c r="H65" i="27"/>
  <c r="H64" i="27"/>
  <c r="H63" i="27"/>
  <c r="H59" i="27" s="1"/>
  <c r="H62" i="27"/>
  <c r="H61" i="27"/>
  <c r="H60" i="27"/>
  <c r="H57" i="27"/>
  <c r="H56" i="27"/>
  <c r="H55" i="27"/>
  <c r="H54" i="27"/>
  <c r="H53" i="27"/>
  <c r="K52" i="27"/>
  <c r="H52" i="27"/>
  <c r="E52" i="27"/>
  <c r="K51" i="27"/>
  <c r="H51" i="27"/>
  <c r="H48" i="27" s="1"/>
  <c r="E51" i="27"/>
  <c r="DA50" i="27"/>
  <c r="K50" i="27"/>
  <c r="DA49" i="27"/>
  <c r="K49" i="27"/>
  <c r="E49" i="27"/>
  <c r="CU48" i="27"/>
  <c r="K48" i="27"/>
  <c r="E48" i="27"/>
  <c r="CU47" i="27"/>
  <c r="K47" i="27"/>
  <c r="H47" i="27"/>
  <c r="H45" i="27" s="1"/>
  <c r="E47" i="27"/>
  <c r="H46" i="27"/>
  <c r="H44" i="27" s="1"/>
  <c r="E46" i="27"/>
  <c r="DA45" i="27"/>
  <c r="E45" i="27"/>
  <c r="E53" i="27" s="1"/>
  <c r="E43" i="27" s="1"/>
  <c r="DA43" i="27"/>
  <c r="CU43" i="27"/>
  <c r="Z43" i="27"/>
  <c r="K43" i="27"/>
  <c r="DA42" i="27"/>
  <c r="CU42" i="27"/>
  <c r="Z42" i="27"/>
  <c r="K42" i="27"/>
  <c r="K16" i="27" s="1"/>
  <c r="HE41" i="27"/>
  <c r="DA41" i="27"/>
  <c r="CU41" i="27"/>
  <c r="K41" i="27"/>
  <c r="H41" i="27"/>
  <c r="HE40" i="27"/>
  <c r="HE37" i="27" s="1"/>
  <c r="DA40" i="27"/>
  <c r="DA26" i="27" s="1"/>
  <c r="CU40" i="27"/>
  <c r="HE39" i="27"/>
  <c r="DA39" i="27"/>
  <c r="CU39" i="27"/>
  <c r="Z39" i="27"/>
  <c r="HE38" i="27"/>
  <c r="DA38" i="27"/>
  <c r="CU38" i="27"/>
  <c r="K38" i="27"/>
  <c r="H38" i="27"/>
  <c r="DA37" i="27"/>
  <c r="CU37" i="27"/>
  <c r="Z37" i="27"/>
  <c r="W37" i="27"/>
  <c r="K37" i="27"/>
  <c r="H37" i="27"/>
  <c r="E37" i="27"/>
  <c r="HE36" i="27"/>
  <c r="DA36" i="27"/>
  <c r="CU36" i="27"/>
  <c r="Z36" i="27"/>
  <c r="W36" i="27"/>
  <c r="K36" i="27"/>
  <c r="H36" i="27"/>
  <c r="E36" i="27"/>
  <c r="HE35" i="27"/>
  <c r="HE42" i="27" s="1"/>
  <c r="DA35" i="27"/>
  <c r="CU35" i="27"/>
  <c r="BZ35" i="27"/>
  <c r="BN35" i="27"/>
  <c r="BK35" i="27"/>
  <c r="BE35" i="27"/>
  <c r="BB35" i="27"/>
  <c r="AV35" i="27"/>
  <c r="AS35" i="27"/>
  <c r="AM35" i="27"/>
  <c r="AJ35" i="27"/>
  <c r="Z35" i="27"/>
  <c r="W35" i="27"/>
  <c r="Q35" i="27"/>
  <c r="N35" i="27"/>
  <c r="K35" i="27"/>
  <c r="H35" i="27"/>
  <c r="E35" i="27"/>
  <c r="HE34" i="27"/>
  <c r="DA34" i="27"/>
  <c r="CU34" i="27"/>
  <c r="BZ34" i="27"/>
  <c r="BN34" i="27"/>
  <c r="BK34" i="27"/>
  <c r="BE34" i="27"/>
  <c r="BB34" i="27"/>
  <c r="AV34" i="27"/>
  <c r="AS34" i="27"/>
  <c r="AM34" i="27"/>
  <c r="AJ34" i="27"/>
  <c r="Z34" i="27"/>
  <c r="W34" i="27"/>
  <c r="Q34" i="27"/>
  <c r="N34" i="27"/>
  <c r="K34" i="27"/>
  <c r="H34" i="27"/>
  <c r="E34" i="27"/>
  <c r="E38" i="27" s="1"/>
  <c r="E31" i="27" s="1"/>
  <c r="HE33" i="27"/>
  <c r="DA33" i="27"/>
  <c r="CU33" i="27"/>
  <c r="CO33" i="27"/>
  <c r="BN33" i="27"/>
  <c r="BK33" i="27"/>
  <c r="BE33" i="27"/>
  <c r="BB33" i="27"/>
  <c r="AV33" i="27"/>
  <c r="AS33" i="27"/>
  <c r="AM33" i="27"/>
  <c r="AJ33" i="27"/>
  <c r="AF33" i="27"/>
  <c r="Z33" i="27"/>
  <c r="W33" i="27"/>
  <c r="Q33" i="27"/>
  <c r="N33" i="27"/>
  <c r="K33" i="27"/>
  <c r="H33" i="27"/>
  <c r="E33" i="27"/>
  <c r="DA32" i="27"/>
  <c r="CU32" i="27"/>
  <c r="CU25" i="27" s="1"/>
  <c r="CO32" i="27"/>
  <c r="CO34" i="27" s="1"/>
  <c r="BN32" i="27"/>
  <c r="BK32" i="27"/>
  <c r="BE32" i="27"/>
  <c r="BB32" i="27"/>
  <c r="AV32" i="27"/>
  <c r="AS32" i="27"/>
  <c r="AM32" i="27"/>
  <c r="AJ32" i="27"/>
  <c r="AE32" i="27"/>
  <c r="AD32" i="27"/>
  <c r="AC32" i="27"/>
  <c r="Z32" i="27"/>
  <c r="W32" i="27"/>
  <c r="Q32" i="27"/>
  <c r="N32" i="27"/>
  <c r="K32" i="27"/>
  <c r="H32" i="27"/>
  <c r="HE31" i="27"/>
  <c r="DA31" i="27"/>
  <c r="CU31" i="27"/>
  <c r="CO31" i="27"/>
  <c r="CF31" i="27"/>
  <c r="CC31" i="27"/>
  <c r="BW31" i="27"/>
  <c r="BN31" i="27"/>
  <c r="BK31" i="27"/>
  <c r="BE31" i="27"/>
  <c r="BB31" i="27"/>
  <c r="AV31" i="27"/>
  <c r="AS31" i="27"/>
  <c r="AM31" i="27"/>
  <c r="AJ31" i="27"/>
  <c r="Z31" i="27"/>
  <c r="W31" i="27"/>
  <c r="Q31" i="27"/>
  <c r="N31" i="27"/>
  <c r="K31" i="27"/>
  <c r="K28" i="27" s="1"/>
  <c r="H31" i="27"/>
  <c r="HE30" i="27"/>
  <c r="DA30" i="27"/>
  <c r="CU30" i="27"/>
  <c r="CO30" i="27"/>
  <c r="CF30" i="27"/>
  <c r="CC30" i="27"/>
  <c r="BZ30" i="27"/>
  <c r="BW30" i="27"/>
  <c r="BN30" i="27"/>
  <c r="BK30" i="27"/>
  <c r="BE30" i="27"/>
  <c r="BB30" i="27"/>
  <c r="AS30" i="27"/>
  <c r="AM30" i="27"/>
  <c r="AJ30" i="27"/>
  <c r="Z30" i="27"/>
  <c r="Z29" i="27" s="1"/>
  <c r="W30" i="27"/>
  <c r="W29" i="27" s="1"/>
  <c r="Q30" i="27"/>
  <c r="N30" i="27"/>
  <c r="K30" i="27"/>
  <c r="H30" i="27"/>
  <c r="HE29" i="27"/>
  <c r="HE27" i="27" s="1"/>
  <c r="HE28" i="27" s="1"/>
  <c r="DA29" i="27"/>
  <c r="DA25" i="27" s="1"/>
  <c r="CU29" i="27"/>
  <c r="CU26" i="27" s="1"/>
  <c r="CO29" i="27"/>
  <c r="CF29" i="27"/>
  <c r="CC29" i="27"/>
  <c r="BZ29" i="27"/>
  <c r="BN29" i="27"/>
  <c r="BK29" i="27"/>
  <c r="BE29" i="27"/>
  <c r="BE25" i="27" s="1"/>
  <c r="BE21" i="27" s="1"/>
  <c r="BB29" i="27"/>
  <c r="BB25" i="27" s="1"/>
  <c r="BB21" i="27" s="1"/>
  <c r="AV29" i="27"/>
  <c r="AS29" i="27"/>
  <c r="AM29" i="27"/>
  <c r="AJ29" i="27"/>
  <c r="AJ25" i="27" s="1"/>
  <c r="Q29" i="27"/>
  <c r="Q25" i="27" s="1"/>
  <c r="Q21" i="27" s="1"/>
  <c r="N29" i="27"/>
  <c r="N25" i="27" s="1"/>
  <c r="N21" i="27" s="1"/>
  <c r="K29" i="27"/>
  <c r="H29" i="27"/>
  <c r="H22" i="27" s="1"/>
  <c r="DA28" i="27"/>
  <c r="DA24" i="27" s="1"/>
  <c r="CU28" i="27"/>
  <c r="CO28" i="27"/>
  <c r="CF28" i="27"/>
  <c r="CC28" i="27"/>
  <c r="BZ28" i="27"/>
  <c r="BN28" i="27"/>
  <c r="BK28" i="27"/>
  <c r="BE28" i="27"/>
  <c r="BB28" i="27"/>
  <c r="AV28" i="27"/>
  <c r="AS28" i="27"/>
  <c r="AM28" i="27"/>
  <c r="AJ28" i="27"/>
  <c r="Z28" i="27"/>
  <c r="W28" i="27"/>
  <c r="Q28" i="27"/>
  <c r="N28" i="27"/>
  <c r="H28" i="27"/>
  <c r="HB27" i="27"/>
  <c r="GM27" i="27"/>
  <c r="FI27" i="27"/>
  <c r="ET27" i="27"/>
  <c r="EE27" i="27"/>
  <c r="DA27" i="27"/>
  <c r="CU27" i="27"/>
  <c r="CO27" i="27"/>
  <c r="CF27" i="27"/>
  <c r="CC27" i="27"/>
  <c r="CC23" i="27" s="1"/>
  <c r="BZ27" i="27"/>
  <c r="BN27" i="27"/>
  <c r="BN26" i="27" s="1"/>
  <c r="BK27" i="27"/>
  <c r="BE27" i="27"/>
  <c r="BB27" i="27"/>
  <c r="AV27" i="27"/>
  <c r="AS27" i="27"/>
  <c r="AM27" i="27"/>
  <c r="AM26" i="27" s="1"/>
  <c r="AM21" i="27" s="1"/>
  <c r="AJ27" i="27"/>
  <c r="AJ26" i="27" s="1"/>
  <c r="Z27" i="27"/>
  <c r="Z40" i="27" s="1"/>
  <c r="W27" i="27"/>
  <c r="Q27" i="27"/>
  <c r="Q26" i="27" s="1"/>
  <c r="N27" i="27"/>
  <c r="K27" i="27"/>
  <c r="H27" i="27"/>
  <c r="HB26" i="27"/>
  <c r="GM26" i="27"/>
  <c r="FI26" i="27"/>
  <c r="ET26" i="27"/>
  <c r="ET24" i="27" s="1"/>
  <c r="EE26" i="27"/>
  <c r="EE24" i="27" s="1"/>
  <c r="DP26" i="27"/>
  <c r="CX26" i="27"/>
  <c r="CO26" i="27"/>
  <c r="CL26" i="27"/>
  <c r="CF26" i="27"/>
  <c r="CC26" i="27"/>
  <c r="BZ26" i="27"/>
  <c r="BT26" i="27"/>
  <c r="BK26" i="27"/>
  <c r="BE26" i="27"/>
  <c r="BB26" i="27"/>
  <c r="AV26" i="27"/>
  <c r="AS26" i="27"/>
  <c r="N26" i="27"/>
  <c r="K26" i="27"/>
  <c r="H26" i="27"/>
  <c r="E26" i="27"/>
  <c r="HE25" i="27"/>
  <c r="HB25" i="27"/>
  <c r="HB23" i="27" s="1"/>
  <c r="GM25" i="27"/>
  <c r="GM23" i="27" s="1"/>
  <c r="FI25" i="27"/>
  <c r="FI23" i="27" s="1"/>
  <c r="ET25" i="27"/>
  <c r="ET23" i="27" s="1"/>
  <c r="EE25" i="27"/>
  <c r="DP25" i="27"/>
  <c r="DG25" i="27"/>
  <c r="CX25" i="27"/>
  <c r="CO25" i="27"/>
  <c r="CL25" i="27"/>
  <c r="CF25" i="27"/>
  <c r="CF24" i="27" s="1"/>
  <c r="CC25" i="27"/>
  <c r="CC24" i="27" s="1"/>
  <c r="BZ25" i="27"/>
  <c r="BW25" i="27"/>
  <c r="BT25" i="27"/>
  <c r="AV25" i="27"/>
  <c r="AV21" i="27" s="1"/>
  <c r="AS25" i="27"/>
  <c r="AM25" i="27"/>
  <c r="AG25" i="27"/>
  <c r="AF25" i="27"/>
  <c r="AE25" i="27"/>
  <c r="AE24" i="27" s="1"/>
  <c r="AD25" i="27"/>
  <c r="AD24" i="27" s="1"/>
  <c r="AC25" i="27"/>
  <c r="AC24" i="27" s="1"/>
  <c r="E25" i="27"/>
  <c r="HB24" i="27"/>
  <c r="GM24" i="27"/>
  <c r="DP24" i="27"/>
  <c r="CX24" i="27"/>
  <c r="CR24" i="27"/>
  <c r="CO24" i="27"/>
  <c r="CL24" i="27"/>
  <c r="BZ24" i="27"/>
  <c r="BZ17" i="27" s="1"/>
  <c r="BW24" i="27"/>
  <c r="BT24" i="27"/>
  <c r="BN24" i="27"/>
  <c r="BN21" i="27" s="1"/>
  <c r="BK24" i="27"/>
  <c r="BK21" i="27" s="1"/>
  <c r="BE24" i="27"/>
  <c r="BB24" i="27"/>
  <c r="AV24" i="27"/>
  <c r="AS24" i="27"/>
  <c r="AM24" i="27"/>
  <c r="AJ24" i="27"/>
  <c r="AG24" i="27"/>
  <c r="AF24" i="27"/>
  <c r="Q24" i="27"/>
  <c r="N24" i="27"/>
  <c r="K24" i="27"/>
  <c r="H24" i="27"/>
  <c r="E24" i="27"/>
  <c r="EE23" i="27"/>
  <c r="DP23" i="27"/>
  <c r="DG23" i="27"/>
  <c r="DG20" i="27" s="1"/>
  <c r="DG16" i="27" s="1"/>
  <c r="DG7" i="27" s="1"/>
  <c r="CX23" i="27"/>
  <c r="CO23" i="27"/>
  <c r="CR23" i="27" s="1"/>
  <c r="CL23" i="27"/>
  <c r="CL20" i="27" s="1"/>
  <c r="CF23" i="27"/>
  <c r="BZ23" i="27"/>
  <c r="BW23" i="27"/>
  <c r="BT23" i="27"/>
  <c r="AD23" i="27"/>
  <c r="AD27" i="27" s="1"/>
  <c r="AD29" i="27" s="1"/>
  <c r="AC23" i="27"/>
  <c r="K23" i="27"/>
  <c r="H23" i="27"/>
  <c r="E23" i="27"/>
  <c r="HB22" i="27"/>
  <c r="GM22" i="27"/>
  <c r="GM16" i="27" s="1"/>
  <c r="FI22" i="27"/>
  <c r="FI16" i="27" s="1"/>
  <c r="ET22" i="27"/>
  <c r="EE22" i="27"/>
  <c r="EE16" i="27" s="1"/>
  <c r="DP22" i="27"/>
  <c r="DG22" i="27"/>
  <c r="CF22" i="27"/>
  <c r="CC22" i="27"/>
  <c r="BZ22" i="27"/>
  <c r="BW22" i="27"/>
  <c r="BT22" i="27"/>
  <c r="AG22" i="27"/>
  <c r="AF22" i="27"/>
  <c r="AE22" i="27"/>
  <c r="AD22" i="27"/>
  <c r="AC22" i="27"/>
  <c r="K22" i="27"/>
  <c r="HB21" i="27"/>
  <c r="GM21" i="27"/>
  <c r="FI21" i="27"/>
  <c r="ET21" i="27"/>
  <c r="EE21" i="27"/>
  <c r="DP21" i="27"/>
  <c r="DG21" i="27"/>
  <c r="DD21" i="27"/>
  <c r="BZ21" i="27"/>
  <c r="BW21" i="27"/>
  <c r="AS21" i="27"/>
  <c r="AG21" i="27"/>
  <c r="AF21" i="27"/>
  <c r="AE21" i="27"/>
  <c r="AD21" i="27"/>
  <c r="AC21" i="27"/>
  <c r="K21" i="27"/>
  <c r="K19" i="27" s="1"/>
  <c r="K14" i="27" s="1"/>
  <c r="DD20" i="27"/>
  <c r="BZ20" i="27"/>
  <c r="BW20" i="27"/>
  <c r="BW13" i="27" s="1"/>
  <c r="BW10" i="27" s="1"/>
  <c r="AG20" i="27"/>
  <c r="AF20" i="27"/>
  <c r="AE20" i="27"/>
  <c r="AD20" i="27"/>
  <c r="AC20" i="27"/>
  <c r="H20" i="27"/>
  <c r="HB19" i="27"/>
  <c r="GM19" i="27"/>
  <c r="FI19" i="27"/>
  <c r="ET19" i="27"/>
  <c r="EE19" i="27"/>
  <c r="DP19" i="27"/>
  <c r="DG19" i="27"/>
  <c r="DG11" i="27" s="1"/>
  <c r="DD19" i="27"/>
  <c r="BZ19" i="27"/>
  <c r="BW19" i="27"/>
  <c r="AG19" i="27"/>
  <c r="AF19" i="27"/>
  <c r="AE19" i="27"/>
  <c r="AD19" i="27"/>
  <c r="AC19" i="27"/>
  <c r="H19" i="27"/>
  <c r="HB18" i="27"/>
  <c r="GM18" i="27"/>
  <c r="GA18" i="27"/>
  <c r="FL18" i="27"/>
  <c r="FI18" i="27"/>
  <c r="EW18" i="27"/>
  <c r="ET18" i="27"/>
  <c r="EH18" i="27"/>
  <c r="EE18" i="27"/>
  <c r="DS18" i="27"/>
  <c r="DP18" i="27"/>
  <c r="DG18" i="27"/>
  <c r="CX18" i="27"/>
  <c r="BZ18" i="27"/>
  <c r="BZ16" i="27" s="1"/>
  <c r="BW18" i="27"/>
  <c r="AG18" i="27"/>
  <c r="AF18" i="27"/>
  <c r="AE18" i="27"/>
  <c r="AD18" i="27"/>
  <c r="AC18" i="27"/>
  <c r="H18" i="27"/>
  <c r="E18" i="27"/>
  <c r="HB17" i="27"/>
  <c r="GP17" i="27"/>
  <c r="GM17" i="27"/>
  <c r="GA17" i="27"/>
  <c r="FL17" i="27"/>
  <c r="FI17" i="27"/>
  <c r="EW17" i="27"/>
  <c r="ET17" i="27"/>
  <c r="EH17" i="27"/>
  <c r="EE17" i="27"/>
  <c r="DY17" i="27"/>
  <c r="DY16" i="27" s="1"/>
  <c r="DS17" i="27"/>
  <c r="DP17" i="27"/>
  <c r="DG17" i="27"/>
  <c r="CX17" i="27"/>
  <c r="BW17" i="27"/>
  <c r="BT17" i="27"/>
  <c r="AG17" i="27"/>
  <c r="AF17" i="27"/>
  <c r="AE17" i="27"/>
  <c r="AD17" i="27"/>
  <c r="AC17" i="27"/>
  <c r="H17" i="27"/>
  <c r="E17" i="27"/>
  <c r="BT16" i="27" s="1"/>
  <c r="BT19" i="27" s="1"/>
  <c r="HB16" i="27"/>
  <c r="GV16" i="27"/>
  <c r="GP16" i="27"/>
  <c r="GG16" i="27"/>
  <c r="FC16" i="27"/>
  <c r="FC15" i="27" s="1"/>
  <c r="ET16" i="27"/>
  <c r="EN16" i="27"/>
  <c r="DP16" i="27"/>
  <c r="DD16" i="27"/>
  <c r="CX16" i="27"/>
  <c r="CO16" i="27"/>
  <c r="BQ16" i="27"/>
  <c r="BN16" i="27"/>
  <c r="BK16" i="27"/>
  <c r="BH16" i="27"/>
  <c r="BE16" i="27"/>
  <c r="BB16" i="27"/>
  <c r="AY16" i="27"/>
  <c r="AV16" i="27"/>
  <c r="AS16" i="27"/>
  <c r="AP16" i="27"/>
  <c r="AM16" i="27"/>
  <c r="AJ16" i="27"/>
  <c r="AG16" i="27"/>
  <c r="AF16" i="27"/>
  <c r="AE16" i="27"/>
  <c r="AD16" i="27"/>
  <c r="AC16" i="27"/>
  <c r="Z16" i="27"/>
  <c r="T16" i="27"/>
  <c r="Q16" i="27"/>
  <c r="N16" i="27"/>
  <c r="HB15" i="27"/>
  <c r="GV15" i="27"/>
  <c r="GV17" i="27" s="1"/>
  <c r="GM15" i="27"/>
  <c r="GG15" i="27"/>
  <c r="GA15" i="27"/>
  <c r="FL15" i="27"/>
  <c r="FI15" i="27"/>
  <c r="EW15" i="27"/>
  <c r="ET15" i="27"/>
  <c r="ET2" i="27" s="1"/>
  <c r="EN15" i="27"/>
  <c r="EH15" i="27"/>
  <c r="EE15" i="27"/>
  <c r="DY15" i="27"/>
  <c r="DY18" i="27" s="1"/>
  <c r="DS15" i="27"/>
  <c r="DP15" i="27"/>
  <c r="DG15" i="27"/>
  <c r="DD15" i="27"/>
  <c r="CX15" i="27"/>
  <c r="CO15" i="27"/>
  <c r="CO17" i="27" s="1"/>
  <c r="BW15" i="27"/>
  <c r="BT15" i="27"/>
  <c r="BQ15" i="27"/>
  <c r="BN15" i="27"/>
  <c r="BK15" i="27"/>
  <c r="BH15" i="27"/>
  <c r="BE15" i="27"/>
  <c r="BB15" i="27"/>
  <c r="AY15" i="27"/>
  <c r="AV15" i="27"/>
  <c r="AS15" i="27"/>
  <c r="AP15" i="27"/>
  <c r="AM15" i="27"/>
  <c r="AJ15" i="27"/>
  <c r="AG15" i="27"/>
  <c r="AF15" i="27"/>
  <c r="AE15" i="27"/>
  <c r="AD15" i="27"/>
  <c r="AC15" i="27"/>
  <c r="Z15" i="27"/>
  <c r="W15" i="27"/>
  <c r="T15" i="27"/>
  <c r="Q15" i="27"/>
  <c r="N15" i="27"/>
  <c r="E15" i="27"/>
  <c r="E12" i="27" s="1"/>
  <c r="HB14" i="27"/>
  <c r="GV14" i="27"/>
  <c r="GP14" i="27"/>
  <c r="GM14" i="27"/>
  <c r="GG14" i="27"/>
  <c r="GG17" i="27" s="1"/>
  <c r="FI14" i="27"/>
  <c r="FC14" i="27"/>
  <c r="ET14" i="27"/>
  <c r="EN14" i="27"/>
  <c r="EN17" i="27" s="1"/>
  <c r="EE14" i="27"/>
  <c r="EB14" i="27"/>
  <c r="DY14" i="27"/>
  <c r="DP14" i="27"/>
  <c r="DG14" i="27"/>
  <c r="DD14" i="27"/>
  <c r="CX14" i="27"/>
  <c r="CO14" i="27"/>
  <c r="CI14" i="27"/>
  <c r="CF14" i="27"/>
  <c r="CC14" i="27"/>
  <c r="BW14" i="27"/>
  <c r="BT14" i="27"/>
  <c r="BQ14" i="27"/>
  <c r="BN14" i="27"/>
  <c r="BK14" i="27"/>
  <c r="BH14" i="27"/>
  <c r="BE14" i="27"/>
  <c r="BB14" i="27"/>
  <c r="AY14" i="27"/>
  <c r="AV14" i="27"/>
  <c r="AS14" i="27"/>
  <c r="AP14" i="27"/>
  <c r="AM14" i="27"/>
  <c r="AJ14" i="27"/>
  <c r="AG14" i="27"/>
  <c r="AF14" i="27"/>
  <c r="AE14" i="27"/>
  <c r="AD14" i="27"/>
  <c r="AC14" i="27"/>
  <c r="Z14" i="27"/>
  <c r="W14" i="27"/>
  <c r="T14" i="27"/>
  <c r="Q14" i="27"/>
  <c r="N14" i="27"/>
  <c r="E14" i="27"/>
  <c r="HE13" i="27"/>
  <c r="HB13" i="27"/>
  <c r="GY13" i="27"/>
  <c r="GV13" i="27"/>
  <c r="GP13" i="27"/>
  <c r="GM13" i="27"/>
  <c r="GJ13" i="27"/>
  <c r="GG13" i="27"/>
  <c r="GA13" i="27"/>
  <c r="FL13" i="27"/>
  <c r="FI13" i="27"/>
  <c r="FF13" i="27"/>
  <c r="FC13" i="27"/>
  <c r="EW13" i="27"/>
  <c r="ET13" i="27"/>
  <c r="EQ13" i="27"/>
  <c r="EN13" i="27"/>
  <c r="EH13" i="27"/>
  <c r="EE13" i="27"/>
  <c r="EB13" i="27"/>
  <c r="DY13" i="27"/>
  <c r="DP13" i="27"/>
  <c r="DG13" i="27"/>
  <c r="DD13" i="27"/>
  <c r="CX13" i="27"/>
  <c r="CU13" i="27"/>
  <c r="CO13" i="27"/>
  <c r="CI13" i="27"/>
  <c r="CF13" i="27"/>
  <c r="CC13" i="27"/>
  <c r="BT13" i="27"/>
  <c r="BQ13" i="27"/>
  <c r="BN13" i="27"/>
  <c r="BK13" i="27"/>
  <c r="BH13" i="27"/>
  <c r="BE13" i="27"/>
  <c r="BB13" i="27"/>
  <c r="AY13" i="27"/>
  <c r="AV13" i="27"/>
  <c r="AS13" i="27"/>
  <c r="AP13" i="27"/>
  <c r="AM13" i="27"/>
  <c r="AJ13" i="27"/>
  <c r="AG13" i="27"/>
  <c r="AF13" i="27"/>
  <c r="AE13" i="27"/>
  <c r="AD13" i="27"/>
  <c r="AC13" i="27"/>
  <c r="Z13" i="27"/>
  <c r="W13" i="27"/>
  <c r="T13" i="27"/>
  <c r="Q13" i="27"/>
  <c r="N13" i="27"/>
  <c r="K13" i="27"/>
  <c r="E13" i="27"/>
  <c r="HB12" i="27"/>
  <c r="GY12" i="27"/>
  <c r="GV12" i="27"/>
  <c r="GP12" i="27"/>
  <c r="GM12" i="27"/>
  <c r="GJ12" i="27"/>
  <c r="GG12" i="27"/>
  <c r="GA12" i="27"/>
  <c r="FL12" i="27"/>
  <c r="FI12" i="27"/>
  <c r="FF12" i="27"/>
  <c r="FC12" i="27"/>
  <c r="EW12" i="27"/>
  <c r="ET12" i="27"/>
  <c r="EQ12" i="27"/>
  <c r="EN12" i="27"/>
  <c r="EH12" i="27"/>
  <c r="EE12" i="27"/>
  <c r="EB12" i="27"/>
  <c r="DY12" i="27"/>
  <c r="DS12" i="27"/>
  <c r="DP12" i="27"/>
  <c r="DG12" i="27"/>
  <c r="DD12" i="27"/>
  <c r="DD11" i="27" s="1"/>
  <c r="DA12" i="27"/>
  <c r="DA11" i="27" s="1"/>
  <c r="DA10" i="27" s="1"/>
  <c r="CX12" i="27"/>
  <c r="CU12" i="27"/>
  <c r="CO12" i="27"/>
  <c r="CI12" i="27"/>
  <c r="CF12" i="27"/>
  <c r="CC12" i="27"/>
  <c r="BZ12" i="27"/>
  <c r="BZ11" i="27" s="1"/>
  <c r="BZ10" i="27" s="1"/>
  <c r="BT12" i="27"/>
  <c r="BT10" i="27" s="1"/>
  <c r="BQ12" i="27"/>
  <c r="BN12" i="27"/>
  <c r="BK12" i="27"/>
  <c r="BH12" i="27"/>
  <c r="BE12" i="27"/>
  <c r="BB12" i="27"/>
  <c r="AY12" i="27"/>
  <c r="AV12" i="27"/>
  <c r="AS12" i="27"/>
  <c r="AP12" i="27"/>
  <c r="AM12" i="27"/>
  <c r="AJ12" i="27"/>
  <c r="AG12" i="27"/>
  <c r="AF12" i="27"/>
  <c r="Z12" i="27"/>
  <c r="W12" i="27"/>
  <c r="W16" i="27" s="1"/>
  <c r="T12" i="27"/>
  <c r="Q12" i="27"/>
  <c r="N12" i="27"/>
  <c r="K12" i="27"/>
  <c r="HE11" i="27"/>
  <c r="HB11" i="27"/>
  <c r="GY11" i="27"/>
  <c r="GV11" i="27"/>
  <c r="GP11" i="27"/>
  <c r="GM11" i="27"/>
  <c r="GJ11" i="27"/>
  <c r="GG11" i="27"/>
  <c r="GA11" i="27"/>
  <c r="GA8" i="27" s="1"/>
  <c r="FL11" i="27"/>
  <c r="FI11" i="27"/>
  <c r="FF11" i="27"/>
  <c r="FC11" i="27"/>
  <c r="EW11" i="27"/>
  <c r="EW8" i="27" s="1"/>
  <c r="ET11" i="27"/>
  <c r="EQ11" i="27"/>
  <c r="EN11" i="27"/>
  <c r="EH11" i="27"/>
  <c r="EH8" i="27" s="1"/>
  <c r="EH7" i="27" s="1"/>
  <c r="DS11" i="27"/>
  <c r="DS8" i="27" s="1"/>
  <c r="DP11" i="27"/>
  <c r="DJ11" i="27"/>
  <c r="CX11" i="27"/>
  <c r="CU11" i="27"/>
  <c r="CU16" i="27" s="1"/>
  <c r="CO11" i="27"/>
  <c r="CI11" i="27"/>
  <c r="CF11" i="27"/>
  <c r="CC11" i="27"/>
  <c r="BT11" i="27"/>
  <c r="BQ11" i="27"/>
  <c r="BN11" i="27"/>
  <c r="BN9" i="27" s="1"/>
  <c r="BN2" i="27" s="1"/>
  <c r="BK11" i="27"/>
  <c r="BK9" i="27" s="1"/>
  <c r="BK2" i="27" s="1"/>
  <c r="BH11" i="27"/>
  <c r="BE11" i="27"/>
  <c r="BB11" i="27"/>
  <c r="AY11" i="27"/>
  <c r="AV11" i="27"/>
  <c r="AS11" i="27"/>
  <c r="AP11" i="27"/>
  <c r="AM11" i="27"/>
  <c r="AJ11" i="27"/>
  <c r="AG11" i="27"/>
  <c r="AF11" i="27"/>
  <c r="Z11" i="27"/>
  <c r="W11" i="27"/>
  <c r="T11" i="27"/>
  <c r="Q11" i="27"/>
  <c r="N11" i="27"/>
  <c r="K11" i="27"/>
  <c r="E11" i="27"/>
  <c r="BT9" i="27" s="1"/>
  <c r="HE10" i="27"/>
  <c r="HB10" i="27"/>
  <c r="GY10" i="27"/>
  <c r="GV10" i="27"/>
  <c r="GP10" i="27"/>
  <c r="GM10" i="27"/>
  <c r="GJ10" i="27"/>
  <c r="GG10" i="27"/>
  <c r="GA10" i="27"/>
  <c r="FL10" i="27"/>
  <c r="FI10" i="27"/>
  <c r="FF10" i="27"/>
  <c r="FC10" i="27"/>
  <c r="EW10" i="27"/>
  <c r="ET10" i="27"/>
  <c r="EQ10" i="27"/>
  <c r="EN10" i="27"/>
  <c r="EH10" i="27"/>
  <c r="EE10" i="27"/>
  <c r="EE2" i="27" s="1"/>
  <c r="EB10" i="27"/>
  <c r="DY10" i="27"/>
  <c r="DS10" i="27"/>
  <c r="DP10" i="27"/>
  <c r="DJ10" i="27"/>
  <c r="DG10" i="27"/>
  <c r="DD10" i="27"/>
  <c r="CX10" i="27"/>
  <c r="CU10" i="27"/>
  <c r="CO10" i="27"/>
  <c r="CI10" i="27"/>
  <c r="CF10" i="27"/>
  <c r="CC10" i="27"/>
  <c r="BQ10" i="27"/>
  <c r="BQ9" i="27" s="1"/>
  <c r="BQ2" i="27" s="1"/>
  <c r="BN10" i="27"/>
  <c r="BK10" i="27"/>
  <c r="BH10" i="27"/>
  <c r="BH6" i="27" s="1"/>
  <c r="BE10" i="27"/>
  <c r="BE6" i="27" s="1"/>
  <c r="BB10" i="27"/>
  <c r="BB6" i="27" s="1"/>
  <c r="AY10" i="27"/>
  <c r="AY6" i="27" s="1"/>
  <c r="AY2" i="27" s="1"/>
  <c r="AV10" i="27"/>
  <c r="AS10" i="27"/>
  <c r="AP10" i="27"/>
  <c r="AM10" i="27"/>
  <c r="AM6" i="27" s="1"/>
  <c r="AM2" i="27" s="1"/>
  <c r="AG10" i="27"/>
  <c r="AF10" i="27"/>
  <c r="Z10" i="27"/>
  <c r="Z6" i="27" s="1"/>
  <c r="Z18" i="27" s="1"/>
  <c r="W10" i="27"/>
  <c r="W6" i="27" s="1"/>
  <c r="T10" i="27"/>
  <c r="T6" i="27" s="1"/>
  <c r="T2" i="27" s="1"/>
  <c r="Q10" i="27"/>
  <c r="N10" i="27"/>
  <c r="K10" i="27"/>
  <c r="E10" i="27"/>
  <c r="HE9" i="27"/>
  <c r="HE7" i="27" s="1"/>
  <c r="HE8" i="27" s="1"/>
  <c r="HB9" i="27"/>
  <c r="GY9" i="27"/>
  <c r="GV9" i="27"/>
  <c r="GP9" i="27"/>
  <c r="GM9" i="27"/>
  <c r="GJ9" i="27"/>
  <c r="GG9" i="27"/>
  <c r="GA9" i="27"/>
  <c r="FR9" i="27"/>
  <c r="FR8" i="27" s="1"/>
  <c r="FL9" i="27"/>
  <c r="FL8" i="27" s="1"/>
  <c r="FL7" i="27" s="1"/>
  <c r="FI9" i="27"/>
  <c r="FF9" i="27"/>
  <c r="FC9" i="27"/>
  <c r="EW9" i="27"/>
  <c r="ET9" i="27"/>
  <c r="EQ9" i="27"/>
  <c r="EN9" i="27"/>
  <c r="EH9" i="27"/>
  <c r="EE9" i="27"/>
  <c r="EB9" i="27"/>
  <c r="DY9" i="27"/>
  <c r="DS9" i="27"/>
  <c r="DP9" i="27"/>
  <c r="DP7" i="27" s="1"/>
  <c r="DJ9" i="27"/>
  <c r="DJ12" i="27" s="1"/>
  <c r="DG9" i="27"/>
  <c r="DD9" i="27"/>
  <c r="DA9" i="27"/>
  <c r="CX9" i="27"/>
  <c r="CU9" i="27"/>
  <c r="CO9" i="27"/>
  <c r="CI9" i="27"/>
  <c r="CF9" i="27"/>
  <c r="CC9" i="27"/>
  <c r="BZ9" i="27"/>
  <c r="BW9" i="27"/>
  <c r="BH9" i="27"/>
  <c r="BE9" i="27"/>
  <c r="BB9" i="27"/>
  <c r="AY9" i="27"/>
  <c r="AV9" i="27"/>
  <c r="AS9" i="27"/>
  <c r="AP9" i="27"/>
  <c r="AM9" i="27"/>
  <c r="AJ9" i="27"/>
  <c r="AG9" i="27"/>
  <c r="AG23" i="27" s="1"/>
  <c r="AG27" i="27" s="1"/>
  <c r="AF9" i="27"/>
  <c r="AF23" i="27" s="1"/>
  <c r="AF27" i="27" s="1"/>
  <c r="AE9" i="27"/>
  <c r="AD9" i="27"/>
  <c r="AC9" i="27"/>
  <c r="Z9" i="27"/>
  <c r="W9" i="27"/>
  <c r="T9" i="27"/>
  <c r="Q9" i="27"/>
  <c r="N9" i="27"/>
  <c r="K9" i="27"/>
  <c r="H9" i="27"/>
  <c r="E9" i="27"/>
  <c r="HB8" i="27"/>
  <c r="GY8" i="27"/>
  <c r="GV8" i="27"/>
  <c r="GV6" i="27" s="1"/>
  <c r="GP8" i="27"/>
  <c r="GM8" i="27"/>
  <c r="GM6" i="27" s="1"/>
  <c r="GJ8" i="27"/>
  <c r="GG8" i="27"/>
  <c r="FI8" i="27"/>
  <c r="FI6" i="27" s="1"/>
  <c r="FF8" i="27"/>
  <c r="FF6" i="27" s="1"/>
  <c r="FC8" i="27"/>
  <c r="FC6" i="27" s="1"/>
  <c r="ET8" i="27"/>
  <c r="EQ8" i="27"/>
  <c r="EN8" i="27"/>
  <c r="EN6" i="27" s="1"/>
  <c r="EE8" i="27"/>
  <c r="EE6" i="27" s="1"/>
  <c r="EB8" i="27"/>
  <c r="EB6" i="27" s="1"/>
  <c r="DY8" i="27"/>
  <c r="DV8" i="27"/>
  <c r="DP8" i="27"/>
  <c r="DP6" i="27" s="1"/>
  <c r="DM8" i="27"/>
  <c r="DM6" i="27" s="1"/>
  <c r="DJ8" i="27"/>
  <c r="DJ6" i="27" s="1"/>
  <c r="DG8" i="27"/>
  <c r="DG6" i="27" s="1"/>
  <c r="DD8" i="27"/>
  <c r="DA8" i="27"/>
  <c r="CX8" i="27"/>
  <c r="CU8" i="27"/>
  <c r="CO8" i="27"/>
  <c r="CO6" i="27" s="1"/>
  <c r="CO2" i="27" s="1"/>
  <c r="CL8" i="27"/>
  <c r="CI8" i="27"/>
  <c r="CF8" i="27"/>
  <c r="CC8" i="27"/>
  <c r="BZ8" i="27"/>
  <c r="BW8" i="27"/>
  <c r="BT8" i="27"/>
  <c r="BQ8" i="27"/>
  <c r="BN8" i="27"/>
  <c r="BK8" i="27"/>
  <c r="BH8" i="27"/>
  <c r="BE8" i="27"/>
  <c r="BB8" i="27"/>
  <c r="AY8" i="27"/>
  <c r="AV8" i="27"/>
  <c r="AS8" i="27"/>
  <c r="AP8" i="27"/>
  <c r="AM8" i="27"/>
  <c r="AJ8" i="27"/>
  <c r="AG8" i="27"/>
  <c r="AF8" i="27"/>
  <c r="AE8" i="27"/>
  <c r="AD8" i="27"/>
  <c r="AC8" i="27"/>
  <c r="Z8" i="27"/>
  <c r="W8" i="27"/>
  <c r="T8" i="27"/>
  <c r="Q8" i="27"/>
  <c r="N8" i="27"/>
  <c r="K8" i="27"/>
  <c r="H8" i="27"/>
  <c r="E8" i="27"/>
  <c r="HB7" i="27"/>
  <c r="HB5" i="27" s="1"/>
  <c r="GY7" i="27"/>
  <c r="GY5" i="27" s="1"/>
  <c r="GV7" i="27"/>
  <c r="GM7" i="27"/>
  <c r="GJ7" i="27"/>
  <c r="GG7" i="27"/>
  <c r="FR7" i="27"/>
  <c r="FR10" i="27" s="1"/>
  <c r="FI7" i="27"/>
  <c r="FI5" i="27" s="1"/>
  <c r="FI2" i="27" s="1"/>
  <c r="FF7" i="27"/>
  <c r="FF5" i="27" s="1"/>
  <c r="FC7" i="27"/>
  <c r="ET7" i="27"/>
  <c r="EQ7" i="27"/>
  <c r="EQ5" i="27" s="1"/>
  <c r="EN7" i="27"/>
  <c r="EN5" i="27" s="1"/>
  <c r="EE7" i="27"/>
  <c r="EE5" i="27" s="1"/>
  <c r="EB7" i="27"/>
  <c r="DY7" i="27"/>
  <c r="DM7" i="27"/>
  <c r="DM5" i="27" s="1"/>
  <c r="DJ7" i="27"/>
  <c r="DJ5" i="27" s="1"/>
  <c r="DA7" i="27"/>
  <c r="CX7" i="27"/>
  <c r="CU7" i="27"/>
  <c r="CO7" i="27"/>
  <c r="CL7" i="27"/>
  <c r="CI7" i="27"/>
  <c r="CF7" i="27"/>
  <c r="CC7" i="27"/>
  <c r="BZ7" i="27"/>
  <c r="BW7" i="27"/>
  <c r="BT7" i="27"/>
  <c r="BT6" i="27" s="1"/>
  <c r="BQ7" i="27"/>
  <c r="BN7" i="27"/>
  <c r="BK7" i="27"/>
  <c r="BH7" i="27"/>
  <c r="BE7" i="27"/>
  <c r="BB7" i="27"/>
  <c r="AY7" i="27"/>
  <c r="AV7" i="27"/>
  <c r="AS7" i="27"/>
  <c r="AP7" i="27"/>
  <c r="AM7" i="27"/>
  <c r="AJ7" i="27"/>
  <c r="AG7" i="27"/>
  <c r="AF7" i="27"/>
  <c r="AE7" i="27"/>
  <c r="AD7" i="27"/>
  <c r="AC7" i="27"/>
  <c r="Z7" i="27"/>
  <c r="W7" i="27"/>
  <c r="T7" i="27"/>
  <c r="Q7" i="27"/>
  <c r="N7" i="27"/>
  <c r="K7" i="27"/>
  <c r="H7" i="27"/>
  <c r="E7" i="27"/>
  <c r="E6" i="27" s="1"/>
  <c r="HB6" i="27"/>
  <c r="GY6" i="27"/>
  <c r="GS6" i="27"/>
  <c r="GP6" i="27"/>
  <c r="GJ6" i="27"/>
  <c r="GG6" i="27"/>
  <c r="GD6" i="27"/>
  <c r="GA6" i="27"/>
  <c r="FU6" i="27"/>
  <c r="FR6" i="27"/>
  <c r="FL6" i="27"/>
  <c r="EZ6" i="27"/>
  <c r="EW6" i="27"/>
  <c r="ET6" i="27"/>
  <c r="EQ6" i="27"/>
  <c r="EK6" i="27"/>
  <c r="EH6" i="27"/>
  <c r="DY6" i="27"/>
  <c r="DV6" i="27"/>
  <c r="DS6" i="27"/>
  <c r="DS7" i="27" s="1"/>
  <c r="DD6" i="27"/>
  <c r="DA6" i="27"/>
  <c r="CX6" i="27"/>
  <c r="CU6" i="27"/>
  <c r="CU14" i="27" s="1"/>
  <c r="CR6" i="27"/>
  <c r="CL6" i="27"/>
  <c r="CI6" i="27"/>
  <c r="CF6" i="27"/>
  <c r="CC6" i="27"/>
  <c r="BZ6" i="27"/>
  <c r="BW6" i="27"/>
  <c r="AV6" i="27"/>
  <c r="AV2" i="27" s="1"/>
  <c r="AS6" i="27"/>
  <c r="AS2" i="27" s="1"/>
  <c r="AP6" i="27"/>
  <c r="AJ6" i="27"/>
  <c r="Q6" i="27"/>
  <c r="N6" i="27"/>
  <c r="N2" i="27" s="1"/>
  <c r="K6" i="27"/>
  <c r="H6" i="27"/>
  <c r="HE5" i="27"/>
  <c r="HE3" i="27" s="1"/>
  <c r="GV5" i="27"/>
  <c r="GS5" i="27"/>
  <c r="GP5" i="27"/>
  <c r="GP7" i="27" s="1"/>
  <c r="GM5" i="27"/>
  <c r="GJ5" i="27"/>
  <c r="GG5" i="27"/>
  <c r="GD5" i="27"/>
  <c r="GA5" i="27"/>
  <c r="FX5" i="27"/>
  <c r="FX2" i="27" s="1"/>
  <c r="FU5" i="27"/>
  <c r="FR5" i="27"/>
  <c r="FO5" i="27"/>
  <c r="FL5" i="27"/>
  <c r="FC5" i="27"/>
  <c r="EZ5" i="27"/>
  <c r="EW5" i="27"/>
  <c r="EW7" i="27" s="1"/>
  <c r="ET5" i="27"/>
  <c r="EK5" i="27"/>
  <c r="EH5" i="27"/>
  <c r="EB5" i="27"/>
  <c r="DY5" i="27"/>
  <c r="DV5" i="27"/>
  <c r="DS5" i="27"/>
  <c r="DD5" i="27"/>
  <c r="DA5" i="27"/>
  <c r="DA13" i="27" s="1"/>
  <c r="CX5" i="27"/>
  <c r="CX22" i="27" s="1"/>
  <c r="CU5" i="27"/>
  <c r="CU15" i="27" s="1"/>
  <c r="CO5" i="27"/>
  <c r="CR5" i="27" s="1"/>
  <c r="CL5" i="27"/>
  <c r="CI5" i="27"/>
  <c r="CF5" i="27"/>
  <c r="CF2" i="27" s="1"/>
  <c r="CC5" i="27"/>
  <c r="CC2" i="27" s="1"/>
  <c r="BZ5" i="27"/>
  <c r="BW5" i="27"/>
  <c r="BT5" i="27"/>
  <c r="BQ5" i="27"/>
  <c r="BN5" i="27"/>
  <c r="BK5" i="27"/>
  <c r="BH5" i="27"/>
  <c r="BE5" i="27"/>
  <c r="BE2" i="27" s="1"/>
  <c r="BB5" i="27"/>
  <c r="BB2" i="27" s="1"/>
  <c r="AY5" i="27"/>
  <c r="AV5" i="27"/>
  <c r="AS5" i="27"/>
  <c r="AP5" i="27"/>
  <c r="AM5" i="27"/>
  <c r="AJ5" i="27"/>
  <c r="AJ2" i="27" s="1"/>
  <c r="AG5" i="27"/>
  <c r="AF5" i="27"/>
  <c r="AE5" i="27"/>
  <c r="AD5" i="27"/>
  <c r="AD31" i="27" s="1"/>
  <c r="AC5" i="27"/>
  <c r="AC31" i="27" s="1"/>
  <c r="Z5" i="27"/>
  <c r="Z19" i="27" s="1"/>
  <c r="W5" i="27"/>
  <c r="W18" i="27" s="1"/>
  <c r="T5" i="27"/>
  <c r="Q5" i="27"/>
  <c r="N5" i="27"/>
  <c r="K5" i="27"/>
  <c r="H5" i="27"/>
  <c r="E5" i="27"/>
  <c r="E22" i="27" s="1"/>
  <c r="CL2" i="27"/>
  <c r="CR2" i="27" s="1"/>
  <c r="CI2" i="27"/>
  <c r="AP2" i="27"/>
  <c r="Q2" i="27"/>
  <c r="H69" i="26"/>
  <c r="H68" i="26"/>
  <c r="H67" i="26"/>
  <c r="H66" i="26"/>
  <c r="H65" i="26"/>
  <c r="H64" i="26"/>
  <c r="H63" i="26"/>
  <c r="H59" i="26" s="1"/>
  <c r="H62" i="26"/>
  <c r="H54" i="26" s="1"/>
  <c r="H61" i="26"/>
  <c r="H60" i="26"/>
  <c r="H57" i="26"/>
  <c r="H56" i="26"/>
  <c r="H55" i="26"/>
  <c r="H53" i="26"/>
  <c r="K52" i="26"/>
  <c r="H52" i="26"/>
  <c r="E52" i="26"/>
  <c r="K51" i="26"/>
  <c r="H51" i="26"/>
  <c r="E51" i="26"/>
  <c r="DA50" i="26"/>
  <c r="K50" i="26"/>
  <c r="DA49" i="26"/>
  <c r="K49" i="26"/>
  <c r="E49" i="26"/>
  <c r="CU48" i="26"/>
  <c r="K48" i="26"/>
  <c r="E48" i="26"/>
  <c r="CU47" i="26"/>
  <c r="K47" i="26"/>
  <c r="H47" i="26"/>
  <c r="H45" i="26" s="1"/>
  <c r="E47" i="26"/>
  <c r="H46" i="26"/>
  <c r="H44" i="26" s="1"/>
  <c r="E46" i="26"/>
  <c r="DA45" i="26"/>
  <c r="E45" i="26"/>
  <c r="E53" i="26" s="1"/>
  <c r="E43" i="26" s="1"/>
  <c r="DA43" i="26"/>
  <c r="CU43" i="26"/>
  <c r="Z43" i="26"/>
  <c r="K43" i="26"/>
  <c r="DA42" i="26"/>
  <c r="CU42" i="26"/>
  <c r="Z42" i="26"/>
  <c r="K42" i="26"/>
  <c r="K16" i="26" s="1"/>
  <c r="HE41" i="26"/>
  <c r="DA41" i="26"/>
  <c r="CU41" i="26"/>
  <c r="K41" i="26"/>
  <c r="H41" i="26"/>
  <c r="HE40" i="26"/>
  <c r="DA40" i="26"/>
  <c r="DA26" i="26" s="1"/>
  <c r="CU40" i="26"/>
  <c r="HE39" i="26"/>
  <c r="DA39" i="26"/>
  <c r="CU39" i="26"/>
  <c r="Z39" i="26"/>
  <c r="W39" i="26"/>
  <c r="HE38" i="26"/>
  <c r="DA38" i="26"/>
  <c r="CU38" i="26"/>
  <c r="K38" i="26"/>
  <c r="H38" i="26"/>
  <c r="DA37" i="26"/>
  <c r="CU37" i="26"/>
  <c r="Z37" i="26"/>
  <c r="W37" i="26"/>
  <c r="K37" i="26"/>
  <c r="H37" i="26"/>
  <c r="E37" i="26"/>
  <c r="HE36" i="26"/>
  <c r="DA36" i="26"/>
  <c r="CU36" i="26"/>
  <c r="Z36" i="26"/>
  <c r="W36" i="26"/>
  <c r="K36" i="26"/>
  <c r="H36" i="26"/>
  <c r="E36" i="26"/>
  <c r="HE35" i="26"/>
  <c r="DA35" i="26"/>
  <c r="CU35" i="26"/>
  <c r="BZ35" i="26"/>
  <c r="BN35" i="26"/>
  <c r="BK35" i="26"/>
  <c r="BE35" i="26"/>
  <c r="BB35" i="26"/>
  <c r="AV35" i="26"/>
  <c r="AS35" i="26"/>
  <c r="AM35" i="26"/>
  <c r="AJ35" i="26"/>
  <c r="Z35" i="26"/>
  <c r="W35" i="26"/>
  <c r="Q35" i="26"/>
  <c r="N35" i="26"/>
  <c r="K35" i="26"/>
  <c r="H35" i="26"/>
  <c r="E35" i="26"/>
  <c r="HE34" i="26"/>
  <c r="DA34" i="26"/>
  <c r="CU34" i="26"/>
  <c r="BZ34" i="26"/>
  <c r="BN34" i="26"/>
  <c r="BK34" i="26"/>
  <c r="BE34" i="26"/>
  <c r="BB34" i="26"/>
  <c r="AV34" i="26"/>
  <c r="AS34" i="26"/>
  <c r="AM34" i="26"/>
  <c r="AJ34" i="26"/>
  <c r="Z34" i="26"/>
  <c r="W34" i="26"/>
  <c r="Q34" i="26"/>
  <c r="N34" i="26"/>
  <c r="K34" i="26"/>
  <c r="H34" i="26"/>
  <c r="E34" i="26"/>
  <c r="E38" i="26" s="1"/>
  <c r="E31" i="26" s="1"/>
  <c r="HE33" i="26"/>
  <c r="DA33" i="26"/>
  <c r="CU33" i="26"/>
  <c r="CO33" i="26"/>
  <c r="BN33" i="26"/>
  <c r="BK33" i="26"/>
  <c r="BE33" i="26"/>
  <c r="BB33" i="26"/>
  <c r="AV33" i="26"/>
  <c r="AS33" i="26"/>
  <c r="AM33" i="26"/>
  <c r="AJ33" i="26"/>
  <c r="AF33" i="26"/>
  <c r="Z33" i="26"/>
  <c r="W33" i="26"/>
  <c r="Q33" i="26"/>
  <c r="N33" i="26"/>
  <c r="K33" i="26"/>
  <c r="H33" i="26"/>
  <c r="E33" i="26"/>
  <c r="DA32" i="26"/>
  <c r="CU32" i="26"/>
  <c r="CU25" i="26" s="1"/>
  <c r="CO32" i="26"/>
  <c r="CO34" i="26" s="1"/>
  <c r="BN32" i="26"/>
  <c r="BK32" i="26"/>
  <c r="BE32" i="26"/>
  <c r="BB32" i="26"/>
  <c r="AV32" i="26"/>
  <c r="AS32" i="26"/>
  <c r="AM32" i="26"/>
  <c r="AJ32" i="26"/>
  <c r="AE32" i="26"/>
  <c r="AD32" i="26"/>
  <c r="AC32" i="26"/>
  <c r="Z32" i="26"/>
  <c r="W32" i="26"/>
  <c r="Q32" i="26"/>
  <c r="N32" i="26"/>
  <c r="K32" i="26"/>
  <c r="H32" i="26"/>
  <c r="HE31" i="26"/>
  <c r="DA31" i="26"/>
  <c r="CU31" i="26"/>
  <c r="CO31" i="26"/>
  <c r="CF31" i="26"/>
  <c r="CC31" i="26"/>
  <c r="BW31" i="26"/>
  <c r="BN31" i="26"/>
  <c r="BK31" i="26"/>
  <c r="BE31" i="26"/>
  <c r="BB31" i="26"/>
  <c r="AV31" i="26"/>
  <c r="AS31" i="26"/>
  <c r="AM31" i="26"/>
  <c r="AJ31" i="26"/>
  <c r="Z31" i="26"/>
  <c r="W31" i="26"/>
  <c r="Q31" i="26"/>
  <c r="N31" i="26"/>
  <c r="K31" i="26"/>
  <c r="K28" i="26" s="1"/>
  <c r="H31" i="26"/>
  <c r="HE30" i="26"/>
  <c r="DA30" i="26"/>
  <c r="CU30" i="26"/>
  <c r="CO30" i="26"/>
  <c r="CF30" i="26"/>
  <c r="CC30" i="26"/>
  <c r="BZ30" i="26"/>
  <c r="BW30" i="26"/>
  <c r="BN30" i="26"/>
  <c r="BK30" i="26"/>
  <c r="BE30" i="26"/>
  <c r="BB30" i="26"/>
  <c r="AS30" i="26"/>
  <c r="AM30" i="26"/>
  <c r="AJ30" i="26"/>
  <c r="Z30" i="26"/>
  <c r="Z29" i="26" s="1"/>
  <c r="W30" i="26"/>
  <c r="W29" i="26" s="1"/>
  <c r="Q30" i="26"/>
  <c r="N30" i="26"/>
  <c r="K30" i="26"/>
  <c r="H30" i="26"/>
  <c r="HE29" i="26"/>
  <c r="HE27" i="26" s="1"/>
  <c r="HE28" i="26" s="1"/>
  <c r="DA29" i="26"/>
  <c r="DA25" i="26" s="1"/>
  <c r="CU29" i="26"/>
  <c r="CU26" i="26" s="1"/>
  <c r="CO29" i="26"/>
  <c r="CF29" i="26"/>
  <c r="CC29" i="26"/>
  <c r="BZ29" i="26"/>
  <c r="BN29" i="26"/>
  <c r="BK29" i="26"/>
  <c r="BE29" i="26"/>
  <c r="BE25" i="26" s="1"/>
  <c r="BE21" i="26" s="1"/>
  <c r="BB29" i="26"/>
  <c r="BB25" i="26" s="1"/>
  <c r="BB21" i="26" s="1"/>
  <c r="AV29" i="26"/>
  <c r="AV25" i="26" s="1"/>
  <c r="AV21" i="26" s="1"/>
  <c r="AS29" i="26"/>
  <c r="AM29" i="26"/>
  <c r="AJ29" i="26"/>
  <c r="AJ25" i="26" s="1"/>
  <c r="Q29" i="26"/>
  <c r="Q25" i="26" s="1"/>
  <c r="Q21" i="26" s="1"/>
  <c r="N29" i="26"/>
  <c r="N25" i="26" s="1"/>
  <c r="N21" i="26" s="1"/>
  <c r="K29" i="26"/>
  <c r="H29" i="26"/>
  <c r="H22" i="26" s="1"/>
  <c r="DA28" i="26"/>
  <c r="DA24" i="26" s="1"/>
  <c r="CU28" i="26"/>
  <c r="CO28" i="26"/>
  <c r="CF28" i="26"/>
  <c r="CC28" i="26"/>
  <c r="BZ28" i="26"/>
  <c r="BN28" i="26"/>
  <c r="BK28" i="26"/>
  <c r="BE28" i="26"/>
  <c r="BB28" i="26"/>
  <c r="AV28" i="26"/>
  <c r="AS28" i="26"/>
  <c r="AM28" i="26"/>
  <c r="AJ28" i="26"/>
  <c r="Z28" i="26"/>
  <c r="W28" i="26"/>
  <c r="Q28" i="26"/>
  <c r="N28" i="26"/>
  <c r="H28" i="26"/>
  <c r="HB27" i="26"/>
  <c r="GM27" i="26"/>
  <c r="FI27" i="26"/>
  <c r="ET27" i="26"/>
  <c r="EE27" i="26"/>
  <c r="DA27" i="26"/>
  <c r="CU27" i="26"/>
  <c r="CO27" i="26"/>
  <c r="CF27" i="26"/>
  <c r="CC27" i="26"/>
  <c r="BZ27" i="26"/>
  <c r="BN27" i="26"/>
  <c r="BN26" i="26" s="1"/>
  <c r="BK27" i="26"/>
  <c r="BE27" i="26"/>
  <c r="BB27" i="26"/>
  <c r="AV27" i="26"/>
  <c r="AS27" i="26"/>
  <c r="AM27" i="26"/>
  <c r="AM26" i="26" s="1"/>
  <c r="AJ27" i="26"/>
  <c r="AJ26" i="26" s="1"/>
  <c r="Z27" i="26"/>
  <c r="Z40" i="26" s="1"/>
  <c r="W27" i="26"/>
  <c r="Q27" i="26"/>
  <c r="Q26" i="26" s="1"/>
  <c r="N27" i="26"/>
  <c r="N26" i="26" s="1"/>
  <c r="K27" i="26"/>
  <c r="H27" i="26"/>
  <c r="HB26" i="26"/>
  <c r="GM26" i="26"/>
  <c r="FI26" i="26"/>
  <c r="ET26" i="26"/>
  <c r="ET24" i="26" s="1"/>
  <c r="EE26" i="26"/>
  <c r="EE24" i="26" s="1"/>
  <c r="DP26" i="26"/>
  <c r="CX26" i="26"/>
  <c r="CO26" i="26"/>
  <c r="CL26" i="26"/>
  <c r="CF26" i="26"/>
  <c r="CC26" i="26"/>
  <c r="BZ26" i="26"/>
  <c r="BT26" i="26"/>
  <c r="BK26" i="26"/>
  <c r="BE26" i="26"/>
  <c r="BB26" i="26"/>
  <c r="AV26" i="26"/>
  <c r="AS26" i="26"/>
  <c r="K26" i="26"/>
  <c r="H26" i="26"/>
  <c r="E26" i="26"/>
  <c r="HE25" i="26"/>
  <c r="HB25" i="26"/>
  <c r="HB23" i="26" s="1"/>
  <c r="GM25" i="26"/>
  <c r="GM23" i="26" s="1"/>
  <c r="FI25" i="26"/>
  <c r="FI23" i="26" s="1"/>
  <c r="ET25" i="26"/>
  <c r="ET23" i="26" s="1"/>
  <c r="EE25" i="26"/>
  <c r="EE23" i="26" s="1"/>
  <c r="DP25" i="26"/>
  <c r="DP23" i="26" s="1"/>
  <c r="DG25" i="26"/>
  <c r="CX25" i="26"/>
  <c r="CO25" i="26"/>
  <c r="CL25" i="26"/>
  <c r="CF25" i="26"/>
  <c r="CF24" i="26" s="1"/>
  <c r="CC25" i="26"/>
  <c r="CC24" i="26" s="1"/>
  <c r="BZ25" i="26"/>
  <c r="BW25" i="26"/>
  <c r="BT25" i="26"/>
  <c r="AS25" i="26"/>
  <c r="AS21" i="26" s="1"/>
  <c r="AM25" i="26"/>
  <c r="AG25" i="26"/>
  <c r="AF25" i="26"/>
  <c r="AE25" i="26"/>
  <c r="AE24" i="26" s="1"/>
  <c r="AD25" i="26"/>
  <c r="AD24" i="26" s="1"/>
  <c r="AC25" i="26"/>
  <c r="AC24" i="26" s="1"/>
  <c r="E25" i="26"/>
  <c r="HB24" i="26"/>
  <c r="GM24" i="26"/>
  <c r="DP24" i="26"/>
  <c r="CX24" i="26"/>
  <c r="CR24" i="26"/>
  <c r="CO24" i="26"/>
  <c r="CL24" i="26"/>
  <c r="BZ24" i="26"/>
  <c r="BZ17" i="26" s="1"/>
  <c r="BW24" i="26"/>
  <c r="BT24" i="26"/>
  <c r="BT20" i="26" s="1"/>
  <c r="BN24" i="26"/>
  <c r="BK24" i="26"/>
  <c r="BK21" i="26" s="1"/>
  <c r="BE24" i="26"/>
  <c r="BB24" i="26"/>
  <c r="AV24" i="26"/>
  <c r="AS24" i="26"/>
  <c r="AM24" i="26"/>
  <c r="AJ24" i="26"/>
  <c r="AG24" i="26"/>
  <c r="AF24" i="26"/>
  <c r="Q24" i="26"/>
  <c r="N24" i="26"/>
  <c r="K24" i="26"/>
  <c r="H24" i="26"/>
  <c r="E24" i="26"/>
  <c r="DG23" i="26"/>
  <c r="DG20" i="26" s="1"/>
  <c r="DG16" i="26" s="1"/>
  <c r="DG7" i="26" s="1"/>
  <c r="CX23" i="26"/>
  <c r="CO23" i="26"/>
  <c r="CR23" i="26" s="1"/>
  <c r="CL23" i="26"/>
  <c r="CL20" i="26" s="1"/>
  <c r="CF23" i="26"/>
  <c r="CC23" i="26"/>
  <c r="BZ23" i="26"/>
  <c r="BW23" i="26"/>
  <c r="BT23" i="26"/>
  <c r="AD23" i="26"/>
  <c r="AC23" i="26"/>
  <c r="AC27" i="26" s="1"/>
  <c r="K23" i="26"/>
  <c r="H23" i="26"/>
  <c r="E23" i="26"/>
  <c r="HB22" i="26"/>
  <c r="GM22" i="26"/>
  <c r="GM16" i="26" s="1"/>
  <c r="FI22" i="26"/>
  <c r="FI16" i="26" s="1"/>
  <c r="ET22" i="26"/>
  <c r="EE22" i="26"/>
  <c r="EE16" i="26" s="1"/>
  <c r="DP22" i="26"/>
  <c r="DG22" i="26"/>
  <c r="CF22" i="26"/>
  <c r="CC22" i="26"/>
  <c r="BZ22" i="26"/>
  <c r="BW22" i="26"/>
  <c r="BT22" i="26"/>
  <c r="AG22" i="26"/>
  <c r="AF22" i="26"/>
  <c r="AE22" i="26"/>
  <c r="AD22" i="26"/>
  <c r="AC22" i="26"/>
  <c r="K22" i="26"/>
  <c r="HB21" i="26"/>
  <c r="GM21" i="26"/>
  <c r="FI21" i="26"/>
  <c r="ET21" i="26"/>
  <c r="EE21" i="26"/>
  <c r="DP21" i="26"/>
  <c r="DG21" i="26"/>
  <c r="DD21" i="26"/>
  <c r="BZ21" i="26"/>
  <c r="BW21" i="26"/>
  <c r="AG21" i="26"/>
  <c r="AF21" i="26"/>
  <c r="AE21" i="26"/>
  <c r="AD21" i="26"/>
  <c r="AC21" i="26"/>
  <c r="K21" i="26"/>
  <c r="K19" i="26" s="1"/>
  <c r="DD20" i="26"/>
  <c r="BZ20" i="26"/>
  <c r="BW20" i="26"/>
  <c r="BW13" i="26" s="1"/>
  <c r="AG20" i="26"/>
  <c r="AF20" i="26"/>
  <c r="AE20" i="26"/>
  <c r="AD20" i="26"/>
  <c r="AC20" i="26"/>
  <c r="H20" i="26"/>
  <c r="HB19" i="26"/>
  <c r="GM19" i="26"/>
  <c r="FI19" i="26"/>
  <c r="ET19" i="26"/>
  <c r="EE19" i="26"/>
  <c r="DP19" i="26"/>
  <c r="DG19" i="26"/>
  <c r="DD19" i="26"/>
  <c r="BZ19" i="26"/>
  <c r="BW19" i="26"/>
  <c r="AG19" i="26"/>
  <c r="AF19" i="26"/>
  <c r="AE19" i="26"/>
  <c r="AD19" i="26"/>
  <c r="AC19" i="26"/>
  <c r="H19" i="26"/>
  <c r="HB18" i="26"/>
  <c r="GM18" i="26"/>
  <c r="GA18" i="26"/>
  <c r="FL18" i="26"/>
  <c r="FI18" i="26"/>
  <c r="EW18" i="26"/>
  <c r="ET18" i="26"/>
  <c r="EH18" i="26"/>
  <c r="EE18" i="26"/>
  <c r="DS18" i="26"/>
  <c r="DP18" i="26"/>
  <c r="DG18" i="26"/>
  <c r="CX18" i="26"/>
  <c r="BZ18" i="26"/>
  <c r="BZ16" i="26" s="1"/>
  <c r="BW18" i="26"/>
  <c r="AG18" i="26"/>
  <c r="AF18" i="26"/>
  <c r="AE18" i="26"/>
  <c r="AD18" i="26"/>
  <c r="AC18" i="26"/>
  <c r="H18" i="26"/>
  <c r="E18" i="26"/>
  <c r="HB17" i="26"/>
  <c r="GP17" i="26"/>
  <c r="GM17" i="26"/>
  <c r="GA17" i="26"/>
  <c r="FL17" i="26"/>
  <c r="FI17" i="26"/>
  <c r="EW17" i="26"/>
  <c r="ET17" i="26"/>
  <c r="EH17" i="26"/>
  <c r="EE17" i="26"/>
  <c r="DY17" i="26"/>
  <c r="DY16" i="26" s="1"/>
  <c r="DS17" i="26"/>
  <c r="DP17" i="26"/>
  <c r="DG17" i="26"/>
  <c r="CX17" i="26"/>
  <c r="BW17" i="26"/>
  <c r="BT17" i="26"/>
  <c r="AG17" i="26"/>
  <c r="AF17" i="26"/>
  <c r="AE17" i="26"/>
  <c r="AD17" i="26"/>
  <c r="AC17" i="26"/>
  <c r="H17" i="26"/>
  <c r="E17" i="26"/>
  <c r="BT16" i="26" s="1"/>
  <c r="HB16" i="26"/>
  <c r="GV16" i="26"/>
  <c r="GP16" i="26"/>
  <c r="GG16" i="26"/>
  <c r="FC16" i="26"/>
  <c r="FC15" i="26" s="1"/>
  <c r="ET16" i="26"/>
  <c r="EN16" i="26"/>
  <c r="EN15" i="26" s="1"/>
  <c r="EN17" i="26" s="1"/>
  <c r="DP16" i="26"/>
  <c r="DD16" i="26"/>
  <c r="CX16" i="26"/>
  <c r="CX12" i="26" s="1"/>
  <c r="CO16" i="26"/>
  <c r="BQ16" i="26"/>
  <c r="BN16" i="26"/>
  <c r="BK16" i="26"/>
  <c r="BH16" i="26"/>
  <c r="BE16" i="26"/>
  <c r="BB16" i="26"/>
  <c r="AY16" i="26"/>
  <c r="AV16" i="26"/>
  <c r="AS16" i="26"/>
  <c r="AP16" i="26"/>
  <c r="AM16" i="26"/>
  <c r="AJ16" i="26"/>
  <c r="AG16" i="26"/>
  <c r="AF16" i="26"/>
  <c r="AE16" i="26"/>
  <c r="AD16" i="26"/>
  <c r="AC16" i="26"/>
  <c r="Z16" i="26"/>
  <c r="W16" i="26"/>
  <c r="T16" i="26"/>
  <c r="Q16" i="26"/>
  <c r="N16" i="26"/>
  <c r="HB15" i="26"/>
  <c r="GV15" i="26"/>
  <c r="GM15" i="26"/>
  <c r="GM2" i="26" s="1"/>
  <c r="GG15" i="26"/>
  <c r="GA15" i="26"/>
  <c r="FL15" i="26"/>
  <c r="FI15" i="26"/>
  <c r="EW15" i="26"/>
  <c r="ET15" i="26"/>
  <c r="ET2" i="26" s="1"/>
  <c r="EH15" i="26"/>
  <c r="EE15" i="26"/>
  <c r="DY15" i="26"/>
  <c r="DY18" i="26" s="1"/>
  <c r="DS15" i="26"/>
  <c r="DP15" i="26"/>
  <c r="DG15" i="26"/>
  <c r="DD15" i="26"/>
  <c r="CX15" i="26"/>
  <c r="CO15" i="26"/>
  <c r="BW15" i="26"/>
  <c r="BT15" i="26"/>
  <c r="BQ15" i="26"/>
  <c r="BN15" i="26"/>
  <c r="BK15" i="26"/>
  <c r="BH15" i="26"/>
  <c r="BE15" i="26"/>
  <c r="BB15" i="26"/>
  <c r="AY15" i="26"/>
  <c r="AV15" i="26"/>
  <c r="AS15" i="26"/>
  <c r="AP15" i="26"/>
  <c r="AM15" i="26"/>
  <c r="AM2" i="26" s="1"/>
  <c r="AJ15" i="26"/>
  <c r="AG15" i="26"/>
  <c r="AF15" i="26"/>
  <c r="AE15" i="26"/>
  <c r="AD15" i="26"/>
  <c r="AC15" i="26"/>
  <c r="AC30" i="26" s="1"/>
  <c r="Z15" i="26"/>
  <c r="W15" i="26"/>
  <c r="T15" i="26"/>
  <c r="Q15" i="26"/>
  <c r="N15" i="26"/>
  <c r="E15" i="26"/>
  <c r="E12" i="26" s="1"/>
  <c r="E19" i="26" s="1"/>
  <c r="HB14" i="26"/>
  <c r="GV14" i="26"/>
  <c r="GV17" i="26" s="1"/>
  <c r="GP14" i="26"/>
  <c r="GM14" i="26"/>
  <c r="GG14" i="26"/>
  <c r="GG17" i="26" s="1"/>
  <c r="FI14" i="26"/>
  <c r="FC14" i="26"/>
  <c r="ET14" i="26"/>
  <c r="EN14" i="26"/>
  <c r="EE14" i="26"/>
  <c r="EB14" i="26"/>
  <c r="DY14" i="26"/>
  <c r="DP14" i="26"/>
  <c r="DG14" i="26"/>
  <c r="DD14" i="26"/>
  <c r="CX14" i="26"/>
  <c r="CO14" i="26"/>
  <c r="CO17" i="26" s="1"/>
  <c r="CI14" i="26"/>
  <c r="CF14" i="26"/>
  <c r="CC14" i="26"/>
  <c r="BW14" i="26"/>
  <c r="BT14" i="26"/>
  <c r="BQ14" i="26"/>
  <c r="BN14" i="26"/>
  <c r="BK14" i="26"/>
  <c r="BH14" i="26"/>
  <c r="BE14" i="26"/>
  <c r="BB14" i="26"/>
  <c r="AY14" i="26"/>
  <c r="AV14" i="26"/>
  <c r="AS14" i="26"/>
  <c r="AP14" i="26"/>
  <c r="AM14" i="26"/>
  <c r="AJ14" i="26"/>
  <c r="AG14" i="26"/>
  <c r="AF14" i="26"/>
  <c r="AE14" i="26"/>
  <c r="AD14" i="26"/>
  <c r="AC14" i="26"/>
  <c r="Z14" i="26"/>
  <c r="W14" i="26"/>
  <c r="T14" i="26"/>
  <c r="Q14" i="26"/>
  <c r="N14" i="26"/>
  <c r="E14" i="26"/>
  <c r="HE13" i="26"/>
  <c r="HB13" i="26"/>
  <c r="GY13" i="26"/>
  <c r="GV13" i="26"/>
  <c r="GP13" i="26"/>
  <c r="GM13" i="26"/>
  <c r="GJ13" i="26"/>
  <c r="GG13" i="26"/>
  <c r="GA13" i="26"/>
  <c r="FL13" i="26"/>
  <c r="FI13" i="26"/>
  <c r="FF13" i="26"/>
  <c r="FC13" i="26"/>
  <c r="EW13" i="26"/>
  <c r="ET13" i="26"/>
  <c r="EQ13" i="26"/>
  <c r="EN13" i="26"/>
  <c r="EH13" i="26"/>
  <c r="EE13" i="26"/>
  <c r="EB13" i="26"/>
  <c r="DY13" i="26"/>
  <c r="DP13" i="26"/>
  <c r="DG13" i="26"/>
  <c r="DD13" i="26"/>
  <c r="CX13" i="26"/>
  <c r="CU13" i="26"/>
  <c r="CO13" i="26"/>
  <c r="CI13" i="26"/>
  <c r="CF13" i="26"/>
  <c r="CC13" i="26"/>
  <c r="BT13" i="26"/>
  <c r="BQ13" i="26"/>
  <c r="BN13" i="26"/>
  <c r="BK13" i="26"/>
  <c r="BH13" i="26"/>
  <c r="BE13" i="26"/>
  <c r="BB13" i="26"/>
  <c r="AY13" i="26"/>
  <c r="AV13" i="26"/>
  <c r="AS13" i="26"/>
  <c r="AP13" i="26"/>
  <c r="AM13" i="26"/>
  <c r="AJ13" i="26"/>
  <c r="AG13" i="26"/>
  <c r="AF13" i="26"/>
  <c r="AE13" i="26"/>
  <c r="AD13" i="26"/>
  <c r="AC13" i="26"/>
  <c r="Z13" i="26"/>
  <c r="W13" i="26"/>
  <c r="T13" i="26"/>
  <c r="Q13" i="26"/>
  <c r="N13" i="26"/>
  <c r="K13" i="26"/>
  <c r="E13" i="26"/>
  <c r="HB12" i="26"/>
  <c r="GY12" i="26"/>
  <c r="GV12" i="26"/>
  <c r="GP12" i="26"/>
  <c r="GM12" i="26"/>
  <c r="GJ12" i="26"/>
  <c r="GG12" i="26"/>
  <c r="GA12" i="26"/>
  <c r="FL12" i="26"/>
  <c r="FI12" i="26"/>
  <c r="FF12" i="26"/>
  <c r="FC12" i="26"/>
  <c r="EW12" i="26"/>
  <c r="ET12" i="26"/>
  <c r="EQ12" i="26"/>
  <c r="EN12" i="26"/>
  <c r="EH12" i="26"/>
  <c r="EE12" i="26"/>
  <c r="EB12" i="26"/>
  <c r="DY12" i="26"/>
  <c r="DS12" i="26"/>
  <c r="DP12" i="26"/>
  <c r="DG12" i="26"/>
  <c r="DD12" i="26"/>
  <c r="DD11" i="26" s="1"/>
  <c r="DD7" i="26" s="1"/>
  <c r="DA12" i="26"/>
  <c r="DA11" i="26" s="1"/>
  <c r="DA10" i="26" s="1"/>
  <c r="CU12" i="26"/>
  <c r="CU11" i="26" s="1"/>
  <c r="CU16" i="26" s="1"/>
  <c r="CO12" i="26"/>
  <c r="CI12" i="26"/>
  <c r="CF12" i="26"/>
  <c r="CC12" i="26"/>
  <c r="BZ12" i="26"/>
  <c r="BZ11" i="26" s="1"/>
  <c r="BZ10" i="26" s="1"/>
  <c r="BT12" i="26"/>
  <c r="BQ12" i="26"/>
  <c r="BN12" i="26"/>
  <c r="BK12" i="26"/>
  <c r="BH12" i="26"/>
  <c r="BE12" i="26"/>
  <c r="BB12" i="26"/>
  <c r="AY12" i="26"/>
  <c r="AV12" i="26"/>
  <c r="AS12" i="26"/>
  <c r="AP12" i="26"/>
  <c r="AM12" i="26"/>
  <c r="AJ12" i="26"/>
  <c r="AG12" i="26"/>
  <c r="AF12" i="26"/>
  <c r="Z12" i="26"/>
  <c r="W12" i="26"/>
  <c r="T12" i="26"/>
  <c r="Q12" i="26"/>
  <c r="N12" i="26"/>
  <c r="K12" i="26"/>
  <c r="HE11" i="26"/>
  <c r="HB11" i="26"/>
  <c r="GY11" i="26"/>
  <c r="GV11" i="26"/>
  <c r="GP11" i="26"/>
  <c r="GM11" i="26"/>
  <c r="GJ11" i="26"/>
  <c r="GG11" i="26"/>
  <c r="GA11" i="26"/>
  <c r="GA8" i="26" s="1"/>
  <c r="FL11" i="26"/>
  <c r="FI11" i="26"/>
  <c r="FF11" i="26"/>
  <c r="FC11" i="26"/>
  <c r="EW11" i="26"/>
  <c r="ET11" i="26"/>
  <c r="EQ11" i="26"/>
  <c r="EN11" i="26"/>
  <c r="EH11" i="26"/>
  <c r="EH8" i="26" s="1"/>
  <c r="EH7" i="26" s="1"/>
  <c r="DS11" i="26"/>
  <c r="DS8" i="26" s="1"/>
  <c r="DP11" i="26"/>
  <c r="DJ11" i="26"/>
  <c r="CX11" i="26"/>
  <c r="CO11" i="26"/>
  <c r="CI11" i="26"/>
  <c r="CF11" i="26"/>
  <c r="CC11" i="26"/>
  <c r="BT11" i="26"/>
  <c r="BQ11" i="26"/>
  <c r="BN11" i="26"/>
  <c r="BN9" i="26" s="1"/>
  <c r="BN2" i="26" s="1"/>
  <c r="BK11" i="26"/>
  <c r="BK9" i="26" s="1"/>
  <c r="BK2" i="26" s="1"/>
  <c r="BH11" i="26"/>
  <c r="BE11" i="26"/>
  <c r="BB11" i="26"/>
  <c r="AY11" i="26"/>
  <c r="AV11" i="26"/>
  <c r="AS11" i="26"/>
  <c r="AP11" i="26"/>
  <c r="AM11" i="26"/>
  <c r="AJ11" i="26"/>
  <c r="AG11" i="26"/>
  <c r="AF11" i="26"/>
  <c r="Z11" i="26"/>
  <c r="W11" i="26"/>
  <c r="T11" i="26"/>
  <c r="Q11" i="26"/>
  <c r="N11" i="26"/>
  <c r="K11" i="26"/>
  <c r="E11" i="26"/>
  <c r="HE10" i="26"/>
  <c r="HB10" i="26"/>
  <c r="GY10" i="26"/>
  <c r="GV10" i="26"/>
  <c r="GP10" i="26"/>
  <c r="GM10" i="26"/>
  <c r="GJ10" i="26"/>
  <c r="GG10" i="26"/>
  <c r="GA10" i="26"/>
  <c r="FL10" i="26"/>
  <c r="FI10" i="26"/>
  <c r="FF10" i="26"/>
  <c r="FC10" i="26"/>
  <c r="EW10" i="26"/>
  <c r="ET10" i="26"/>
  <c r="EQ10" i="26"/>
  <c r="EN10" i="26"/>
  <c r="EH10" i="26"/>
  <c r="EE10" i="26"/>
  <c r="EB10" i="26"/>
  <c r="DY10" i="26"/>
  <c r="DS10" i="26"/>
  <c r="DP10" i="26"/>
  <c r="DJ10" i="26"/>
  <c r="DG10" i="26"/>
  <c r="DD10" i="26"/>
  <c r="CX10" i="26"/>
  <c r="CU10" i="26"/>
  <c r="CO10" i="26"/>
  <c r="CI10" i="26"/>
  <c r="CF10" i="26"/>
  <c r="CC10" i="26"/>
  <c r="BT10" i="26"/>
  <c r="BQ10" i="26"/>
  <c r="BQ9" i="26" s="1"/>
  <c r="BQ2" i="26" s="1"/>
  <c r="BN10" i="26"/>
  <c r="BK10" i="26"/>
  <c r="BH10" i="26"/>
  <c r="BH6" i="26" s="1"/>
  <c r="BH2" i="26" s="1"/>
  <c r="BE10" i="26"/>
  <c r="BE6" i="26" s="1"/>
  <c r="BB10" i="26"/>
  <c r="BB6" i="26" s="1"/>
  <c r="AY10" i="26"/>
  <c r="AY6" i="26" s="1"/>
  <c r="AY2" i="26" s="1"/>
  <c r="AV10" i="26"/>
  <c r="AV6" i="26" s="1"/>
  <c r="AV2" i="26" s="1"/>
  <c r="AS10" i="26"/>
  <c r="AS6" i="26" s="1"/>
  <c r="AS2" i="26" s="1"/>
  <c r="AP10" i="26"/>
  <c r="AM10" i="26"/>
  <c r="AG10" i="26"/>
  <c r="AF10" i="26"/>
  <c r="Z10" i="26"/>
  <c r="Z6" i="26" s="1"/>
  <c r="Z18" i="26" s="1"/>
  <c r="W10" i="26"/>
  <c r="W6" i="26" s="1"/>
  <c r="T10" i="26"/>
  <c r="T6" i="26" s="1"/>
  <c r="T2" i="26" s="1"/>
  <c r="Q10" i="26"/>
  <c r="Q6" i="26" s="1"/>
  <c r="Q2" i="26" s="1"/>
  <c r="N10" i="26"/>
  <c r="K10" i="26"/>
  <c r="E10" i="26"/>
  <c r="HE9" i="26"/>
  <c r="HE7" i="26" s="1"/>
  <c r="HE8" i="26" s="1"/>
  <c r="HB9" i="26"/>
  <c r="GY9" i="26"/>
  <c r="GV9" i="26"/>
  <c r="GP9" i="26"/>
  <c r="GM9" i="26"/>
  <c r="GJ9" i="26"/>
  <c r="GG9" i="26"/>
  <c r="GA9" i="26"/>
  <c r="FR9" i="26"/>
  <c r="FR8" i="26" s="1"/>
  <c r="FL9" i="26"/>
  <c r="FL8" i="26" s="1"/>
  <c r="FL7" i="26" s="1"/>
  <c r="FI9" i="26"/>
  <c r="FF9" i="26"/>
  <c r="FC9" i="26"/>
  <c r="EW9" i="26"/>
  <c r="EW8" i="26" s="1"/>
  <c r="ET9" i="26"/>
  <c r="EQ9" i="26"/>
  <c r="EN9" i="26"/>
  <c r="EH9" i="26"/>
  <c r="EE9" i="26"/>
  <c r="EB9" i="26"/>
  <c r="DY9" i="26"/>
  <c r="DS9" i="26"/>
  <c r="DP9" i="26"/>
  <c r="DP7" i="26" s="1"/>
  <c r="DJ9" i="26"/>
  <c r="DJ12" i="26" s="1"/>
  <c r="DG9" i="26"/>
  <c r="DD9" i="26"/>
  <c r="DA9" i="26"/>
  <c r="CX9" i="26"/>
  <c r="CU9" i="26"/>
  <c r="CO9" i="26"/>
  <c r="CI9" i="26"/>
  <c r="CF9" i="26"/>
  <c r="CC9" i="26"/>
  <c r="BZ9" i="26"/>
  <c r="BW9" i="26"/>
  <c r="BT9" i="26"/>
  <c r="BH9" i="26"/>
  <c r="BE9" i="26"/>
  <c r="BB9" i="26"/>
  <c r="AY9" i="26"/>
  <c r="AV9" i="26"/>
  <c r="AS9" i="26"/>
  <c r="AP9" i="26"/>
  <c r="AM9" i="26"/>
  <c r="AJ9" i="26"/>
  <c r="AG9" i="26"/>
  <c r="AG23" i="26" s="1"/>
  <c r="AG27" i="26" s="1"/>
  <c r="AF9" i="26"/>
  <c r="AF23" i="26" s="1"/>
  <c r="AF27" i="26" s="1"/>
  <c r="AE9" i="26"/>
  <c r="AD9" i="26"/>
  <c r="AC9" i="26"/>
  <c r="Z9" i="26"/>
  <c r="W9" i="26"/>
  <c r="T9" i="26"/>
  <c r="Q9" i="26"/>
  <c r="N9" i="26"/>
  <c r="K9" i="26"/>
  <c r="H9" i="26"/>
  <c r="E9" i="26"/>
  <c r="HB8" i="26"/>
  <c r="GY8" i="26"/>
  <c r="GV8" i="26"/>
  <c r="GP8" i="26"/>
  <c r="GM8" i="26"/>
  <c r="GM6" i="26" s="1"/>
  <c r="GJ8" i="26"/>
  <c r="GG8" i="26"/>
  <c r="FI8" i="26"/>
  <c r="FI6" i="26" s="1"/>
  <c r="FF8" i="26"/>
  <c r="FF6" i="26" s="1"/>
  <c r="FC8" i="26"/>
  <c r="FC6" i="26" s="1"/>
  <c r="ET8" i="26"/>
  <c r="EQ8" i="26"/>
  <c r="EN8" i="26"/>
  <c r="EN6" i="26" s="1"/>
  <c r="EE8" i="26"/>
  <c r="EE6" i="26" s="1"/>
  <c r="EB8" i="26"/>
  <c r="EB6" i="26" s="1"/>
  <c r="DY8" i="26"/>
  <c r="DY6" i="26" s="1"/>
  <c r="DV8" i="26"/>
  <c r="DP8" i="26"/>
  <c r="DP6" i="26" s="1"/>
  <c r="DM8" i="26"/>
  <c r="DM6" i="26" s="1"/>
  <c r="DJ8" i="26"/>
  <c r="DJ6" i="26" s="1"/>
  <c r="DG8" i="26"/>
  <c r="DD8" i="26"/>
  <c r="DA8" i="26"/>
  <c r="CX8" i="26"/>
  <c r="CU8" i="26"/>
  <c r="CO8" i="26"/>
  <c r="CO6" i="26" s="1"/>
  <c r="CL8" i="26"/>
  <c r="CI8" i="26"/>
  <c r="CF8" i="26"/>
  <c r="CC8" i="26"/>
  <c r="BZ8" i="26"/>
  <c r="BW8" i="26"/>
  <c r="BT8" i="26"/>
  <c r="BQ8" i="26"/>
  <c r="BN8" i="26"/>
  <c r="BK8" i="26"/>
  <c r="BH8" i="26"/>
  <c r="BE8" i="26"/>
  <c r="BB8" i="26"/>
  <c r="AY8" i="26"/>
  <c r="AV8" i="26"/>
  <c r="AS8" i="26"/>
  <c r="AP8" i="26"/>
  <c r="AM8" i="26"/>
  <c r="AJ8" i="26"/>
  <c r="AG8" i="26"/>
  <c r="AF8" i="26"/>
  <c r="AE8" i="26"/>
  <c r="AD8" i="26"/>
  <c r="AC8" i="26"/>
  <c r="Z8" i="26"/>
  <c r="W8" i="26"/>
  <c r="T8" i="26"/>
  <c r="Q8" i="26"/>
  <c r="N8" i="26"/>
  <c r="K8" i="26"/>
  <c r="H8" i="26"/>
  <c r="E8" i="26"/>
  <c r="HB7" i="26"/>
  <c r="HB5" i="26" s="1"/>
  <c r="GY7" i="26"/>
  <c r="GY5" i="26" s="1"/>
  <c r="GV7" i="26"/>
  <c r="GV5" i="26" s="1"/>
  <c r="GM7" i="26"/>
  <c r="GJ7" i="26"/>
  <c r="GG7" i="26"/>
  <c r="FR7" i="26"/>
  <c r="FR10" i="26" s="1"/>
  <c r="FI7" i="26"/>
  <c r="FI5" i="26" s="1"/>
  <c r="FI2" i="26" s="1"/>
  <c r="FF7" i="26"/>
  <c r="FF5" i="26" s="1"/>
  <c r="FC7" i="26"/>
  <c r="ET7" i="26"/>
  <c r="EQ7" i="26"/>
  <c r="EQ5" i="26" s="1"/>
  <c r="EN7" i="26"/>
  <c r="EN5" i="26" s="1"/>
  <c r="EE7" i="26"/>
  <c r="EE5" i="26" s="1"/>
  <c r="EB7" i="26"/>
  <c r="EB5" i="26" s="1"/>
  <c r="DY7" i="26"/>
  <c r="DM7" i="26"/>
  <c r="DM5" i="26" s="1"/>
  <c r="DJ7" i="26"/>
  <c r="DJ5" i="26" s="1"/>
  <c r="DA7" i="26"/>
  <c r="CX7" i="26"/>
  <c r="CU7" i="26"/>
  <c r="CO7" i="26"/>
  <c r="CL7" i="26"/>
  <c r="CI7" i="26"/>
  <c r="CF7" i="26"/>
  <c r="CC7" i="26"/>
  <c r="BZ7" i="26"/>
  <c r="BW7" i="26"/>
  <c r="BT7" i="26"/>
  <c r="BQ7" i="26"/>
  <c r="BN7" i="26"/>
  <c r="BK7" i="26"/>
  <c r="BH7" i="26"/>
  <c r="BE7" i="26"/>
  <c r="BB7" i="26"/>
  <c r="AY7" i="26"/>
  <c r="AV7" i="26"/>
  <c r="AS7" i="26"/>
  <c r="AP7" i="26"/>
  <c r="AM7" i="26"/>
  <c r="AJ7" i="26"/>
  <c r="AG7" i="26"/>
  <c r="AF7" i="26"/>
  <c r="AE7" i="26"/>
  <c r="AD7" i="26"/>
  <c r="AC7" i="26"/>
  <c r="Z7" i="26"/>
  <c r="W7" i="26"/>
  <c r="T7" i="26"/>
  <c r="Q7" i="26"/>
  <c r="N7" i="26"/>
  <c r="K7" i="26"/>
  <c r="H7" i="26"/>
  <c r="E7" i="26"/>
  <c r="E6" i="26" s="1"/>
  <c r="HB6" i="26"/>
  <c r="GY6" i="26"/>
  <c r="GV6" i="26"/>
  <c r="GS6" i="26"/>
  <c r="GP6" i="26"/>
  <c r="GJ6" i="26"/>
  <c r="GG6" i="26"/>
  <c r="GD6" i="26"/>
  <c r="GA6" i="26"/>
  <c r="FU6" i="26"/>
  <c r="FR6" i="26"/>
  <c r="FL6" i="26"/>
  <c r="EZ6" i="26"/>
  <c r="EW6" i="26"/>
  <c r="ET6" i="26"/>
  <c r="EQ6" i="26"/>
  <c r="EK6" i="26"/>
  <c r="EH6" i="26"/>
  <c r="DV6" i="26"/>
  <c r="DS6" i="26"/>
  <c r="DD6" i="26"/>
  <c r="DA6" i="26"/>
  <c r="CX6" i="26"/>
  <c r="CU6" i="26"/>
  <c r="CU14" i="26" s="1"/>
  <c r="CR6" i="26"/>
  <c r="CL6" i="26"/>
  <c r="CI6" i="26"/>
  <c r="CF6" i="26"/>
  <c r="CC6" i="26"/>
  <c r="BZ6" i="26"/>
  <c r="BW6" i="26"/>
  <c r="BT6" i="26"/>
  <c r="AP6" i="26"/>
  <c r="AP2" i="26" s="1"/>
  <c r="AM6" i="26"/>
  <c r="AJ6" i="26"/>
  <c r="N6" i="26"/>
  <c r="K6" i="26"/>
  <c r="K14" i="26" s="1"/>
  <c r="H6" i="26"/>
  <c r="HE5" i="26"/>
  <c r="HE3" i="26" s="1"/>
  <c r="GS5" i="26"/>
  <c r="GP5" i="26"/>
  <c r="GP7" i="26" s="1"/>
  <c r="GM5" i="26"/>
  <c r="GJ5" i="26"/>
  <c r="GG5" i="26"/>
  <c r="GD5" i="26"/>
  <c r="GA5" i="26"/>
  <c r="FX5" i="26"/>
  <c r="FX2" i="26" s="1"/>
  <c r="FU5" i="26"/>
  <c r="FR5" i="26"/>
  <c r="FO5" i="26"/>
  <c r="FL5" i="26"/>
  <c r="FC5" i="26"/>
  <c r="EZ5" i="26"/>
  <c r="EW5" i="26"/>
  <c r="EW7" i="26" s="1"/>
  <c r="ET5" i="26"/>
  <c r="EK5" i="26"/>
  <c r="EH5" i="26"/>
  <c r="DY5" i="26"/>
  <c r="DV5" i="26"/>
  <c r="DS5" i="26"/>
  <c r="DS7" i="26" s="1"/>
  <c r="DD5" i="26"/>
  <c r="DA5" i="26"/>
  <c r="DA13" i="26" s="1"/>
  <c r="CX5" i="26"/>
  <c r="CX22" i="26" s="1"/>
  <c r="CU5" i="26"/>
  <c r="CU15" i="26" s="1"/>
  <c r="CO5" i="26"/>
  <c r="CR5" i="26" s="1"/>
  <c r="CL5" i="26"/>
  <c r="CI5" i="26"/>
  <c r="CF5" i="26"/>
  <c r="CF2" i="26" s="1"/>
  <c r="CC5" i="26"/>
  <c r="CC2" i="26" s="1"/>
  <c r="BZ5" i="26"/>
  <c r="BZ15" i="26" s="1"/>
  <c r="BW5" i="26"/>
  <c r="BT5" i="26"/>
  <c r="BT18" i="26" s="1"/>
  <c r="BQ5" i="26"/>
  <c r="BN5" i="26"/>
  <c r="BK5" i="26"/>
  <c r="BH5" i="26"/>
  <c r="BE5" i="26"/>
  <c r="BB5" i="26"/>
  <c r="AY5" i="26"/>
  <c r="AV5" i="26"/>
  <c r="AS5" i="26"/>
  <c r="AP5" i="26"/>
  <c r="AM5" i="26"/>
  <c r="AJ5" i="26"/>
  <c r="AG5" i="26"/>
  <c r="AF5" i="26"/>
  <c r="AF30" i="26" s="1"/>
  <c r="AE5" i="26"/>
  <c r="AD5" i="26"/>
  <c r="AC5" i="26"/>
  <c r="AC31" i="26" s="1"/>
  <c r="Z5" i="26"/>
  <c r="Z19" i="26" s="1"/>
  <c r="W5" i="26"/>
  <c r="T5" i="26"/>
  <c r="Q5" i="26"/>
  <c r="N5" i="26"/>
  <c r="K5" i="26"/>
  <c r="H5" i="26"/>
  <c r="E5" i="26"/>
  <c r="E22" i="26" s="1"/>
  <c r="CL2" i="26"/>
  <c r="CI2" i="26"/>
  <c r="AJ2" i="26"/>
  <c r="N2" i="26"/>
  <c r="H69" i="25"/>
  <c r="H68" i="25"/>
  <c r="H67" i="25"/>
  <c r="H66" i="25"/>
  <c r="H65" i="25"/>
  <c r="H64" i="25"/>
  <c r="H63" i="25"/>
  <c r="H59" i="25" s="1"/>
  <c r="H62" i="25"/>
  <c r="H61" i="25"/>
  <c r="H60" i="25"/>
  <c r="H57" i="25"/>
  <c r="H56" i="25"/>
  <c r="H55" i="25"/>
  <c r="H54" i="25"/>
  <c r="H53" i="25"/>
  <c r="K52" i="25"/>
  <c r="H52" i="25"/>
  <c r="E52" i="25"/>
  <c r="K51" i="25"/>
  <c r="H51" i="25"/>
  <c r="H48" i="25" s="1"/>
  <c r="E51" i="25"/>
  <c r="DA50" i="25"/>
  <c r="K50" i="25"/>
  <c r="DA49" i="25"/>
  <c r="K49" i="25"/>
  <c r="E49" i="25"/>
  <c r="CU48" i="25"/>
  <c r="K48" i="25"/>
  <c r="E48" i="25"/>
  <c r="CU47" i="25"/>
  <c r="K47" i="25"/>
  <c r="H47" i="25"/>
  <c r="H45" i="25" s="1"/>
  <c r="E47" i="25"/>
  <c r="H46" i="25"/>
  <c r="H44" i="25" s="1"/>
  <c r="E46" i="25"/>
  <c r="DA45" i="25"/>
  <c r="E45" i="25"/>
  <c r="E53" i="25" s="1"/>
  <c r="E43" i="25" s="1"/>
  <c r="DA43" i="25"/>
  <c r="CU43" i="25"/>
  <c r="Z43" i="25"/>
  <c r="K43" i="25"/>
  <c r="DA42" i="25"/>
  <c r="CU42" i="25"/>
  <c r="Z42" i="25"/>
  <c r="K42" i="25"/>
  <c r="K16" i="25" s="1"/>
  <c r="HE41" i="25"/>
  <c r="DA41" i="25"/>
  <c r="CU41" i="25"/>
  <c r="K41" i="25"/>
  <c r="H41" i="25"/>
  <c r="HE40" i="25"/>
  <c r="DA40" i="25"/>
  <c r="DA26" i="25" s="1"/>
  <c r="CU40" i="25"/>
  <c r="HE39" i="25"/>
  <c r="DA39" i="25"/>
  <c r="CU39" i="25"/>
  <c r="Z39" i="25"/>
  <c r="W39" i="25"/>
  <c r="HE38" i="25"/>
  <c r="DA38" i="25"/>
  <c r="CU38" i="25"/>
  <c r="K38" i="25"/>
  <c r="H38" i="25"/>
  <c r="DA37" i="25"/>
  <c r="CU37" i="25"/>
  <c r="Z37" i="25"/>
  <c r="W37" i="25"/>
  <c r="K37" i="25"/>
  <c r="H37" i="25"/>
  <c r="E37" i="25"/>
  <c r="HE36" i="25"/>
  <c r="DA36" i="25"/>
  <c r="CU36" i="25"/>
  <c r="Z36" i="25"/>
  <c r="W36" i="25"/>
  <c r="K36" i="25"/>
  <c r="H36" i="25"/>
  <c r="E36" i="25"/>
  <c r="HE35" i="25"/>
  <c r="DA35" i="25"/>
  <c r="CU35" i="25"/>
  <c r="BZ35" i="25"/>
  <c r="BN35" i="25"/>
  <c r="BK35" i="25"/>
  <c r="BE35" i="25"/>
  <c r="BB35" i="25"/>
  <c r="AV35" i="25"/>
  <c r="AS35" i="25"/>
  <c r="AM35" i="25"/>
  <c r="AJ35" i="25"/>
  <c r="Z35" i="25"/>
  <c r="W35" i="25"/>
  <c r="Q35" i="25"/>
  <c r="N35" i="25"/>
  <c r="K35" i="25"/>
  <c r="H35" i="25"/>
  <c r="E35" i="25"/>
  <c r="HE34" i="25"/>
  <c r="DA34" i="25"/>
  <c r="CU34" i="25"/>
  <c r="BZ34" i="25"/>
  <c r="BN34" i="25"/>
  <c r="BK34" i="25"/>
  <c r="BE34" i="25"/>
  <c r="BB34" i="25"/>
  <c r="AV34" i="25"/>
  <c r="AS34" i="25"/>
  <c r="AM34" i="25"/>
  <c r="AJ34" i="25"/>
  <c r="Z34" i="25"/>
  <c r="W34" i="25"/>
  <c r="Q34" i="25"/>
  <c r="N34" i="25"/>
  <c r="K34" i="25"/>
  <c r="H34" i="25"/>
  <c r="E34" i="25"/>
  <c r="E38" i="25" s="1"/>
  <c r="E31" i="25" s="1"/>
  <c r="HE33" i="25"/>
  <c r="DA33" i="25"/>
  <c r="CU33" i="25"/>
  <c r="CO33" i="25"/>
  <c r="BN33" i="25"/>
  <c r="BK33" i="25"/>
  <c r="BE33" i="25"/>
  <c r="BB33" i="25"/>
  <c r="AV33" i="25"/>
  <c r="AS33" i="25"/>
  <c r="AM33" i="25"/>
  <c r="AJ33" i="25"/>
  <c r="AF33" i="25"/>
  <c r="Z33" i="25"/>
  <c r="W33" i="25"/>
  <c r="Q33" i="25"/>
  <c r="N33" i="25"/>
  <c r="K33" i="25"/>
  <c r="H33" i="25"/>
  <c r="E33" i="25"/>
  <c r="DA32" i="25"/>
  <c r="CU32" i="25"/>
  <c r="CU25" i="25" s="1"/>
  <c r="CO32" i="25"/>
  <c r="CO34" i="25" s="1"/>
  <c r="BN32" i="25"/>
  <c r="BK32" i="25"/>
  <c r="BE32" i="25"/>
  <c r="BB32" i="25"/>
  <c r="AV32" i="25"/>
  <c r="AS32" i="25"/>
  <c r="AM32" i="25"/>
  <c r="AJ32" i="25"/>
  <c r="AE32" i="25"/>
  <c r="AD32" i="25"/>
  <c r="AC32" i="25"/>
  <c r="Z32" i="25"/>
  <c r="W32" i="25"/>
  <c r="Q32" i="25"/>
  <c r="N32" i="25"/>
  <c r="K32" i="25"/>
  <c r="H32" i="25"/>
  <c r="HE31" i="25"/>
  <c r="DA31" i="25"/>
  <c r="CU31" i="25"/>
  <c r="CO31" i="25"/>
  <c r="CF31" i="25"/>
  <c r="CC31" i="25"/>
  <c r="BW31" i="25"/>
  <c r="BN31" i="25"/>
  <c r="BK31" i="25"/>
  <c r="BE31" i="25"/>
  <c r="BB31" i="25"/>
  <c r="AV31" i="25"/>
  <c r="AS31" i="25"/>
  <c r="AM31" i="25"/>
  <c r="AJ31" i="25"/>
  <c r="Z31" i="25"/>
  <c r="W31" i="25"/>
  <c r="Q31" i="25"/>
  <c r="N31" i="25"/>
  <c r="K31" i="25"/>
  <c r="K28" i="25" s="1"/>
  <c r="H31" i="25"/>
  <c r="HE30" i="25"/>
  <c r="DA30" i="25"/>
  <c r="CU30" i="25"/>
  <c r="CO30" i="25"/>
  <c r="CF30" i="25"/>
  <c r="CC30" i="25"/>
  <c r="BZ30" i="25"/>
  <c r="BW30" i="25"/>
  <c r="BN30" i="25"/>
  <c r="BK30" i="25"/>
  <c r="BE30" i="25"/>
  <c r="BB30" i="25"/>
  <c r="AS30" i="25"/>
  <c r="AM30" i="25"/>
  <c r="AJ30" i="25"/>
  <c r="Z30" i="25"/>
  <c r="Z29" i="25" s="1"/>
  <c r="W30" i="25"/>
  <c r="W29" i="25" s="1"/>
  <c r="Q30" i="25"/>
  <c r="N30" i="25"/>
  <c r="K30" i="25"/>
  <c r="H30" i="25"/>
  <c r="HE29" i="25"/>
  <c r="HE27" i="25" s="1"/>
  <c r="HE28" i="25" s="1"/>
  <c r="DA29" i="25"/>
  <c r="DA25" i="25" s="1"/>
  <c r="CU29" i="25"/>
  <c r="CU26" i="25" s="1"/>
  <c r="CO29" i="25"/>
  <c r="CF29" i="25"/>
  <c r="CC29" i="25"/>
  <c r="BZ29" i="25"/>
  <c r="BN29" i="25"/>
  <c r="BK29" i="25"/>
  <c r="BE29" i="25"/>
  <c r="BE25" i="25" s="1"/>
  <c r="BE21" i="25" s="1"/>
  <c r="BB29" i="25"/>
  <c r="BB25" i="25" s="1"/>
  <c r="BB21" i="25" s="1"/>
  <c r="AV29" i="25"/>
  <c r="AV25" i="25" s="1"/>
  <c r="AV21" i="25" s="1"/>
  <c r="AS29" i="25"/>
  <c r="AM29" i="25"/>
  <c r="AJ29" i="25"/>
  <c r="AJ25" i="25" s="1"/>
  <c r="Q29" i="25"/>
  <c r="Q25" i="25" s="1"/>
  <c r="Q21" i="25" s="1"/>
  <c r="N29" i="25"/>
  <c r="N25" i="25" s="1"/>
  <c r="N21" i="25" s="1"/>
  <c r="K29" i="25"/>
  <c r="H29" i="25"/>
  <c r="H22" i="25" s="1"/>
  <c r="DA28" i="25"/>
  <c r="DA24" i="25" s="1"/>
  <c r="CU28" i="25"/>
  <c r="CO28" i="25"/>
  <c r="CF28" i="25"/>
  <c r="CC28" i="25"/>
  <c r="BZ28" i="25"/>
  <c r="BN28" i="25"/>
  <c r="BK28" i="25"/>
  <c r="BE28" i="25"/>
  <c r="BB28" i="25"/>
  <c r="AV28" i="25"/>
  <c r="AS28" i="25"/>
  <c r="AM28" i="25"/>
  <c r="AJ28" i="25"/>
  <c r="Z28" i="25"/>
  <c r="W28" i="25"/>
  <c r="Q28" i="25"/>
  <c r="N28" i="25"/>
  <c r="H28" i="25"/>
  <c r="HB27" i="25"/>
  <c r="GM27" i="25"/>
  <c r="FI27" i="25"/>
  <c r="ET27" i="25"/>
  <c r="EE27" i="25"/>
  <c r="DA27" i="25"/>
  <c r="CU27" i="25"/>
  <c r="CO27" i="25"/>
  <c r="CF27" i="25"/>
  <c r="CC27" i="25"/>
  <c r="BZ27" i="25"/>
  <c r="BN27" i="25"/>
  <c r="BN26" i="25" s="1"/>
  <c r="BK27" i="25"/>
  <c r="BE27" i="25"/>
  <c r="BB27" i="25"/>
  <c r="AV27" i="25"/>
  <c r="AS27" i="25"/>
  <c r="AM27" i="25"/>
  <c r="AM26" i="25" s="1"/>
  <c r="AM21" i="25" s="1"/>
  <c r="AJ27" i="25"/>
  <c r="AJ26" i="25" s="1"/>
  <c r="Z27" i="25"/>
  <c r="W27" i="25"/>
  <c r="Q27" i="25"/>
  <c r="Q26" i="25" s="1"/>
  <c r="N27" i="25"/>
  <c r="N26" i="25" s="1"/>
  <c r="K27" i="25"/>
  <c r="H27" i="25"/>
  <c r="HB26" i="25"/>
  <c r="GM26" i="25"/>
  <c r="FI26" i="25"/>
  <c r="ET26" i="25"/>
  <c r="ET24" i="25" s="1"/>
  <c r="EE26" i="25"/>
  <c r="EE24" i="25" s="1"/>
  <c r="DP26" i="25"/>
  <c r="CX26" i="25"/>
  <c r="CO26" i="25"/>
  <c r="CL26" i="25"/>
  <c r="CF26" i="25"/>
  <c r="CC26" i="25"/>
  <c r="BZ26" i="25"/>
  <c r="BT26" i="25"/>
  <c r="BK26" i="25"/>
  <c r="BE26" i="25"/>
  <c r="BB26" i="25"/>
  <c r="AV26" i="25"/>
  <c r="AS26" i="25"/>
  <c r="K26" i="25"/>
  <c r="H26" i="25"/>
  <c r="E26" i="25"/>
  <c r="HE25" i="25"/>
  <c r="HB25" i="25"/>
  <c r="HB23" i="25" s="1"/>
  <c r="GM25" i="25"/>
  <c r="GM23" i="25" s="1"/>
  <c r="FI25" i="25"/>
  <c r="FI23" i="25" s="1"/>
  <c r="ET25" i="25"/>
  <c r="ET23" i="25" s="1"/>
  <c r="EE25" i="25"/>
  <c r="EE23" i="25" s="1"/>
  <c r="DP25" i="25"/>
  <c r="DG25" i="25"/>
  <c r="CX25" i="25"/>
  <c r="CO25" i="25"/>
  <c r="CL25" i="25"/>
  <c r="CF25" i="25"/>
  <c r="CF24" i="25" s="1"/>
  <c r="CC25" i="25"/>
  <c r="CC24" i="25" s="1"/>
  <c r="BZ25" i="25"/>
  <c r="BW25" i="25"/>
  <c r="BT25" i="25"/>
  <c r="AS25" i="25"/>
  <c r="AS21" i="25" s="1"/>
  <c r="AM25" i="25"/>
  <c r="AG25" i="25"/>
  <c r="AF25" i="25"/>
  <c r="AE25" i="25"/>
  <c r="AE24" i="25" s="1"/>
  <c r="AD25" i="25"/>
  <c r="AD24" i="25" s="1"/>
  <c r="AC25" i="25"/>
  <c r="AC24" i="25" s="1"/>
  <c r="E25" i="25"/>
  <c r="HB24" i="25"/>
  <c r="GM24" i="25"/>
  <c r="DP24" i="25"/>
  <c r="CX24" i="25"/>
  <c r="CR24" i="25"/>
  <c r="CO24" i="25"/>
  <c r="CL24" i="25"/>
  <c r="BZ24" i="25"/>
  <c r="BZ17" i="25" s="1"/>
  <c r="BW24" i="25"/>
  <c r="BT24" i="25"/>
  <c r="BN24" i="25"/>
  <c r="BN21" i="25" s="1"/>
  <c r="BK24" i="25"/>
  <c r="BK21" i="25" s="1"/>
  <c r="BE24" i="25"/>
  <c r="BB24" i="25"/>
  <c r="AV24" i="25"/>
  <c r="AS24" i="25"/>
  <c r="AM24" i="25"/>
  <c r="AJ24" i="25"/>
  <c r="AG24" i="25"/>
  <c r="AF24" i="25"/>
  <c r="Q24" i="25"/>
  <c r="N24" i="25"/>
  <c r="K24" i="25"/>
  <c r="H24" i="25"/>
  <c r="E24" i="25"/>
  <c r="DP23" i="25"/>
  <c r="DG23" i="25"/>
  <c r="DG20" i="25" s="1"/>
  <c r="DG16" i="25" s="1"/>
  <c r="DG7" i="25" s="1"/>
  <c r="CX23" i="25"/>
  <c r="CO23" i="25"/>
  <c r="CR23" i="25" s="1"/>
  <c r="CL23" i="25"/>
  <c r="CL20" i="25" s="1"/>
  <c r="CF23" i="25"/>
  <c r="CC23" i="25"/>
  <c r="BZ23" i="25"/>
  <c r="BW23" i="25"/>
  <c r="BT23" i="25"/>
  <c r="AD23" i="25"/>
  <c r="AD27" i="25" s="1"/>
  <c r="AC23" i="25"/>
  <c r="AC27" i="25" s="1"/>
  <c r="K23" i="25"/>
  <c r="H23" i="25"/>
  <c r="E23" i="25"/>
  <c r="HB22" i="25"/>
  <c r="GM22" i="25"/>
  <c r="GM16" i="25" s="1"/>
  <c r="FI22" i="25"/>
  <c r="FI16" i="25" s="1"/>
  <c r="ET22" i="25"/>
  <c r="EE22" i="25"/>
  <c r="EE16" i="25" s="1"/>
  <c r="DP22" i="25"/>
  <c r="DG22" i="25"/>
  <c r="CF22" i="25"/>
  <c r="CC22" i="25"/>
  <c r="BZ22" i="25"/>
  <c r="BW22" i="25"/>
  <c r="BT22" i="25"/>
  <c r="AG22" i="25"/>
  <c r="AF22" i="25"/>
  <c r="AE22" i="25"/>
  <c r="AD22" i="25"/>
  <c r="AC22" i="25"/>
  <c r="K22" i="25"/>
  <c r="HB21" i="25"/>
  <c r="GM21" i="25"/>
  <c r="FI21" i="25"/>
  <c r="ET21" i="25"/>
  <c r="EE21" i="25"/>
  <c r="DP21" i="25"/>
  <c r="DG21" i="25"/>
  <c r="DD21" i="25"/>
  <c r="BZ21" i="25"/>
  <c r="BW21" i="25"/>
  <c r="AG21" i="25"/>
  <c r="AF21" i="25"/>
  <c r="AE21" i="25"/>
  <c r="AD21" i="25"/>
  <c r="AC21" i="25"/>
  <c r="K21" i="25"/>
  <c r="K19" i="25" s="1"/>
  <c r="DD20" i="25"/>
  <c r="BZ20" i="25"/>
  <c r="BW20" i="25"/>
  <c r="BW13" i="25" s="1"/>
  <c r="AG20" i="25"/>
  <c r="AF20" i="25"/>
  <c r="AE20" i="25"/>
  <c r="AD20" i="25"/>
  <c r="AC20" i="25"/>
  <c r="H20" i="25"/>
  <c r="HB19" i="25"/>
  <c r="GM19" i="25"/>
  <c r="FI19" i="25"/>
  <c r="ET19" i="25"/>
  <c r="EE19" i="25"/>
  <c r="DP19" i="25"/>
  <c r="DG19" i="25"/>
  <c r="DD19" i="25"/>
  <c r="BZ19" i="25"/>
  <c r="BW19" i="25"/>
  <c r="AG19" i="25"/>
  <c r="AF19" i="25"/>
  <c r="AE19" i="25"/>
  <c r="AD19" i="25"/>
  <c r="AC19" i="25"/>
  <c r="H19" i="25"/>
  <c r="HB18" i="25"/>
  <c r="GM18" i="25"/>
  <c r="GA18" i="25"/>
  <c r="FL18" i="25"/>
  <c r="FI18" i="25"/>
  <c r="EW18" i="25"/>
  <c r="ET18" i="25"/>
  <c r="EH18" i="25"/>
  <c r="EE18" i="25"/>
  <c r="DS18" i="25"/>
  <c r="DP18" i="25"/>
  <c r="DG18" i="25"/>
  <c r="CX18" i="25"/>
  <c r="BZ18" i="25"/>
  <c r="BZ16" i="25" s="1"/>
  <c r="BW18" i="25"/>
  <c r="AG18" i="25"/>
  <c r="AF18" i="25"/>
  <c r="AE18" i="25"/>
  <c r="AD18" i="25"/>
  <c r="AC18" i="25"/>
  <c r="H18" i="25"/>
  <c r="E18" i="25"/>
  <c r="HB17" i="25"/>
  <c r="GP17" i="25"/>
  <c r="GM17" i="25"/>
  <c r="GA17" i="25"/>
  <c r="FL17" i="25"/>
  <c r="FI17" i="25"/>
  <c r="EW17" i="25"/>
  <c r="ET17" i="25"/>
  <c r="EH17" i="25"/>
  <c r="EE17" i="25"/>
  <c r="DY17" i="25"/>
  <c r="DY16" i="25" s="1"/>
  <c r="DS17" i="25"/>
  <c r="DP17" i="25"/>
  <c r="DG17" i="25"/>
  <c r="CX17" i="25"/>
  <c r="BW17" i="25"/>
  <c r="BT17" i="25"/>
  <c r="AG17" i="25"/>
  <c r="AF17" i="25"/>
  <c r="AE17" i="25"/>
  <c r="AD17" i="25"/>
  <c r="AC17" i="25"/>
  <c r="H17" i="25"/>
  <c r="E17" i="25"/>
  <c r="BT16" i="25" s="1"/>
  <c r="BT19" i="25" s="1"/>
  <c r="HB16" i="25"/>
  <c r="GV16" i="25"/>
  <c r="GP16" i="25"/>
  <c r="GG16" i="25"/>
  <c r="FC16" i="25"/>
  <c r="FC15" i="25" s="1"/>
  <c r="ET16" i="25"/>
  <c r="EN16" i="25"/>
  <c r="DP16" i="25"/>
  <c r="DD16" i="25"/>
  <c r="CX16" i="25"/>
  <c r="CX12" i="25" s="1"/>
  <c r="CO16" i="25"/>
  <c r="BQ16" i="25"/>
  <c r="BN16" i="25"/>
  <c r="BK16" i="25"/>
  <c r="BH16" i="25"/>
  <c r="BE16" i="25"/>
  <c r="BB16" i="25"/>
  <c r="AY16" i="25"/>
  <c r="AV16" i="25"/>
  <c r="AS16" i="25"/>
  <c r="AP16" i="25"/>
  <c r="AM16" i="25"/>
  <c r="AJ16" i="25"/>
  <c r="AG16" i="25"/>
  <c r="AF16" i="25"/>
  <c r="AE16" i="25"/>
  <c r="AD16" i="25"/>
  <c r="AC16" i="25"/>
  <c r="Z16" i="25"/>
  <c r="W16" i="25"/>
  <c r="T16" i="25"/>
  <c r="Q16" i="25"/>
  <c r="N16" i="25"/>
  <c r="HB15" i="25"/>
  <c r="GV15" i="25"/>
  <c r="GM15" i="25"/>
  <c r="GM2" i="25" s="1"/>
  <c r="GG15" i="25"/>
  <c r="GA15" i="25"/>
  <c r="FL15" i="25"/>
  <c r="FI15" i="25"/>
  <c r="EW15" i="25"/>
  <c r="ET15" i="25"/>
  <c r="ET2" i="25" s="1"/>
  <c r="EN15" i="25"/>
  <c r="EH15" i="25"/>
  <c r="EE15" i="25"/>
  <c r="DY15" i="25"/>
  <c r="DS15" i="25"/>
  <c r="DP15" i="25"/>
  <c r="DG15" i="25"/>
  <c r="DD15" i="25"/>
  <c r="CX15" i="25"/>
  <c r="CO15" i="25"/>
  <c r="CO17" i="25" s="1"/>
  <c r="BW15" i="25"/>
  <c r="BT15" i="25"/>
  <c r="BQ15" i="25"/>
  <c r="BN15" i="25"/>
  <c r="BK15" i="25"/>
  <c r="BH15" i="25"/>
  <c r="BE15" i="25"/>
  <c r="BB15" i="25"/>
  <c r="AY15" i="25"/>
  <c r="AV15" i="25"/>
  <c r="AS15" i="25"/>
  <c r="AP15" i="25"/>
  <c r="AM15" i="25"/>
  <c r="AJ15" i="25"/>
  <c r="AG15" i="25"/>
  <c r="AF15" i="25"/>
  <c r="AE15" i="25"/>
  <c r="AD15" i="25"/>
  <c r="AC15" i="25"/>
  <c r="Z15" i="25"/>
  <c r="W15" i="25"/>
  <c r="T15" i="25"/>
  <c r="Q15" i="25"/>
  <c r="N15" i="25"/>
  <c r="E15" i="25"/>
  <c r="E12" i="25" s="1"/>
  <c r="E19" i="25" s="1"/>
  <c r="HB14" i="25"/>
  <c r="GV14" i="25"/>
  <c r="GV17" i="25" s="1"/>
  <c r="GP14" i="25"/>
  <c r="GM14" i="25"/>
  <c r="GG14" i="25"/>
  <c r="GG17" i="25" s="1"/>
  <c r="FI14" i="25"/>
  <c r="FC14" i="25"/>
  <c r="FC17" i="25" s="1"/>
  <c r="ET14" i="25"/>
  <c r="EN14" i="25"/>
  <c r="EN17" i="25" s="1"/>
  <c r="EE14" i="25"/>
  <c r="EB14" i="25"/>
  <c r="DY14" i="25"/>
  <c r="DP14" i="25"/>
  <c r="DG14" i="25"/>
  <c r="DD14" i="25"/>
  <c r="CX14" i="25"/>
  <c r="CO14" i="25"/>
  <c r="CI14" i="25"/>
  <c r="CF14" i="25"/>
  <c r="CC14" i="25"/>
  <c r="BW14" i="25"/>
  <c r="BT14" i="25"/>
  <c r="BQ14" i="25"/>
  <c r="BN14" i="25"/>
  <c r="BK14" i="25"/>
  <c r="BH14" i="25"/>
  <c r="BE14" i="25"/>
  <c r="BB14" i="25"/>
  <c r="AY14" i="25"/>
  <c r="AV14" i="25"/>
  <c r="AS14" i="25"/>
  <c r="AP14" i="25"/>
  <c r="AM14" i="25"/>
  <c r="AJ14" i="25"/>
  <c r="AG14" i="25"/>
  <c r="AF14" i="25"/>
  <c r="AE14" i="25"/>
  <c r="AD14" i="25"/>
  <c r="AC14" i="25"/>
  <c r="Z14" i="25"/>
  <c r="W14" i="25"/>
  <c r="T14" i="25"/>
  <c r="Q14" i="25"/>
  <c r="N14" i="25"/>
  <c r="E14" i="25"/>
  <c r="HE13" i="25"/>
  <c r="HB13" i="25"/>
  <c r="GY13" i="25"/>
  <c r="GV13" i="25"/>
  <c r="GP13" i="25"/>
  <c r="GM13" i="25"/>
  <c r="GJ13" i="25"/>
  <c r="GG13" i="25"/>
  <c r="GA13" i="25"/>
  <c r="FL13" i="25"/>
  <c r="FI13" i="25"/>
  <c r="FF13" i="25"/>
  <c r="FC13" i="25"/>
  <c r="EW13" i="25"/>
  <c r="ET13" i="25"/>
  <c r="EQ13" i="25"/>
  <c r="EN13" i="25"/>
  <c r="EH13" i="25"/>
  <c r="EE13" i="25"/>
  <c r="EB13" i="25"/>
  <c r="DY13" i="25"/>
  <c r="DP13" i="25"/>
  <c r="DG13" i="25"/>
  <c r="DD13" i="25"/>
  <c r="CX13" i="25"/>
  <c r="CU13" i="25"/>
  <c r="CO13" i="25"/>
  <c r="CI13" i="25"/>
  <c r="CF13" i="25"/>
  <c r="CC13" i="25"/>
  <c r="BT13" i="25"/>
  <c r="BQ13" i="25"/>
  <c r="BN13" i="25"/>
  <c r="BK13" i="25"/>
  <c r="BH13" i="25"/>
  <c r="BE13" i="25"/>
  <c r="BB13" i="25"/>
  <c r="AY13" i="25"/>
  <c r="AV13" i="25"/>
  <c r="AS13" i="25"/>
  <c r="AP13" i="25"/>
  <c r="AM13" i="25"/>
  <c r="AJ13" i="25"/>
  <c r="AG13" i="25"/>
  <c r="AF13" i="25"/>
  <c r="AE13" i="25"/>
  <c r="AD13" i="25"/>
  <c r="AC13" i="25"/>
  <c r="Z13" i="25"/>
  <c r="W13" i="25"/>
  <c r="T13" i="25"/>
  <c r="Q13" i="25"/>
  <c r="N13" i="25"/>
  <c r="K13" i="25"/>
  <c r="E13" i="25"/>
  <c r="HB12" i="25"/>
  <c r="GY12" i="25"/>
  <c r="GV12" i="25"/>
  <c r="GP12" i="25"/>
  <c r="GM12" i="25"/>
  <c r="GJ12" i="25"/>
  <c r="GG12" i="25"/>
  <c r="GA12" i="25"/>
  <c r="FL12" i="25"/>
  <c r="FI12" i="25"/>
  <c r="FF12" i="25"/>
  <c r="FC12" i="25"/>
  <c r="EW12" i="25"/>
  <c r="ET12" i="25"/>
  <c r="EQ12" i="25"/>
  <c r="EN12" i="25"/>
  <c r="EH12" i="25"/>
  <c r="EE12" i="25"/>
  <c r="EB12" i="25"/>
  <c r="DY12" i="25"/>
  <c r="DS12" i="25"/>
  <c r="DP12" i="25"/>
  <c r="DG12" i="25"/>
  <c r="DD12" i="25"/>
  <c r="DD11" i="25" s="1"/>
  <c r="DD7" i="25" s="1"/>
  <c r="DA12" i="25"/>
  <c r="DA11" i="25" s="1"/>
  <c r="DA10" i="25" s="1"/>
  <c r="CU12" i="25"/>
  <c r="CU11" i="25" s="1"/>
  <c r="CU16" i="25" s="1"/>
  <c r="CO12" i="25"/>
  <c r="CI12" i="25"/>
  <c r="CF12" i="25"/>
  <c r="CC12" i="25"/>
  <c r="BZ12" i="25"/>
  <c r="BZ11" i="25" s="1"/>
  <c r="BZ10" i="25" s="1"/>
  <c r="BT12" i="25"/>
  <c r="BQ12" i="25"/>
  <c r="BN12" i="25"/>
  <c r="BK12" i="25"/>
  <c r="BH12" i="25"/>
  <c r="BE12" i="25"/>
  <c r="BB12" i="25"/>
  <c r="AY12" i="25"/>
  <c r="AV12" i="25"/>
  <c r="AS12" i="25"/>
  <c r="AP12" i="25"/>
  <c r="AM12" i="25"/>
  <c r="AJ12" i="25"/>
  <c r="AG12" i="25"/>
  <c r="AF12" i="25"/>
  <c r="Z12" i="25"/>
  <c r="W12" i="25"/>
  <c r="T12" i="25"/>
  <c r="Q12" i="25"/>
  <c r="N12" i="25"/>
  <c r="K12" i="25"/>
  <c r="HE11" i="25"/>
  <c r="HB11" i="25"/>
  <c r="GY11" i="25"/>
  <c r="GV11" i="25"/>
  <c r="GP11" i="25"/>
  <c r="GM11" i="25"/>
  <c r="GJ11" i="25"/>
  <c r="GG11" i="25"/>
  <c r="GA11" i="25"/>
  <c r="GA8" i="25" s="1"/>
  <c r="FL11" i="25"/>
  <c r="FI11" i="25"/>
  <c r="FF11" i="25"/>
  <c r="FC11" i="25"/>
  <c r="EW11" i="25"/>
  <c r="EW8" i="25" s="1"/>
  <c r="ET11" i="25"/>
  <c r="EQ11" i="25"/>
  <c r="EN11" i="25"/>
  <c r="EH11" i="25"/>
  <c r="EH8" i="25" s="1"/>
  <c r="EH7" i="25" s="1"/>
  <c r="DS11" i="25"/>
  <c r="DS8" i="25" s="1"/>
  <c r="DP11" i="25"/>
  <c r="DJ11" i="25"/>
  <c r="CX11" i="25"/>
  <c r="CO11" i="25"/>
  <c r="CI11" i="25"/>
  <c r="CF11" i="25"/>
  <c r="CC11" i="25"/>
  <c r="BT11" i="25"/>
  <c r="BQ11" i="25"/>
  <c r="BN11" i="25"/>
  <c r="BN9" i="25" s="1"/>
  <c r="BN2" i="25" s="1"/>
  <c r="BK11" i="25"/>
  <c r="BK9" i="25" s="1"/>
  <c r="BK2" i="25" s="1"/>
  <c r="BH11" i="25"/>
  <c r="BE11" i="25"/>
  <c r="BB11" i="25"/>
  <c r="AY11" i="25"/>
  <c r="AV11" i="25"/>
  <c r="AS11" i="25"/>
  <c r="AP11" i="25"/>
  <c r="AM11" i="25"/>
  <c r="AJ11" i="25"/>
  <c r="AG11" i="25"/>
  <c r="AF11" i="25"/>
  <c r="Z11" i="25"/>
  <c r="W11" i="25"/>
  <c r="T11" i="25"/>
  <c r="Q11" i="25"/>
  <c r="N11" i="25"/>
  <c r="K11" i="25"/>
  <c r="E11" i="25"/>
  <c r="BT9" i="25" s="1"/>
  <c r="HE10" i="25"/>
  <c r="HB10" i="25"/>
  <c r="GY10" i="25"/>
  <c r="GV10" i="25"/>
  <c r="GP10" i="25"/>
  <c r="GM10" i="25"/>
  <c r="GJ10" i="25"/>
  <c r="GG10" i="25"/>
  <c r="GA10" i="25"/>
  <c r="FL10" i="25"/>
  <c r="FI10" i="25"/>
  <c r="FF10" i="25"/>
  <c r="FC10" i="25"/>
  <c r="EW10" i="25"/>
  <c r="ET10" i="25"/>
  <c r="EQ10" i="25"/>
  <c r="EN10" i="25"/>
  <c r="EH10" i="25"/>
  <c r="EE10" i="25"/>
  <c r="EB10" i="25"/>
  <c r="DY10" i="25"/>
  <c r="DS10" i="25"/>
  <c r="DP10" i="25"/>
  <c r="DJ10" i="25"/>
  <c r="DG10" i="25"/>
  <c r="DD10" i="25"/>
  <c r="CX10" i="25"/>
  <c r="CU10" i="25"/>
  <c r="CO10" i="25"/>
  <c r="CI10" i="25"/>
  <c r="CF10" i="25"/>
  <c r="CC10" i="25"/>
  <c r="BT10" i="25"/>
  <c r="BQ10" i="25"/>
  <c r="BQ9" i="25" s="1"/>
  <c r="BQ2" i="25" s="1"/>
  <c r="BN10" i="25"/>
  <c r="BK10" i="25"/>
  <c r="BH10" i="25"/>
  <c r="BH6" i="25" s="1"/>
  <c r="BH2" i="25" s="1"/>
  <c r="BE10" i="25"/>
  <c r="BE6" i="25" s="1"/>
  <c r="BB10" i="25"/>
  <c r="BB6" i="25" s="1"/>
  <c r="AY10" i="25"/>
  <c r="AY6" i="25" s="1"/>
  <c r="AY2" i="25" s="1"/>
  <c r="AV10" i="25"/>
  <c r="AV6" i="25" s="1"/>
  <c r="AV2" i="25" s="1"/>
  <c r="AS10" i="25"/>
  <c r="AP10" i="25"/>
  <c r="AM10" i="25"/>
  <c r="AM6" i="25" s="1"/>
  <c r="AM2" i="25" s="1"/>
  <c r="AG10" i="25"/>
  <c r="AF10" i="25"/>
  <c r="Z10" i="25"/>
  <c r="Z6" i="25" s="1"/>
  <c r="Z18" i="25" s="1"/>
  <c r="W10" i="25"/>
  <c r="W6" i="25" s="1"/>
  <c r="T10" i="25"/>
  <c r="T6" i="25" s="1"/>
  <c r="T2" i="25" s="1"/>
  <c r="Q10" i="25"/>
  <c r="Q6" i="25" s="1"/>
  <c r="Q2" i="25" s="1"/>
  <c r="N10" i="25"/>
  <c r="K10" i="25"/>
  <c r="E10" i="25"/>
  <c r="HE9" i="25"/>
  <c r="HE7" i="25" s="1"/>
  <c r="HE8" i="25" s="1"/>
  <c r="HB9" i="25"/>
  <c r="GY9" i="25"/>
  <c r="GV9" i="25"/>
  <c r="GP9" i="25"/>
  <c r="GM9" i="25"/>
  <c r="GJ9" i="25"/>
  <c r="GG9" i="25"/>
  <c r="GA9" i="25"/>
  <c r="FR9" i="25"/>
  <c r="FR8" i="25" s="1"/>
  <c r="FL9" i="25"/>
  <c r="FL8" i="25" s="1"/>
  <c r="FL7" i="25" s="1"/>
  <c r="FI9" i="25"/>
  <c r="FF9" i="25"/>
  <c r="FC9" i="25"/>
  <c r="EW9" i="25"/>
  <c r="ET9" i="25"/>
  <c r="EQ9" i="25"/>
  <c r="EN9" i="25"/>
  <c r="EH9" i="25"/>
  <c r="EE9" i="25"/>
  <c r="EB9" i="25"/>
  <c r="DY9" i="25"/>
  <c r="DS9" i="25"/>
  <c r="DP9" i="25"/>
  <c r="DP7" i="25" s="1"/>
  <c r="DJ9" i="25"/>
  <c r="DJ12" i="25" s="1"/>
  <c r="DG9" i="25"/>
  <c r="DD9" i="25"/>
  <c r="DA9" i="25"/>
  <c r="CX9" i="25"/>
  <c r="CU9" i="25"/>
  <c r="CO9" i="25"/>
  <c r="CI9" i="25"/>
  <c r="CF9" i="25"/>
  <c r="CC9" i="25"/>
  <c r="BZ9" i="25"/>
  <c r="BW9" i="25"/>
  <c r="BH9" i="25"/>
  <c r="BE9" i="25"/>
  <c r="BB9" i="25"/>
  <c r="AY9" i="25"/>
  <c r="AV9" i="25"/>
  <c r="AS9" i="25"/>
  <c r="AP9" i="25"/>
  <c r="AM9" i="25"/>
  <c r="AJ9" i="25"/>
  <c r="AG9" i="25"/>
  <c r="AG23" i="25" s="1"/>
  <c r="AG27" i="25" s="1"/>
  <c r="AF9" i="25"/>
  <c r="AF23" i="25" s="1"/>
  <c r="AF27" i="25" s="1"/>
  <c r="AE9" i="25"/>
  <c r="AD9" i="25"/>
  <c r="AC9" i="25"/>
  <c r="Z9" i="25"/>
  <c r="W9" i="25"/>
  <c r="T9" i="25"/>
  <c r="Q9" i="25"/>
  <c r="N9" i="25"/>
  <c r="K9" i="25"/>
  <c r="H9" i="25"/>
  <c r="E9" i="25"/>
  <c r="HB8" i="25"/>
  <c r="GY8" i="25"/>
  <c r="GV8" i="25"/>
  <c r="GP8" i="25"/>
  <c r="GM8" i="25"/>
  <c r="GM6" i="25" s="1"/>
  <c r="GJ8" i="25"/>
  <c r="GG8" i="25"/>
  <c r="FI8" i="25"/>
  <c r="FI6" i="25" s="1"/>
  <c r="FF8" i="25"/>
  <c r="FF6" i="25" s="1"/>
  <c r="FC8" i="25"/>
  <c r="FC6" i="25" s="1"/>
  <c r="ET8" i="25"/>
  <c r="EQ8" i="25"/>
  <c r="EN8" i="25"/>
  <c r="EN6" i="25" s="1"/>
  <c r="EE8" i="25"/>
  <c r="EE6" i="25" s="1"/>
  <c r="EB8" i="25"/>
  <c r="EB6" i="25" s="1"/>
  <c r="DY8" i="25"/>
  <c r="DY6" i="25" s="1"/>
  <c r="DV8" i="25"/>
  <c r="DP8" i="25"/>
  <c r="DP6" i="25" s="1"/>
  <c r="DM8" i="25"/>
  <c r="DM6" i="25" s="1"/>
  <c r="DJ8" i="25"/>
  <c r="DJ6" i="25" s="1"/>
  <c r="DG8" i="25"/>
  <c r="DD8" i="25"/>
  <c r="DA8" i="25"/>
  <c r="CX8" i="25"/>
  <c r="CU8" i="25"/>
  <c r="CO8" i="25"/>
  <c r="CO6" i="25" s="1"/>
  <c r="CL8" i="25"/>
  <c r="CI8" i="25"/>
  <c r="CF8" i="25"/>
  <c r="CC8" i="25"/>
  <c r="BZ8" i="25"/>
  <c r="BW8" i="25"/>
  <c r="BT8" i="25"/>
  <c r="BQ8" i="25"/>
  <c r="BN8" i="25"/>
  <c r="BK8" i="25"/>
  <c r="BH8" i="25"/>
  <c r="BE8" i="25"/>
  <c r="BB8" i="25"/>
  <c r="AY8" i="25"/>
  <c r="AV8" i="25"/>
  <c r="AS8" i="25"/>
  <c r="AP8" i="25"/>
  <c r="AM8" i="25"/>
  <c r="AJ8" i="25"/>
  <c r="AG8" i="25"/>
  <c r="AF8" i="25"/>
  <c r="AE8" i="25"/>
  <c r="AD8" i="25"/>
  <c r="AC8" i="25"/>
  <c r="Z8" i="25"/>
  <c r="W8" i="25"/>
  <c r="T8" i="25"/>
  <c r="Q8" i="25"/>
  <c r="N8" i="25"/>
  <c r="K8" i="25"/>
  <c r="H8" i="25"/>
  <c r="E8" i="25"/>
  <c r="HB7" i="25"/>
  <c r="HB5" i="25" s="1"/>
  <c r="GY7" i="25"/>
  <c r="GY5" i="25" s="1"/>
  <c r="GV7" i="25"/>
  <c r="GV5" i="25" s="1"/>
  <c r="GM7" i="25"/>
  <c r="GJ7" i="25"/>
  <c r="GG7" i="25"/>
  <c r="FR7" i="25"/>
  <c r="FI7" i="25"/>
  <c r="FI5" i="25" s="1"/>
  <c r="FF7" i="25"/>
  <c r="FF5" i="25" s="1"/>
  <c r="FC7" i="25"/>
  <c r="ET7" i="25"/>
  <c r="EQ7" i="25"/>
  <c r="EQ5" i="25" s="1"/>
  <c r="EN7" i="25"/>
  <c r="EN5" i="25" s="1"/>
  <c r="EE7" i="25"/>
  <c r="EE5" i="25" s="1"/>
  <c r="EB7" i="25"/>
  <c r="EB5" i="25" s="1"/>
  <c r="DY7" i="25"/>
  <c r="DM7" i="25"/>
  <c r="DM5" i="25" s="1"/>
  <c r="DJ7" i="25"/>
  <c r="DJ5" i="25" s="1"/>
  <c r="DA7" i="25"/>
  <c r="CX7" i="25"/>
  <c r="CU7" i="25"/>
  <c r="CO7" i="25"/>
  <c r="CL7" i="25"/>
  <c r="CI7" i="25"/>
  <c r="CF7" i="25"/>
  <c r="CC7" i="25"/>
  <c r="BZ7" i="25"/>
  <c r="BW7" i="25"/>
  <c r="BT7" i="25"/>
  <c r="BT6" i="25" s="1"/>
  <c r="BT21" i="25" s="1"/>
  <c r="BQ7" i="25"/>
  <c r="BN7" i="25"/>
  <c r="BK7" i="25"/>
  <c r="BH7" i="25"/>
  <c r="BE7" i="25"/>
  <c r="BB7" i="25"/>
  <c r="AY7" i="25"/>
  <c r="AV7" i="25"/>
  <c r="AS7" i="25"/>
  <c r="AP7" i="25"/>
  <c r="AM7" i="25"/>
  <c r="AJ7" i="25"/>
  <c r="AG7" i="25"/>
  <c r="AF7" i="25"/>
  <c r="AE7" i="25"/>
  <c r="AD7" i="25"/>
  <c r="AC7" i="25"/>
  <c r="Z7" i="25"/>
  <c r="W7" i="25"/>
  <c r="T7" i="25"/>
  <c r="Q7" i="25"/>
  <c r="N7" i="25"/>
  <c r="K7" i="25"/>
  <c r="H7" i="25"/>
  <c r="E7" i="25"/>
  <c r="E6" i="25" s="1"/>
  <c r="HB6" i="25"/>
  <c r="GY6" i="25"/>
  <c r="GV6" i="25"/>
  <c r="GS6" i="25"/>
  <c r="GP6" i="25"/>
  <c r="GJ6" i="25"/>
  <c r="GG6" i="25"/>
  <c r="GD6" i="25"/>
  <c r="GA6" i="25"/>
  <c r="FU6" i="25"/>
  <c r="FR6" i="25"/>
  <c r="FL6" i="25"/>
  <c r="EZ6" i="25"/>
  <c r="EW6" i="25"/>
  <c r="ET6" i="25"/>
  <c r="EQ6" i="25"/>
  <c r="EK6" i="25"/>
  <c r="EH6" i="25"/>
  <c r="DV6" i="25"/>
  <c r="DS6" i="25"/>
  <c r="DS7" i="25" s="1"/>
  <c r="DD6" i="25"/>
  <c r="DA6" i="25"/>
  <c r="CX6" i="25"/>
  <c r="CU6" i="25"/>
  <c r="CR6" i="25"/>
  <c r="CL6" i="25"/>
  <c r="CI6" i="25"/>
  <c r="CF6" i="25"/>
  <c r="CC6" i="25"/>
  <c r="BZ6" i="25"/>
  <c r="BW6" i="25"/>
  <c r="BW10" i="25" s="1"/>
  <c r="AS6" i="25"/>
  <c r="AS2" i="25" s="1"/>
  <c r="AP6" i="25"/>
  <c r="AP2" i="25" s="1"/>
  <c r="AJ6" i="25"/>
  <c r="N6" i="25"/>
  <c r="N2" i="25" s="1"/>
  <c r="K6" i="25"/>
  <c r="H6" i="25"/>
  <c r="HE5" i="25"/>
  <c r="GS5" i="25"/>
  <c r="GP5" i="25"/>
  <c r="GP7" i="25" s="1"/>
  <c r="GM5" i="25"/>
  <c r="GJ5" i="25"/>
  <c r="GG5" i="25"/>
  <c r="GD5" i="25"/>
  <c r="GA5" i="25"/>
  <c r="GA7" i="25" s="1"/>
  <c r="FX5" i="25"/>
  <c r="FX2" i="25" s="1"/>
  <c r="FU5" i="25"/>
  <c r="FR5" i="25"/>
  <c r="FO5" i="25"/>
  <c r="FL5" i="25"/>
  <c r="FC5" i="25"/>
  <c r="EZ5" i="25"/>
  <c r="EW5" i="25"/>
  <c r="ET5" i="25"/>
  <c r="EK5" i="25"/>
  <c r="EH5" i="25"/>
  <c r="DY5" i="25"/>
  <c r="DV5" i="25"/>
  <c r="DS5" i="25"/>
  <c r="DD5" i="25"/>
  <c r="DA5" i="25"/>
  <c r="DA13" i="25" s="1"/>
  <c r="CX5" i="25"/>
  <c r="CX22" i="25" s="1"/>
  <c r="CU5" i="25"/>
  <c r="CU15" i="25" s="1"/>
  <c r="CO5" i="25"/>
  <c r="CR5" i="25" s="1"/>
  <c r="CL5" i="25"/>
  <c r="CI5" i="25"/>
  <c r="CF5" i="25"/>
  <c r="CF2" i="25" s="1"/>
  <c r="CC5" i="25"/>
  <c r="CC2" i="25" s="1"/>
  <c r="BZ5" i="25"/>
  <c r="BZ15" i="25" s="1"/>
  <c r="BW5" i="25"/>
  <c r="BT5" i="25"/>
  <c r="BT18" i="25" s="1"/>
  <c r="BT3" i="25" s="1"/>
  <c r="BQ5" i="25"/>
  <c r="BN5" i="25"/>
  <c r="BK5" i="25"/>
  <c r="BH5" i="25"/>
  <c r="BE5" i="25"/>
  <c r="BB5" i="25"/>
  <c r="AY5" i="25"/>
  <c r="AV5" i="25"/>
  <c r="AS5" i="25"/>
  <c r="AP5" i="25"/>
  <c r="AM5" i="25"/>
  <c r="AJ5" i="25"/>
  <c r="AG5" i="25"/>
  <c r="AF5" i="25"/>
  <c r="AF30" i="25" s="1"/>
  <c r="AE5" i="25"/>
  <c r="AD5" i="25"/>
  <c r="AD31" i="25" s="1"/>
  <c r="AC5" i="25"/>
  <c r="AC31" i="25" s="1"/>
  <c r="Z5" i="25"/>
  <c r="W5" i="25"/>
  <c r="W18" i="25" s="1"/>
  <c r="T5" i="25"/>
  <c r="Q5" i="25"/>
  <c r="N5" i="25"/>
  <c r="K5" i="25"/>
  <c r="H5" i="25"/>
  <c r="E5" i="25"/>
  <c r="E22" i="25" s="1"/>
  <c r="CL2" i="25"/>
  <c r="CI2" i="25"/>
  <c r="AJ2" i="25"/>
  <c r="E54" i="32"/>
  <c r="E38" i="32"/>
  <c r="E22" i="32"/>
  <c r="E21" i="32"/>
  <c r="E20" i="32"/>
  <c r="E19" i="32"/>
  <c r="H14" i="32"/>
  <c r="H13" i="32"/>
  <c r="H12" i="32"/>
  <c r="H11" i="32"/>
  <c r="H10" i="32"/>
  <c r="K18" i="32"/>
  <c r="K17" i="32"/>
  <c r="K16" i="32"/>
  <c r="K15" i="32"/>
  <c r="K14" i="32"/>
  <c r="K14" i="9"/>
  <c r="Q21" i="32"/>
  <c r="N21" i="32"/>
  <c r="T2" i="32"/>
  <c r="Q2" i="32"/>
  <c r="N2" i="32"/>
  <c r="Z41" i="32"/>
  <c r="Z40" i="32"/>
  <c r="Z39" i="32"/>
  <c r="Z38" i="32"/>
  <c r="W41" i="32"/>
  <c r="W40" i="32"/>
  <c r="W39" i="32"/>
  <c r="W38" i="32"/>
  <c r="Z19" i="32"/>
  <c r="Z18" i="32"/>
  <c r="Z17" i="32"/>
  <c r="Z16" i="32"/>
  <c r="W19" i="32"/>
  <c r="W18" i="32"/>
  <c r="W17" i="32"/>
  <c r="W16" i="32"/>
  <c r="AG31" i="32"/>
  <c r="AF31" i="32"/>
  <c r="AF30" i="32"/>
  <c r="AE31" i="32"/>
  <c r="AE30" i="32"/>
  <c r="AE29" i="32"/>
  <c r="AD31" i="32"/>
  <c r="AD30" i="32"/>
  <c r="AC31" i="32"/>
  <c r="AC30" i="32"/>
  <c r="AV21" i="32"/>
  <c r="AS21" i="32"/>
  <c r="AY2" i="32"/>
  <c r="AV2" i="32"/>
  <c r="AS2" i="32"/>
  <c r="AM21" i="32"/>
  <c r="AJ21" i="32"/>
  <c r="AP2" i="32"/>
  <c r="AM2" i="32"/>
  <c r="AJ2" i="32"/>
  <c r="BE21" i="32"/>
  <c r="BB21" i="32"/>
  <c r="BH2" i="32"/>
  <c r="BE2" i="32"/>
  <c r="BB2" i="32"/>
  <c r="BN21" i="32"/>
  <c r="BK21" i="32"/>
  <c r="BQ2" i="32"/>
  <c r="BN2" i="32"/>
  <c r="BK2" i="32"/>
  <c r="BT21" i="32"/>
  <c r="BT20" i="32"/>
  <c r="BT19" i="32"/>
  <c r="BT18" i="32"/>
  <c r="BW12" i="32"/>
  <c r="BW10" i="32"/>
  <c r="BZ15" i="32"/>
  <c r="BZ14" i="32"/>
  <c r="BZ13" i="32"/>
  <c r="CF19" i="32"/>
  <c r="CC19" i="32"/>
  <c r="CI2" i="32"/>
  <c r="CF2" i="32"/>
  <c r="CC2" i="32"/>
  <c r="CL20" i="32"/>
  <c r="CL2" i="32"/>
  <c r="CX22" i="32"/>
  <c r="CX21" i="32"/>
  <c r="CX20" i="32"/>
  <c r="CX19" i="32"/>
  <c r="CU16" i="32"/>
  <c r="CU15" i="32"/>
  <c r="CU14" i="32"/>
  <c r="DA15" i="32"/>
  <c r="DA14" i="32"/>
  <c r="DA13" i="32"/>
  <c r="DD7" i="32"/>
  <c r="DS7" i="32"/>
  <c r="EH7" i="32"/>
  <c r="EW7" i="32"/>
  <c r="FL7" i="32"/>
  <c r="GA7" i="32"/>
  <c r="GP7" i="32"/>
  <c r="B46" i="32"/>
  <c r="H69" i="32"/>
  <c r="H68" i="32"/>
  <c r="H67" i="32"/>
  <c r="H66" i="32"/>
  <c r="H65" i="32"/>
  <c r="H64" i="32"/>
  <c r="H63" i="32"/>
  <c r="H59" i="32" s="1"/>
  <c r="H62" i="32"/>
  <c r="H54" i="32" s="1"/>
  <c r="H61" i="32"/>
  <c r="H60" i="32"/>
  <c r="H57" i="32"/>
  <c r="H56" i="32"/>
  <c r="H55" i="32"/>
  <c r="H53" i="32"/>
  <c r="K52" i="32"/>
  <c r="H52" i="32"/>
  <c r="E53" i="32"/>
  <c r="K51" i="32"/>
  <c r="H51" i="32"/>
  <c r="E52" i="32"/>
  <c r="DA50" i="32"/>
  <c r="DA25" i="32" s="1"/>
  <c r="K50" i="32"/>
  <c r="DA49" i="32"/>
  <c r="K49" i="32"/>
  <c r="E50" i="32"/>
  <c r="CU48" i="32"/>
  <c r="K48" i="32"/>
  <c r="E49" i="32"/>
  <c r="CU47" i="32"/>
  <c r="K47" i="32"/>
  <c r="H47" i="32"/>
  <c r="H45" i="32" s="1"/>
  <c r="E48" i="32"/>
  <c r="H46" i="32"/>
  <c r="H44" i="32" s="1"/>
  <c r="E47" i="32"/>
  <c r="DA45" i="32"/>
  <c r="E46" i="32"/>
  <c r="DA43" i="32"/>
  <c r="CU43" i="32"/>
  <c r="Z43" i="32"/>
  <c r="K43" i="32"/>
  <c r="K11" i="32" s="1"/>
  <c r="B43" i="32"/>
  <c r="DG10" i="32" s="1"/>
  <c r="DA42" i="32"/>
  <c r="CU42" i="32"/>
  <c r="Z42" i="32"/>
  <c r="K42" i="32"/>
  <c r="HE41" i="32"/>
  <c r="DA41" i="32"/>
  <c r="CU41" i="32"/>
  <c r="K41" i="32"/>
  <c r="H41" i="32"/>
  <c r="HE40" i="32"/>
  <c r="DA40" i="32"/>
  <c r="DA26" i="32" s="1"/>
  <c r="CU40" i="32"/>
  <c r="HE39" i="32"/>
  <c r="HE37" i="32" s="1"/>
  <c r="HE42" i="32" s="1"/>
  <c r="DA39" i="32"/>
  <c r="CU39" i="32"/>
  <c r="HE38" i="32"/>
  <c r="DA38" i="32"/>
  <c r="CU38" i="32"/>
  <c r="K38" i="32"/>
  <c r="H38" i="32"/>
  <c r="DA37" i="32"/>
  <c r="CU37" i="32"/>
  <c r="Z37" i="32"/>
  <c r="W37" i="32"/>
  <c r="K37" i="32"/>
  <c r="H37" i="32"/>
  <c r="E37" i="32"/>
  <c r="HE36" i="32"/>
  <c r="DA36" i="32"/>
  <c r="CU36" i="32"/>
  <c r="Z36" i="32"/>
  <c r="W36" i="32"/>
  <c r="K36" i="32"/>
  <c r="H36" i="32"/>
  <c r="E36" i="32"/>
  <c r="HE35" i="32"/>
  <c r="DA35" i="32"/>
  <c r="DA24" i="32" s="1"/>
  <c r="CU35" i="32"/>
  <c r="BZ35" i="32"/>
  <c r="BN35" i="32"/>
  <c r="BK35" i="32"/>
  <c r="BE35" i="32"/>
  <c r="BB35" i="32"/>
  <c r="AV35" i="32"/>
  <c r="AS35" i="32"/>
  <c r="AM35" i="32"/>
  <c r="AJ35" i="32"/>
  <c r="Z35" i="32"/>
  <c r="W35" i="32"/>
  <c r="Q35" i="32"/>
  <c r="N35" i="32"/>
  <c r="K35" i="32"/>
  <c r="H35" i="32"/>
  <c r="E35" i="32"/>
  <c r="HE34" i="32"/>
  <c r="DA34" i="32"/>
  <c r="CU34" i="32"/>
  <c r="BZ34" i="32"/>
  <c r="BZ16" i="32" s="1"/>
  <c r="BN34" i="32"/>
  <c r="BK34" i="32"/>
  <c r="BE34" i="32"/>
  <c r="BB34" i="32"/>
  <c r="AV34" i="32"/>
  <c r="AS34" i="32"/>
  <c r="AM34" i="32"/>
  <c r="AJ34" i="32"/>
  <c r="Z34" i="32"/>
  <c r="W34" i="32"/>
  <c r="Q34" i="32"/>
  <c r="N34" i="32"/>
  <c r="K34" i="32"/>
  <c r="H34" i="32"/>
  <c r="E34" i="32"/>
  <c r="E31" i="32" s="1"/>
  <c r="B34" i="32"/>
  <c r="HE33" i="32"/>
  <c r="DA33" i="32"/>
  <c r="CU33" i="32"/>
  <c r="CO33" i="32"/>
  <c r="CO32" i="32" s="1"/>
  <c r="BN33" i="32"/>
  <c r="BK33" i="32"/>
  <c r="BE33" i="32"/>
  <c r="BB33" i="32"/>
  <c r="AV33" i="32"/>
  <c r="AS33" i="32"/>
  <c r="AM33" i="32"/>
  <c r="AJ33" i="32"/>
  <c r="AF33" i="32"/>
  <c r="Z33" i="32"/>
  <c r="W33" i="32"/>
  <c r="Q33" i="32"/>
  <c r="N33" i="32"/>
  <c r="K33" i="32"/>
  <c r="H33" i="32"/>
  <c r="E33" i="32"/>
  <c r="DA32" i="32"/>
  <c r="CU32" i="32"/>
  <c r="BN32" i="32"/>
  <c r="BK32" i="32"/>
  <c r="BE32" i="32"/>
  <c r="BB32" i="32"/>
  <c r="AV32" i="32"/>
  <c r="AS32" i="32"/>
  <c r="AM32" i="32"/>
  <c r="AJ32" i="32"/>
  <c r="Z32" i="32"/>
  <c r="Z28" i="32" s="1"/>
  <c r="W32" i="32"/>
  <c r="W28" i="32" s="1"/>
  <c r="Q32" i="32"/>
  <c r="N32" i="32"/>
  <c r="K32" i="32"/>
  <c r="H32" i="32"/>
  <c r="B32" i="32"/>
  <c r="HE31" i="32"/>
  <c r="DA31" i="32"/>
  <c r="CU31" i="32"/>
  <c r="CU26" i="32" s="1"/>
  <c r="CO31" i="32"/>
  <c r="CF31" i="32"/>
  <c r="CC31" i="32"/>
  <c r="BW31" i="32"/>
  <c r="BN31" i="32"/>
  <c r="BK31" i="32"/>
  <c r="BE31" i="32"/>
  <c r="BB31" i="32"/>
  <c r="AV31" i="32"/>
  <c r="AS31" i="32"/>
  <c r="AM31" i="32"/>
  <c r="AJ31" i="32"/>
  <c r="Z31" i="32"/>
  <c r="W31" i="32"/>
  <c r="Q31" i="32"/>
  <c r="N31" i="32"/>
  <c r="K31" i="32"/>
  <c r="H31" i="32"/>
  <c r="B31" i="32"/>
  <c r="AE32" i="32" s="1"/>
  <c r="HE30" i="32"/>
  <c r="DA30" i="32"/>
  <c r="CU30" i="32"/>
  <c r="CO30" i="32"/>
  <c r="CF30" i="32"/>
  <c r="CC30" i="32"/>
  <c r="BZ30" i="32"/>
  <c r="BZ10" i="32" s="1"/>
  <c r="BW30" i="32"/>
  <c r="BN30" i="32"/>
  <c r="BN28" i="32" s="1"/>
  <c r="BK30" i="32"/>
  <c r="BE30" i="32"/>
  <c r="BB30" i="32"/>
  <c r="AS30" i="32"/>
  <c r="AM30" i="32"/>
  <c r="AJ30" i="32"/>
  <c r="Z30" i="32"/>
  <c r="W30" i="32"/>
  <c r="Q30" i="32"/>
  <c r="N30" i="32"/>
  <c r="K30" i="32"/>
  <c r="K28" i="32" s="1"/>
  <c r="H30" i="32"/>
  <c r="HE29" i="32"/>
  <c r="HE27" i="32" s="1"/>
  <c r="HE28" i="32" s="1"/>
  <c r="DA29" i="32"/>
  <c r="CU29" i="32"/>
  <c r="CO29" i="32"/>
  <c r="CF29" i="32"/>
  <c r="CC29" i="32"/>
  <c r="BZ29" i="32"/>
  <c r="BN29" i="32"/>
  <c r="BK29" i="32"/>
  <c r="BE29" i="32"/>
  <c r="BE25" i="32" s="1"/>
  <c r="BB29" i="32"/>
  <c r="BB25" i="32" s="1"/>
  <c r="AV29" i="32"/>
  <c r="AV25" i="32" s="1"/>
  <c r="AS29" i="32"/>
  <c r="AS25" i="32" s="1"/>
  <c r="AM29" i="32"/>
  <c r="AM25" i="32" s="1"/>
  <c r="AJ29" i="32"/>
  <c r="AJ25" i="32" s="1"/>
  <c r="Z29" i="32"/>
  <c r="W29" i="32"/>
  <c r="Q29" i="32"/>
  <c r="Q25" i="32" s="1"/>
  <c r="N29" i="32"/>
  <c r="K29" i="32"/>
  <c r="H29" i="32"/>
  <c r="H25" i="32" s="1"/>
  <c r="DA28" i="32"/>
  <c r="CU28" i="32"/>
  <c r="CO28" i="32"/>
  <c r="CF28" i="32"/>
  <c r="CC28" i="32"/>
  <c r="BZ28" i="32"/>
  <c r="BK28" i="32"/>
  <c r="BE28" i="32"/>
  <c r="BB28" i="32"/>
  <c r="AV28" i="32"/>
  <c r="AS28" i="32"/>
  <c r="AM28" i="32"/>
  <c r="AJ28" i="32"/>
  <c r="Q28" i="32"/>
  <c r="N28" i="32"/>
  <c r="H28" i="32"/>
  <c r="HB27" i="32"/>
  <c r="GM27" i="32"/>
  <c r="FI27" i="32"/>
  <c r="ET27" i="32"/>
  <c r="EE27" i="32"/>
  <c r="DA27" i="32"/>
  <c r="CU27" i="32"/>
  <c r="CU25" i="32" s="1"/>
  <c r="CO27" i="32"/>
  <c r="CF27" i="32"/>
  <c r="CC27" i="32"/>
  <c r="BZ27" i="32"/>
  <c r="BN27" i="32"/>
  <c r="BK27" i="32"/>
  <c r="BK26" i="32" s="1"/>
  <c r="BE27" i="32"/>
  <c r="BE26" i="32" s="1"/>
  <c r="BB27" i="32"/>
  <c r="BB26" i="32" s="1"/>
  <c r="AV27" i="32"/>
  <c r="AS27" i="32"/>
  <c r="AM27" i="32"/>
  <c r="AJ27" i="32"/>
  <c r="Z27" i="32"/>
  <c r="W27" i="32"/>
  <c r="Q27" i="32"/>
  <c r="Q26" i="32" s="1"/>
  <c r="N27" i="32"/>
  <c r="N26" i="32" s="1"/>
  <c r="K27" i="32"/>
  <c r="H27" i="32"/>
  <c r="HB26" i="32"/>
  <c r="GM26" i="32"/>
  <c r="FI26" i="32"/>
  <c r="ET26" i="32"/>
  <c r="EE26" i="32"/>
  <c r="DP26" i="32"/>
  <c r="CX26" i="32"/>
  <c r="CO26" i="32"/>
  <c r="CL26" i="32"/>
  <c r="CF26" i="32"/>
  <c r="CC26" i="32"/>
  <c r="BZ26" i="32"/>
  <c r="BT26" i="32"/>
  <c r="BN26" i="32"/>
  <c r="AV26" i="32"/>
  <c r="AS26" i="32"/>
  <c r="AM26" i="32"/>
  <c r="AJ26" i="32"/>
  <c r="K26" i="32"/>
  <c r="H26" i="32"/>
  <c r="E26" i="32"/>
  <c r="HE25" i="32"/>
  <c r="HB25" i="32"/>
  <c r="HB23" i="32" s="1"/>
  <c r="GM25" i="32"/>
  <c r="FI25" i="32"/>
  <c r="FI23" i="32" s="1"/>
  <c r="ET25" i="32"/>
  <c r="ET23" i="32" s="1"/>
  <c r="EE25" i="32"/>
  <c r="EE23" i="32" s="1"/>
  <c r="DP25" i="32"/>
  <c r="DG25" i="32"/>
  <c r="CX25" i="32"/>
  <c r="CO25" i="32"/>
  <c r="CL25" i="32"/>
  <c r="CF25" i="32"/>
  <c r="CC25" i="32"/>
  <c r="BZ25" i="32"/>
  <c r="BW25" i="32"/>
  <c r="BT25" i="32"/>
  <c r="AG25" i="32"/>
  <c r="AG24" i="32" s="1"/>
  <c r="AF25" i="32"/>
  <c r="AF24" i="32" s="1"/>
  <c r="AE25" i="32"/>
  <c r="AD25" i="32"/>
  <c r="AC25" i="32"/>
  <c r="N25" i="32"/>
  <c r="K25" i="32"/>
  <c r="E25" i="32"/>
  <c r="HB24" i="32"/>
  <c r="GM24" i="32"/>
  <c r="ET24" i="32"/>
  <c r="EE24" i="32"/>
  <c r="DP24" i="32"/>
  <c r="CX24" i="32"/>
  <c r="CR24" i="32"/>
  <c r="CO24" i="32"/>
  <c r="CL24" i="32"/>
  <c r="CF24" i="32"/>
  <c r="CC24" i="32"/>
  <c r="BZ24" i="32"/>
  <c r="BW24" i="32"/>
  <c r="BT24" i="32"/>
  <c r="BN24" i="32"/>
  <c r="BK24" i="32"/>
  <c r="BE24" i="32"/>
  <c r="BB24" i="32"/>
  <c r="AV24" i="32"/>
  <c r="AS24" i="32"/>
  <c r="AM24" i="32"/>
  <c r="AJ24" i="32"/>
  <c r="AE24" i="32"/>
  <c r="AD24" i="32"/>
  <c r="AC24" i="32"/>
  <c r="Q24" i="32"/>
  <c r="N24" i="32"/>
  <c r="K24" i="32"/>
  <c r="H24" i="32"/>
  <c r="E24" i="32"/>
  <c r="GM23" i="32"/>
  <c r="DP23" i="32"/>
  <c r="DG23" i="32"/>
  <c r="CX23" i="32"/>
  <c r="CO23" i="32"/>
  <c r="CR23" i="32" s="1"/>
  <c r="CL23" i="32"/>
  <c r="CF23" i="32"/>
  <c r="CC23" i="32"/>
  <c r="BZ23" i="32"/>
  <c r="BW23" i="32"/>
  <c r="BT23" i="32"/>
  <c r="K23" i="32"/>
  <c r="H23" i="32"/>
  <c r="E23" i="32"/>
  <c r="HB22" i="32"/>
  <c r="GM22" i="32"/>
  <c r="FI22" i="32"/>
  <c r="FI16" i="32" s="1"/>
  <c r="ET22" i="32"/>
  <c r="EE22" i="32"/>
  <c r="DP22" i="32"/>
  <c r="DG22" i="32"/>
  <c r="CF22" i="32"/>
  <c r="CC22" i="32"/>
  <c r="BZ22" i="32"/>
  <c r="BW22" i="32"/>
  <c r="BT22" i="32"/>
  <c r="BT10" i="32" s="1"/>
  <c r="AG22" i="32"/>
  <c r="AF22" i="32"/>
  <c r="AE22" i="32"/>
  <c r="AD22" i="32"/>
  <c r="AC22" i="32"/>
  <c r="K22" i="32"/>
  <c r="H22" i="32"/>
  <c r="HB21" i="32"/>
  <c r="GM21" i="32"/>
  <c r="FI21" i="32"/>
  <c r="ET21" i="32"/>
  <c r="EE21" i="32"/>
  <c r="DP21" i="32"/>
  <c r="DG21" i="32"/>
  <c r="DG7" i="32" s="1"/>
  <c r="DD21" i="32"/>
  <c r="DD8" i="32" s="1"/>
  <c r="BZ21" i="32"/>
  <c r="BW21" i="32"/>
  <c r="AG21" i="32"/>
  <c r="AF21" i="32"/>
  <c r="AE21" i="32"/>
  <c r="AD21" i="32"/>
  <c r="AC21" i="32"/>
  <c r="K21" i="32"/>
  <c r="K19" i="32" s="1"/>
  <c r="H21" i="32"/>
  <c r="DG20" i="32"/>
  <c r="DG16" i="32" s="1"/>
  <c r="DD20" i="32"/>
  <c r="CR20" i="32"/>
  <c r="BZ20" i="32"/>
  <c r="BW20" i="32"/>
  <c r="AG20" i="32"/>
  <c r="AF20" i="32"/>
  <c r="AE20" i="32"/>
  <c r="AD20" i="32"/>
  <c r="AC20" i="32"/>
  <c r="K20" i="32"/>
  <c r="H20" i="32"/>
  <c r="HB19" i="32"/>
  <c r="GM19" i="32"/>
  <c r="FI19" i="32"/>
  <c r="ET19" i="32"/>
  <c r="EE19" i="32"/>
  <c r="DP19" i="32"/>
  <c r="DP11" i="32" s="1"/>
  <c r="DG19" i="32"/>
  <c r="DD19" i="32"/>
  <c r="BZ19" i="32"/>
  <c r="BW19" i="32"/>
  <c r="AG19" i="32"/>
  <c r="AF19" i="32"/>
  <c r="AE19" i="32"/>
  <c r="AD19" i="32"/>
  <c r="AC19" i="32"/>
  <c r="H19" i="32"/>
  <c r="HB18" i="32"/>
  <c r="GM18" i="32"/>
  <c r="GA18" i="32"/>
  <c r="FL18" i="32"/>
  <c r="FI18" i="32"/>
  <c r="EW18" i="32"/>
  <c r="ET18" i="32"/>
  <c r="EH18" i="32"/>
  <c r="EE18" i="32"/>
  <c r="DS18" i="32"/>
  <c r="DP18" i="32"/>
  <c r="DG18" i="32"/>
  <c r="CX18" i="32"/>
  <c r="BZ18" i="32"/>
  <c r="BW18" i="32"/>
  <c r="AG18" i="32"/>
  <c r="AF18" i="32"/>
  <c r="AE18" i="32"/>
  <c r="AD18" i="32"/>
  <c r="AC18" i="32"/>
  <c r="H18" i="32"/>
  <c r="E18" i="32"/>
  <c r="HB17" i="32"/>
  <c r="GP17" i="32"/>
  <c r="GM17" i="32"/>
  <c r="GA17" i="32"/>
  <c r="FL17" i="32"/>
  <c r="FI17" i="32"/>
  <c r="EW17" i="32"/>
  <c r="ET17" i="32"/>
  <c r="EH17" i="32"/>
  <c r="EE17" i="32"/>
  <c r="DY17" i="32"/>
  <c r="DY16" i="32" s="1"/>
  <c r="DS17" i="32"/>
  <c r="DP17" i="32"/>
  <c r="DG17" i="32"/>
  <c r="CX17" i="32"/>
  <c r="BZ17" i="32"/>
  <c r="BW17" i="32"/>
  <c r="BT17" i="32"/>
  <c r="AG17" i="32"/>
  <c r="AF17" i="32"/>
  <c r="AE17" i="32"/>
  <c r="AD17" i="32"/>
  <c r="AC17" i="32"/>
  <c r="H17" i="32"/>
  <c r="E17" i="32"/>
  <c r="BT16" i="32" s="1"/>
  <c r="HB16" i="32"/>
  <c r="GV16" i="32"/>
  <c r="GV15" i="32" s="1"/>
  <c r="GP16" i="32"/>
  <c r="GM16" i="32"/>
  <c r="GG16" i="32"/>
  <c r="FC16" i="32"/>
  <c r="FC15" i="32" s="1"/>
  <c r="ET16" i="32"/>
  <c r="EN16" i="32"/>
  <c r="EE16" i="32"/>
  <c r="DP16" i="32"/>
  <c r="DD16" i="32"/>
  <c r="CX16" i="32"/>
  <c r="CX12" i="32" s="1"/>
  <c r="CO16" i="32"/>
  <c r="CO15" i="32" s="1"/>
  <c r="BW16" i="32"/>
  <c r="BQ16" i="32"/>
  <c r="BN16" i="32"/>
  <c r="BK16" i="32"/>
  <c r="BH16" i="32"/>
  <c r="BE16" i="32"/>
  <c r="BB16" i="32"/>
  <c r="AY16" i="32"/>
  <c r="AV16" i="32"/>
  <c r="AS16" i="32"/>
  <c r="AP16" i="32"/>
  <c r="AM16" i="32"/>
  <c r="AJ16" i="32"/>
  <c r="AG16" i="32"/>
  <c r="AF16" i="32"/>
  <c r="AE16" i="32"/>
  <c r="AD16" i="32"/>
  <c r="AC16" i="32"/>
  <c r="T16" i="32"/>
  <c r="Q16" i="32"/>
  <c r="N16" i="32"/>
  <c r="HB15" i="32"/>
  <c r="GM15" i="32"/>
  <c r="GG15" i="32"/>
  <c r="GA15" i="32"/>
  <c r="FL15" i="32"/>
  <c r="FI15" i="32"/>
  <c r="FI2" i="32" s="1"/>
  <c r="EW15" i="32"/>
  <c r="ET15" i="32"/>
  <c r="EN15" i="32"/>
  <c r="EH15" i="32"/>
  <c r="EE15" i="32"/>
  <c r="DY15" i="32"/>
  <c r="DS15" i="32"/>
  <c r="DP15" i="32"/>
  <c r="DG15" i="32"/>
  <c r="DD15" i="32"/>
  <c r="CX15" i="32"/>
  <c r="BW15" i="32"/>
  <c r="BT15" i="32"/>
  <c r="BQ15" i="32"/>
  <c r="BN15" i="32"/>
  <c r="BK15" i="32"/>
  <c r="BH15" i="32"/>
  <c r="BE15" i="32"/>
  <c r="BB15" i="32"/>
  <c r="AY15" i="32"/>
  <c r="AV15" i="32"/>
  <c r="AS15" i="32"/>
  <c r="AP15" i="32"/>
  <c r="AM15" i="32"/>
  <c r="AJ15" i="32"/>
  <c r="AG15" i="32"/>
  <c r="AF15" i="32"/>
  <c r="AE15" i="32"/>
  <c r="AD15" i="32"/>
  <c r="AC15" i="32"/>
  <c r="Z15" i="32"/>
  <c r="W15" i="32"/>
  <c r="T15" i="32"/>
  <c r="Q15" i="32"/>
  <c r="N15" i="32"/>
  <c r="E15" i="32"/>
  <c r="E12" i="32" s="1"/>
  <c r="HB14" i="32"/>
  <c r="GV14" i="32"/>
  <c r="GP14" i="32"/>
  <c r="GM14" i="32"/>
  <c r="GG14" i="32"/>
  <c r="GG17" i="32" s="1"/>
  <c r="FI14" i="32"/>
  <c r="FC14" i="32"/>
  <c r="FC17" i="32" s="1"/>
  <c r="ET14" i="32"/>
  <c r="EN14" i="32"/>
  <c r="EN17" i="32" s="1"/>
  <c r="EE14" i="32"/>
  <c r="EB14" i="32"/>
  <c r="DY14" i="32"/>
  <c r="DP14" i="32"/>
  <c r="DG14" i="32"/>
  <c r="DD14" i="32"/>
  <c r="CX14" i="32"/>
  <c r="CO14" i="32"/>
  <c r="CI14" i="32"/>
  <c r="CF14" i="32"/>
  <c r="CC14" i="32"/>
  <c r="BW14" i="32"/>
  <c r="BT14" i="32"/>
  <c r="BQ14" i="32"/>
  <c r="BN14" i="32"/>
  <c r="BK14" i="32"/>
  <c r="BH14" i="32"/>
  <c r="BE14" i="32"/>
  <c r="BB14" i="32"/>
  <c r="AY14" i="32"/>
  <c r="AV14" i="32"/>
  <c r="AS14" i="32"/>
  <c r="AP14" i="32"/>
  <c r="AM14" i="32"/>
  <c r="AJ14" i="32"/>
  <c r="AG14" i="32"/>
  <c r="AF14" i="32"/>
  <c r="AE14" i="32"/>
  <c r="AD14" i="32"/>
  <c r="AC14" i="32"/>
  <c r="Z14" i="32"/>
  <c r="W14" i="32"/>
  <c r="T14" i="32"/>
  <c r="Q14" i="32"/>
  <c r="N14" i="32"/>
  <c r="E14" i="32"/>
  <c r="HE13" i="32"/>
  <c r="HB13" i="32"/>
  <c r="GY13" i="32"/>
  <c r="GV13" i="32"/>
  <c r="GP13" i="32"/>
  <c r="GM13" i="32"/>
  <c r="GJ13" i="32"/>
  <c r="GG13" i="32"/>
  <c r="GA13" i="32"/>
  <c r="FL13" i="32"/>
  <c r="FI13" i="32"/>
  <c r="FF13" i="32"/>
  <c r="FC13" i="32"/>
  <c r="EW13" i="32"/>
  <c r="ET13" i="32"/>
  <c r="EQ13" i="32"/>
  <c r="EN13" i="32"/>
  <c r="EH13" i="32"/>
  <c r="EE13" i="32"/>
  <c r="EB13" i="32"/>
  <c r="DY13" i="32"/>
  <c r="DP13" i="32"/>
  <c r="DG13" i="32"/>
  <c r="DD13" i="32"/>
  <c r="CX13" i="32"/>
  <c r="CU13" i="32"/>
  <c r="CU12" i="32" s="1"/>
  <c r="CO13" i="32"/>
  <c r="CI13" i="32"/>
  <c r="CF13" i="32"/>
  <c r="CC13" i="32"/>
  <c r="BW13" i="32"/>
  <c r="BT13" i="32"/>
  <c r="BQ13" i="32"/>
  <c r="BN13" i="32"/>
  <c r="BK13" i="32"/>
  <c r="BH13" i="32"/>
  <c r="BE13" i="32"/>
  <c r="BB13" i="32"/>
  <c r="AY13" i="32"/>
  <c r="AV13" i="32"/>
  <c r="AS13" i="32"/>
  <c r="AP13" i="32"/>
  <c r="AM13" i="32"/>
  <c r="AJ13" i="32"/>
  <c r="AG13" i="32"/>
  <c r="AF13" i="32"/>
  <c r="AE13" i="32"/>
  <c r="AD13" i="32"/>
  <c r="AC13" i="32"/>
  <c r="Z13" i="32"/>
  <c r="W13" i="32"/>
  <c r="T13" i="32"/>
  <c r="Q13" i="32"/>
  <c r="N13" i="32"/>
  <c r="K13" i="32"/>
  <c r="K12" i="32" s="1"/>
  <c r="E13" i="32"/>
  <c r="HB12" i="32"/>
  <c r="GY12" i="32"/>
  <c r="GV12" i="32"/>
  <c r="GP12" i="32"/>
  <c r="GM12" i="32"/>
  <c r="GJ12" i="32"/>
  <c r="GG12" i="32"/>
  <c r="GA12" i="32"/>
  <c r="FL12" i="32"/>
  <c r="FI12" i="32"/>
  <c r="FF12" i="32"/>
  <c r="FC12" i="32"/>
  <c r="EW12" i="32"/>
  <c r="ET12" i="32"/>
  <c r="EQ12" i="32"/>
  <c r="EN12" i="32"/>
  <c r="EH12" i="32"/>
  <c r="EE12" i="32"/>
  <c r="EB12" i="32"/>
  <c r="DY12" i="32"/>
  <c r="DS12" i="32"/>
  <c r="DP12" i="32"/>
  <c r="DG12" i="32"/>
  <c r="DD12" i="32"/>
  <c r="DA12" i="32"/>
  <c r="DA11" i="32" s="1"/>
  <c r="DA10" i="32" s="1"/>
  <c r="CO12" i="32"/>
  <c r="CI12" i="32"/>
  <c r="CF12" i="32"/>
  <c r="CC12" i="32"/>
  <c r="BZ12" i="32"/>
  <c r="BT12" i="32"/>
  <c r="BQ12" i="32"/>
  <c r="BN12" i="32"/>
  <c r="BK12" i="32"/>
  <c r="BH12" i="32"/>
  <c r="BE12" i="32"/>
  <c r="BB12" i="32"/>
  <c r="AY12" i="32"/>
  <c r="AV12" i="32"/>
  <c r="AS12" i="32"/>
  <c r="AP12" i="32"/>
  <c r="AM12" i="32"/>
  <c r="AJ12" i="32"/>
  <c r="AG12" i="32"/>
  <c r="AF12" i="32"/>
  <c r="Z12" i="32"/>
  <c r="W12" i="32"/>
  <c r="T12" i="32"/>
  <c r="Q12" i="32"/>
  <c r="N12" i="32"/>
  <c r="HE11" i="32"/>
  <c r="HB11" i="32"/>
  <c r="GY11" i="32"/>
  <c r="GV11" i="32"/>
  <c r="GP11" i="32"/>
  <c r="GM11" i="32"/>
  <c r="GJ11" i="32"/>
  <c r="GG11" i="32"/>
  <c r="GA11" i="32"/>
  <c r="FL11" i="32"/>
  <c r="FI11" i="32"/>
  <c r="FF11" i="32"/>
  <c r="FC11" i="32"/>
  <c r="EW11" i="32"/>
  <c r="ET11" i="32"/>
  <c r="EQ11" i="32"/>
  <c r="EN11" i="32"/>
  <c r="EH11" i="32"/>
  <c r="EH8" i="32" s="1"/>
  <c r="DS11" i="32"/>
  <c r="DJ11" i="32"/>
  <c r="DD11" i="32"/>
  <c r="CX11" i="32"/>
  <c r="CO11" i="32"/>
  <c r="CI11" i="32"/>
  <c r="CF11" i="32"/>
  <c r="CC11" i="32"/>
  <c r="BZ11" i="32"/>
  <c r="BT11" i="32"/>
  <c r="BQ11" i="32"/>
  <c r="BN11" i="32"/>
  <c r="BK11" i="32"/>
  <c r="BH11" i="32"/>
  <c r="BE11" i="32"/>
  <c r="BB11" i="32"/>
  <c r="AY11" i="32"/>
  <c r="AV11" i="32"/>
  <c r="AS11" i="32"/>
  <c r="AP11" i="32"/>
  <c r="AM11" i="32"/>
  <c r="AJ11" i="32"/>
  <c r="AG11" i="32"/>
  <c r="AF11" i="32"/>
  <c r="Z11" i="32"/>
  <c r="W11" i="32"/>
  <c r="T11" i="32"/>
  <c r="Q11" i="32"/>
  <c r="N11" i="32"/>
  <c r="E11" i="32"/>
  <c r="HE10" i="32"/>
  <c r="HB10" i="32"/>
  <c r="GY10" i="32"/>
  <c r="GV10" i="32"/>
  <c r="GP10" i="32"/>
  <c r="GM10" i="32"/>
  <c r="GJ10" i="32"/>
  <c r="GG10" i="32"/>
  <c r="GA10" i="32"/>
  <c r="FL10" i="32"/>
  <c r="FI10" i="32"/>
  <c r="FF10" i="32"/>
  <c r="FC10" i="32"/>
  <c r="EW10" i="32"/>
  <c r="ET10" i="32"/>
  <c r="EQ10" i="32"/>
  <c r="EN10" i="32"/>
  <c r="EH10" i="32"/>
  <c r="EE10" i="32"/>
  <c r="EB10" i="32"/>
  <c r="DY10" i="32"/>
  <c r="DS10" i="32"/>
  <c r="DP10" i="32"/>
  <c r="DJ10" i="32"/>
  <c r="DJ12" i="32" s="1"/>
  <c r="DD10" i="32"/>
  <c r="CO10" i="32"/>
  <c r="CI10" i="32"/>
  <c r="CI6" i="32" s="1"/>
  <c r="CF10" i="32"/>
  <c r="CF6" i="32" s="1"/>
  <c r="CC10" i="32"/>
  <c r="BQ10" i="32"/>
  <c r="BN10" i="32"/>
  <c r="BK10" i="32"/>
  <c r="BK9" i="32" s="1"/>
  <c r="BH10" i="32"/>
  <c r="BH6" i="32" s="1"/>
  <c r="BE10" i="32"/>
  <c r="BB10" i="32"/>
  <c r="BB6" i="32" s="1"/>
  <c r="AY10" i="32"/>
  <c r="AY6" i="32" s="1"/>
  <c r="AV10" i="32"/>
  <c r="AV6" i="32" s="1"/>
  <c r="AS10" i="32"/>
  <c r="AP10" i="32"/>
  <c r="AP6" i="32" s="1"/>
  <c r="AM10" i="32"/>
  <c r="AG10" i="32"/>
  <c r="AF10" i="32"/>
  <c r="Z10" i="32"/>
  <c r="W10" i="32"/>
  <c r="W6" i="32" s="1"/>
  <c r="T10" i="32"/>
  <c r="T6" i="32" s="1"/>
  <c r="Q10" i="32"/>
  <c r="Q6" i="32" s="1"/>
  <c r="N10" i="32"/>
  <c r="N6" i="32" s="1"/>
  <c r="K10" i="32"/>
  <c r="HE9" i="32"/>
  <c r="HE7" i="32" s="1"/>
  <c r="HE8" i="32" s="1"/>
  <c r="HB9" i="32"/>
  <c r="GY9" i="32"/>
  <c r="GV9" i="32"/>
  <c r="GP9" i="32"/>
  <c r="GP8" i="32" s="1"/>
  <c r="GM9" i="32"/>
  <c r="GJ9" i="32"/>
  <c r="GG9" i="32"/>
  <c r="GA9" i="32"/>
  <c r="FR9" i="32"/>
  <c r="FR8" i="32" s="1"/>
  <c r="FL9" i="32"/>
  <c r="FL8" i="32" s="1"/>
  <c r="FI9" i="32"/>
  <c r="FF9" i="32"/>
  <c r="FC9" i="32"/>
  <c r="EW9" i="32"/>
  <c r="EW8" i="32" s="1"/>
  <c r="ET9" i="32"/>
  <c r="EQ9" i="32"/>
  <c r="EN9" i="32"/>
  <c r="EH9" i="32"/>
  <c r="EE9" i="32"/>
  <c r="EB9" i="32"/>
  <c r="DY9" i="32"/>
  <c r="DS9" i="32"/>
  <c r="DS8" i="32" s="1"/>
  <c r="DP9" i="32"/>
  <c r="DJ9" i="32"/>
  <c r="DG9" i="32"/>
  <c r="DD9" i="32"/>
  <c r="DA9" i="32"/>
  <c r="CX9" i="32"/>
  <c r="CX10" i="32" s="1"/>
  <c r="CU9" i="32"/>
  <c r="CO9" i="32"/>
  <c r="CI9" i="32"/>
  <c r="CF9" i="32"/>
  <c r="CC9" i="32"/>
  <c r="BW9" i="32"/>
  <c r="BT9" i="32"/>
  <c r="BQ9" i="32"/>
  <c r="BN9" i="32"/>
  <c r="BH9" i="32"/>
  <c r="BE9" i="32"/>
  <c r="BB9" i="32"/>
  <c r="AY9" i="32"/>
  <c r="AV9" i="32"/>
  <c r="AS9" i="32"/>
  <c r="AP9" i="32"/>
  <c r="AM9" i="32"/>
  <c r="AJ9" i="32"/>
  <c r="AG9" i="32"/>
  <c r="AG23" i="32" s="1"/>
  <c r="AG27" i="32" s="1"/>
  <c r="AF9" i="32"/>
  <c r="AF23" i="32" s="1"/>
  <c r="AE9" i="32"/>
  <c r="AE23" i="32" s="1"/>
  <c r="AE27" i="32" s="1"/>
  <c r="AD9" i="32"/>
  <c r="AD23" i="32" s="1"/>
  <c r="AD27" i="32" s="1"/>
  <c r="AC9" i="32"/>
  <c r="AC23" i="32" s="1"/>
  <c r="AC27" i="32" s="1"/>
  <c r="Z9" i="32"/>
  <c r="W9" i="32"/>
  <c r="T9" i="32"/>
  <c r="Q9" i="32"/>
  <c r="N9" i="32"/>
  <c r="K9" i="32"/>
  <c r="H9" i="32"/>
  <c r="E9" i="32"/>
  <c r="E10" i="32" s="1"/>
  <c r="HB8" i="32"/>
  <c r="GY8" i="32"/>
  <c r="GV8" i="32"/>
  <c r="GM8" i="32"/>
  <c r="GJ8" i="32"/>
  <c r="GG8" i="32"/>
  <c r="GG6" i="32" s="1"/>
  <c r="GA8" i="32"/>
  <c r="FI8" i="32"/>
  <c r="FF8" i="32"/>
  <c r="FC8" i="32"/>
  <c r="FC6" i="32" s="1"/>
  <c r="ET8" i="32"/>
  <c r="ET6" i="32" s="1"/>
  <c r="EQ8" i="32"/>
  <c r="EQ6" i="32" s="1"/>
  <c r="EN8" i="32"/>
  <c r="EE8" i="32"/>
  <c r="EE6" i="32" s="1"/>
  <c r="EB8" i="32"/>
  <c r="EB6" i="32" s="1"/>
  <c r="DY8" i="32"/>
  <c r="DY6" i="32" s="1"/>
  <c r="DV8" i="32"/>
  <c r="DP8" i="32"/>
  <c r="DP6" i="32" s="1"/>
  <c r="DM8" i="32"/>
  <c r="DJ8" i="32"/>
  <c r="DG8" i="32"/>
  <c r="DA8" i="32"/>
  <c r="CX8" i="32"/>
  <c r="CU8" i="32"/>
  <c r="CO8" i="32"/>
  <c r="CO6" i="32" s="1"/>
  <c r="CL8" i="32"/>
  <c r="CI8" i="32"/>
  <c r="CF8" i="32"/>
  <c r="CC8" i="32"/>
  <c r="BZ8" i="32"/>
  <c r="BW8" i="32"/>
  <c r="BT8" i="32"/>
  <c r="BQ8" i="32"/>
  <c r="BN8" i="32"/>
  <c r="BK8" i="32"/>
  <c r="BH8" i="32"/>
  <c r="BE8" i="32"/>
  <c r="BB8" i="32"/>
  <c r="AY8" i="32"/>
  <c r="AV8" i="32"/>
  <c r="AS8" i="32"/>
  <c r="AP8" i="32"/>
  <c r="AM8" i="32"/>
  <c r="AJ8" i="32"/>
  <c r="AG8" i="32"/>
  <c r="AG29" i="32" s="1"/>
  <c r="AF8" i="32"/>
  <c r="AF29" i="32" s="1"/>
  <c r="AE8" i="32"/>
  <c r="AD8" i="32"/>
  <c r="AD29" i="32" s="1"/>
  <c r="AC8" i="32"/>
  <c r="AC29" i="32" s="1"/>
  <c r="Z8" i="32"/>
  <c r="W8" i="32"/>
  <c r="T8" i="32"/>
  <c r="Q8" i="32"/>
  <c r="N8" i="32"/>
  <c r="K8" i="32"/>
  <c r="H8" i="32"/>
  <c r="E8" i="32"/>
  <c r="HB7" i="32"/>
  <c r="HB5" i="32" s="1"/>
  <c r="GY7" i="32"/>
  <c r="GY5" i="32" s="1"/>
  <c r="GV7" i="32"/>
  <c r="GV5" i="32" s="1"/>
  <c r="GM7" i="32"/>
  <c r="GJ7" i="32"/>
  <c r="GG7" i="32"/>
  <c r="FR7" i="32"/>
  <c r="FR10" i="32" s="1"/>
  <c r="FI7" i="32"/>
  <c r="FF7" i="32"/>
  <c r="FF5" i="32" s="1"/>
  <c r="FC7" i="32"/>
  <c r="FC5" i="32" s="1"/>
  <c r="ET7" i="32"/>
  <c r="ET5" i="32" s="1"/>
  <c r="EQ7" i="32"/>
  <c r="EN7" i="32"/>
  <c r="EE7" i="32"/>
  <c r="EE5" i="32" s="1"/>
  <c r="EE2" i="32" s="1"/>
  <c r="EB7" i="32"/>
  <c r="EB5" i="32" s="1"/>
  <c r="DY7" i="32"/>
  <c r="DY5" i="32" s="1"/>
  <c r="DP7" i="32"/>
  <c r="DJ7" i="32"/>
  <c r="DJ5" i="32" s="1"/>
  <c r="DA7" i="32"/>
  <c r="CX7" i="32"/>
  <c r="CX6" i="32" s="1"/>
  <c r="CU7" i="32"/>
  <c r="CO7" i="32"/>
  <c r="CL7" i="32"/>
  <c r="CI7" i="32"/>
  <c r="CF7" i="32"/>
  <c r="CC7" i="32"/>
  <c r="BZ7" i="32"/>
  <c r="BW7" i="32"/>
  <c r="BT7" i="32"/>
  <c r="BQ7" i="32"/>
  <c r="BN7" i="32"/>
  <c r="BK7" i="32"/>
  <c r="BH7" i="32"/>
  <c r="BE7" i="32"/>
  <c r="BB7" i="32"/>
  <c r="AY7" i="32"/>
  <c r="AV7" i="32"/>
  <c r="AS7" i="32"/>
  <c r="AP7" i="32"/>
  <c r="AM7" i="32"/>
  <c r="AJ7" i="32"/>
  <c r="AG7" i="32"/>
  <c r="AF7" i="32"/>
  <c r="AE7" i="32"/>
  <c r="AD7" i="32"/>
  <c r="AC7" i="32"/>
  <c r="Z7" i="32"/>
  <c r="W7" i="32"/>
  <c r="T7" i="32"/>
  <c r="Q7" i="32"/>
  <c r="N7" i="32"/>
  <c r="K7" i="32"/>
  <c r="H7" i="32"/>
  <c r="E7" i="32"/>
  <c r="E6" i="32" s="1"/>
  <c r="HB6" i="32"/>
  <c r="GY6" i="32"/>
  <c r="GV6" i="32"/>
  <c r="GS6" i="32"/>
  <c r="GP6" i="32"/>
  <c r="GM6" i="32"/>
  <c r="GJ6" i="32"/>
  <c r="GD6" i="32"/>
  <c r="GA6" i="32"/>
  <c r="FU6" i="32"/>
  <c r="FR6" i="32"/>
  <c r="FL6" i="32"/>
  <c r="FI6" i="32"/>
  <c r="FF6" i="32"/>
  <c r="EZ6" i="32"/>
  <c r="EW6" i="32"/>
  <c r="EN6" i="32"/>
  <c r="EK6" i="32"/>
  <c r="EH6" i="32"/>
  <c r="DV6" i="32"/>
  <c r="DS6" i="32"/>
  <c r="DM6" i="32"/>
  <c r="DJ6" i="32"/>
  <c r="DD6" i="32"/>
  <c r="DA6" i="32"/>
  <c r="CU6" i="32"/>
  <c r="CR6" i="32"/>
  <c r="CL6" i="32"/>
  <c r="CC6" i="32"/>
  <c r="BZ6" i="32"/>
  <c r="BW6" i="32"/>
  <c r="BT6" i="32"/>
  <c r="BE6" i="32"/>
  <c r="AS6" i="32"/>
  <c r="AM6" i="32"/>
  <c r="AJ6" i="32"/>
  <c r="Z6" i="32"/>
  <c r="K6" i="32"/>
  <c r="H6" i="32"/>
  <c r="HE5" i="32"/>
  <c r="HE3" i="32" s="1"/>
  <c r="GS5" i="32"/>
  <c r="GP5" i="32"/>
  <c r="GM5" i="32"/>
  <c r="GM2" i="32" s="1"/>
  <c r="GJ5" i="32"/>
  <c r="GG5" i="32"/>
  <c r="GD5" i="32"/>
  <c r="GA5" i="32"/>
  <c r="FX5" i="32"/>
  <c r="FX2" i="32" s="1"/>
  <c r="FU5" i="32"/>
  <c r="FR5" i="32"/>
  <c r="FO5" i="32"/>
  <c r="FL5" i="32"/>
  <c r="FI5" i="32"/>
  <c r="EZ5" i="32"/>
  <c r="EW5" i="32"/>
  <c r="EQ5" i="32"/>
  <c r="EN5" i="32"/>
  <c r="EK5" i="32"/>
  <c r="EH5" i="32"/>
  <c r="DV5" i="32"/>
  <c r="DS5" i="32"/>
  <c r="DD5" i="32"/>
  <c r="DA5" i="32"/>
  <c r="CX5" i="32"/>
  <c r="CU5" i="32"/>
  <c r="CO5" i="32"/>
  <c r="CR5" i="32" s="1"/>
  <c r="CL5" i="32"/>
  <c r="CI5" i="32"/>
  <c r="CF5" i="32"/>
  <c r="CC5" i="32"/>
  <c r="BZ5" i="32"/>
  <c r="BW5" i="32"/>
  <c r="BT5" i="32"/>
  <c r="BQ5" i="32"/>
  <c r="BN5" i="32"/>
  <c r="BK5" i="32"/>
  <c r="BH5" i="32"/>
  <c r="BE5" i="32"/>
  <c r="BB5" i="32"/>
  <c r="AY5" i="32"/>
  <c r="AV5" i="32"/>
  <c r="AS5" i="32"/>
  <c r="AP5" i="32"/>
  <c r="AM5" i="32"/>
  <c r="AJ5" i="32"/>
  <c r="AG5" i="32"/>
  <c r="AF5" i="32"/>
  <c r="AE5" i="32"/>
  <c r="AD5" i="32"/>
  <c r="AC5" i="32"/>
  <c r="Z5" i="32"/>
  <c r="W5" i="32"/>
  <c r="T5" i="32"/>
  <c r="Q5" i="32"/>
  <c r="N5" i="32"/>
  <c r="K5" i="32"/>
  <c r="H5" i="32"/>
  <c r="E5" i="32"/>
  <c r="H69" i="12"/>
  <c r="H68" i="12"/>
  <c r="H67" i="12"/>
  <c r="H66" i="12"/>
  <c r="H65" i="12"/>
  <c r="H64" i="12"/>
  <c r="H63" i="12"/>
  <c r="H59" i="12" s="1"/>
  <c r="H62" i="12"/>
  <c r="H61" i="12"/>
  <c r="H60" i="12"/>
  <c r="H57" i="12"/>
  <c r="H56" i="12"/>
  <c r="H55" i="12"/>
  <c r="H54" i="12"/>
  <c r="H53" i="12"/>
  <c r="K52" i="12"/>
  <c r="H52" i="12"/>
  <c r="E52" i="12"/>
  <c r="K51" i="12"/>
  <c r="H51" i="12"/>
  <c r="H48" i="12" s="1"/>
  <c r="E51" i="12"/>
  <c r="DA50" i="12"/>
  <c r="K50" i="12"/>
  <c r="DA49" i="12"/>
  <c r="K49" i="12"/>
  <c r="E49" i="12"/>
  <c r="CU48" i="12"/>
  <c r="K48" i="12"/>
  <c r="E48" i="12"/>
  <c r="CU47" i="12"/>
  <c r="K47" i="12"/>
  <c r="H47" i="12"/>
  <c r="H45" i="12" s="1"/>
  <c r="E47" i="12"/>
  <c r="H46" i="12"/>
  <c r="H44" i="12" s="1"/>
  <c r="E46" i="12"/>
  <c r="DA45" i="12"/>
  <c r="E45" i="12"/>
  <c r="E53" i="12" s="1"/>
  <c r="E43" i="12" s="1"/>
  <c r="DA43" i="12"/>
  <c r="CU43" i="12"/>
  <c r="Z43" i="12"/>
  <c r="K43" i="12"/>
  <c r="DA42" i="12"/>
  <c r="CU42" i="12"/>
  <c r="Z42" i="12"/>
  <c r="K42" i="12"/>
  <c r="K16" i="12" s="1"/>
  <c r="HE41" i="12"/>
  <c r="DA41" i="12"/>
  <c r="CU41" i="12"/>
  <c r="K41" i="12"/>
  <c r="H41" i="12"/>
  <c r="HE40" i="12"/>
  <c r="DA40" i="12"/>
  <c r="DA26" i="12" s="1"/>
  <c r="CU40" i="12"/>
  <c r="HE39" i="12"/>
  <c r="DA39" i="12"/>
  <c r="CU39" i="12"/>
  <c r="Z39" i="12"/>
  <c r="W39" i="12"/>
  <c r="HE38" i="12"/>
  <c r="DA38" i="12"/>
  <c r="CU38" i="12"/>
  <c r="K38" i="12"/>
  <c r="H38" i="12"/>
  <c r="DA37" i="12"/>
  <c r="CU37" i="12"/>
  <c r="Z37" i="12"/>
  <c r="W37" i="12"/>
  <c r="K37" i="12"/>
  <c r="H37" i="12"/>
  <c r="E37" i="12"/>
  <c r="HE36" i="12"/>
  <c r="DA36" i="12"/>
  <c r="CU36" i="12"/>
  <c r="Z36" i="12"/>
  <c r="W36" i="12"/>
  <c r="K36" i="12"/>
  <c r="H36" i="12"/>
  <c r="E36" i="12"/>
  <c r="HE35" i="12"/>
  <c r="DA35" i="12"/>
  <c r="CU35" i="12"/>
  <c r="BZ35" i="12"/>
  <c r="BN35" i="12"/>
  <c r="BK35" i="12"/>
  <c r="BE35" i="12"/>
  <c r="BB35" i="12"/>
  <c r="AV35" i="12"/>
  <c r="AS35" i="12"/>
  <c r="AM35" i="12"/>
  <c r="AJ35" i="12"/>
  <c r="Z35" i="12"/>
  <c r="W35" i="12"/>
  <c r="Q35" i="12"/>
  <c r="N35" i="12"/>
  <c r="K35" i="12"/>
  <c r="H35" i="12"/>
  <c r="E35" i="12"/>
  <c r="HE34" i="12"/>
  <c r="DA34" i="12"/>
  <c r="CU34" i="12"/>
  <c r="BZ34" i="12"/>
  <c r="BN34" i="12"/>
  <c r="BK34" i="12"/>
  <c r="BE34" i="12"/>
  <c r="BB34" i="12"/>
  <c r="AV34" i="12"/>
  <c r="AS34" i="12"/>
  <c r="AM34" i="12"/>
  <c r="AJ34" i="12"/>
  <c r="Z34" i="12"/>
  <c r="W34" i="12"/>
  <c r="Q34" i="12"/>
  <c r="N34" i="12"/>
  <c r="K34" i="12"/>
  <c r="H34" i="12"/>
  <c r="E34" i="12"/>
  <c r="E38" i="12" s="1"/>
  <c r="E31" i="12" s="1"/>
  <c r="HE33" i="12"/>
  <c r="DA33" i="12"/>
  <c r="CU33" i="12"/>
  <c r="CO33" i="12"/>
  <c r="BN33" i="12"/>
  <c r="BK33" i="12"/>
  <c r="BE33" i="12"/>
  <c r="BB33" i="12"/>
  <c r="AV33" i="12"/>
  <c r="AS33" i="12"/>
  <c r="AM33" i="12"/>
  <c r="AJ33" i="12"/>
  <c r="AF33" i="12"/>
  <c r="Z33" i="12"/>
  <c r="W33" i="12"/>
  <c r="Q33" i="12"/>
  <c r="N33" i="12"/>
  <c r="K33" i="12"/>
  <c r="H33" i="12"/>
  <c r="E33" i="12"/>
  <c r="DA32" i="12"/>
  <c r="CU32" i="12"/>
  <c r="CU25" i="12" s="1"/>
  <c r="CO32" i="12"/>
  <c r="CO34" i="12" s="1"/>
  <c r="BN32" i="12"/>
  <c r="BK32" i="12"/>
  <c r="BE32" i="12"/>
  <c r="BB32" i="12"/>
  <c r="AV32" i="12"/>
  <c r="AS32" i="12"/>
  <c r="AM32" i="12"/>
  <c r="AJ32" i="12"/>
  <c r="AE32" i="12"/>
  <c r="AD32" i="12"/>
  <c r="AC32" i="12"/>
  <c r="Z32" i="12"/>
  <c r="W32" i="12"/>
  <c r="Q32" i="12"/>
  <c r="N32" i="12"/>
  <c r="K32" i="12"/>
  <c r="H32" i="12"/>
  <c r="HE31" i="12"/>
  <c r="DA31" i="12"/>
  <c r="CU31" i="12"/>
  <c r="CO31" i="12"/>
  <c r="CF31" i="12"/>
  <c r="CC31" i="12"/>
  <c r="BW31" i="12"/>
  <c r="BN31" i="12"/>
  <c r="BK31" i="12"/>
  <c r="BE31" i="12"/>
  <c r="BB31" i="12"/>
  <c r="AV31" i="12"/>
  <c r="AS31" i="12"/>
  <c r="AM31" i="12"/>
  <c r="AJ31" i="12"/>
  <c r="Z31" i="12"/>
  <c r="W31" i="12"/>
  <c r="Q31" i="12"/>
  <c r="N31" i="12"/>
  <c r="K31" i="12"/>
  <c r="K28" i="12" s="1"/>
  <c r="H31" i="12"/>
  <c r="HE30" i="12"/>
  <c r="DA30" i="12"/>
  <c r="CU30" i="12"/>
  <c r="CO30" i="12"/>
  <c r="CF30" i="12"/>
  <c r="CC30" i="12"/>
  <c r="BZ30" i="12"/>
  <c r="BW30" i="12"/>
  <c r="BN30" i="12"/>
  <c r="BK30" i="12"/>
  <c r="BE30" i="12"/>
  <c r="BB30" i="12"/>
  <c r="AS30" i="12"/>
  <c r="AM30" i="12"/>
  <c r="AJ30" i="12"/>
  <c r="Z30" i="12"/>
  <c r="Z29" i="12" s="1"/>
  <c r="W30" i="12"/>
  <c r="W29" i="12" s="1"/>
  <c r="Q30" i="12"/>
  <c r="N30" i="12"/>
  <c r="K30" i="12"/>
  <c r="H30" i="12"/>
  <c r="HE29" i="12"/>
  <c r="HE27" i="12" s="1"/>
  <c r="HE28" i="12" s="1"/>
  <c r="DA29" i="12"/>
  <c r="DA25" i="12" s="1"/>
  <c r="CU29" i="12"/>
  <c r="CU26" i="12" s="1"/>
  <c r="CO29" i="12"/>
  <c r="CF29" i="12"/>
  <c r="CC29" i="12"/>
  <c r="BZ29" i="12"/>
  <c r="BN29" i="12"/>
  <c r="BK29" i="12"/>
  <c r="BE29" i="12"/>
  <c r="BE25" i="12" s="1"/>
  <c r="BE21" i="12" s="1"/>
  <c r="BB29" i="12"/>
  <c r="BB25" i="12" s="1"/>
  <c r="BB21" i="12" s="1"/>
  <c r="AV29" i="12"/>
  <c r="AV25" i="12" s="1"/>
  <c r="AV21" i="12" s="1"/>
  <c r="AS29" i="12"/>
  <c r="AM29" i="12"/>
  <c r="AJ29" i="12"/>
  <c r="AJ25" i="12" s="1"/>
  <c r="Q29" i="12"/>
  <c r="Q25" i="12" s="1"/>
  <c r="Q21" i="12" s="1"/>
  <c r="N29" i="12"/>
  <c r="N25" i="12" s="1"/>
  <c r="N21" i="12" s="1"/>
  <c r="K29" i="12"/>
  <c r="H29" i="12"/>
  <c r="H22" i="12" s="1"/>
  <c r="DA28" i="12"/>
  <c r="DA24" i="12" s="1"/>
  <c r="CU28" i="12"/>
  <c r="CO28" i="12"/>
  <c r="CF28" i="12"/>
  <c r="CC28" i="12"/>
  <c r="BZ28" i="12"/>
  <c r="BN28" i="12"/>
  <c r="BK28" i="12"/>
  <c r="BE28" i="12"/>
  <c r="BB28" i="12"/>
  <c r="AV28" i="12"/>
  <c r="AS28" i="12"/>
  <c r="AM28" i="12"/>
  <c r="AJ28" i="12"/>
  <c r="Z28" i="12"/>
  <c r="W28" i="12"/>
  <c r="Q28" i="12"/>
  <c r="N28" i="12"/>
  <c r="H28" i="12"/>
  <c r="HB27" i="12"/>
  <c r="GM27" i="12"/>
  <c r="FI27" i="12"/>
  <c r="ET27" i="12"/>
  <c r="EE27" i="12"/>
  <c r="DA27" i="12"/>
  <c r="CU27" i="12"/>
  <c r="CO27" i="12"/>
  <c r="CF27" i="12"/>
  <c r="CC27" i="12"/>
  <c r="BZ27" i="12"/>
  <c r="BN27" i="12"/>
  <c r="BN26" i="12" s="1"/>
  <c r="BK27" i="12"/>
  <c r="BE27" i="12"/>
  <c r="BB27" i="12"/>
  <c r="AV27" i="12"/>
  <c r="AS27" i="12"/>
  <c r="AM27" i="12"/>
  <c r="AM26" i="12" s="1"/>
  <c r="AM21" i="12" s="1"/>
  <c r="AJ27" i="12"/>
  <c r="AJ26" i="12" s="1"/>
  <c r="Z27" i="12"/>
  <c r="W27" i="12"/>
  <c r="Q27" i="12"/>
  <c r="Q26" i="12" s="1"/>
  <c r="N27" i="12"/>
  <c r="N26" i="12" s="1"/>
  <c r="K27" i="12"/>
  <c r="H27" i="12"/>
  <c r="HB26" i="12"/>
  <c r="GM26" i="12"/>
  <c r="FI26" i="12"/>
  <c r="ET26" i="12"/>
  <c r="ET24" i="12" s="1"/>
  <c r="EE26" i="12"/>
  <c r="EE24" i="12" s="1"/>
  <c r="DP26" i="12"/>
  <c r="CX26" i="12"/>
  <c r="CO26" i="12"/>
  <c r="CL26" i="12"/>
  <c r="CF26" i="12"/>
  <c r="CC26" i="12"/>
  <c r="BZ26" i="12"/>
  <c r="BT26" i="12"/>
  <c r="BK26" i="12"/>
  <c r="BE26" i="12"/>
  <c r="BB26" i="12"/>
  <c r="AV26" i="12"/>
  <c r="AS26" i="12"/>
  <c r="K26" i="12"/>
  <c r="H26" i="12"/>
  <c r="E26" i="12"/>
  <c r="HE25" i="12"/>
  <c r="HB25" i="12"/>
  <c r="HB23" i="12" s="1"/>
  <c r="GM25" i="12"/>
  <c r="GM23" i="12" s="1"/>
  <c r="FI25" i="12"/>
  <c r="FI23" i="12" s="1"/>
  <c r="ET25" i="12"/>
  <c r="ET23" i="12" s="1"/>
  <c r="EE25" i="12"/>
  <c r="EE23" i="12" s="1"/>
  <c r="DP25" i="12"/>
  <c r="DG25" i="12"/>
  <c r="CX25" i="12"/>
  <c r="CO25" i="12"/>
  <c r="CL25" i="12"/>
  <c r="CF25" i="12"/>
  <c r="CF24" i="12" s="1"/>
  <c r="CC25" i="12"/>
  <c r="CC24" i="12" s="1"/>
  <c r="BZ25" i="12"/>
  <c r="BW25" i="12"/>
  <c r="BT25" i="12"/>
  <c r="AS25" i="12"/>
  <c r="AS21" i="12" s="1"/>
  <c r="AM25" i="12"/>
  <c r="AG25" i="12"/>
  <c r="AF25" i="12"/>
  <c r="AE25" i="12"/>
  <c r="AE24" i="12" s="1"/>
  <c r="AD25" i="12"/>
  <c r="AD24" i="12" s="1"/>
  <c r="AC25" i="12"/>
  <c r="AC24" i="12" s="1"/>
  <c r="E25" i="12"/>
  <c r="HB24" i="12"/>
  <c r="GM24" i="12"/>
  <c r="DP24" i="12"/>
  <c r="CX24" i="12"/>
  <c r="CR24" i="12"/>
  <c r="CO24" i="12"/>
  <c r="CL24" i="12"/>
  <c r="BZ24" i="12"/>
  <c r="BZ17" i="12" s="1"/>
  <c r="BW24" i="12"/>
  <c r="BT24" i="12"/>
  <c r="BN24" i="12"/>
  <c r="BN21" i="12" s="1"/>
  <c r="BK24" i="12"/>
  <c r="BK21" i="12" s="1"/>
  <c r="BE24" i="12"/>
  <c r="BB24" i="12"/>
  <c r="AV24" i="12"/>
  <c r="AS24" i="12"/>
  <c r="AM24" i="12"/>
  <c r="AJ24" i="12"/>
  <c r="AG24" i="12"/>
  <c r="AF24" i="12"/>
  <c r="Q24" i="12"/>
  <c r="N24" i="12"/>
  <c r="K24" i="12"/>
  <c r="H24" i="12"/>
  <c r="E24" i="12"/>
  <c r="DP23" i="12"/>
  <c r="DG23" i="12"/>
  <c r="DG20" i="12" s="1"/>
  <c r="DG16" i="12" s="1"/>
  <c r="DG7" i="12" s="1"/>
  <c r="CX23" i="12"/>
  <c r="CO23" i="12"/>
  <c r="CR23" i="12" s="1"/>
  <c r="CL23" i="12"/>
  <c r="CL20" i="12" s="1"/>
  <c r="CF23" i="12"/>
  <c r="CC23" i="12"/>
  <c r="BZ23" i="12"/>
  <c r="BW23" i="12"/>
  <c r="BT23" i="12"/>
  <c r="AD23" i="12"/>
  <c r="AD27" i="12" s="1"/>
  <c r="AD29" i="12" s="1"/>
  <c r="AC23" i="12"/>
  <c r="AC27" i="12" s="1"/>
  <c r="AC29" i="12" s="1"/>
  <c r="K23" i="12"/>
  <c r="H23" i="12"/>
  <c r="E23" i="12"/>
  <c r="HB22" i="12"/>
  <c r="GM22" i="12"/>
  <c r="GM16" i="12" s="1"/>
  <c r="FI22" i="12"/>
  <c r="FI16" i="12" s="1"/>
  <c r="ET22" i="12"/>
  <c r="EE22" i="12"/>
  <c r="EE16" i="12" s="1"/>
  <c r="DP22" i="12"/>
  <c r="DG22" i="12"/>
  <c r="CF22" i="12"/>
  <c r="CC22" i="12"/>
  <c r="BZ22" i="12"/>
  <c r="BW22" i="12"/>
  <c r="BT22" i="12"/>
  <c r="AG22" i="12"/>
  <c r="AF22" i="12"/>
  <c r="AE22" i="12"/>
  <c r="AD22" i="12"/>
  <c r="AC22" i="12"/>
  <c r="K22" i="12"/>
  <c r="HB21" i="12"/>
  <c r="GM21" i="12"/>
  <c r="FI21" i="12"/>
  <c r="ET21" i="12"/>
  <c r="EE21" i="12"/>
  <c r="DP21" i="12"/>
  <c r="DG21" i="12"/>
  <c r="DD21" i="12"/>
  <c r="BZ21" i="12"/>
  <c r="BW21" i="12"/>
  <c r="AG21" i="12"/>
  <c r="AF21" i="12"/>
  <c r="AE21" i="12"/>
  <c r="AD21" i="12"/>
  <c r="AC21" i="12"/>
  <c r="K21" i="12"/>
  <c r="K19" i="12" s="1"/>
  <c r="DD20" i="12"/>
  <c r="BZ20" i="12"/>
  <c r="BW20" i="12"/>
  <c r="BW13" i="12" s="1"/>
  <c r="AG20" i="12"/>
  <c r="AF20" i="12"/>
  <c r="AE20" i="12"/>
  <c r="AD20" i="12"/>
  <c r="AC20" i="12"/>
  <c r="H20" i="12"/>
  <c r="HB19" i="12"/>
  <c r="GM19" i="12"/>
  <c r="FI19" i="12"/>
  <c r="ET19" i="12"/>
  <c r="EE19" i="12"/>
  <c r="DP19" i="12"/>
  <c r="DG19" i="12"/>
  <c r="DD19" i="12"/>
  <c r="BZ19" i="12"/>
  <c r="BW19" i="12"/>
  <c r="AG19" i="12"/>
  <c r="AF19" i="12"/>
  <c r="AE19" i="12"/>
  <c r="AD19" i="12"/>
  <c r="AC19" i="12"/>
  <c r="H19" i="12"/>
  <c r="HB18" i="12"/>
  <c r="GM18" i="12"/>
  <c r="GA18" i="12"/>
  <c r="FL18" i="12"/>
  <c r="FI18" i="12"/>
  <c r="EW18" i="12"/>
  <c r="ET18" i="12"/>
  <c r="EH18" i="12"/>
  <c r="EE18" i="12"/>
  <c r="DS18" i="12"/>
  <c r="DP18" i="12"/>
  <c r="DG18" i="12"/>
  <c r="CX18" i="12"/>
  <c r="BZ18" i="12"/>
  <c r="BZ16" i="12" s="1"/>
  <c r="BW18" i="12"/>
  <c r="AG18" i="12"/>
  <c r="AF18" i="12"/>
  <c r="AE18" i="12"/>
  <c r="AD18" i="12"/>
  <c r="AC18" i="12"/>
  <c r="H18" i="12"/>
  <c r="E18" i="12"/>
  <c r="HB17" i="12"/>
  <c r="GP17" i="12"/>
  <c r="GM17" i="12"/>
  <c r="GA17" i="12"/>
  <c r="FL17" i="12"/>
  <c r="FI17" i="12"/>
  <c r="EW17" i="12"/>
  <c r="ET17" i="12"/>
  <c r="EH17" i="12"/>
  <c r="EE17" i="12"/>
  <c r="DY17" i="12"/>
  <c r="DY16" i="12" s="1"/>
  <c r="DS17" i="12"/>
  <c r="DP17" i="12"/>
  <c r="DG17" i="12"/>
  <c r="CX17" i="12"/>
  <c r="BW17" i="12"/>
  <c r="BT17" i="12"/>
  <c r="AG17" i="12"/>
  <c r="AF17" i="12"/>
  <c r="AE17" i="12"/>
  <c r="AD17" i="12"/>
  <c r="AC17" i="12"/>
  <c r="H17" i="12"/>
  <c r="E17" i="12"/>
  <c r="BT16" i="12" s="1"/>
  <c r="BT19" i="12" s="1"/>
  <c r="HB16" i="12"/>
  <c r="GV16" i="12"/>
  <c r="GP16" i="12"/>
  <c r="GG16" i="12"/>
  <c r="FC16" i="12"/>
  <c r="FC15" i="12" s="1"/>
  <c r="ET16" i="12"/>
  <c r="EN16" i="12"/>
  <c r="DP16" i="12"/>
  <c r="DD16" i="12"/>
  <c r="CX16" i="12"/>
  <c r="CX12" i="12" s="1"/>
  <c r="CO16" i="12"/>
  <c r="BQ16" i="12"/>
  <c r="BN16" i="12"/>
  <c r="BK16" i="12"/>
  <c r="BH16" i="12"/>
  <c r="BE16" i="12"/>
  <c r="BB16" i="12"/>
  <c r="AY16" i="12"/>
  <c r="AV16" i="12"/>
  <c r="AS16" i="12"/>
  <c r="AP16" i="12"/>
  <c r="AM16" i="12"/>
  <c r="AJ16" i="12"/>
  <c r="AG16" i="12"/>
  <c r="AF16" i="12"/>
  <c r="AE16" i="12"/>
  <c r="AD16" i="12"/>
  <c r="AC16" i="12"/>
  <c r="Z16" i="12"/>
  <c r="W16" i="12"/>
  <c r="T16" i="12"/>
  <c r="Q16" i="12"/>
  <c r="N16" i="12"/>
  <c r="HB15" i="12"/>
  <c r="GV15" i="12"/>
  <c r="GM15" i="12"/>
  <c r="GG15" i="12"/>
  <c r="GA15" i="12"/>
  <c r="FL15" i="12"/>
  <c r="FI15" i="12"/>
  <c r="EW15" i="12"/>
  <c r="ET15" i="12"/>
  <c r="EN15" i="12"/>
  <c r="EH15" i="12"/>
  <c r="EE15" i="12"/>
  <c r="DY15" i="12"/>
  <c r="DS15" i="12"/>
  <c r="DP15" i="12"/>
  <c r="DG15" i="12"/>
  <c r="DD15" i="12"/>
  <c r="CX15" i="12"/>
  <c r="CO15" i="12"/>
  <c r="CO17" i="12" s="1"/>
  <c r="BW15" i="12"/>
  <c r="BT15" i="12"/>
  <c r="BQ15" i="12"/>
  <c r="BN15" i="12"/>
  <c r="BK15" i="12"/>
  <c r="BH15" i="12"/>
  <c r="BE15" i="12"/>
  <c r="BB15" i="12"/>
  <c r="AY15" i="12"/>
  <c r="AV15" i="12"/>
  <c r="AS15" i="12"/>
  <c r="AP15" i="12"/>
  <c r="AM15" i="12"/>
  <c r="AJ15" i="12"/>
  <c r="AG15" i="12"/>
  <c r="AF15" i="12"/>
  <c r="AE15" i="12"/>
  <c r="AD15" i="12"/>
  <c r="AC15" i="12"/>
  <c r="Z15" i="12"/>
  <c r="W15" i="12"/>
  <c r="T15" i="12"/>
  <c r="Q15" i="12"/>
  <c r="N15" i="12"/>
  <c r="E15" i="12"/>
  <c r="E12" i="12" s="1"/>
  <c r="E19" i="12" s="1"/>
  <c r="HB14" i="12"/>
  <c r="GV14" i="12"/>
  <c r="GV17" i="12" s="1"/>
  <c r="GP14" i="12"/>
  <c r="GM14" i="12"/>
  <c r="GG14" i="12"/>
  <c r="GG17" i="12" s="1"/>
  <c r="FI14" i="12"/>
  <c r="FC14" i="12"/>
  <c r="FC17" i="12" s="1"/>
  <c r="ET14" i="12"/>
  <c r="EN14" i="12"/>
  <c r="EN17" i="12" s="1"/>
  <c r="EE14" i="12"/>
  <c r="EB14" i="12"/>
  <c r="DY14" i="12"/>
  <c r="DP14" i="12"/>
  <c r="DG14" i="12"/>
  <c r="DD14" i="12"/>
  <c r="CX14" i="12"/>
  <c r="CO14" i="12"/>
  <c r="CI14" i="12"/>
  <c r="CF14" i="12"/>
  <c r="CC14" i="12"/>
  <c r="BW14" i="12"/>
  <c r="BT14" i="12"/>
  <c r="BQ14" i="12"/>
  <c r="BN14" i="12"/>
  <c r="BK14" i="12"/>
  <c r="BH14" i="12"/>
  <c r="BE14" i="12"/>
  <c r="BB14" i="12"/>
  <c r="AY14" i="12"/>
  <c r="AV14" i="12"/>
  <c r="AS14" i="12"/>
  <c r="AP14" i="12"/>
  <c r="AM14" i="12"/>
  <c r="AJ14" i="12"/>
  <c r="AG14" i="12"/>
  <c r="AF14" i="12"/>
  <c r="AE14" i="12"/>
  <c r="AD14" i="12"/>
  <c r="AC14" i="12"/>
  <c r="Z14" i="12"/>
  <c r="W14" i="12"/>
  <c r="T14" i="12"/>
  <c r="Q14" i="12"/>
  <c r="N14" i="12"/>
  <c r="E14" i="12"/>
  <c r="HE13" i="12"/>
  <c r="HB13" i="12"/>
  <c r="GY13" i="12"/>
  <c r="GV13" i="12"/>
  <c r="GP13" i="12"/>
  <c r="GM13" i="12"/>
  <c r="GJ13" i="12"/>
  <c r="GG13" i="12"/>
  <c r="GA13" i="12"/>
  <c r="FL13" i="12"/>
  <c r="FI13" i="12"/>
  <c r="FF13" i="12"/>
  <c r="FC13" i="12"/>
  <c r="EW13" i="12"/>
  <c r="ET13" i="12"/>
  <c r="ET2" i="12" s="1"/>
  <c r="EQ13" i="12"/>
  <c r="EN13" i="12"/>
  <c r="EH13" i="12"/>
  <c r="EE13" i="12"/>
  <c r="EB13" i="12"/>
  <c r="DY13" i="12"/>
  <c r="DP13" i="12"/>
  <c r="DG13" i="12"/>
  <c r="DD13" i="12"/>
  <c r="CX13" i="12"/>
  <c r="CU13" i="12"/>
  <c r="CO13" i="12"/>
  <c r="CI13" i="12"/>
  <c r="CF13" i="12"/>
  <c r="CC13" i="12"/>
  <c r="BT13" i="12"/>
  <c r="BQ13" i="12"/>
  <c r="BN13" i="12"/>
  <c r="BK13" i="12"/>
  <c r="BH13" i="12"/>
  <c r="BE13" i="12"/>
  <c r="BB13" i="12"/>
  <c r="AY13" i="12"/>
  <c r="AV13" i="12"/>
  <c r="AS13" i="12"/>
  <c r="AP13" i="12"/>
  <c r="AM13" i="12"/>
  <c r="AJ13" i="12"/>
  <c r="AG13" i="12"/>
  <c r="AF13" i="12"/>
  <c r="AE13" i="12"/>
  <c r="AD13" i="12"/>
  <c r="AC13" i="12"/>
  <c r="Z13" i="12"/>
  <c r="W13" i="12"/>
  <c r="T13" i="12"/>
  <c r="Q13" i="12"/>
  <c r="N13" i="12"/>
  <c r="K13" i="12"/>
  <c r="E13" i="12"/>
  <c r="HB12" i="12"/>
  <c r="GY12" i="12"/>
  <c r="GV12" i="12"/>
  <c r="GP12" i="12"/>
  <c r="GM12" i="12"/>
  <c r="GJ12" i="12"/>
  <c r="GG12" i="12"/>
  <c r="GA12" i="12"/>
  <c r="FL12" i="12"/>
  <c r="FI12" i="12"/>
  <c r="FF12" i="12"/>
  <c r="FC12" i="12"/>
  <c r="EW12" i="12"/>
  <c r="ET12" i="12"/>
  <c r="EQ12" i="12"/>
  <c r="EN12" i="12"/>
  <c r="EH12" i="12"/>
  <c r="EE12" i="12"/>
  <c r="EB12" i="12"/>
  <c r="DY12" i="12"/>
  <c r="DS12" i="12"/>
  <c r="DP12" i="12"/>
  <c r="DG12" i="12"/>
  <c r="DD12" i="12"/>
  <c r="DD11" i="12" s="1"/>
  <c r="DD7" i="12" s="1"/>
  <c r="DA12" i="12"/>
  <c r="DA11" i="12" s="1"/>
  <c r="DA10" i="12" s="1"/>
  <c r="CU12" i="12"/>
  <c r="CU11" i="12" s="1"/>
  <c r="CU16" i="12" s="1"/>
  <c r="CO12" i="12"/>
  <c r="CI12" i="12"/>
  <c r="CF12" i="12"/>
  <c r="CC12" i="12"/>
  <c r="BZ12" i="12"/>
  <c r="BZ11" i="12" s="1"/>
  <c r="BZ10" i="12" s="1"/>
  <c r="BT12" i="12"/>
  <c r="BQ12" i="12"/>
  <c r="BN12" i="12"/>
  <c r="BK12" i="12"/>
  <c r="BH12" i="12"/>
  <c r="BE12" i="12"/>
  <c r="BB12" i="12"/>
  <c r="AY12" i="12"/>
  <c r="AV12" i="12"/>
  <c r="AS12" i="12"/>
  <c r="AP12" i="12"/>
  <c r="AM12" i="12"/>
  <c r="AJ12" i="12"/>
  <c r="AG12" i="12"/>
  <c r="AF12" i="12"/>
  <c r="Z12" i="12"/>
  <c r="W12" i="12"/>
  <c r="T12" i="12"/>
  <c r="Q12" i="12"/>
  <c r="N12" i="12"/>
  <c r="K12" i="12"/>
  <c r="HE11" i="12"/>
  <c r="HB11" i="12"/>
  <c r="GY11" i="12"/>
  <c r="GV11" i="12"/>
  <c r="GP11" i="12"/>
  <c r="GM11" i="12"/>
  <c r="GJ11" i="12"/>
  <c r="GG11" i="12"/>
  <c r="GA11" i="12"/>
  <c r="GA8" i="12" s="1"/>
  <c r="FL11" i="12"/>
  <c r="FI11" i="12"/>
  <c r="FF11" i="12"/>
  <c r="FC11" i="12"/>
  <c r="EW11" i="12"/>
  <c r="EW8" i="12" s="1"/>
  <c r="ET11" i="12"/>
  <c r="EQ11" i="12"/>
  <c r="EN11" i="12"/>
  <c r="EH11" i="12"/>
  <c r="EH8" i="12" s="1"/>
  <c r="EH7" i="12" s="1"/>
  <c r="DS11" i="12"/>
  <c r="DS8" i="12" s="1"/>
  <c r="DP11" i="12"/>
  <c r="DJ11" i="12"/>
  <c r="CX11" i="12"/>
  <c r="CO11" i="12"/>
  <c r="CI11" i="12"/>
  <c r="CF11" i="12"/>
  <c r="CC11" i="12"/>
  <c r="BT11" i="12"/>
  <c r="BQ11" i="12"/>
  <c r="BN11" i="12"/>
  <c r="BN9" i="12" s="1"/>
  <c r="BN2" i="12" s="1"/>
  <c r="BK11" i="12"/>
  <c r="BK9" i="12" s="1"/>
  <c r="BH11" i="12"/>
  <c r="BE11" i="12"/>
  <c r="BB11" i="12"/>
  <c r="AY11" i="12"/>
  <c r="AV11" i="12"/>
  <c r="AS11" i="12"/>
  <c r="AP11" i="12"/>
  <c r="AM11" i="12"/>
  <c r="AJ11" i="12"/>
  <c r="AG11" i="12"/>
  <c r="AF11" i="12"/>
  <c r="Z11" i="12"/>
  <c r="W11" i="12"/>
  <c r="T11" i="12"/>
  <c r="Q11" i="12"/>
  <c r="N11" i="12"/>
  <c r="K11" i="12"/>
  <c r="E11" i="12"/>
  <c r="BT9" i="12" s="1"/>
  <c r="HE10" i="12"/>
  <c r="HB10" i="12"/>
  <c r="GY10" i="12"/>
  <c r="GV10" i="12"/>
  <c r="GP10" i="12"/>
  <c r="GM10" i="12"/>
  <c r="GJ10" i="12"/>
  <c r="GG10" i="12"/>
  <c r="GA10" i="12"/>
  <c r="FL10" i="12"/>
  <c r="FI10" i="12"/>
  <c r="FF10" i="12"/>
  <c r="FC10" i="12"/>
  <c r="EW10" i="12"/>
  <c r="ET10" i="12"/>
  <c r="EQ10" i="12"/>
  <c r="EN10" i="12"/>
  <c r="EH10" i="12"/>
  <c r="EE10" i="12"/>
  <c r="EB10" i="12"/>
  <c r="DY10" i="12"/>
  <c r="DS10" i="12"/>
  <c r="DP10" i="12"/>
  <c r="DJ10" i="12"/>
  <c r="DG10" i="12"/>
  <c r="DD10" i="12"/>
  <c r="CX10" i="12"/>
  <c r="CU10" i="12"/>
  <c r="CO10" i="12"/>
  <c r="CI10" i="12"/>
  <c r="CF10" i="12"/>
  <c r="CC10" i="12"/>
  <c r="BT10" i="12"/>
  <c r="BQ10" i="12"/>
  <c r="BQ9" i="12" s="1"/>
  <c r="BQ2" i="12" s="1"/>
  <c r="BN10" i="12"/>
  <c r="BK10" i="12"/>
  <c r="BH10" i="12"/>
  <c r="BH6" i="12" s="1"/>
  <c r="BE10" i="12"/>
  <c r="BE6" i="12" s="1"/>
  <c r="BB10" i="12"/>
  <c r="BB6" i="12" s="1"/>
  <c r="AY10" i="12"/>
  <c r="AY6" i="12" s="1"/>
  <c r="AY2" i="12" s="1"/>
  <c r="AV10" i="12"/>
  <c r="AV6" i="12" s="1"/>
  <c r="AV2" i="12" s="1"/>
  <c r="AS10" i="12"/>
  <c r="AP10" i="12"/>
  <c r="AM10" i="12"/>
  <c r="AM6" i="12" s="1"/>
  <c r="AG10" i="12"/>
  <c r="AF10" i="12"/>
  <c r="Z10" i="12"/>
  <c r="Z6" i="12" s="1"/>
  <c r="Z18" i="12" s="1"/>
  <c r="W10" i="12"/>
  <c r="W6" i="12" s="1"/>
  <c r="T10" i="12"/>
  <c r="T6" i="12" s="1"/>
  <c r="T2" i="12" s="1"/>
  <c r="Q10" i="12"/>
  <c r="Q6" i="12" s="1"/>
  <c r="N10" i="12"/>
  <c r="K10" i="12"/>
  <c r="E10" i="12"/>
  <c r="HE9" i="12"/>
  <c r="HE7" i="12" s="1"/>
  <c r="HE8" i="12" s="1"/>
  <c r="HB9" i="12"/>
  <c r="GY9" i="12"/>
  <c r="GV9" i="12"/>
  <c r="GP9" i="12"/>
  <c r="GM9" i="12"/>
  <c r="GJ9" i="12"/>
  <c r="GG9" i="12"/>
  <c r="GA9" i="12"/>
  <c r="FR9" i="12"/>
  <c r="FR8" i="12" s="1"/>
  <c r="FL9" i="12"/>
  <c r="FL8" i="12" s="1"/>
  <c r="FL7" i="12" s="1"/>
  <c r="FI9" i="12"/>
  <c r="FF9" i="12"/>
  <c r="FC9" i="12"/>
  <c r="EW9" i="12"/>
  <c r="ET9" i="12"/>
  <c r="EQ9" i="12"/>
  <c r="EN9" i="12"/>
  <c r="EH9" i="12"/>
  <c r="EE9" i="12"/>
  <c r="EB9" i="12"/>
  <c r="DY9" i="12"/>
  <c r="DS9" i="12"/>
  <c r="DP9" i="12"/>
  <c r="DP7" i="12" s="1"/>
  <c r="DJ9" i="12"/>
  <c r="DJ12" i="12" s="1"/>
  <c r="DG9" i="12"/>
  <c r="DD9" i="12"/>
  <c r="DA9" i="12"/>
  <c r="CX9" i="12"/>
  <c r="CU9" i="12"/>
  <c r="CO9" i="12"/>
  <c r="CI9" i="12"/>
  <c r="CF9" i="12"/>
  <c r="CC9" i="12"/>
  <c r="BZ9" i="12"/>
  <c r="BW9" i="12"/>
  <c r="BH9" i="12"/>
  <c r="BE9" i="12"/>
  <c r="BB9" i="12"/>
  <c r="AY9" i="12"/>
  <c r="AV9" i="12"/>
  <c r="AS9" i="12"/>
  <c r="AP9" i="12"/>
  <c r="AM9" i="12"/>
  <c r="AJ9" i="12"/>
  <c r="AG9" i="12"/>
  <c r="AG23" i="12" s="1"/>
  <c r="AG27" i="12" s="1"/>
  <c r="AF9" i="12"/>
  <c r="AF23" i="12" s="1"/>
  <c r="AF27" i="12" s="1"/>
  <c r="AE9" i="12"/>
  <c r="AD9" i="12"/>
  <c r="AC9" i="12"/>
  <c r="Z9" i="12"/>
  <c r="W9" i="12"/>
  <c r="T9" i="12"/>
  <c r="Q9" i="12"/>
  <c r="N9" i="12"/>
  <c r="K9" i="12"/>
  <c r="H9" i="12"/>
  <c r="HB8" i="12"/>
  <c r="GY8" i="12"/>
  <c r="GV8" i="12"/>
  <c r="GP8" i="12"/>
  <c r="GM8" i="12"/>
  <c r="GM6" i="12" s="1"/>
  <c r="GM2" i="12" s="1"/>
  <c r="GJ8" i="12"/>
  <c r="GG8" i="12"/>
  <c r="FI8" i="12"/>
  <c r="FI6" i="12" s="1"/>
  <c r="FF8" i="12"/>
  <c r="FF6" i="12" s="1"/>
  <c r="FC8" i="12"/>
  <c r="FC6" i="12" s="1"/>
  <c r="ET8" i="12"/>
  <c r="EQ8" i="12"/>
  <c r="EN8" i="12"/>
  <c r="EN6" i="12" s="1"/>
  <c r="EE8" i="12"/>
  <c r="EE6" i="12" s="1"/>
  <c r="EB8" i="12"/>
  <c r="EB6" i="12" s="1"/>
  <c r="DY8" i="12"/>
  <c r="DY6" i="12" s="1"/>
  <c r="DV8" i="12"/>
  <c r="DP8" i="12"/>
  <c r="DP6" i="12" s="1"/>
  <c r="DM8" i="12"/>
  <c r="DM6" i="12" s="1"/>
  <c r="DJ8" i="12"/>
  <c r="DJ6" i="12" s="1"/>
  <c r="DG8" i="12"/>
  <c r="DD8" i="12"/>
  <c r="DA8" i="12"/>
  <c r="CX8" i="12"/>
  <c r="CU8" i="12"/>
  <c r="CO8" i="12"/>
  <c r="CO6" i="12" s="1"/>
  <c r="CL8" i="12"/>
  <c r="CI8" i="12"/>
  <c r="CF8" i="12"/>
  <c r="CC8" i="12"/>
  <c r="BZ8" i="12"/>
  <c r="BW8" i="12"/>
  <c r="BT8" i="12"/>
  <c r="BQ8" i="12"/>
  <c r="BN8" i="12"/>
  <c r="BK8" i="12"/>
  <c r="BH8" i="12"/>
  <c r="BE8" i="12"/>
  <c r="BB8" i="12"/>
  <c r="AY8" i="12"/>
  <c r="AV8" i="12"/>
  <c r="AS8" i="12"/>
  <c r="AP8" i="12"/>
  <c r="AM8" i="12"/>
  <c r="AJ8" i="12"/>
  <c r="AG8" i="12"/>
  <c r="AF8" i="12"/>
  <c r="AE8" i="12"/>
  <c r="AD8" i="12"/>
  <c r="AC8" i="12"/>
  <c r="Z8" i="12"/>
  <c r="W8" i="12"/>
  <c r="T8" i="12"/>
  <c r="Q8" i="12"/>
  <c r="N8" i="12"/>
  <c r="K8" i="12"/>
  <c r="H8" i="12"/>
  <c r="E8" i="12"/>
  <c r="HB7" i="12"/>
  <c r="HB5" i="12" s="1"/>
  <c r="GY7" i="12"/>
  <c r="GY5" i="12" s="1"/>
  <c r="GV7" i="12"/>
  <c r="GV5" i="12" s="1"/>
  <c r="GM7" i="12"/>
  <c r="GJ7" i="12"/>
  <c r="GG7" i="12"/>
  <c r="FR7" i="12"/>
  <c r="FI7" i="12"/>
  <c r="FI5" i="12" s="1"/>
  <c r="FF7" i="12"/>
  <c r="FF5" i="12" s="1"/>
  <c r="FC7" i="12"/>
  <c r="ET7" i="12"/>
  <c r="EQ7" i="12"/>
  <c r="EQ5" i="12" s="1"/>
  <c r="EN7" i="12"/>
  <c r="EN5" i="12" s="1"/>
  <c r="EE7" i="12"/>
  <c r="EE5" i="12" s="1"/>
  <c r="EB7" i="12"/>
  <c r="EB5" i="12" s="1"/>
  <c r="DY7" i="12"/>
  <c r="DM7" i="12"/>
  <c r="DM5" i="12" s="1"/>
  <c r="DJ7" i="12"/>
  <c r="DJ5" i="12" s="1"/>
  <c r="DA7" i="12"/>
  <c r="CX7" i="12"/>
  <c r="CU7" i="12"/>
  <c r="CO7" i="12"/>
  <c r="CL7" i="12"/>
  <c r="CI7" i="12"/>
  <c r="CF7" i="12"/>
  <c r="CC7" i="12"/>
  <c r="BZ7" i="12"/>
  <c r="BW7" i="12"/>
  <c r="BT7" i="12"/>
  <c r="BT6" i="12" s="1"/>
  <c r="BT21" i="12" s="1"/>
  <c r="BQ7" i="12"/>
  <c r="BN7" i="12"/>
  <c r="BK7" i="12"/>
  <c r="BH7" i="12"/>
  <c r="BE7" i="12"/>
  <c r="BB7" i="12"/>
  <c r="AY7" i="12"/>
  <c r="AV7" i="12"/>
  <c r="AS7" i="12"/>
  <c r="AP7" i="12"/>
  <c r="AM7" i="12"/>
  <c r="AJ7" i="12"/>
  <c r="AG7" i="12"/>
  <c r="AF7" i="12"/>
  <c r="AE7" i="12"/>
  <c r="AD7" i="12"/>
  <c r="AC7" i="12"/>
  <c r="Z7" i="12"/>
  <c r="W7" i="12"/>
  <c r="T7" i="12"/>
  <c r="Q7" i="12"/>
  <c r="N7" i="12"/>
  <c r="K7" i="12"/>
  <c r="H7" i="12"/>
  <c r="E7" i="12"/>
  <c r="E6" i="12" s="1"/>
  <c r="HB6" i="12"/>
  <c r="GY6" i="12"/>
  <c r="GV6" i="12"/>
  <c r="GS6" i="12"/>
  <c r="GP6" i="12"/>
  <c r="GJ6" i="12"/>
  <c r="GG6" i="12"/>
  <c r="GD6" i="12"/>
  <c r="GA6" i="12"/>
  <c r="FU6" i="12"/>
  <c r="FR6" i="12"/>
  <c r="FL6" i="12"/>
  <c r="EZ6" i="12"/>
  <c r="EW6" i="12"/>
  <c r="ET6" i="12"/>
  <c r="EQ6" i="12"/>
  <c r="EK6" i="12"/>
  <c r="EH6" i="12"/>
  <c r="DV6" i="12"/>
  <c r="DS6" i="12"/>
  <c r="DS7" i="12" s="1"/>
  <c r="DD6" i="12"/>
  <c r="DA6" i="12"/>
  <c r="CX6" i="12"/>
  <c r="CU6" i="12"/>
  <c r="CU14" i="12" s="1"/>
  <c r="CR6" i="12"/>
  <c r="CL6" i="12"/>
  <c r="CI6" i="12"/>
  <c r="CF6" i="12"/>
  <c r="CC6" i="12"/>
  <c r="BZ6" i="12"/>
  <c r="BW6" i="12"/>
  <c r="BW10" i="12" s="1"/>
  <c r="AS6" i="12"/>
  <c r="AP6" i="12"/>
  <c r="AJ6" i="12"/>
  <c r="N6" i="12"/>
  <c r="K6" i="12"/>
  <c r="H6" i="12"/>
  <c r="HE5" i="12"/>
  <c r="GS5" i="12"/>
  <c r="GP5" i="12"/>
  <c r="GP7" i="12" s="1"/>
  <c r="GM5" i="12"/>
  <c r="GJ5" i="12"/>
  <c r="GG5" i="12"/>
  <c r="GD5" i="12"/>
  <c r="GA5" i="12"/>
  <c r="GA7" i="12" s="1"/>
  <c r="FX5" i="12"/>
  <c r="FX2" i="12" s="1"/>
  <c r="FU5" i="12"/>
  <c r="FR5" i="12"/>
  <c r="FO5" i="12"/>
  <c r="FL5" i="12"/>
  <c r="FC5" i="12"/>
  <c r="EZ5" i="12"/>
  <c r="EW5" i="12"/>
  <c r="ET5" i="12"/>
  <c r="EK5" i="12"/>
  <c r="EH5" i="12"/>
  <c r="DY5" i="12"/>
  <c r="DV5" i="12"/>
  <c r="DS5" i="12"/>
  <c r="DD5" i="12"/>
  <c r="DA5" i="12"/>
  <c r="DA13" i="12" s="1"/>
  <c r="CX5" i="12"/>
  <c r="CX22" i="12" s="1"/>
  <c r="CU5" i="12"/>
  <c r="CU15" i="12" s="1"/>
  <c r="CO5" i="12"/>
  <c r="CR5" i="12" s="1"/>
  <c r="CL5" i="12"/>
  <c r="CL2" i="12" s="1"/>
  <c r="CI5" i="12"/>
  <c r="CI2" i="12" s="1"/>
  <c r="CF5" i="12"/>
  <c r="CF2" i="12" s="1"/>
  <c r="CC5" i="12"/>
  <c r="CC2" i="12" s="1"/>
  <c r="BZ5" i="12"/>
  <c r="BZ15" i="12" s="1"/>
  <c r="BW5" i="12"/>
  <c r="BT5" i="12"/>
  <c r="BT18" i="12" s="1"/>
  <c r="BT3" i="12" s="1"/>
  <c r="BQ5" i="12"/>
  <c r="BN5" i="12"/>
  <c r="BK5" i="12"/>
  <c r="BH5" i="12"/>
  <c r="BE5" i="12"/>
  <c r="BB5" i="12"/>
  <c r="AY5" i="12"/>
  <c r="AV5" i="12"/>
  <c r="AS5" i="12"/>
  <c r="AP5" i="12"/>
  <c r="AM5" i="12"/>
  <c r="AJ5" i="12"/>
  <c r="AJ2" i="12" s="1"/>
  <c r="AG5" i="12"/>
  <c r="AF5" i="12"/>
  <c r="AF30" i="12" s="1"/>
  <c r="AE5" i="12"/>
  <c r="AD5" i="12"/>
  <c r="AD31" i="12" s="1"/>
  <c r="AC5" i="12"/>
  <c r="AC31" i="12" s="1"/>
  <c r="Z5" i="12"/>
  <c r="W5" i="12"/>
  <c r="W18" i="12" s="1"/>
  <c r="T5" i="12"/>
  <c r="Q5" i="12"/>
  <c r="Q2" i="12" s="1"/>
  <c r="N5" i="12"/>
  <c r="N2" i="12" s="1"/>
  <c r="K5" i="12"/>
  <c r="H5" i="12"/>
  <c r="E5" i="12"/>
  <c r="E22" i="12" s="1"/>
  <c r="AS2" i="12"/>
  <c r="AP2" i="12"/>
  <c r="H69" i="11"/>
  <c r="H68" i="11"/>
  <c r="H67" i="11"/>
  <c r="H66" i="11"/>
  <c r="H65" i="11"/>
  <c r="H64" i="11"/>
  <c r="H63" i="11"/>
  <c r="H59" i="11" s="1"/>
  <c r="H62" i="11"/>
  <c r="H54" i="11" s="1"/>
  <c r="H61" i="11"/>
  <c r="H60" i="11"/>
  <c r="H57" i="11"/>
  <c r="H56" i="11"/>
  <c r="H55" i="11"/>
  <c r="H53" i="11"/>
  <c r="K52" i="11"/>
  <c r="H52" i="11"/>
  <c r="E52" i="11"/>
  <c r="K51" i="11"/>
  <c r="H51" i="11"/>
  <c r="E51" i="11"/>
  <c r="DA50" i="11"/>
  <c r="K50" i="11"/>
  <c r="DA49" i="11"/>
  <c r="K49" i="11"/>
  <c r="E49" i="11"/>
  <c r="CU48" i="11"/>
  <c r="K48" i="11"/>
  <c r="E48" i="11"/>
  <c r="CU47" i="11"/>
  <c r="K47" i="11"/>
  <c r="H47" i="11"/>
  <c r="H45" i="11" s="1"/>
  <c r="E47" i="11"/>
  <c r="H46" i="11"/>
  <c r="E46" i="11"/>
  <c r="DA45" i="11"/>
  <c r="E45" i="11"/>
  <c r="E53" i="11" s="1"/>
  <c r="E43" i="11" s="1"/>
  <c r="H44" i="11"/>
  <c r="DA43" i="11"/>
  <c r="CU43" i="11"/>
  <c r="Z43" i="11"/>
  <c r="K43" i="11"/>
  <c r="DA42" i="11"/>
  <c r="CU42" i="11"/>
  <c r="Z42" i="11"/>
  <c r="K42" i="11"/>
  <c r="HE41" i="11"/>
  <c r="DA41" i="11"/>
  <c r="CU41" i="11"/>
  <c r="K41" i="11"/>
  <c r="H41" i="11"/>
  <c r="HE40" i="11"/>
  <c r="HE37" i="11" s="1"/>
  <c r="DA40" i="11"/>
  <c r="CU40" i="11"/>
  <c r="HE39" i="11"/>
  <c r="DA39" i="11"/>
  <c r="CU39" i="11"/>
  <c r="Z39" i="11"/>
  <c r="HE38" i="11"/>
  <c r="DA38" i="11"/>
  <c r="CU38" i="11"/>
  <c r="K38" i="11"/>
  <c r="H38" i="11"/>
  <c r="DA37" i="11"/>
  <c r="CU37" i="11"/>
  <c r="Z37" i="11"/>
  <c r="W37" i="11"/>
  <c r="K37" i="11"/>
  <c r="H37" i="11"/>
  <c r="E37" i="11"/>
  <c r="HE36" i="11"/>
  <c r="DA36" i="11"/>
  <c r="CU36" i="11"/>
  <c r="Z36" i="11"/>
  <c r="W36" i="11"/>
  <c r="K36" i="11"/>
  <c r="H36" i="11"/>
  <c r="E36" i="11"/>
  <c r="HE35" i="11"/>
  <c r="HE42" i="11" s="1"/>
  <c r="DA35" i="11"/>
  <c r="DA26" i="11" s="1"/>
  <c r="CU35" i="11"/>
  <c r="BZ35" i="11"/>
  <c r="BN35" i="11"/>
  <c r="BK35" i="11"/>
  <c r="BE35" i="11"/>
  <c r="BB35" i="11"/>
  <c r="AV35" i="11"/>
  <c r="AS35" i="11"/>
  <c r="AM35" i="11"/>
  <c r="AJ35" i="11"/>
  <c r="Z35" i="11"/>
  <c r="W35" i="11"/>
  <c r="Q35" i="11"/>
  <c r="N35" i="11"/>
  <c r="K35" i="11"/>
  <c r="H35" i="11"/>
  <c r="E35" i="11"/>
  <c r="HE34" i="11"/>
  <c r="DA34" i="11"/>
  <c r="CU34" i="11"/>
  <c r="BZ34" i="11"/>
  <c r="BN34" i="11"/>
  <c r="BK34" i="11"/>
  <c r="BE34" i="11"/>
  <c r="BB34" i="11"/>
  <c r="AV34" i="11"/>
  <c r="AS34" i="11"/>
  <c r="AM34" i="11"/>
  <c r="AJ34" i="11"/>
  <c r="Z34" i="11"/>
  <c r="W34" i="11"/>
  <c r="Q34" i="11"/>
  <c r="N34" i="11"/>
  <c r="K34" i="11"/>
  <c r="H34" i="11"/>
  <c r="E34" i="11"/>
  <c r="E38" i="11" s="1"/>
  <c r="E31" i="11" s="1"/>
  <c r="HE33" i="11"/>
  <c r="DA33" i="11"/>
  <c r="CU33" i="11"/>
  <c r="CO33" i="11"/>
  <c r="BN33" i="11"/>
  <c r="BK33" i="11"/>
  <c r="BE33" i="11"/>
  <c r="BB33" i="11"/>
  <c r="AV33" i="11"/>
  <c r="AS33" i="11"/>
  <c r="AM33" i="11"/>
  <c r="AJ33" i="11"/>
  <c r="AF33" i="11"/>
  <c r="Z33" i="11"/>
  <c r="W33" i="11"/>
  <c r="Q33" i="11"/>
  <c r="N33" i="11"/>
  <c r="K33" i="11"/>
  <c r="H33" i="11"/>
  <c r="E33" i="11"/>
  <c r="DA32" i="11"/>
  <c r="CU32" i="11"/>
  <c r="CU26" i="11" s="1"/>
  <c r="CO32" i="11"/>
  <c r="CO34" i="11" s="1"/>
  <c r="BN32" i="11"/>
  <c r="BK32" i="11"/>
  <c r="BE32" i="11"/>
  <c r="BB32" i="11"/>
  <c r="AV32" i="11"/>
  <c r="AS32" i="11"/>
  <c r="AM32" i="11"/>
  <c r="AJ32" i="11"/>
  <c r="AE32" i="11"/>
  <c r="AD32" i="11"/>
  <c r="AC32" i="11"/>
  <c r="Z32" i="11"/>
  <c r="W32" i="11"/>
  <c r="Q32" i="11"/>
  <c r="N32" i="11"/>
  <c r="K32" i="11"/>
  <c r="H32" i="11"/>
  <c r="HE31" i="11"/>
  <c r="DA31" i="11"/>
  <c r="CU31" i="11"/>
  <c r="CO31" i="11"/>
  <c r="CF31" i="11"/>
  <c r="CC31" i="11"/>
  <c r="BW31" i="11"/>
  <c r="BN31" i="11"/>
  <c r="BK31" i="11"/>
  <c r="BE31" i="11"/>
  <c r="BB31" i="11"/>
  <c r="AV31" i="11"/>
  <c r="AS31" i="11"/>
  <c r="AM31" i="11"/>
  <c r="AJ31" i="11"/>
  <c r="Z31" i="11"/>
  <c r="W31" i="11"/>
  <c r="Q31" i="11"/>
  <c r="N31" i="11"/>
  <c r="K31" i="11"/>
  <c r="K28" i="11" s="1"/>
  <c r="H31" i="11"/>
  <c r="HE30" i="11"/>
  <c r="DA30" i="11"/>
  <c r="CU30" i="11"/>
  <c r="CO30" i="11"/>
  <c r="CF30" i="11"/>
  <c r="CC30" i="11"/>
  <c r="BZ30" i="11"/>
  <c r="BW30" i="11"/>
  <c r="BN30" i="11"/>
  <c r="BK30" i="11"/>
  <c r="BE30" i="11"/>
  <c r="BB30" i="11"/>
  <c r="AS30" i="11"/>
  <c r="AM30" i="11"/>
  <c r="AJ30" i="11"/>
  <c r="Z30" i="11"/>
  <c r="Z29" i="11" s="1"/>
  <c r="W30" i="11"/>
  <c r="W29" i="11" s="1"/>
  <c r="Q30" i="11"/>
  <c r="N30" i="11"/>
  <c r="K30" i="11"/>
  <c r="H30" i="11"/>
  <c r="HE29" i="11"/>
  <c r="HE27" i="11" s="1"/>
  <c r="HE28" i="11" s="1"/>
  <c r="DA29" i="11"/>
  <c r="CU29" i="11"/>
  <c r="CO29" i="11"/>
  <c r="CF29" i="11"/>
  <c r="CC29" i="11"/>
  <c r="BZ29" i="11"/>
  <c r="BN29" i="11"/>
  <c r="BK29" i="11"/>
  <c r="BK28" i="11" s="1"/>
  <c r="BE29" i="11"/>
  <c r="BE25" i="11" s="1"/>
  <c r="BE21" i="11" s="1"/>
  <c r="BB29" i="11"/>
  <c r="AV29" i="11"/>
  <c r="AS29" i="11"/>
  <c r="AM29" i="11"/>
  <c r="AJ29" i="11"/>
  <c r="Q29" i="11"/>
  <c r="N29" i="11"/>
  <c r="N25" i="11" s="1"/>
  <c r="K29" i="11"/>
  <c r="H29" i="11"/>
  <c r="H22" i="11" s="1"/>
  <c r="DA28" i="11"/>
  <c r="DA24" i="11" s="1"/>
  <c r="CU28" i="11"/>
  <c r="CO28" i="11"/>
  <c r="CF28" i="11"/>
  <c r="CC28" i="11"/>
  <c r="BZ28" i="11"/>
  <c r="BN28" i="11"/>
  <c r="BE28" i="11"/>
  <c r="BB28" i="11"/>
  <c r="AV28" i="11"/>
  <c r="AS28" i="11"/>
  <c r="AM28" i="11"/>
  <c r="AJ28" i="11"/>
  <c r="Z28" i="11"/>
  <c r="W28" i="11"/>
  <c r="Q28" i="11"/>
  <c r="N28" i="11"/>
  <c r="H28" i="11"/>
  <c r="HB27" i="11"/>
  <c r="GM27" i="11"/>
  <c r="FI27" i="11"/>
  <c r="ET27" i="11"/>
  <c r="EE27" i="11"/>
  <c r="DA27" i="11"/>
  <c r="CU27" i="11"/>
  <c r="CO27" i="11"/>
  <c r="CF27" i="11"/>
  <c r="CF23" i="11" s="1"/>
  <c r="CC27" i="11"/>
  <c r="CC23" i="11" s="1"/>
  <c r="BZ27" i="11"/>
  <c r="BN27" i="11"/>
  <c r="BN26" i="11" s="1"/>
  <c r="BK27" i="11"/>
  <c r="BE27" i="11"/>
  <c r="BB27" i="11"/>
  <c r="AV27" i="11"/>
  <c r="AV26" i="11" s="1"/>
  <c r="AS27" i="11"/>
  <c r="AM27" i="11"/>
  <c r="AM26" i="11" s="1"/>
  <c r="AJ27" i="11"/>
  <c r="AJ26" i="11" s="1"/>
  <c r="Z27" i="11"/>
  <c r="Z40" i="11" s="1"/>
  <c r="W27" i="11"/>
  <c r="W40" i="11" s="1"/>
  <c r="Q27" i="11"/>
  <c r="N27" i="11"/>
  <c r="K27" i="11"/>
  <c r="H27" i="11"/>
  <c r="HB26" i="11"/>
  <c r="HB24" i="11" s="1"/>
  <c r="GM26" i="11"/>
  <c r="FI26" i="11"/>
  <c r="ET26" i="11"/>
  <c r="ET24" i="11" s="1"/>
  <c r="EE26" i="11"/>
  <c r="EE24" i="11" s="1"/>
  <c r="DP26" i="11"/>
  <c r="CX26" i="11"/>
  <c r="CO26" i="11"/>
  <c r="CL26" i="11"/>
  <c r="CF26" i="11"/>
  <c r="CC26" i="11"/>
  <c r="BZ26" i="11"/>
  <c r="BT26" i="11"/>
  <c r="BK26" i="11"/>
  <c r="BE26" i="11"/>
  <c r="BB26" i="11"/>
  <c r="AS26" i="11"/>
  <c r="Q26" i="11"/>
  <c r="N26" i="11"/>
  <c r="K26" i="11"/>
  <c r="H26" i="11"/>
  <c r="E26" i="11"/>
  <c r="HE25" i="11"/>
  <c r="HB25" i="11"/>
  <c r="HB23" i="11" s="1"/>
  <c r="GM25" i="11"/>
  <c r="GM23" i="11" s="1"/>
  <c r="FI25" i="11"/>
  <c r="FI23" i="11" s="1"/>
  <c r="ET25" i="11"/>
  <c r="ET23" i="11" s="1"/>
  <c r="EE25" i="11"/>
  <c r="DP25" i="11"/>
  <c r="DP23" i="11" s="1"/>
  <c r="DG25" i="11"/>
  <c r="CX25" i="11"/>
  <c r="CO25" i="11"/>
  <c r="CL25" i="11"/>
  <c r="CF25" i="11"/>
  <c r="CF24" i="11" s="1"/>
  <c r="CC25" i="11"/>
  <c r="CC24" i="11" s="1"/>
  <c r="BZ25" i="11"/>
  <c r="BW25" i="11"/>
  <c r="BT25" i="11"/>
  <c r="BB25" i="11"/>
  <c r="BB21" i="11" s="1"/>
  <c r="AV25" i="11"/>
  <c r="AV21" i="11" s="1"/>
  <c r="AS25" i="11"/>
  <c r="AM25" i="11"/>
  <c r="AJ25" i="11"/>
  <c r="AG25" i="11"/>
  <c r="AF25" i="11"/>
  <c r="AE25" i="11"/>
  <c r="AE24" i="11" s="1"/>
  <c r="AD25" i="11"/>
  <c r="AD24" i="11" s="1"/>
  <c r="AC25" i="11"/>
  <c r="AC24" i="11" s="1"/>
  <c r="Q25" i="11"/>
  <c r="E25" i="11"/>
  <c r="GM24" i="11"/>
  <c r="DP24" i="11"/>
  <c r="CX24" i="11"/>
  <c r="CR24" i="11"/>
  <c r="CO24" i="11"/>
  <c r="CL24" i="11"/>
  <c r="BZ24" i="11"/>
  <c r="BZ17" i="11" s="1"/>
  <c r="BW24" i="11"/>
  <c r="BT24" i="11"/>
  <c r="BN24" i="11"/>
  <c r="BK24" i="11"/>
  <c r="BE24" i="11"/>
  <c r="BB24" i="11"/>
  <c r="AV24" i="11"/>
  <c r="AS24" i="11"/>
  <c r="AM24" i="11"/>
  <c r="AM21" i="11" s="1"/>
  <c r="AJ24" i="11"/>
  <c r="AJ21" i="11" s="1"/>
  <c r="AG24" i="11"/>
  <c r="AF24" i="11"/>
  <c r="Q24" i="11"/>
  <c r="N24" i="11"/>
  <c r="K24" i="11"/>
  <c r="H24" i="11"/>
  <c r="E24" i="11"/>
  <c r="EE23" i="11"/>
  <c r="DG23" i="11"/>
  <c r="DG20" i="11" s="1"/>
  <c r="DG16" i="11" s="1"/>
  <c r="CX23" i="11"/>
  <c r="CO23" i="11"/>
  <c r="CR23" i="11" s="1"/>
  <c r="CL23" i="11"/>
  <c r="CL20" i="11" s="1"/>
  <c r="BZ23" i="11"/>
  <c r="BW23" i="11"/>
  <c r="BT23" i="11"/>
  <c r="AF23" i="11"/>
  <c r="AF27" i="11" s="1"/>
  <c r="AE23" i="11"/>
  <c r="AE27" i="11" s="1"/>
  <c r="AD23" i="11"/>
  <c r="AC23" i="11"/>
  <c r="K23" i="11"/>
  <c r="H23" i="11"/>
  <c r="E23" i="11"/>
  <c r="HB22" i="11"/>
  <c r="GM22" i="11"/>
  <c r="GM16" i="11" s="1"/>
  <c r="FI22" i="11"/>
  <c r="FI16" i="11" s="1"/>
  <c r="ET22" i="11"/>
  <c r="EE22" i="11"/>
  <c r="EE16" i="11" s="1"/>
  <c r="DP22" i="11"/>
  <c r="DG22" i="11"/>
  <c r="CF22" i="11"/>
  <c r="CC22" i="11"/>
  <c r="BZ22" i="11"/>
  <c r="BW22" i="11"/>
  <c r="BT22" i="11"/>
  <c r="AG22" i="11"/>
  <c r="AF22" i="11"/>
  <c r="AE22" i="11"/>
  <c r="AD22" i="11"/>
  <c r="AC22" i="11"/>
  <c r="K22" i="11"/>
  <c r="HB21" i="11"/>
  <c r="GM21" i="11"/>
  <c r="FI21" i="11"/>
  <c r="ET21" i="11"/>
  <c r="EE21" i="11"/>
  <c r="DP21" i="11"/>
  <c r="DG21" i="11"/>
  <c r="DD21" i="11"/>
  <c r="BZ21" i="11"/>
  <c r="BW21" i="11"/>
  <c r="AS21" i="11"/>
  <c r="AG21" i="11"/>
  <c r="AF21" i="11"/>
  <c r="AE21" i="11"/>
  <c r="AD21" i="11"/>
  <c r="AC21" i="11"/>
  <c r="Q21" i="11"/>
  <c r="K21" i="11"/>
  <c r="K19" i="11" s="1"/>
  <c r="DD20" i="11"/>
  <c r="BZ20" i="11"/>
  <c r="BW20" i="11"/>
  <c r="BW13" i="11" s="1"/>
  <c r="BW10" i="11" s="1"/>
  <c r="AG20" i="11"/>
  <c r="AF20" i="11"/>
  <c r="AE20" i="11"/>
  <c r="AD20" i="11"/>
  <c r="AC20" i="11"/>
  <c r="H20" i="11"/>
  <c r="HB19" i="11"/>
  <c r="GM19" i="11"/>
  <c r="FI19" i="11"/>
  <c r="ET19" i="11"/>
  <c r="EE19" i="11"/>
  <c r="DP19" i="11"/>
  <c r="DG19" i="11"/>
  <c r="DD19" i="11"/>
  <c r="BZ19" i="11"/>
  <c r="BW19" i="11"/>
  <c r="AG19" i="11"/>
  <c r="AF19" i="11"/>
  <c r="AE19" i="11"/>
  <c r="AE30" i="11" s="1"/>
  <c r="AD19" i="11"/>
  <c r="AC19" i="11"/>
  <c r="H19" i="11"/>
  <c r="HB18" i="11"/>
  <c r="GM18" i="11"/>
  <c r="GA18" i="11"/>
  <c r="FL18" i="11"/>
  <c r="FI18" i="11"/>
  <c r="EW18" i="11"/>
  <c r="ET18" i="11"/>
  <c r="EH18" i="11"/>
  <c r="EE18" i="11"/>
  <c r="DS18" i="11"/>
  <c r="DP18" i="11"/>
  <c r="DG18" i="11"/>
  <c r="CX18" i="11"/>
  <c r="CX20" i="11" s="1"/>
  <c r="BZ18" i="11"/>
  <c r="BZ16" i="11" s="1"/>
  <c r="BW18" i="11"/>
  <c r="AG18" i="11"/>
  <c r="AF18" i="11"/>
  <c r="AE18" i="11"/>
  <c r="AD18" i="11"/>
  <c r="AC18" i="11"/>
  <c r="H18" i="11"/>
  <c r="E18" i="11"/>
  <c r="HB17" i="11"/>
  <c r="GP17" i="11"/>
  <c r="GM17" i="11"/>
  <c r="GA17" i="11"/>
  <c r="FL17" i="11"/>
  <c r="FI17" i="11"/>
  <c r="EW17" i="11"/>
  <c r="EW8" i="11" s="1"/>
  <c r="ET17" i="11"/>
  <c r="EH17" i="11"/>
  <c r="EE17" i="11"/>
  <c r="DY17" i="11"/>
  <c r="DY16" i="11" s="1"/>
  <c r="DY18" i="11" s="1"/>
  <c r="DS17" i="11"/>
  <c r="DP17" i="11"/>
  <c r="DG17" i="11"/>
  <c r="CX17" i="11"/>
  <c r="BW17" i="11"/>
  <c r="BT17" i="11"/>
  <c r="AG17" i="11"/>
  <c r="AF17" i="11"/>
  <c r="AE17" i="11"/>
  <c r="AD17" i="11"/>
  <c r="AC17" i="11"/>
  <c r="H17" i="11"/>
  <c r="E17" i="11"/>
  <c r="HB16" i="11"/>
  <c r="GV16" i="11"/>
  <c r="GP16" i="11"/>
  <c r="GG16" i="11"/>
  <c r="FC16" i="11"/>
  <c r="FC15" i="11" s="1"/>
  <c r="ET16" i="11"/>
  <c r="EN16" i="11"/>
  <c r="EN15" i="11" s="1"/>
  <c r="EN17" i="11" s="1"/>
  <c r="DP16" i="11"/>
  <c r="DD16" i="11"/>
  <c r="CX16" i="11"/>
  <c r="CO16" i="11"/>
  <c r="CO15" i="11" s="1"/>
  <c r="BT16" i="11"/>
  <c r="BQ16" i="11"/>
  <c r="BQ2" i="11" s="1"/>
  <c r="BN16" i="11"/>
  <c r="BN2" i="11" s="1"/>
  <c r="BK16" i="11"/>
  <c r="BH16" i="11"/>
  <c r="BE16" i="11"/>
  <c r="BB16" i="11"/>
  <c r="AY16" i="11"/>
  <c r="AV16" i="11"/>
  <c r="AS16" i="11"/>
  <c r="AP16" i="11"/>
  <c r="AP2" i="11" s="1"/>
  <c r="AM16" i="11"/>
  <c r="AJ16" i="11"/>
  <c r="AG16" i="11"/>
  <c r="AF16" i="11"/>
  <c r="AE16" i="11"/>
  <c r="AD16" i="11"/>
  <c r="AC16" i="11"/>
  <c r="Z16" i="11"/>
  <c r="T16" i="11"/>
  <c r="Q16" i="11"/>
  <c r="N16" i="11"/>
  <c r="HB15" i="11"/>
  <c r="GV15" i="11"/>
  <c r="GV17" i="11" s="1"/>
  <c r="GM15" i="11"/>
  <c r="GG15" i="11"/>
  <c r="GA15" i="11"/>
  <c r="FL15" i="11"/>
  <c r="FI15" i="11"/>
  <c r="EW15" i="11"/>
  <c r="ET15" i="11"/>
  <c r="EH15" i="11"/>
  <c r="EE15" i="11"/>
  <c r="DY15" i="11"/>
  <c r="DS15" i="11"/>
  <c r="DP15" i="11"/>
  <c r="DG15" i="11"/>
  <c r="DD15" i="11"/>
  <c r="DD8" i="11" s="1"/>
  <c r="CX15" i="11"/>
  <c r="BW15" i="11"/>
  <c r="BT15" i="11"/>
  <c r="BT19" i="11" s="1"/>
  <c r="BQ15" i="11"/>
  <c r="BN15" i="11"/>
  <c r="BK15" i="11"/>
  <c r="BH15" i="11"/>
  <c r="BE15" i="11"/>
  <c r="BB15" i="11"/>
  <c r="AY15" i="11"/>
  <c r="AV15" i="11"/>
  <c r="AS15" i="11"/>
  <c r="AP15" i="11"/>
  <c r="AM15" i="11"/>
  <c r="AJ15" i="11"/>
  <c r="AG15" i="11"/>
  <c r="AF15" i="11"/>
  <c r="AE15" i="11"/>
  <c r="AD15" i="11"/>
  <c r="AC15" i="11"/>
  <c r="Z15" i="11"/>
  <c r="W15" i="11"/>
  <c r="T15" i="11"/>
  <c r="Q15" i="11"/>
  <c r="N15" i="11"/>
  <c r="E15" i="11"/>
  <c r="E12" i="11" s="1"/>
  <c r="HB14" i="11"/>
  <c r="GV14" i="11"/>
  <c r="GP14" i="11"/>
  <c r="GM14" i="11"/>
  <c r="GG14" i="11"/>
  <c r="GG17" i="11" s="1"/>
  <c r="FI14" i="11"/>
  <c r="FC14" i="11"/>
  <c r="ET14" i="11"/>
  <c r="EN14" i="11"/>
  <c r="EE14" i="11"/>
  <c r="EB14" i="11"/>
  <c r="DY14" i="11"/>
  <c r="DP14" i="11"/>
  <c r="DG14" i="11"/>
  <c r="DD14" i="11"/>
  <c r="CX14" i="11"/>
  <c r="CO14" i="11"/>
  <c r="CO17" i="11" s="1"/>
  <c r="CI14" i="11"/>
  <c r="CF14" i="11"/>
  <c r="CC14" i="11"/>
  <c r="BW14" i="11"/>
  <c r="BT14" i="11"/>
  <c r="BQ14" i="11"/>
  <c r="BN14" i="11"/>
  <c r="BK14" i="11"/>
  <c r="BH14" i="11"/>
  <c r="BE14" i="11"/>
  <c r="BB14" i="11"/>
  <c r="AY14" i="11"/>
  <c r="AV14" i="11"/>
  <c r="AS14" i="11"/>
  <c r="AP14" i="11"/>
  <c r="AM14" i="11"/>
  <c r="AJ14" i="11"/>
  <c r="AG14" i="11"/>
  <c r="AF14" i="11"/>
  <c r="AE14" i="11"/>
  <c r="AD14" i="11"/>
  <c r="AC14" i="11"/>
  <c r="Z14" i="11"/>
  <c r="W14" i="11"/>
  <c r="T14" i="11"/>
  <c r="Q14" i="11"/>
  <c r="N14" i="11"/>
  <c r="E14" i="11"/>
  <c r="HE13" i="11"/>
  <c r="HB13" i="11"/>
  <c r="GY13" i="11"/>
  <c r="GV13" i="11"/>
  <c r="GP13" i="11"/>
  <c r="GM13" i="11"/>
  <c r="GJ13" i="11"/>
  <c r="GG13" i="11"/>
  <c r="GA13" i="11"/>
  <c r="FL13" i="11"/>
  <c r="FI13" i="11"/>
  <c r="FF13" i="11"/>
  <c r="FC13" i="11"/>
  <c r="EW13" i="11"/>
  <c r="ET13" i="11"/>
  <c r="EQ13" i="11"/>
  <c r="EN13" i="11"/>
  <c r="EH13" i="11"/>
  <c r="EE13" i="11"/>
  <c r="EB13" i="11"/>
  <c r="DY13" i="11"/>
  <c r="DP13" i="11"/>
  <c r="DG13" i="11"/>
  <c r="DD13" i="11"/>
  <c r="CX13" i="11"/>
  <c r="CU13" i="11"/>
  <c r="CO13" i="11"/>
  <c r="CI13" i="11"/>
  <c r="CF13" i="11"/>
  <c r="CC13" i="11"/>
  <c r="BT13" i="11"/>
  <c r="BQ13" i="11"/>
  <c r="BN13" i="11"/>
  <c r="BK13" i="11"/>
  <c r="BH13" i="11"/>
  <c r="BE13" i="11"/>
  <c r="BB13" i="11"/>
  <c r="AY13" i="11"/>
  <c r="AV13" i="11"/>
  <c r="AS13" i="11"/>
  <c r="AP13" i="11"/>
  <c r="AM13" i="11"/>
  <c r="AJ13" i="11"/>
  <c r="AG13" i="11"/>
  <c r="AF13" i="11"/>
  <c r="AE13" i="11"/>
  <c r="AD13" i="11"/>
  <c r="AC13" i="11"/>
  <c r="Z13" i="11"/>
  <c r="W13" i="11"/>
  <c r="T13" i="11"/>
  <c r="Q13" i="11"/>
  <c r="N13" i="11"/>
  <c r="K13" i="11"/>
  <c r="K12" i="11" s="1"/>
  <c r="K11" i="11" s="1"/>
  <c r="E13" i="11"/>
  <c r="HB12" i="11"/>
  <c r="GY12" i="11"/>
  <c r="GV12" i="11"/>
  <c r="GP12" i="11"/>
  <c r="GM12" i="11"/>
  <c r="GJ12" i="11"/>
  <c r="GG12" i="11"/>
  <c r="GA12" i="11"/>
  <c r="FL12" i="11"/>
  <c r="FI12" i="11"/>
  <c r="FF12" i="11"/>
  <c r="FC12" i="11"/>
  <c r="EW12" i="11"/>
  <c r="ET12" i="11"/>
  <c r="EQ12" i="11"/>
  <c r="EN12" i="11"/>
  <c r="EH12" i="11"/>
  <c r="EE12" i="11"/>
  <c r="EB12" i="11"/>
  <c r="DY12" i="11"/>
  <c r="DS12" i="11"/>
  <c r="DP12" i="11"/>
  <c r="DG12" i="11"/>
  <c r="DD12" i="11"/>
  <c r="DD11" i="11" s="1"/>
  <c r="DA12" i="11"/>
  <c r="DA11" i="11" s="1"/>
  <c r="DA10" i="11" s="1"/>
  <c r="CX12" i="11"/>
  <c r="CU12" i="11"/>
  <c r="CO12" i="11"/>
  <c r="CI12" i="11"/>
  <c r="CF12" i="11"/>
  <c r="CC12" i="11"/>
  <c r="BZ12" i="11"/>
  <c r="BZ11" i="11" s="1"/>
  <c r="BZ10" i="11" s="1"/>
  <c r="BT12" i="11"/>
  <c r="BQ12" i="11"/>
  <c r="BN12" i="11"/>
  <c r="BK12" i="11"/>
  <c r="BH12" i="11"/>
  <c r="BE12" i="11"/>
  <c r="BB12" i="11"/>
  <c r="AY12" i="11"/>
  <c r="AV12" i="11"/>
  <c r="AS12" i="11"/>
  <c r="AP12" i="11"/>
  <c r="AM12" i="11"/>
  <c r="AJ12" i="11"/>
  <c r="AG12" i="11"/>
  <c r="AF12" i="11"/>
  <c r="Z12" i="11"/>
  <c r="W12" i="11"/>
  <c r="T12" i="11"/>
  <c r="Q12" i="11"/>
  <c r="N12" i="11"/>
  <c r="HE11" i="11"/>
  <c r="HB11" i="11"/>
  <c r="GY11" i="11"/>
  <c r="GV11" i="11"/>
  <c r="GP11" i="11"/>
  <c r="GM11" i="11"/>
  <c r="GJ11" i="11"/>
  <c r="GG11" i="11"/>
  <c r="GA11" i="11"/>
  <c r="GA8" i="11" s="1"/>
  <c r="FL11" i="11"/>
  <c r="FL8" i="11" s="1"/>
  <c r="FL7" i="11" s="1"/>
  <c r="FI11" i="11"/>
  <c r="FF11" i="11"/>
  <c r="FC11" i="11"/>
  <c r="EW11" i="11"/>
  <c r="ET11" i="11"/>
  <c r="EQ11" i="11"/>
  <c r="EN11" i="11"/>
  <c r="EH11" i="11"/>
  <c r="EH8" i="11" s="1"/>
  <c r="EH7" i="11" s="1"/>
  <c r="DS11" i="11"/>
  <c r="DS8" i="11" s="1"/>
  <c r="DP11" i="11"/>
  <c r="DJ11" i="11"/>
  <c r="CX11" i="11"/>
  <c r="CU11" i="11"/>
  <c r="CU16" i="11" s="1"/>
  <c r="CO11" i="11"/>
  <c r="CI11" i="11"/>
  <c r="CF11" i="11"/>
  <c r="CC11" i="11"/>
  <c r="BT11" i="11"/>
  <c r="BT10" i="11" s="1"/>
  <c r="BQ11" i="11"/>
  <c r="BN11" i="11"/>
  <c r="BN9" i="11" s="1"/>
  <c r="BK11" i="11"/>
  <c r="BH11" i="11"/>
  <c r="BE11" i="11"/>
  <c r="BB11" i="11"/>
  <c r="AY11" i="11"/>
  <c r="AV11" i="11"/>
  <c r="AS11" i="11"/>
  <c r="AP11" i="11"/>
  <c r="AM11" i="11"/>
  <c r="AJ11" i="11"/>
  <c r="AG11" i="11"/>
  <c r="AF11" i="11"/>
  <c r="Z11" i="11"/>
  <c r="W11" i="11"/>
  <c r="T11" i="11"/>
  <c r="Q11" i="11"/>
  <c r="N11" i="11"/>
  <c r="E11" i="11"/>
  <c r="HE10" i="11"/>
  <c r="HB10" i="11"/>
  <c r="GY10" i="11"/>
  <c r="GV10" i="11"/>
  <c r="GP10" i="11"/>
  <c r="GM10" i="11"/>
  <c r="GJ10" i="11"/>
  <c r="GG10" i="11"/>
  <c r="GA10" i="11"/>
  <c r="FL10" i="11"/>
  <c r="FI10" i="11"/>
  <c r="FI2" i="11" s="1"/>
  <c r="FF10" i="11"/>
  <c r="FC10" i="11"/>
  <c r="EW10" i="11"/>
  <c r="ET10" i="11"/>
  <c r="EQ10" i="11"/>
  <c r="EN10" i="11"/>
  <c r="EH10" i="11"/>
  <c r="EE10" i="11"/>
  <c r="EE2" i="11" s="1"/>
  <c r="EB10" i="11"/>
  <c r="DY10" i="11"/>
  <c r="DS10" i="11"/>
  <c r="DP10" i="11"/>
  <c r="DJ10" i="11"/>
  <c r="DG10" i="11"/>
  <c r="DD10" i="11"/>
  <c r="CX10" i="11"/>
  <c r="CU10" i="11"/>
  <c r="CO10" i="11"/>
  <c r="CI10" i="11"/>
  <c r="CF10" i="11"/>
  <c r="CC10" i="11"/>
  <c r="BQ10" i="11"/>
  <c r="BQ9" i="11" s="1"/>
  <c r="BN10" i="11"/>
  <c r="BK10" i="11"/>
  <c r="BH10" i="11"/>
  <c r="BE10" i="11"/>
  <c r="BE6" i="11" s="1"/>
  <c r="BB10" i="11"/>
  <c r="AY10" i="11"/>
  <c r="AY6" i="11" s="1"/>
  <c r="AY2" i="11" s="1"/>
  <c r="AV10" i="11"/>
  <c r="AS10" i="11"/>
  <c r="AS6" i="11" s="1"/>
  <c r="AS2" i="11" s="1"/>
  <c r="AP10" i="11"/>
  <c r="AM10" i="11"/>
  <c r="AG10" i="11"/>
  <c r="AF10" i="11"/>
  <c r="Z10" i="11"/>
  <c r="Z6" i="11" s="1"/>
  <c r="Z18" i="11" s="1"/>
  <c r="W10" i="11"/>
  <c r="W6" i="11" s="1"/>
  <c r="T10" i="11"/>
  <c r="Q10" i="11"/>
  <c r="N10" i="11"/>
  <c r="K10" i="11"/>
  <c r="E10" i="11"/>
  <c r="HE9" i="11"/>
  <c r="HE7" i="11" s="1"/>
  <c r="HE8" i="11" s="1"/>
  <c r="HB9" i="11"/>
  <c r="GY9" i="11"/>
  <c r="GV9" i="11"/>
  <c r="GP9" i="11"/>
  <c r="GM9" i="11"/>
  <c r="GJ9" i="11"/>
  <c r="GG9" i="11"/>
  <c r="GA9" i="11"/>
  <c r="FR9" i="11"/>
  <c r="FR8" i="11" s="1"/>
  <c r="FL9" i="11"/>
  <c r="FI9" i="11"/>
  <c r="FF9" i="11"/>
  <c r="FC9" i="11"/>
  <c r="EW9" i="11"/>
  <c r="ET9" i="11"/>
  <c r="EQ9" i="11"/>
  <c r="EN9" i="11"/>
  <c r="EH9" i="11"/>
  <c r="EE9" i="11"/>
  <c r="EB9" i="11"/>
  <c r="DY9" i="11"/>
  <c r="DS9" i="11"/>
  <c r="DP9" i="11"/>
  <c r="DP6" i="11" s="1"/>
  <c r="DJ9" i="11"/>
  <c r="DJ12" i="11" s="1"/>
  <c r="DG9" i="11"/>
  <c r="DD9" i="11"/>
  <c r="DA9" i="11"/>
  <c r="CX9" i="11"/>
  <c r="CU9" i="11"/>
  <c r="CO9" i="11"/>
  <c r="CI9" i="11"/>
  <c r="CF9" i="11"/>
  <c r="CC9" i="11"/>
  <c r="BZ9" i="11"/>
  <c r="BW9" i="11"/>
  <c r="BT9" i="11"/>
  <c r="BK9" i="11"/>
  <c r="BH9" i="11"/>
  <c r="BE9" i="11"/>
  <c r="BB9" i="11"/>
  <c r="AY9" i="11"/>
  <c r="AV9" i="11"/>
  <c r="AS9" i="11"/>
  <c r="AP9" i="11"/>
  <c r="AM9" i="11"/>
  <c r="AJ9" i="11"/>
  <c r="AG9" i="11"/>
  <c r="AG23" i="11" s="1"/>
  <c r="AG27" i="11" s="1"/>
  <c r="AF9" i="11"/>
  <c r="AE9" i="11"/>
  <c r="AD9" i="11"/>
  <c r="AC9" i="11"/>
  <c r="Z9" i="11"/>
  <c r="W9" i="11"/>
  <c r="T9" i="11"/>
  <c r="Q9" i="11"/>
  <c r="N9" i="11"/>
  <c r="K9" i="11"/>
  <c r="H9" i="11"/>
  <c r="E9" i="11"/>
  <c r="HB8" i="11"/>
  <c r="GY8" i="11"/>
  <c r="GV8" i="11"/>
  <c r="GV6" i="11" s="1"/>
  <c r="GP8" i="11"/>
  <c r="GM8" i="11"/>
  <c r="GM6" i="11" s="1"/>
  <c r="GJ8" i="11"/>
  <c r="GG8" i="11"/>
  <c r="FI8" i="11"/>
  <c r="FI6" i="11" s="1"/>
  <c r="FF8" i="11"/>
  <c r="FF6" i="11" s="1"/>
  <c r="FC8" i="11"/>
  <c r="FC6" i="11" s="1"/>
  <c r="ET8" i="11"/>
  <c r="EQ8" i="11"/>
  <c r="EN8" i="11"/>
  <c r="EN6" i="11" s="1"/>
  <c r="EE8" i="11"/>
  <c r="EE6" i="11" s="1"/>
  <c r="EB8" i="11"/>
  <c r="DY8" i="11"/>
  <c r="DV8" i="11"/>
  <c r="DP8" i="11"/>
  <c r="DM8" i="11"/>
  <c r="DM6" i="11" s="1"/>
  <c r="DJ8" i="11"/>
  <c r="DJ6" i="11" s="1"/>
  <c r="DG8" i="11"/>
  <c r="DA8" i="11"/>
  <c r="CX8" i="11"/>
  <c r="CU8" i="11"/>
  <c r="CO8" i="11"/>
  <c r="CL8" i="11"/>
  <c r="CI8" i="11"/>
  <c r="CF8" i="11"/>
  <c r="CC8" i="11"/>
  <c r="BZ8" i="11"/>
  <c r="BW8" i="11"/>
  <c r="BT8" i="11"/>
  <c r="BQ8" i="11"/>
  <c r="BN8" i="11"/>
  <c r="BK8" i="11"/>
  <c r="BH8" i="11"/>
  <c r="BE8" i="11"/>
  <c r="BB8" i="11"/>
  <c r="AY8" i="11"/>
  <c r="AV8" i="11"/>
  <c r="AS8" i="11"/>
  <c r="AP8" i="11"/>
  <c r="AM8" i="11"/>
  <c r="AJ8" i="11"/>
  <c r="AG8" i="11"/>
  <c r="AF8" i="11"/>
  <c r="AE8" i="11"/>
  <c r="AD8" i="11"/>
  <c r="AC8" i="11"/>
  <c r="Z8" i="11"/>
  <c r="W8" i="11"/>
  <c r="T8" i="11"/>
  <c r="Q8" i="11"/>
  <c r="N8" i="11"/>
  <c r="K8" i="11"/>
  <c r="H8" i="11"/>
  <c r="E8" i="11"/>
  <c r="HB7" i="11"/>
  <c r="GY7" i="11"/>
  <c r="GY5" i="11" s="1"/>
  <c r="GV7" i="11"/>
  <c r="GM7" i="11"/>
  <c r="GJ7" i="11"/>
  <c r="GG7" i="11"/>
  <c r="FR7" i="11"/>
  <c r="FR10" i="11" s="1"/>
  <c r="FI7" i="11"/>
  <c r="FI5" i="11" s="1"/>
  <c r="FF7" i="11"/>
  <c r="FF5" i="11" s="1"/>
  <c r="FC7" i="11"/>
  <c r="ET7" i="11"/>
  <c r="EQ7" i="11"/>
  <c r="EQ5" i="11" s="1"/>
  <c r="EN7" i="11"/>
  <c r="EN5" i="11" s="1"/>
  <c r="EE7" i="11"/>
  <c r="EB7" i="11"/>
  <c r="DY7" i="11"/>
  <c r="DM7" i="11"/>
  <c r="DM5" i="11" s="1"/>
  <c r="DJ7" i="11"/>
  <c r="DA7" i="11"/>
  <c r="CX7" i="11"/>
  <c r="CU7" i="11"/>
  <c r="CO7" i="11"/>
  <c r="CL7" i="11"/>
  <c r="CI7" i="11"/>
  <c r="CF7" i="11"/>
  <c r="CC7" i="11"/>
  <c r="BZ7" i="11"/>
  <c r="BW7" i="11"/>
  <c r="BT7" i="11"/>
  <c r="BT6" i="11" s="1"/>
  <c r="BQ7" i="11"/>
  <c r="BN7" i="11"/>
  <c r="BK7" i="11"/>
  <c r="BH7" i="11"/>
  <c r="BE7" i="11"/>
  <c r="BB7" i="11"/>
  <c r="AY7" i="11"/>
  <c r="AV7" i="11"/>
  <c r="AS7" i="11"/>
  <c r="AP7" i="11"/>
  <c r="AM7" i="11"/>
  <c r="AJ7" i="11"/>
  <c r="AG7" i="11"/>
  <c r="AF7" i="11"/>
  <c r="AE7" i="11"/>
  <c r="AD7" i="11"/>
  <c r="AC7" i="11"/>
  <c r="Z7" i="11"/>
  <c r="W7" i="11"/>
  <c r="T7" i="11"/>
  <c r="Q7" i="11"/>
  <c r="N7" i="11"/>
  <c r="K7" i="11"/>
  <c r="H7" i="11"/>
  <c r="E7" i="11"/>
  <c r="HB6" i="11"/>
  <c r="GY6" i="11"/>
  <c r="GS6" i="11"/>
  <c r="GP6" i="11"/>
  <c r="GJ6" i="11"/>
  <c r="GG6" i="11"/>
  <c r="GD6" i="11"/>
  <c r="GA6" i="11"/>
  <c r="FU6" i="11"/>
  <c r="FR6" i="11"/>
  <c r="FL6" i="11"/>
  <c r="EZ6" i="11"/>
  <c r="EW6" i="11"/>
  <c r="ET6" i="11"/>
  <c r="EQ6" i="11"/>
  <c r="EK6" i="11"/>
  <c r="EH6" i="11"/>
  <c r="EB6" i="11"/>
  <c r="DY6" i="11"/>
  <c r="DV6" i="11"/>
  <c r="DS6" i="11"/>
  <c r="DS7" i="11" s="1"/>
  <c r="DD6" i="11"/>
  <c r="DA6" i="11"/>
  <c r="CX6" i="11"/>
  <c r="CU6" i="11"/>
  <c r="CR6" i="11"/>
  <c r="CO6" i="11"/>
  <c r="CL6" i="11"/>
  <c r="CI6" i="11"/>
  <c r="CF6" i="11"/>
  <c r="CC6" i="11"/>
  <c r="CC2" i="11" s="1"/>
  <c r="BZ6" i="11"/>
  <c r="BW6" i="11"/>
  <c r="BH6" i="11"/>
  <c r="BB6" i="11"/>
  <c r="AV6" i="11"/>
  <c r="AP6" i="11"/>
  <c r="AM6" i="11"/>
  <c r="AJ6" i="11"/>
  <c r="T6" i="11"/>
  <c r="Q6" i="11"/>
  <c r="N6" i="11"/>
  <c r="K6" i="11"/>
  <c r="H6" i="11"/>
  <c r="E6" i="11"/>
  <c r="HE5" i="11"/>
  <c r="HB5" i="11"/>
  <c r="GV5" i="11"/>
  <c r="GS5" i="11"/>
  <c r="GP5" i="11"/>
  <c r="GP7" i="11" s="1"/>
  <c r="GM5" i="11"/>
  <c r="GJ5" i="11"/>
  <c r="GG5" i="11"/>
  <c r="GD5" i="11"/>
  <c r="GA5" i="11"/>
  <c r="FX5" i="11"/>
  <c r="FX2" i="11" s="1"/>
  <c r="FU5" i="11"/>
  <c r="FR5" i="11"/>
  <c r="FO5" i="11"/>
  <c r="FL5" i="11"/>
  <c r="FC5" i="11"/>
  <c r="EZ5" i="11"/>
  <c r="EW5" i="11"/>
  <c r="ET5" i="11"/>
  <c r="EK5" i="11"/>
  <c r="EH5" i="11"/>
  <c r="EE5" i="11"/>
  <c r="EB5" i="11"/>
  <c r="DY5" i="11"/>
  <c r="DV5" i="11"/>
  <c r="DS5" i="11"/>
  <c r="DJ5" i="11"/>
  <c r="DD5" i="11"/>
  <c r="DA5" i="11"/>
  <c r="DA13" i="11" s="1"/>
  <c r="CX5" i="11"/>
  <c r="CX22" i="11" s="1"/>
  <c r="CU5" i="11"/>
  <c r="CU15" i="11" s="1"/>
  <c r="CR5" i="11"/>
  <c r="CO5" i="11"/>
  <c r="CL5" i="11"/>
  <c r="CL2" i="11" s="1"/>
  <c r="CI5" i="11"/>
  <c r="CI2" i="11" s="1"/>
  <c r="CF5" i="11"/>
  <c r="CF2" i="11" s="1"/>
  <c r="CC5" i="11"/>
  <c r="BZ5" i="11"/>
  <c r="BW5" i="11"/>
  <c r="BT5" i="11"/>
  <c r="BT18" i="11" s="1"/>
  <c r="BT3" i="11" s="1"/>
  <c r="BQ5" i="11"/>
  <c r="BN5" i="11"/>
  <c r="BK5" i="11"/>
  <c r="BK2" i="11" s="1"/>
  <c r="BH5" i="11"/>
  <c r="BH2" i="11" s="1"/>
  <c r="BE5" i="11"/>
  <c r="BB5" i="11"/>
  <c r="BB2" i="11" s="1"/>
  <c r="AY5" i="11"/>
  <c r="AV5" i="11"/>
  <c r="AS5" i="11"/>
  <c r="AP5" i="11"/>
  <c r="AM5" i="11"/>
  <c r="AM2" i="11" s="1"/>
  <c r="AJ5" i="11"/>
  <c r="AJ2" i="11" s="1"/>
  <c r="AG5" i="11"/>
  <c r="AF5" i="11"/>
  <c r="AF30" i="11" s="1"/>
  <c r="AE5" i="11"/>
  <c r="AE31" i="11" s="1"/>
  <c r="AD5" i="11"/>
  <c r="AD31" i="11" s="1"/>
  <c r="AC5" i="11"/>
  <c r="AC31" i="11" s="1"/>
  <c r="Z5" i="11"/>
  <c r="Z19" i="11" s="1"/>
  <c r="W5" i="11"/>
  <c r="W18" i="11" s="1"/>
  <c r="T5" i="11"/>
  <c r="T2" i="11" s="1"/>
  <c r="Q5" i="11"/>
  <c r="Q2" i="11" s="1"/>
  <c r="N5" i="11"/>
  <c r="N2" i="11" s="1"/>
  <c r="K5" i="11"/>
  <c r="H5" i="11"/>
  <c r="E5" i="11"/>
  <c r="E22" i="11" s="1"/>
  <c r="ET2" i="11"/>
  <c r="AV2" i="11"/>
  <c r="H69" i="10"/>
  <c r="H68" i="10"/>
  <c r="H21" i="10" s="1"/>
  <c r="H67" i="10"/>
  <c r="H63" i="10" s="1"/>
  <c r="H66" i="10"/>
  <c r="H65" i="10"/>
  <c r="H64" i="10"/>
  <c r="H62" i="10"/>
  <c r="H61" i="10"/>
  <c r="H60" i="10"/>
  <c r="H57" i="10"/>
  <c r="H56" i="10"/>
  <c r="H55" i="10"/>
  <c r="H53" i="10"/>
  <c r="K52" i="10"/>
  <c r="K25" i="10" s="1"/>
  <c r="H52" i="10"/>
  <c r="E52" i="10"/>
  <c r="K51" i="10"/>
  <c r="H51" i="10"/>
  <c r="E51" i="10"/>
  <c r="DA50" i="10"/>
  <c r="K50" i="10"/>
  <c r="K48" i="10" s="1"/>
  <c r="DA49" i="10"/>
  <c r="K49" i="10"/>
  <c r="E49" i="10"/>
  <c r="CU48" i="10"/>
  <c r="E48" i="10"/>
  <c r="CU47" i="10"/>
  <c r="K47" i="10"/>
  <c r="H47" i="10"/>
  <c r="E47" i="10"/>
  <c r="H46" i="10"/>
  <c r="E46" i="10"/>
  <c r="DA45" i="10"/>
  <c r="H45" i="10"/>
  <c r="E45" i="10"/>
  <c r="E53" i="10" s="1"/>
  <c r="E43" i="10" s="1"/>
  <c r="H44" i="10"/>
  <c r="DA43" i="10"/>
  <c r="Z43" i="10"/>
  <c r="DA42" i="10"/>
  <c r="CU42" i="10"/>
  <c r="Z42" i="10"/>
  <c r="K42" i="10"/>
  <c r="HE41" i="10"/>
  <c r="DA41" i="10"/>
  <c r="CU41" i="10"/>
  <c r="K41" i="10"/>
  <c r="H41" i="10"/>
  <c r="HE40" i="10"/>
  <c r="DA40" i="10"/>
  <c r="CU40" i="10"/>
  <c r="HE39" i="10"/>
  <c r="HE37" i="10" s="1"/>
  <c r="HE42" i="10" s="1"/>
  <c r="DA39" i="10"/>
  <c r="CU39" i="10"/>
  <c r="HE38" i="10"/>
  <c r="DA38" i="10"/>
  <c r="CU38" i="10"/>
  <c r="K38" i="10"/>
  <c r="H38" i="10"/>
  <c r="DA37" i="10"/>
  <c r="CU37" i="10"/>
  <c r="Z37" i="10"/>
  <c r="W37" i="10"/>
  <c r="K37" i="10"/>
  <c r="H37" i="10"/>
  <c r="E37" i="10"/>
  <c r="HE36" i="10"/>
  <c r="DA36" i="10"/>
  <c r="CU36" i="10"/>
  <c r="Z36" i="10"/>
  <c r="W36" i="10"/>
  <c r="K36" i="10"/>
  <c r="H36" i="10"/>
  <c r="E36" i="10"/>
  <c r="HE35" i="10"/>
  <c r="DA35" i="10"/>
  <c r="CU35" i="10"/>
  <c r="BZ35" i="10"/>
  <c r="BN35" i="10"/>
  <c r="BK35" i="10"/>
  <c r="BE35" i="10"/>
  <c r="BB35" i="10"/>
  <c r="AV35" i="10"/>
  <c r="AS35" i="10"/>
  <c r="AM35" i="10"/>
  <c r="AJ35" i="10"/>
  <c r="Z35" i="10"/>
  <c r="W35" i="10"/>
  <c r="Q35" i="10"/>
  <c r="N35" i="10"/>
  <c r="K35" i="10"/>
  <c r="H35" i="10"/>
  <c r="E35" i="10"/>
  <c r="HE34" i="10"/>
  <c r="DA34" i="10"/>
  <c r="CU34" i="10"/>
  <c r="BZ34" i="10"/>
  <c r="BN34" i="10"/>
  <c r="BK34" i="10"/>
  <c r="BE34" i="10"/>
  <c r="BB34" i="10"/>
  <c r="AV34" i="10"/>
  <c r="AS34" i="10"/>
  <c r="AM34" i="10"/>
  <c r="AJ34" i="10"/>
  <c r="Z34" i="10"/>
  <c r="Z38" i="10" s="1"/>
  <c r="W34" i="10"/>
  <c r="W38" i="10" s="1"/>
  <c r="Q34" i="10"/>
  <c r="N34" i="10"/>
  <c r="K34" i="10"/>
  <c r="H34" i="10"/>
  <c r="E34" i="10"/>
  <c r="HE33" i="10"/>
  <c r="DA33" i="10"/>
  <c r="CU33" i="10"/>
  <c r="CU43" i="10" s="1"/>
  <c r="CO33" i="10"/>
  <c r="CO32" i="10" s="1"/>
  <c r="BN33" i="10"/>
  <c r="BK33" i="10"/>
  <c r="BE33" i="10"/>
  <c r="BB33" i="10"/>
  <c r="AV33" i="10"/>
  <c r="AS33" i="10"/>
  <c r="AM33" i="10"/>
  <c r="AJ33" i="10"/>
  <c r="AF33" i="10"/>
  <c r="Z33" i="10"/>
  <c r="W33" i="10"/>
  <c r="Q33" i="10"/>
  <c r="N33" i="10"/>
  <c r="K33" i="10"/>
  <c r="K43" i="10" s="1"/>
  <c r="K11" i="10" s="1"/>
  <c r="H33" i="10"/>
  <c r="E33" i="10"/>
  <c r="E38" i="10" s="1"/>
  <c r="E31" i="10" s="1"/>
  <c r="DA32" i="10"/>
  <c r="CU32" i="10"/>
  <c r="BN32" i="10"/>
  <c r="BK32" i="10"/>
  <c r="BE32" i="10"/>
  <c r="BB32" i="10"/>
  <c r="AV32" i="10"/>
  <c r="AS32" i="10"/>
  <c r="AM32" i="10"/>
  <c r="AJ32" i="10"/>
  <c r="AE32" i="10"/>
  <c r="AD32" i="10"/>
  <c r="AC32" i="10"/>
  <c r="Z32" i="10"/>
  <c r="Z28" i="10" s="1"/>
  <c r="Z41" i="10" s="1"/>
  <c r="W32" i="10"/>
  <c r="W28" i="10" s="1"/>
  <c r="Q32" i="10"/>
  <c r="N32" i="10"/>
  <c r="K32" i="10"/>
  <c r="H32" i="10"/>
  <c r="HE31" i="10"/>
  <c r="DA31" i="10"/>
  <c r="CU31" i="10"/>
  <c r="CU26" i="10" s="1"/>
  <c r="CO31" i="10"/>
  <c r="CF31" i="10"/>
  <c r="CC31" i="10"/>
  <c r="BW31" i="10"/>
  <c r="BN31" i="10"/>
  <c r="BK31" i="10"/>
  <c r="BE31" i="10"/>
  <c r="BB31" i="10"/>
  <c r="AV31" i="10"/>
  <c r="AS31" i="10"/>
  <c r="AM31" i="10"/>
  <c r="AJ31" i="10"/>
  <c r="Z31" i="10"/>
  <c r="W31" i="10"/>
  <c r="Q31" i="10"/>
  <c r="N31" i="10"/>
  <c r="K31" i="10"/>
  <c r="H31" i="10"/>
  <c r="HE30" i="10"/>
  <c r="DA30" i="10"/>
  <c r="CU30" i="10"/>
  <c r="CO30" i="10"/>
  <c r="CF30" i="10"/>
  <c r="CC30" i="10"/>
  <c r="BZ30" i="10"/>
  <c r="BW30" i="10"/>
  <c r="BN30" i="10"/>
  <c r="BK30" i="10"/>
  <c r="BE30" i="10"/>
  <c r="BB30" i="10"/>
  <c r="AS30" i="10"/>
  <c r="AM30" i="10"/>
  <c r="AJ30" i="10"/>
  <c r="Z30" i="10"/>
  <c r="W30" i="10"/>
  <c r="Q30" i="10"/>
  <c r="N30" i="10"/>
  <c r="K30" i="10"/>
  <c r="H30" i="10"/>
  <c r="HE29" i="10"/>
  <c r="DA29" i="10"/>
  <c r="CU29" i="10"/>
  <c r="CO29" i="10"/>
  <c r="CF29" i="10"/>
  <c r="CC29" i="10"/>
  <c r="BZ29" i="10"/>
  <c r="BN29" i="10"/>
  <c r="BN28" i="10" s="1"/>
  <c r="BN21" i="10" s="1"/>
  <c r="BK29" i="10"/>
  <c r="BK28" i="10" s="1"/>
  <c r="BK21" i="10" s="1"/>
  <c r="BE29" i="10"/>
  <c r="BB29" i="10"/>
  <c r="AV29" i="10"/>
  <c r="AS29" i="10"/>
  <c r="AS25" i="10" s="1"/>
  <c r="AM29" i="10"/>
  <c r="AM25" i="10" s="1"/>
  <c r="AM21" i="10" s="1"/>
  <c r="AJ29" i="10"/>
  <c r="Z29" i="10"/>
  <c r="W29" i="10"/>
  <c r="Q29" i="10"/>
  <c r="N29" i="10"/>
  <c r="K29" i="10"/>
  <c r="H29" i="10"/>
  <c r="DA28" i="10"/>
  <c r="CU28" i="10"/>
  <c r="CO28" i="10"/>
  <c r="CF28" i="10"/>
  <c r="CC28" i="10"/>
  <c r="BZ28" i="10"/>
  <c r="BE28" i="10"/>
  <c r="BB28" i="10"/>
  <c r="AV28" i="10"/>
  <c r="AS28" i="10"/>
  <c r="AM28" i="10"/>
  <c r="AJ28" i="10"/>
  <c r="Q28" i="10"/>
  <c r="N28" i="10"/>
  <c r="H28" i="10"/>
  <c r="HE27" i="10"/>
  <c r="HE28" i="10" s="1"/>
  <c r="HB27" i="10"/>
  <c r="GM27" i="10"/>
  <c r="FI27" i="10"/>
  <c r="ET27" i="10"/>
  <c r="EE27" i="10"/>
  <c r="DA27" i="10"/>
  <c r="DA24" i="10" s="1"/>
  <c r="CU27" i="10"/>
  <c r="CO27" i="10"/>
  <c r="CO25" i="10" s="1"/>
  <c r="CF27" i="10"/>
  <c r="CC27" i="10"/>
  <c r="BZ27" i="10"/>
  <c r="BN27" i="10"/>
  <c r="BK27" i="10"/>
  <c r="BE27" i="10"/>
  <c r="BE26" i="10" s="1"/>
  <c r="BE21" i="10" s="1"/>
  <c r="BB27" i="10"/>
  <c r="BB26" i="10" s="1"/>
  <c r="AV27" i="10"/>
  <c r="AV26" i="10" s="1"/>
  <c r="AS27" i="10"/>
  <c r="AS26" i="10" s="1"/>
  <c r="AM27" i="10"/>
  <c r="AJ27" i="10"/>
  <c r="Z27" i="10"/>
  <c r="Z39" i="10" s="1"/>
  <c r="W27" i="10"/>
  <c r="W39" i="10" s="1"/>
  <c r="Q27" i="10"/>
  <c r="N27" i="10"/>
  <c r="K27" i="10"/>
  <c r="H27" i="10"/>
  <c r="HB26" i="10"/>
  <c r="HB24" i="10" s="1"/>
  <c r="GM26" i="10"/>
  <c r="FI26" i="10"/>
  <c r="ET26" i="10"/>
  <c r="EE26" i="10"/>
  <c r="DP26" i="10"/>
  <c r="DA26" i="10"/>
  <c r="CX26" i="10"/>
  <c r="CO26" i="10"/>
  <c r="CL26" i="10"/>
  <c r="CF26" i="10"/>
  <c r="CC26" i="10"/>
  <c r="BZ26" i="10"/>
  <c r="BT26" i="10"/>
  <c r="BN26" i="10"/>
  <c r="BK26" i="10"/>
  <c r="AM26" i="10"/>
  <c r="AJ26" i="10"/>
  <c r="Q26" i="10"/>
  <c r="N26" i="10"/>
  <c r="K26" i="10"/>
  <c r="H26" i="10"/>
  <c r="E26" i="10"/>
  <c r="HE25" i="10"/>
  <c r="HE23" i="10" s="1"/>
  <c r="HB25" i="10"/>
  <c r="GM25" i="10"/>
  <c r="FI25" i="10"/>
  <c r="ET25" i="10"/>
  <c r="EE25" i="10"/>
  <c r="DP25" i="10"/>
  <c r="DG25" i="10"/>
  <c r="DA25" i="10"/>
  <c r="CX25" i="10"/>
  <c r="CL25" i="10"/>
  <c r="CF25" i="10"/>
  <c r="CC25" i="10"/>
  <c r="BZ25" i="10"/>
  <c r="BW25" i="10"/>
  <c r="BT25" i="10"/>
  <c r="BE25" i="10"/>
  <c r="BB25" i="10"/>
  <c r="AV25" i="10"/>
  <c r="AJ25" i="10"/>
  <c r="AJ21" i="10" s="1"/>
  <c r="AG25" i="10"/>
  <c r="AG24" i="10" s="1"/>
  <c r="AF25" i="10"/>
  <c r="AF24" i="10" s="1"/>
  <c r="AE25" i="10"/>
  <c r="AD25" i="10"/>
  <c r="AC25" i="10"/>
  <c r="Q25" i="10"/>
  <c r="N25" i="10"/>
  <c r="N21" i="10" s="1"/>
  <c r="E25" i="10"/>
  <c r="GM24" i="10"/>
  <c r="ET24" i="10"/>
  <c r="EE24" i="10"/>
  <c r="DP24" i="10"/>
  <c r="CX24" i="10"/>
  <c r="CR24" i="10"/>
  <c r="CO24" i="10"/>
  <c r="CL24" i="10"/>
  <c r="CF24" i="10"/>
  <c r="CF19" i="10" s="1"/>
  <c r="CC24" i="10"/>
  <c r="BZ24" i="10"/>
  <c r="BW24" i="10"/>
  <c r="BT24" i="10"/>
  <c r="BN24" i="10"/>
  <c r="BK24" i="10"/>
  <c r="BE24" i="10"/>
  <c r="BB24" i="10"/>
  <c r="AV24" i="10"/>
  <c r="AV21" i="10" s="1"/>
  <c r="AS24" i="10"/>
  <c r="AM24" i="10"/>
  <c r="AJ24" i="10"/>
  <c r="AE24" i="10"/>
  <c r="AD24" i="10"/>
  <c r="AC24" i="10"/>
  <c r="Q24" i="10"/>
  <c r="Q21" i="10" s="1"/>
  <c r="N24" i="10"/>
  <c r="K24" i="10"/>
  <c r="H24" i="10"/>
  <c r="E24" i="10"/>
  <c r="HB23" i="10"/>
  <c r="GM23" i="10"/>
  <c r="FI23" i="10"/>
  <c r="ET23" i="10"/>
  <c r="EE23" i="10"/>
  <c r="DP23" i="10"/>
  <c r="DG23" i="10"/>
  <c r="CX23" i="10"/>
  <c r="CX12" i="10" s="1"/>
  <c r="CR23" i="10"/>
  <c r="CO23" i="10"/>
  <c r="CL23" i="10"/>
  <c r="CF23" i="10"/>
  <c r="CC23" i="10"/>
  <c r="BZ23" i="10"/>
  <c r="BW23" i="10"/>
  <c r="BW13" i="10" s="1"/>
  <c r="BT23" i="10"/>
  <c r="K23" i="10"/>
  <c r="H23" i="10"/>
  <c r="H22" i="10" s="1"/>
  <c r="E23" i="10"/>
  <c r="HB22" i="10"/>
  <c r="HB16" i="10" s="1"/>
  <c r="GM22" i="10"/>
  <c r="FI22" i="10"/>
  <c r="ET22" i="10"/>
  <c r="EE22" i="10"/>
  <c r="DP22" i="10"/>
  <c r="DG22" i="10"/>
  <c r="DG16" i="10" s="1"/>
  <c r="DG7" i="10" s="1"/>
  <c r="CF22" i="10"/>
  <c r="CC22" i="10"/>
  <c r="BZ22" i="10"/>
  <c r="BW22" i="10"/>
  <c r="BT22" i="10"/>
  <c r="BT10" i="10" s="1"/>
  <c r="AG22" i="10"/>
  <c r="AF22" i="10"/>
  <c r="AE22" i="10"/>
  <c r="AD22" i="10"/>
  <c r="AC22" i="10"/>
  <c r="K22" i="10"/>
  <c r="HB21" i="10"/>
  <c r="GM21" i="10"/>
  <c r="FI21" i="10"/>
  <c r="ET21" i="10"/>
  <c r="EE21" i="10"/>
  <c r="DP21" i="10"/>
  <c r="DG21" i="10"/>
  <c r="DD21" i="10"/>
  <c r="DD11" i="10" s="1"/>
  <c r="BZ21" i="10"/>
  <c r="BW21" i="10"/>
  <c r="AG21" i="10"/>
  <c r="AF21" i="10"/>
  <c r="AE21" i="10"/>
  <c r="AD21" i="10"/>
  <c r="AC21" i="10"/>
  <c r="K21" i="10"/>
  <c r="DG20" i="10"/>
  <c r="DD20" i="10"/>
  <c r="CL20" i="10"/>
  <c r="BZ20" i="10"/>
  <c r="BW20" i="10"/>
  <c r="AG20" i="10"/>
  <c r="AF20" i="10"/>
  <c r="AE20" i="10"/>
  <c r="AD20" i="10"/>
  <c r="AC20" i="10"/>
  <c r="H20" i="10"/>
  <c r="HB19" i="10"/>
  <c r="GM19" i="10"/>
  <c r="FI19" i="10"/>
  <c r="ET19" i="10"/>
  <c r="EE19" i="10"/>
  <c r="DP19" i="10"/>
  <c r="DP11" i="10" s="1"/>
  <c r="DG19" i="10"/>
  <c r="DD19" i="10"/>
  <c r="CC19" i="10"/>
  <c r="BZ19" i="10"/>
  <c r="BW19" i="10"/>
  <c r="AG19" i="10"/>
  <c r="AF19" i="10"/>
  <c r="AE19" i="10"/>
  <c r="AD19" i="10"/>
  <c r="AC19" i="10"/>
  <c r="H19" i="10"/>
  <c r="HB18" i="10"/>
  <c r="GM18" i="10"/>
  <c r="GA18" i="10"/>
  <c r="FL18" i="10"/>
  <c r="FI18" i="10"/>
  <c r="EW18" i="10"/>
  <c r="ET18" i="10"/>
  <c r="EH18" i="10"/>
  <c r="EE18" i="10"/>
  <c r="DS18" i="10"/>
  <c r="DP18" i="10"/>
  <c r="DG18" i="10"/>
  <c r="CX18" i="10"/>
  <c r="BZ18" i="10"/>
  <c r="BW18" i="10"/>
  <c r="AG18" i="10"/>
  <c r="AF18" i="10"/>
  <c r="AE18" i="10"/>
  <c r="AD18" i="10"/>
  <c r="AC18" i="10"/>
  <c r="H18" i="10"/>
  <c r="E18" i="10"/>
  <c r="HB17" i="10"/>
  <c r="GP17" i="10"/>
  <c r="GM17" i="10"/>
  <c r="GA17" i="10"/>
  <c r="GA8" i="10" s="1"/>
  <c r="GA7" i="10" s="1"/>
  <c r="FL17" i="10"/>
  <c r="FI17" i="10"/>
  <c r="EW17" i="10"/>
  <c r="ET17" i="10"/>
  <c r="EH17" i="10"/>
  <c r="EE17" i="10"/>
  <c r="DY17" i="10"/>
  <c r="DS17" i="10"/>
  <c r="DP17" i="10"/>
  <c r="DG17" i="10"/>
  <c r="CX17" i="10"/>
  <c r="BZ17" i="10"/>
  <c r="BW17" i="10"/>
  <c r="BT17" i="10"/>
  <c r="AG17" i="10"/>
  <c r="AF17" i="10"/>
  <c r="AE17" i="10"/>
  <c r="AD17" i="10"/>
  <c r="AC17" i="10"/>
  <c r="H17" i="10"/>
  <c r="E17" i="10"/>
  <c r="GV16" i="10"/>
  <c r="GV15" i="10" s="1"/>
  <c r="GP16" i="10"/>
  <c r="GM16" i="10"/>
  <c r="GG16" i="10"/>
  <c r="GG15" i="10" s="1"/>
  <c r="FI16" i="10"/>
  <c r="FC16" i="10"/>
  <c r="ET16" i="10"/>
  <c r="EN16" i="10"/>
  <c r="EE16" i="10"/>
  <c r="DY16" i="10"/>
  <c r="DP16" i="10"/>
  <c r="DD16" i="10"/>
  <c r="CX16" i="10"/>
  <c r="CO16" i="10"/>
  <c r="BZ16" i="10"/>
  <c r="BT16" i="10"/>
  <c r="BQ16" i="10"/>
  <c r="BN16" i="10"/>
  <c r="BK16" i="10"/>
  <c r="BH16" i="10"/>
  <c r="BE16" i="10"/>
  <c r="BB16" i="10"/>
  <c r="AY16" i="10"/>
  <c r="AV16" i="10"/>
  <c r="AS16" i="10"/>
  <c r="AP16" i="10"/>
  <c r="AM16" i="10"/>
  <c r="AJ16" i="10"/>
  <c r="AG16" i="10"/>
  <c r="AF16" i="10"/>
  <c r="AE16" i="10"/>
  <c r="AD16" i="10"/>
  <c r="AC16" i="10"/>
  <c r="T16" i="10"/>
  <c r="Q16" i="10"/>
  <c r="N16" i="10"/>
  <c r="HB15" i="10"/>
  <c r="GM15" i="10"/>
  <c r="GA15" i="10"/>
  <c r="FL15" i="10"/>
  <c r="FI15" i="10"/>
  <c r="FC15" i="10"/>
  <c r="EW15" i="10"/>
  <c r="ET15" i="10"/>
  <c r="EN15" i="10"/>
  <c r="EH15" i="10"/>
  <c r="EE15" i="10"/>
  <c r="DY15" i="10"/>
  <c r="DY18" i="10" s="1"/>
  <c r="DS15" i="10"/>
  <c r="DP15" i="10"/>
  <c r="DG15" i="10"/>
  <c r="DD15" i="10"/>
  <c r="CX15" i="10"/>
  <c r="CO15" i="10"/>
  <c r="CO17" i="10" s="1"/>
  <c r="BW15" i="10"/>
  <c r="BT15" i="10"/>
  <c r="BQ15" i="10"/>
  <c r="BN15" i="10"/>
  <c r="BK15" i="10"/>
  <c r="BH15" i="10"/>
  <c r="BE15" i="10"/>
  <c r="BE2" i="10" s="1"/>
  <c r="BB15" i="10"/>
  <c r="AY15" i="10"/>
  <c r="AV15" i="10"/>
  <c r="AS15" i="10"/>
  <c r="AP15" i="10"/>
  <c r="AM15" i="10"/>
  <c r="AJ15" i="10"/>
  <c r="AG15" i="10"/>
  <c r="AF15" i="10"/>
  <c r="AE15" i="10"/>
  <c r="AD15" i="10"/>
  <c r="AC15" i="10"/>
  <c r="Z15" i="10"/>
  <c r="W15" i="10"/>
  <c r="T15" i="10"/>
  <c r="Q15" i="10"/>
  <c r="Q2" i="10" s="1"/>
  <c r="N15" i="10"/>
  <c r="E15" i="10"/>
  <c r="HB14" i="10"/>
  <c r="GV14" i="10"/>
  <c r="GV17" i="10" s="1"/>
  <c r="GP14" i="10"/>
  <c r="GM14" i="10"/>
  <c r="GG14" i="10"/>
  <c r="GG17" i="10" s="1"/>
  <c r="FI14" i="10"/>
  <c r="FC14" i="10"/>
  <c r="FC17" i="10" s="1"/>
  <c r="ET14" i="10"/>
  <c r="EN14" i="10"/>
  <c r="EN17" i="10" s="1"/>
  <c r="EE14" i="10"/>
  <c r="EB14" i="10"/>
  <c r="DY14" i="10"/>
  <c r="DP14" i="10"/>
  <c r="DG14" i="10"/>
  <c r="DD14" i="10"/>
  <c r="CX14" i="10"/>
  <c r="CO14" i="10"/>
  <c r="CI14" i="10"/>
  <c r="CF14" i="10"/>
  <c r="CC14" i="10"/>
  <c r="BW14" i="10"/>
  <c r="BT14" i="10"/>
  <c r="BQ14" i="10"/>
  <c r="BN14" i="10"/>
  <c r="BK14" i="10"/>
  <c r="BH14" i="10"/>
  <c r="BE14" i="10"/>
  <c r="BB14" i="10"/>
  <c r="AY14" i="10"/>
  <c r="AV14" i="10"/>
  <c r="AS14" i="10"/>
  <c r="AP14" i="10"/>
  <c r="AM14" i="10"/>
  <c r="AJ14" i="10"/>
  <c r="AG14" i="10"/>
  <c r="AF14" i="10"/>
  <c r="AE14" i="10"/>
  <c r="AD14" i="10"/>
  <c r="AC14" i="10"/>
  <c r="Z14" i="10"/>
  <c r="W14" i="10"/>
  <c r="T14" i="10"/>
  <c r="Q14" i="10"/>
  <c r="N14" i="10"/>
  <c r="E14" i="10"/>
  <c r="HE13" i="10"/>
  <c r="HB13" i="10"/>
  <c r="GY13" i="10"/>
  <c r="GV13" i="10"/>
  <c r="GP13" i="10"/>
  <c r="GM13" i="10"/>
  <c r="GJ13" i="10"/>
  <c r="GG13" i="10"/>
  <c r="GA13" i="10"/>
  <c r="FL13" i="10"/>
  <c r="FI13" i="10"/>
  <c r="FF13" i="10"/>
  <c r="FC13" i="10"/>
  <c r="EW13" i="10"/>
  <c r="ET13" i="10"/>
  <c r="EQ13" i="10"/>
  <c r="EN13" i="10"/>
  <c r="EH13" i="10"/>
  <c r="EE13" i="10"/>
  <c r="EB13" i="10"/>
  <c r="DY13" i="10"/>
  <c r="DP13" i="10"/>
  <c r="DG13" i="10"/>
  <c r="DD13" i="10"/>
  <c r="CX13" i="10"/>
  <c r="CU13" i="10"/>
  <c r="CU12" i="10" s="1"/>
  <c r="CO13" i="10"/>
  <c r="CI13" i="10"/>
  <c r="CF13" i="10"/>
  <c r="CC13" i="10"/>
  <c r="BT13" i="10"/>
  <c r="BQ13" i="10"/>
  <c r="BN13" i="10"/>
  <c r="BK13" i="10"/>
  <c r="BH13" i="10"/>
  <c r="BE13" i="10"/>
  <c r="BB13" i="10"/>
  <c r="AY13" i="10"/>
  <c r="AV13" i="10"/>
  <c r="AS13" i="10"/>
  <c r="AP13" i="10"/>
  <c r="AM13" i="10"/>
  <c r="AJ13" i="10"/>
  <c r="AG13" i="10"/>
  <c r="AF13" i="10"/>
  <c r="AE13" i="10"/>
  <c r="AD13" i="10"/>
  <c r="AC13" i="10"/>
  <c r="Z13" i="10"/>
  <c r="W13" i="10"/>
  <c r="T13" i="10"/>
  <c r="Q13" i="10"/>
  <c r="N13" i="10"/>
  <c r="K13" i="10"/>
  <c r="E13" i="10"/>
  <c r="HB12" i="10"/>
  <c r="GY12" i="10"/>
  <c r="GV12" i="10"/>
  <c r="GP12" i="10"/>
  <c r="GM12" i="10"/>
  <c r="GJ12" i="10"/>
  <c r="GG12" i="10"/>
  <c r="GA12" i="10"/>
  <c r="FL12" i="10"/>
  <c r="FI12" i="10"/>
  <c r="FF12" i="10"/>
  <c r="FC12" i="10"/>
  <c r="EW12" i="10"/>
  <c r="ET12" i="10"/>
  <c r="EQ12" i="10"/>
  <c r="EN12" i="10"/>
  <c r="EH12" i="10"/>
  <c r="EE12" i="10"/>
  <c r="EB12" i="10"/>
  <c r="DY12" i="10"/>
  <c r="DS12" i="10"/>
  <c r="DP12" i="10"/>
  <c r="DJ12" i="10"/>
  <c r="DG12" i="10"/>
  <c r="DD12" i="10"/>
  <c r="DA12" i="10"/>
  <c r="CO12" i="10"/>
  <c r="CI12" i="10"/>
  <c r="CF12" i="10"/>
  <c r="CF2" i="10" s="1"/>
  <c r="CC12" i="10"/>
  <c r="BZ12" i="10"/>
  <c r="BT12" i="10"/>
  <c r="BQ12" i="10"/>
  <c r="BN12" i="10"/>
  <c r="BK12" i="10"/>
  <c r="BH12" i="10"/>
  <c r="BE12" i="10"/>
  <c r="BB12" i="10"/>
  <c r="AY12" i="10"/>
  <c r="AV12" i="10"/>
  <c r="AS12" i="10"/>
  <c r="AP12" i="10"/>
  <c r="AM12" i="10"/>
  <c r="AJ12" i="10"/>
  <c r="AG12" i="10"/>
  <c r="AF12" i="10"/>
  <c r="Z12" i="10"/>
  <c r="W12" i="10"/>
  <c r="T12" i="10"/>
  <c r="Q12" i="10"/>
  <c r="N12" i="10"/>
  <c r="K12" i="10"/>
  <c r="E12" i="10"/>
  <c r="HE11" i="10"/>
  <c r="HB11" i="10"/>
  <c r="GY11" i="10"/>
  <c r="GV11" i="10"/>
  <c r="GP11" i="10"/>
  <c r="GM11" i="10"/>
  <c r="GJ11" i="10"/>
  <c r="GG11" i="10"/>
  <c r="GA11" i="10"/>
  <c r="FL11" i="10"/>
  <c r="FI11" i="10"/>
  <c r="FF11" i="10"/>
  <c r="FC11" i="10"/>
  <c r="EW11" i="10"/>
  <c r="EW8" i="10" s="1"/>
  <c r="EW7" i="10" s="1"/>
  <c r="ET11" i="10"/>
  <c r="EQ11" i="10"/>
  <c r="EN11" i="10"/>
  <c r="EH11" i="10"/>
  <c r="DS11" i="10"/>
  <c r="DJ11" i="10"/>
  <c r="DG11" i="10"/>
  <c r="DG6" i="10" s="1"/>
  <c r="DA11" i="10"/>
  <c r="DA10" i="10" s="1"/>
  <c r="CX11" i="10"/>
  <c r="CO11" i="10"/>
  <c r="CI11" i="10"/>
  <c r="CF11" i="10"/>
  <c r="CC11" i="10"/>
  <c r="BZ11" i="10"/>
  <c r="BZ10" i="10" s="1"/>
  <c r="BT11" i="10"/>
  <c r="BQ11" i="10"/>
  <c r="BN11" i="10"/>
  <c r="BK11" i="10"/>
  <c r="BH11" i="10"/>
  <c r="BE11" i="10"/>
  <c r="BB11" i="10"/>
  <c r="AY11" i="10"/>
  <c r="AV11" i="10"/>
  <c r="AS11" i="10"/>
  <c r="AP11" i="10"/>
  <c r="AM11" i="10"/>
  <c r="AJ11" i="10"/>
  <c r="AG11" i="10"/>
  <c r="AF11" i="10"/>
  <c r="Z11" i="10"/>
  <c r="W11" i="10"/>
  <c r="T11" i="10"/>
  <c r="Q11" i="10"/>
  <c r="N11" i="10"/>
  <c r="E11" i="10"/>
  <c r="BT9" i="10" s="1"/>
  <c r="HE10" i="10"/>
  <c r="HB10" i="10"/>
  <c r="GY10" i="10"/>
  <c r="GV10" i="10"/>
  <c r="GP10" i="10"/>
  <c r="GM10" i="10"/>
  <c r="GJ10" i="10"/>
  <c r="GG10" i="10"/>
  <c r="GA10" i="10"/>
  <c r="FL10" i="10"/>
  <c r="FI10" i="10"/>
  <c r="FF10" i="10"/>
  <c r="FC10" i="10"/>
  <c r="EW10" i="10"/>
  <c r="ET10" i="10"/>
  <c r="ET2" i="10" s="1"/>
  <c r="EQ10" i="10"/>
  <c r="EN10" i="10"/>
  <c r="EH10" i="10"/>
  <c r="EE10" i="10"/>
  <c r="EB10" i="10"/>
  <c r="DY10" i="10"/>
  <c r="DS10" i="10"/>
  <c r="DP10" i="10"/>
  <c r="DJ10" i="10"/>
  <c r="DG10" i="10"/>
  <c r="DD10" i="10"/>
  <c r="DD8" i="10" s="1"/>
  <c r="CU10" i="10"/>
  <c r="CO10" i="10"/>
  <c r="CI10" i="10"/>
  <c r="CI6" i="10" s="1"/>
  <c r="CI2" i="10" s="1"/>
  <c r="CF10" i="10"/>
  <c r="CC10" i="10"/>
  <c r="CC6" i="10" s="1"/>
  <c r="CC2" i="10" s="1"/>
  <c r="BQ10" i="10"/>
  <c r="BN10" i="10"/>
  <c r="BK10" i="10"/>
  <c r="BK9" i="10" s="1"/>
  <c r="BK2" i="10" s="1"/>
  <c r="BH10" i="10"/>
  <c r="BE10" i="10"/>
  <c r="BB10" i="10"/>
  <c r="AY10" i="10"/>
  <c r="AV10" i="10"/>
  <c r="AS10" i="10"/>
  <c r="AP10" i="10"/>
  <c r="AP6" i="10" s="1"/>
  <c r="AM10" i="10"/>
  <c r="AM6" i="10" s="1"/>
  <c r="AM2" i="10" s="1"/>
  <c r="AG10" i="10"/>
  <c r="AF10" i="10"/>
  <c r="Z10" i="10"/>
  <c r="W10" i="10"/>
  <c r="T10" i="10"/>
  <c r="Q10" i="10"/>
  <c r="N10" i="10"/>
  <c r="N6" i="10" s="1"/>
  <c r="N2" i="10" s="1"/>
  <c r="K10" i="10"/>
  <c r="HE9" i="10"/>
  <c r="HB9" i="10"/>
  <c r="GY9" i="10"/>
  <c r="GV9" i="10"/>
  <c r="GP9" i="10"/>
  <c r="GP8" i="10" s="1"/>
  <c r="GM9" i="10"/>
  <c r="GJ9" i="10"/>
  <c r="GG9" i="10"/>
  <c r="GA9" i="10"/>
  <c r="FR9" i="10"/>
  <c r="FL9" i="10"/>
  <c r="FI9" i="10"/>
  <c r="FF9" i="10"/>
  <c r="FC9" i="10"/>
  <c r="EW9" i="10"/>
  <c r="ET9" i="10"/>
  <c r="EQ9" i="10"/>
  <c r="EN9" i="10"/>
  <c r="EH9" i="10"/>
  <c r="EE9" i="10"/>
  <c r="EB9" i="10"/>
  <c r="DY9" i="10"/>
  <c r="DS9" i="10"/>
  <c r="DP9" i="10"/>
  <c r="DJ9" i="10"/>
  <c r="DG9" i="10"/>
  <c r="DD9" i="10"/>
  <c r="DA9" i="10"/>
  <c r="CX9" i="10"/>
  <c r="CX10" i="10" s="1"/>
  <c r="CU9" i="10"/>
  <c r="CO9" i="10"/>
  <c r="CI9" i="10"/>
  <c r="CF9" i="10"/>
  <c r="CC9" i="10"/>
  <c r="BZ9" i="10"/>
  <c r="BW9" i="10"/>
  <c r="BQ9" i="10"/>
  <c r="BN9" i="10"/>
  <c r="BH9" i="10"/>
  <c r="BE9" i="10"/>
  <c r="BB9" i="10"/>
  <c r="AY9" i="10"/>
  <c r="AV9" i="10"/>
  <c r="AS9" i="10"/>
  <c r="AP9" i="10"/>
  <c r="AM9" i="10"/>
  <c r="AJ9" i="10"/>
  <c r="AG9" i="10"/>
  <c r="AG23" i="10" s="1"/>
  <c r="AF9" i="10"/>
  <c r="AF23" i="10" s="1"/>
  <c r="AF27" i="10" s="1"/>
  <c r="AE9" i="10"/>
  <c r="AE23" i="10" s="1"/>
  <c r="AE27" i="10" s="1"/>
  <c r="AD9" i="10"/>
  <c r="AD23" i="10" s="1"/>
  <c r="AD27" i="10" s="1"/>
  <c r="AC9" i="10"/>
  <c r="AC23" i="10" s="1"/>
  <c r="AC27" i="10" s="1"/>
  <c r="Z9" i="10"/>
  <c r="W9" i="10"/>
  <c r="T9" i="10"/>
  <c r="Q9" i="10"/>
  <c r="N9" i="10"/>
  <c r="K9" i="10"/>
  <c r="H9" i="10"/>
  <c r="E9" i="10"/>
  <c r="E10" i="10" s="1"/>
  <c r="HB8" i="10"/>
  <c r="HB6" i="10" s="1"/>
  <c r="GY8" i="10"/>
  <c r="GY6" i="10" s="1"/>
  <c r="GV8" i="10"/>
  <c r="GM8" i="10"/>
  <c r="GJ8" i="10"/>
  <c r="GG8" i="10"/>
  <c r="GG6" i="10" s="1"/>
  <c r="FR8" i="10"/>
  <c r="FL8" i="10"/>
  <c r="FI8" i="10"/>
  <c r="FF8" i="10"/>
  <c r="FC8" i="10"/>
  <c r="ET8" i="10"/>
  <c r="ET6" i="10" s="1"/>
  <c r="EQ8" i="10"/>
  <c r="EQ6" i="10" s="1"/>
  <c r="EN8" i="10"/>
  <c r="EH8" i="10"/>
  <c r="EE8" i="10"/>
  <c r="EB8" i="10"/>
  <c r="DY8" i="10"/>
  <c r="DV8" i="10"/>
  <c r="DS8" i="10"/>
  <c r="DP8" i="10"/>
  <c r="DM8" i="10"/>
  <c r="DJ8" i="10"/>
  <c r="DG8" i="10"/>
  <c r="DA8" i="10"/>
  <c r="CX8" i="10"/>
  <c r="CU8" i="10"/>
  <c r="CO8" i="10"/>
  <c r="CL8" i="10"/>
  <c r="CI8" i="10"/>
  <c r="CF8" i="10"/>
  <c r="CC8" i="10"/>
  <c r="BZ8" i="10"/>
  <c r="BW8" i="10"/>
  <c r="BT8" i="10"/>
  <c r="BQ8" i="10"/>
  <c r="BN8" i="10"/>
  <c r="BK8" i="10"/>
  <c r="BH8" i="10"/>
  <c r="BE8" i="10"/>
  <c r="BB8" i="10"/>
  <c r="AY8" i="10"/>
  <c r="AV8" i="10"/>
  <c r="AS8" i="10"/>
  <c r="AP8" i="10"/>
  <c r="AM8" i="10"/>
  <c r="AJ8" i="10"/>
  <c r="AG8" i="10"/>
  <c r="AF8" i="10"/>
  <c r="AE8" i="10"/>
  <c r="AD8" i="10"/>
  <c r="AC8" i="10"/>
  <c r="Z8" i="10"/>
  <c r="W8" i="10"/>
  <c r="T8" i="10"/>
  <c r="Q8" i="10"/>
  <c r="N8" i="10"/>
  <c r="K8" i="10"/>
  <c r="H8" i="10"/>
  <c r="E8" i="10"/>
  <c r="HE7" i="10"/>
  <c r="HE8" i="10" s="1"/>
  <c r="HE3" i="10" s="1"/>
  <c r="HB7" i="10"/>
  <c r="GY7" i="10"/>
  <c r="GV7" i="10"/>
  <c r="GM7" i="10"/>
  <c r="GJ7" i="10"/>
  <c r="GG7" i="10"/>
  <c r="FR7" i="10"/>
  <c r="FR10" i="10" s="1"/>
  <c r="FI7" i="10"/>
  <c r="FF7" i="10"/>
  <c r="FC7" i="10"/>
  <c r="ET7" i="10"/>
  <c r="ET5" i="10" s="1"/>
  <c r="EQ7" i="10"/>
  <c r="EN7" i="10"/>
  <c r="EE7" i="10"/>
  <c r="EB7" i="10"/>
  <c r="DY7" i="10"/>
  <c r="DY5" i="10" s="1"/>
  <c r="DS7" i="10"/>
  <c r="EB2" i="10" s="1"/>
  <c r="DP7" i="10"/>
  <c r="DM7" i="10"/>
  <c r="DJ7" i="10"/>
  <c r="DA7" i="10"/>
  <c r="CX7" i="10"/>
  <c r="CX6" i="10" s="1"/>
  <c r="CU7" i="10"/>
  <c r="CO7" i="10"/>
  <c r="CL7" i="10"/>
  <c r="CI7" i="10"/>
  <c r="CF7" i="10"/>
  <c r="CC7" i="10"/>
  <c r="BZ7" i="10"/>
  <c r="BW7" i="10"/>
  <c r="BT7" i="10"/>
  <c r="BT6" i="10" s="1"/>
  <c r="BQ7" i="10"/>
  <c r="BN7" i="10"/>
  <c r="BK7" i="10"/>
  <c r="BH7" i="10"/>
  <c r="BE7" i="10"/>
  <c r="BB7" i="10"/>
  <c r="AY7" i="10"/>
  <c r="AV7" i="10"/>
  <c r="AS7" i="10"/>
  <c r="AP7" i="10"/>
  <c r="AM7" i="10"/>
  <c r="AJ7" i="10"/>
  <c r="AG7" i="10"/>
  <c r="AF7" i="10"/>
  <c r="AE7" i="10"/>
  <c r="AD7" i="10"/>
  <c r="AC7" i="10"/>
  <c r="Z7" i="10"/>
  <c r="W7" i="10"/>
  <c r="T7" i="10"/>
  <c r="Q7" i="10"/>
  <c r="N7" i="10"/>
  <c r="K7" i="10"/>
  <c r="H7" i="10"/>
  <c r="E7" i="10"/>
  <c r="GV6" i="10"/>
  <c r="GS6" i="10"/>
  <c r="GP6" i="10"/>
  <c r="GM6" i="10"/>
  <c r="GJ6" i="10"/>
  <c r="GD6" i="10"/>
  <c r="GA6" i="10"/>
  <c r="FU6" i="10"/>
  <c r="FR6" i="10"/>
  <c r="FL6" i="10"/>
  <c r="FI6" i="10"/>
  <c r="FF6" i="10"/>
  <c r="FC6" i="10"/>
  <c r="EZ6" i="10"/>
  <c r="EW6" i="10"/>
  <c r="EN6" i="10"/>
  <c r="EK6" i="10"/>
  <c r="EH6" i="10"/>
  <c r="EE6" i="10"/>
  <c r="EB6" i="10"/>
  <c r="DY6" i="10"/>
  <c r="DV6" i="10"/>
  <c r="DS6" i="10"/>
  <c r="DM6" i="10"/>
  <c r="DJ6" i="10"/>
  <c r="DD6" i="10"/>
  <c r="DA6" i="10"/>
  <c r="CU6" i="10"/>
  <c r="CR6" i="10"/>
  <c r="CO6" i="10"/>
  <c r="CL6" i="10"/>
  <c r="CF6" i="10"/>
  <c r="BZ6" i="10"/>
  <c r="BW6" i="10"/>
  <c r="BH6" i="10"/>
  <c r="BE6" i="10"/>
  <c r="BB6" i="10"/>
  <c r="AY6" i="10"/>
  <c r="AV6" i="10"/>
  <c r="AS6" i="10"/>
  <c r="AJ6" i="10"/>
  <c r="Z6" i="10"/>
  <c r="W6" i="10"/>
  <c r="T6" i="10"/>
  <c r="T2" i="10" s="1"/>
  <c r="Q6" i="10"/>
  <c r="K6" i="10"/>
  <c r="H6" i="10"/>
  <c r="E6" i="10"/>
  <c r="HE5" i="10"/>
  <c r="HB5" i="10"/>
  <c r="GY5" i="10"/>
  <c r="GV5" i="10"/>
  <c r="GS5" i="10"/>
  <c r="GP5" i="10"/>
  <c r="GM5" i="10"/>
  <c r="GM2" i="10" s="1"/>
  <c r="GJ5" i="10"/>
  <c r="GG5" i="10"/>
  <c r="GD5" i="10"/>
  <c r="GA5" i="10"/>
  <c r="FX5" i="10"/>
  <c r="FU5" i="10"/>
  <c r="FR5" i="10"/>
  <c r="FO5" i="10"/>
  <c r="FL5" i="10"/>
  <c r="FL7" i="10" s="1"/>
  <c r="FI5" i="10"/>
  <c r="FI2" i="10" s="1"/>
  <c r="FF5" i="10"/>
  <c r="FC5" i="10"/>
  <c r="EZ5" i="10"/>
  <c r="EW5" i="10"/>
  <c r="EQ5" i="10"/>
  <c r="EN5" i="10"/>
  <c r="EK5" i="10"/>
  <c r="EH5" i="10"/>
  <c r="EH7" i="10" s="1"/>
  <c r="EE5" i="10"/>
  <c r="EB5" i="10"/>
  <c r="DV5" i="10"/>
  <c r="DS5" i="10"/>
  <c r="DM5" i="10"/>
  <c r="DJ5" i="10"/>
  <c r="DD5" i="10"/>
  <c r="DD7" i="10" s="1"/>
  <c r="DA5" i="10"/>
  <c r="DA13" i="10" s="1"/>
  <c r="CX5" i="10"/>
  <c r="CU5" i="10"/>
  <c r="CR5" i="10"/>
  <c r="CO5" i="10"/>
  <c r="CL5" i="10"/>
  <c r="CI5" i="10"/>
  <c r="CF5" i="10"/>
  <c r="CC5" i="10"/>
  <c r="BZ5" i="10"/>
  <c r="BZ15" i="10" s="1"/>
  <c r="BW5" i="10"/>
  <c r="BT5" i="10"/>
  <c r="BT18" i="10" s="1"/>
  <c r="BQ5" i="10"/>
  <c r="BQ2" i="10" s="1"/>
  <c r="BN5" i="10"/>
  <c r="BN2" i="10" s="1"/>
  <c r="BK5" i="10"/>
  <c r="BH5" i="10"/>
  <c r="BE5" i="10"/>
  <c r="BB5" i="10"/>
  <c r="AY5" i="10"/>
  <c r="AV5" i="10"/>
  <c r="AV2" i="10" s="1"/>
  <c r="AS5" i="10"/>
  <c r="AS2" i="10" s="1"/>
  <c r="AP5" i="10"/>
  <c r="AP2" i="10" s="1"/>
  <c r="AM5" i="10"/>
  <c r="AJ5" i="10"/>
  <c r="AG5" i="10"/>
  <c r="AG29" i="10" s="1"/>
  <c r="AF5" i="10"/>
  <c r="AF30" i="10" s="1"/>
  <c r="AE5" i="10"/>
  <c r="AD5" i="10"/>
  <c r="AD31" i="10" s="1"/>
  <c r="AC5" i="10"/>
  <c r="AC31" i="10" s="1"/>
  <c r="Z5" i="10"/>
  <c r="Z19" i="10" s="1"/>
  <c r="W5" i="10"/>
  <c r="W18" i="10" s="1"/>
  <c r="T5" i="10"/>
  <c r="Q5" i="10"/>
  <c r="N5" i="10"/>
  <c r="K5" i="10"/>
  <c r="K16" i="10" s="1"/>
  <c r="H5" i="10"/>
  <c r="E5" i="10"/>
  <c r="E20" i="10" s="1"/>
  <c r="FX2" i="10"/>
  <c r="EE2" i="10"/>
  <c r="CL2" i="10"/>
  <c r="CR2" i="10" s="1"/>
  <c r="BH2" i="10"/>
  <c r="BB2" i="10"/>
  <c r="AY2" i="10"/>
  <c r="AJ2" i="10"/>
  <c r="E55" i="21"/>
  <c r="E54" i="21"/>
  <c r="DA52" i="21"/>
  <c r="E52" i="21"/>
  <c r="DA51" i="21"/>
  <c r="E51" i="21"/>
  <c r="DA50" i="21"/>
  <c r="CU50" i="21"/>
  <c r="DA49" i="21"/>
  <c r="CU49" i="21"/>
  <c r="E49" i="21"/>
  <c r="CU48" i="21"/>
  <c r="E48" i="21"/>
  <c r="CU47" i="21"/>
  <c r="E47" i="21"/>
  <c r="Z46" i="21"/>
  <c r="E46" i="21"/>
  <c r="DA45" i="21"/>
  <c r="Z45" i="21"/>
  <c r="E45" i="21"/>
  <c r="DA43" i="21"/>
  <c r="CU43" i="21"/>
  <c r="Z43" i="21"/>
  <c r="W43" i="21"/>
  <c r="HE42" i="21"/>
  <c r="DA42" i="21"/>
  <c r="CU42" i="21"/>
  <c r="Z42" i="21"/>
  <c r="W42" i="21"/>
  <c r="HE41" i="21"/>
  <c r="DA41" i="21"/>
  <c r="CU41" i="21"/>
  <c r="HE40" i="21"/>
  <c r="DA40" i="21"/>
  <c r="CU40" i="21"/>
  <c r="E40" i="21"/>
  <c r="HE39" i="21"/>
  <c r="DA39" i="21"/>
  <c r="CU39" i="21"/>
  <c r="E39" i="21"/>
  <c r="HE38" i="21"/>
  <c r="DA38" i="21"/>
  <c r="CU38" i="21"/>
  <c r="HE37" i="21"/>
  <c r="DA37" i="21"/>
  <c r="DA10" i="21" s="1"/>
  <c r="CU37" i="21"/>
  <c r="BZ37" i="21"/>
  <c r="BN37" i="21"/>
  <c r="BK37" i="21"/>
  <c r="BE37" i="21"/>
  <c r="BB37" i="21"/>
  <c r="AV37" i="21"/>
  <c r="AS37" i="21"/>
  <c r="AM37" i="21"/>
  <c r="AJ37" i="21"/>
  <c r="Z37" i="21"/>
  <c r="W37" i="21"/>
  <c r="E37" i="21"/>
  <c r="HE36" i="21"/>
  <c r="DA36" i="21"/>
  <c r="CU36" i="21"/>
  <c r="BZ36" i="21"/>
  <c r="BN36" i="21"/>
  <c r="BK36" i="21"/>
  <c r="BE36" i="21"/>
  <c r="BB36" i="21"/>
  <c r="AV36" i="21"/>
  <c r="AS36" i="21"/>
  <c r="AM36" i="21"/>
  <c r="AJ36" i="21"/>
  <c r="AJ21" i="21" s="1"/>
  <c r="AG36" i="21"/>
  <c r="AF36" i="21"/>
  <c r="AE36" i="21"/>
  <c r="AD36" i="21"/>
  <c r="AC36" i="21"/>
  <c r="Z36" i="21"/>
  <c r="W36" i="21"/>
  <c r="E36" i="21"/>
  <c r="HE35" i="21"/>
  <c r="DA35" i="21"/>
  <c r="DA24" i="21" s="1"/>
  <c r="CU35" i="21"/>
  <c r="BZ35" i="21"/>
  <c r="BN35" i="21"/>
  <c r="BK35" i="21"/>
  <c r="BE35" i="21"/>
  <c r="BB35" i="21"/>
  <c r="AV35" i="21"/>
  <c r="AS35" i="21"/>
  <c r="AM35" i="21"/>
  <c r="AJ35" i="21"/>
  <c r="AG35" i="21"/>
  <c r="AF35" i="21"/>
  <c r="AE35" i="21"/>
  <c r="AD35" i="21"/>
  <c r="AC35" i="21"/>
  <c r="Z35" i="21"/>
  <c r="W35" i="21"/>
  <c r="E35" i="21"/>
  <c r="HE34" i="21"/>
  <c r="DA34" i="21"/>
  <c r="CU34" i="21"/>
  <c r="BZ34" i="21"/>
  <c r="BW34" i="21"/>
  <c r="BN34" i="21"/>
  <c r="BK34" i="21"/>
  <c r="BE34" i="21"/>
  <c r="BB34" i="21"/>
  <c r="AV34" i="21"/>
  <c r="AS34" i="21"/>
  <c r="AM34" i="21"/>
  <c r="AJ34" i="21"/>
  <c r="Z34" i="21"/>
  <c r="W34" i="21"/>
  <c r="E34" i="21"/>
  <c r="HE33" i="21"/>
  <c r="DA33" i="21"/>
  <c r="CU33" i="21"/>
  <c r="CO33" i="21"/>
  <c r="CO32" i="21" s="1"/>
  <c r="CO34" i="21" s="1"/>
  <c r="CF33" i="21"/>
  <c r="CC33" i="21"/>
  <c r="BW33" i="21"/>
  <c r="BN33" i="21"/>
  <c r="BK33" i="21"/>
  <c r="BE33" i="21"/>
  <c r="BB33" i="21"/>
  <c r="AV33" i="21"/>
  <c r="AS33" i="21"/>
  <c r="AM33" i="21"/>
  <c r="AJ33" i="21"/>
  <c r="AF33" i="21"/>
  <c r="Z33" i="21"/>
  <c r="W33" i="21"/>
  <c r="E33" i="21"/>
  <c r="DA32" i="21"/>
  <c r="CU32" i="21"/>
  <c r="CF32" i="21"/>
  <c r="CF19" i="21" s="1"/>
  <c r="CC32" i="21"/>
  <c r="BW32" i="21"/>
  <c r="BN32" i="21"/>
  <c r="BK32" i="21"/>
  <c r="BE32" i="21"/>
  <c r="BB32" i="21"/>
  <c r="AV32" i="21"/>
  <c r="AS32" i="21"/>
  <c r="AM32" i="21"/>
  <c r="AJ32" i="21"/>
  <c r="AE32" i="21"/>
  <c r="AD32" i="21"/>
  <c r="AC32" i="21"/>
  <c r="Z32" i="21"/>
  <c r="Z28" i="21" s="1"/>
  <c r="Z41" i="21" s="1"/>
  <c r="W32" i="21"/>
  <c r="HE31" i="21"/>
  <c r="DA31" i="21"/>
  <c r="CU31" i="21"/>
  <c r="CU26" i="21" s="1"/>
  <c r="CO31" i="21"/>
  <c r="CF31" i="21"/>
  <c r="CC31" i="21"/>
  <c r="BW31" i="21"/>
  <c r="BN31" i="21"/>
  <c r="BK31" i="21"/>
  <c r="BE31" i="21"/>
  <c r="BB31" i="21"/>
  <c r="AV31" i="21"/>
  <c r="AS31" i="21"/>
  <c r="AM31" i="21"/>
  <c r="AJ31" i="21"/>
  <c r="Z31" i="21"/>
  <c r="W31" i="21"/>
  <c r="HE30" i="21"/>
  <c r="DA30" i="21"/>
  <c r="CU30" i="21"/>
  <c r="CO30" i="21"/>
  <c r="CF30" i="21"/>
  <c r="CC30" i="21"/>
  <c r="BZ30" i="21"/>
  <c r="BW30" i="21"/>
  <c r="BW16" i="21" s="1"/>
  <c r="BN30" i="21"/>
  <c r="BK30" i="21"/>
  <c r="BE30" i="21"/>
  <c r="BB30" i="21"/>
  <c r="AS30" i="21"/>
  <c r="AM30" i="21"/>
  <c r="AJ30" i="21"/>
  <c r="Z30" i="21"/>
  <c r="Z39" i="21" s="1"/>
  <c r="W30" i="21"/>
  <c r="W39" i="21" s="1"/>
  <c r="HE29" i="21"/>
  <c r="DA29" i="21"/>
  <c r="CU29" i="21"/>
  <c r="CO29" i="21"/>
  <c r="CF29" i="21"/>
  <c r="CC29" i="21"/>
  <c r="BZ29" i="21"/>
  <c r="BN29" i="21"/>
  <c r="BK29" i="21"/>
  <c r="BE29" i="21"/>
  <c r="BE25" i="21" s="1"/>
  <c r="BB29" i="21"/>
  <c r="BB25" i="21" s="1"/>
  <c r="AV29" i="21"/>
  <c r="AV25" i="21" s="1"/>
  <c r="AS29" i="21"/>
  <c r="AS25" i="21" s="1"/>
  <c r="AS21" i="21" s="1"/>
  <c r="AM29" i="21"/>
  <c r="AM25" i="21" s="1"/>
  <c r="AJ29" i="21"/>
  <c r="Z29" i="21"/>
  <c r="W29" i="21"/>
  <c r="W40" i="21" s="1"/>
  <c r="DA28" i="21"/>
  <c r="CX28" i="21"/>
  <c r="CU28" i="21"/>
  <c r="CO28" i="21"/>
  <c r="CL28" i="21"/>
  <c r="CF28" i="21"/>
  <c r="CC28" i="21"/>
  <c r="BZ28" i="21"/>
  <c r="BT28" i="21"/>
  <c r="BN28" i="21"/>
  <c r="BK28" i="21"/>
  <c r="BE28" i="21"/>
  <c r="BB28" i="21"/>
  <c r="AV28" i="21"/>
  <c r="AS28" i="21"/>
  <c r="AM28" i="21"/>
  <c r="AJ28" i="21"/>
  <c r="W28" i="21"/>
  <c r="E28" i="21"/>
  <c r="HE27" i="21"/>
  <c r="HE28" i="21" s="1"/>
  <c r="HB27" i="21"/>
  <c r="GM27" i="21"/>
  <c r="FI27" i="21"/>
  <c r="ET27" i="21"/>
  <c r="EE27" i="21"/>
  <c r="DA27" i="21"/>
  <c r="CX27" i="21"/>
  <c r="CU27" i="21"/>
  <c r="CU25" i="21" s="1"/>
  <c r="CO27" i="21"/>
  <c r="CO25" i="21" s="1"/>
  <c r="CL27" i="21"/>
  <c r="CF27" i="21"/>
  <c r="CC27" i="21"/>
  <c r="BZ27" i="21"/>
  <c r="BT27" i="21"/>
  <c r="BN27" i="21"/>
  <c r="BN26" i="21" s="1"/>
  <c r="BK27" i="21"/>
  <c r="BK26" i="21" s="1"/>
  <c r="BE27" i="21"/>
  <c r="BE26" i="21" s="1"/>
  <c r="BB27" i="21"/>
  <c r="BB26" i="21" s="1"/>
  <c r="AV27" i="21"/>
  <c r="AS27" i="21"/>
  <c r="AM27" i="21"/>
  <c r="AJ27" i="21"/>
  <c r="Z27" i="21"/>
  <c r="Z38" i="21" s="1"/>
  <c r="Z26" i="21" s="1"/>
  <c r="W27" i="21"/>
  <c r="W41" i="21" s="1"/>
  <c r="E27" i="21"/>
  <c r="E20" i="21" s="1"/>
  <c r="HB26" i="21"/>
  <c r="GM26" i="21"/>
  <c r="FI26" i="21"/>
  <c r="ET26" i="21"/>
  <c r="EE26" i="21"/>
  <c r="DP26" i="21"/>
  <c r="DP24" i="21" s="1"/>
  <c r="DA26" i="21"/>
  <c r="CX26" i="21"/>
  <c r="CO26" i="21"/>
  <c r="CL26" i="21"/>
  <c r="CF26" i="21"/>
  <c r="CC26" i="21"/>
  <c r="BZ26" i="21"/>
  <c r="BZ17" i="21" s="1"/>
  <c r="BT26" i="21"/>
  <c r="AV26" i="21"/>
  <c r="AS26" i="21"/>
  <c r="AM26" i="21"/>
  <c r="AJ26" i="21"/>
  <c r="E26" i="21"/>
  <c r="HB25" i="21"/>
  <c r="GM25" i="21"/>
  <c r="GM23" i="21" s="1"/>
  <c r="FI25" i="21"/>
  <c r="FI23" i="21" s="1"/>
  <c r="ET25" i="21"/>
  <c r="ET23" i="21" s="1"/>
  <c r="EE25" i="21"/>
  <c r="EE23" i="21" s="1"/>
  <c r="DP25" i="21"/>
  <c r="DP23" i="21" s="1"/>
  <c r="DG25" i="21"/>
  <c r="DA25" i="21"/>
  <c r="CX25" i="21"/>
  <c r="CL25" i="21"/>
  <c r="CF25" i="21"/>
  <c r="CC25" i="21"/>
  <c r="CC24" i="21" s="1"/>
  <c r="BZ25" i="21"/>
  <c r="BW25" i="21"/>
  <c r="BT25" i="21"/>
  <c r="AJ25" i="21"/>
  <c r="AG25" i="21"/>
  <c r="AG24" i="21" s="1"/>
  <c r="AF25" i="21"/>
  <c r="AE25" i="21"/>
  <c r="AD25" i="21"/>
  <c r="AC25" i="21"/>
  <c r="AC24" i="21" s="1"/>
  <c r="E25" i="21"/>
  <c r="HB24" i="21"/>
  <c r="GM24" i="21"/>
  <c r="ET24" i="21"/>
  <c r="EE24" i="21"/>
  <c r="CX24" i="21"/>
  <c r="CR24" i="21"/>
  <c r="CO24" i="21"/>
  <c r="CL24" i="21"/>
  <c r="CF24" i="21"/>
  <c r="BZ24" i="21"/>
  <c r="BW24" i="21"/>
  <c r="BT24" i="21"/>
  <c r="BN24" i="21"/>
  <c r="BN21" i="21" s="1"/>
  <c r="BK24" i="21"/>
  <c r="BE24" i="21"/>
  <c r="BB24" i="21"/>
  <c r="AV24" i="21"/>
  <c r="AS24" i="21"/>
  <c r="AM24" i="21"/>
  <c r="AJ24" i="21"/>
  <c r="AF24" i="21"/>
  <c r="AE24" i="21"/>
  <c r="AD24" i="21"/>
  <c r="E24" i="21"/>
  <c r="HB23" i="21"/>
  <c r="DG23" i="21"/>
  <c r="DG20" i="21" s="1"/>
  <c r="DD23" i="21"/>
  <c r="CX23" i="21"/>
  <c r="CO23" i="21"/>
  <c r="CR23" i="21" s="1"/>
  <c r="CL23" i="21"/>
  <c r="CL20" i="21" s="1"/>
  <c r="CF23" i="21"/>
  <c r="CC23" i="21"/>
  <c r="BZ23" i="21"/>
  <c r="BW23" i="21"/>
  <c r="BT23" i="21"/>
  <c r="E23" i="21"/>
  <c r="HB22" i="21"/>
  <c r="GM22" i="21"/>
  <c r="GM16" i="21" s="1"/>
  <c r="FI22" i="21"/>
  <c r="FI16" i="21" s="1"/>
  <c r="ET22" i="21"/>
  <c r="ET16" i="21" s="1"/>
  <c r="EE22" i="21"/>
  <c r="DP22" i="21"/>
  <c r="DP16" i="21" s="1"/>
  <c r="DG22" i="21"/>
  <c r="DD22" i="21"/>
  <c r="CF22" i="21"/>
  <c r="CC22" i="21"/>
  <c r="CC19" i="21" s="1"/>
  <c r="BZ22" i="21"/>
  <c r="BW22" i="21"/>
  <c r="BT22" i="21"/>
  <c r="AG22" i="21"/>
  <c r="AF22" i="21"/>
  <c r="AE22" i="21"/>
  <c r="AD22" i="21"/>
  <c r="AC22" i="21"/>
  <c r="HB21" i="21"/>
  <c r="GM21" i="21"/>
  <c r="FI21" i="21"/>
  <c r="ET21" i="21"/>
  <c r="EE21" i="21"/>
  <c r="DP21" i="21"/>
  <c r="DG21" i="21"/>
  <c r="DD21" i="21"/>
  <c r="BZ21" i="21"/>
  <c r="BW21" i="21"/>
  <c r="AG21" i="21"/>
  <c r="AF21" i="21"/>
  <c r="AE21" i="21"/>
  <c r="AD21" i="21"/>
  <c r="AC21" i="21"/>
  <c r="Z21" i="21"/>
  <c r="Z17" i="21" s="1"/>
  <c r="W21" i="21"/>
  <c r="GA20" i="21"/>
  <c r="FL20" i="21"/>
  <c r="EW20" i="21"/>
  <c r="EH20" i="21"/>
  <c r="DS20" i="21"/>
  <c r="DD20" i="21"/>
  <c r="BZ20" i="21"/>
  <c r="BW20" i="21"/>
  <c r="AG20" i="21"/>
  <c r="AF20" i="21"/>
  <c r="AE20" i="21"/>
  <c r="AD20" i="21"/>
  <c r="AC20" i="21"/>
  <c r="Z20" i="21"/>
  <c r="W20" i="21"/>
  <c r="HB19" i="21"/>
  <c r="GP19" i="21"/>
  <c r="GM19" i="21"/>
  <c r="GA19" i="21"/>
  <c r="FL19" i="21"/>
  <c r="FI19" i="21"/>
  <c r="EW19" i="21"/>
  <c r="ET19" i="21"/>
  <c r="EH19" i="21"/>
  <c r="EE19" i="21"/>
  <c r="DS19" i="21"/>
  <c r="DP19" i="21"/>
  <c r="DG19" i="21"/>
  <c r="DD19" i="21"/>
  <c r="BZ19" i="21"/>
  <c r="BW19" i="21"/>
  <c r="AG19" i="21"/>
  <c r="AF19" i="21"/>
  <c r="AE19" i="21"/>
  <c r="AD19" i="21"/>
  <c r="AC19" i="21"/>
  <c r="HB18" i="21"/>
  <c r="GP18" i="21"/>
  <c r="GM18" i="21"/>
  <c r="GA18" i="21"/>
  <c r="FL18" i="21"/>
  <c r="FI18" i="21"/>
  <c r="EW18" i="21"/>
  <c r="ET18" i="21"/>
  <c r="EH18" i="21"/>
  <c r="EE18" i="21"/>
  <c r="DS18" i="21"/>
  <c r="DP18" i="21"/>
  <c r="DG18" i="21"/>
  <c r="CX18" i="21"/>
  <c r="BZ18" i="21"/>
  <c r="BZ16" i="21" s="1"/>
  <c r="BW18" i="21"/>
  <c r="BQ18" i="21"/>
  <c r="BN18" i="21"/>
  <c r="BK18" i="21"/>
  <c r="BH18" i="21"/>
  <c r="BE18" i="21"/>
  <c r="BB18" i="21"/>
  <c r="AY18" i="21"/>
  <c r="AV18" i="21"/>
  <c r="AS18" i="21"/>
  <c r="AP18" i="21"/>
  <c r="AM18" i="21"/>
  <c r="AJ18" i="21"/>
  <c r="AG18" i="21"/>
  <c r="AF18" i="21"/>
  <c r="AE18" i="21"/>
  <c r="AD18" i="21"/>
  <c r="AC18" i="21"/>
  <c r="E18" i="21"/>
  <c r="HB17" i="21"/>
  <c r="GP17" i="21"/>
  <c r="GM17" i="21"/>
  <c r="GA17" i="21"/>
  <c r="FL17" i="21"/>
  <c r="FI17" i="21"/>
  <c r="EW17" i="21"/>
  <c r="ET17" i="21"/>
  <c r="EH17" i="21"/>
  <c r="EE17" i="21"/>
  <c r="DY17" i="21"/>
  <c r="DS17" i="21"/>
  <c r="DP17" i="21"/>
  <c r="DG17" i="21"/>
  <c r="CX17" i="21"/>
  <c r="BW17" i="21"/>
  <c r="BT17" i="21"/>
  <c r="BQ17" i="21"/>
  <c r="BN17" i="21"/>
  <c r="BK17" i="21"/>
  <c r="BH17" i="21"/>
  <c r="BE17" i="21"/>
  <c r="BB17" i="21"/>
  <c r="BB2" i="21" s="1"/>
  <c r="AY17" i="21"/>
  <c r="AV17" i="21"/>
  <c r="AS17" i="21"/>
  <c r="AP17" i="21"/>
  <c r="AM17" i="21"/>
  <c r="AJ17" i="21"/>
  <c r="AG17" i="21"/>
  <c r="AF17" i="21"/>
  <c r="AE17" i="21"/>
  <c r="AD17" i="21"/>
  <c r="AC17" i="21"/>
  <c r="E17" i="21"/>
  <c r="HB16" i="21"/>
  <c r="GV16" i="21"/>
  <c r="GP16" i="21"/>
  <c r="GG16" i="21"/>
  <c r="GG15" i="21" s="1"/>
  <c r="GG17" i="21" s="1"/>
  <c r="FC16" i="21"/>
  <c r="EN16" i="21"/>
  <c r="EE16" i="21"/>
  <c r="DY16" i="21"/>
  <c r="DD16" i="21"/>
  <c r="CX16" i="21"/>
  <c r="CX12" i="21" s="1"/>
  <c r="CO16" i="21"/>
  <c r="CO15" i="21" s="1"/>
  <c r="CI16" i="21"/>
  <c r="CF16" i="21"/>
  <c r="CC16" i="21"/>
  <c r="BT16" i="21"/>
  <c r="BQ16" i="21"/>
  <c r="BN16" i="21"/>
  <c r="BK16" i="21"/>
  <c r="BH16" i="21"/>
  <c r="BE16" i="21"/>
  <c r="BB16" i="21"/>
  <c r="AY16" i="21"/>
  <c r="AV16" i="21"/>
  <c r="AS16" i="21"/>
  <c r="AP16" i="21"/>
  <c r="AM16" i="21"/>
  <c r="AJ16" i="21"/>
  <c r="AG16" i="21"/>
  <c r="AF16" i="21"/>
  <c r="AE16" i="21"/>
  <c r="AD16" i="21"/>
  <c r="AC16" i="21"/>
  <c r="HB15" i="21"/>
  <c r="GV15" i="21"/>
  <c r="GV17" i="21" s="1"/>
  <c r="GM15" i="21"/>
  <c r="GM2" i="21" s="1"/>
  <c r="GA15" i="21"/>
  <c r="FL15" i="21"/>
  <c r="FI15" i="21"/>
  <c r="FC15" i="21"/>
  <c r="FC17" i="21" s="1"/>
  <c r="EW15" i="21"/>
  <c r="ET15" i="21"/>
  <c r="EN15" i="21"/>
  <c r="EN17" i="21" s="1"/>
  <c r="EH15" i="21"/>
  <c r="EE15" i="21"/>
  <c r="DY15" i="21"/>
  <c r="DY18" i="21" s="1"/>
  <c r="DS15" i="21"/>
  <c r="DP15" i="21"/>
  <c r="DP7" i="21" s="1"/>
  <c r="DG15" i="21"/>
  <c r="DD15" i="21"/>
  <c r="DD8" i="21" s="1"/>
  <c r="DA15" i="21"/>
  <c r="CX15" i="21"/>
  <c r="CI15" i="21"/>
  <c r="CF15" i="21"/>
  <c r="CC15" i="21"/>
  <c r="BW15" i="21"/>
  <c r="BT15" i="21"/>
  <c r="BQ15" i="21"/>
  <c r="BN15" i="21"/>
  <c r="BK15" i="21"/>
  <c r="BH15" i="21"/>
  <c r="BE15" i="21"/>
  <c r="BB15" i="21"/>
  <c r="AY15" i="21"/>
  <c r="AV15" i="21"/>
  <c r="AS15" i="21"/>
  <c r="AP15" i="21"/>
  <c r="AM15" i="21"/>
  <c r="AJ15" i="21"/>
  <c r="AG15" i="21"/>
  <c r="AF15" i="21"/>
  <c r="AE15" i="21"/>
  <c r="AD15" i="21"/>
  <c r="AC15" i="21"/>
  <c r="Z15" i="21"/>
  <c r="W15" i="21"/>
  <c r="E15" i="21"/>
  <c r="HB14" i="21"/>
  <c r="GV14" i="21"/>
  <c r="GP14" i="21"/>
  <c r="GM14" i="21"/>
  <c r="GG14" i="21"/>
  <c r="FI14" i="21"/>
  <c r="FC14" i="21"/>
  <c r="ET14" i="21"/>
  <c r="EN14" i="21"/>
  <c r="EE14" i="21"/>
  <c r="EB14" i="21"/>
  <c r="DY14" i="21"/>
  <c r="DP14" i="21"/>
  <c r="DG14" i="21"/>
  <c r="DD14" i="21"/>
  <c r="CX14" i="21"/>
  <c r="CO14" i="21"/>
  <c r="CO17" i="21" s="1"/>
  <c r="CI14" i="21"/>
  <c r="CF14" i="21"/>
  <c r="CC14" i="21"/>
  <c r="BW14" i="21"/>
  <c r="BT14" i="21"/>
  <c r="BQ14" i="21"/>
  <c r="BN14" i="21"/>
  <c r="BK14" i="21"/>
  <c r="BH14" i="21"/>
  <c r="BE14" i="21"/>
  <c r="BE2" i="21" s="1"/>
  <c r="BB14" i="21"/>
  <c r="AY14" i="21"/>
  <c r="AV14" i="21"/>
  <c r="AS14" i="21"/>
  <c r="AP14" i="21"/>
  <c r="AM14" i="21"/>
  <c r="AJ14" i="21"/>
  <c r="AG14" i="21"/>
  <c r="AF14" i="21"/>
  <c r="AE14" i="21"/>
  <c r="AD14" i="21"/>
  <c r="AC14" i="21"/>
  <c r="Z14" i="21"/>
  <c r="W14" i="21"/>
  <c r="W17" i="21" s="1"/>
  <c r="E14" i="21"/>
  <c r="HE13" i="21"/>
  <c r="HB13" i="21"/>
  <c r="GY13" i="21"/>
  <c r="GV13" i="21"/>
  <c r="GP13" i="21"/>
  <c r="GM13" i="21"/>
  <c r="GJ13" i="21"/>
  <c r="GG13" i="21"/>
  <c r="GA13" i="21"/>
  <c r="FL13" i="21"/>
  <c r="FI13" i="21"/>
  <c r="FF13" i="21"/>
  <c r="FC13" i="21"/>
  <c r="EW13" i="21"/>
  <c r="ET13" i="21"/>
  <c r="EQ13" i="21"/>
  <c r="EN13" i="21"/>
  <c r="EH13" i="21"/>
  <c r="EE13" i="21"/>
  <c r="EB13" i="21"/>
  <c r="DY13" i="21"/>
  <c r="DP13" i="21"/>
  <c r="DG13" i="21"/>
  <c r="DD13" i="21"/>
  <c r="CX13" i="21"/>
  <c r="CU13" i="21"/>
  <c r="CU12" i="21" s="1"/>
  <c r="CO13" i="21"/>
  <c r="CI13" i="21"/>
  <c r="CF13" i="21"/>
  <c r="CC13" i="21"/>
  <c r="BT13" i="21"/>
  <c r="BT10" i="21" s="1"/>
  <c r="BQ13" i="21"/>
  <c r="BN13" i="21"/>
  <c r="BK13" i="21"/>
  <c r="BH13" i="21"/>
  <c r="BE13" i="21"/>
  <c r="BB13" i="21"/>
  <c r="AY13" i="21"/>
  <c r="AV13" i="21"/>
  <c r="AS13" i="21"/>
  <c r="AP13" i="21"/>
  <c r="AM13" i="21"/>
  <c r="AJ13" i="21"/>
  <c r="AG13" i="21"/>
  <c r="AF13" i="21"/>
  <c r="AE13" i="21"/>
  <c r="AD13" i="21"/>
  <c r="AC13" i="21"/>
  <c r="Z13" i="21"/>
  <c r="W13" i="21"/>
  <c r="E13" i="21"/>
  <c r="HB12" i="21"/>
  <c r="GY12" i="21"/>
  <c r="GV12" i="21"/>
  <c r="GP12" i="21"/>
  <c r="GM12" i="21"/>
  <c r="GJ12" i="21"/>
  <c r="GG12" i="21"/>
  <c r="GA12" i="21"/>
  <c r="FL12" i="21"/>
  <c r="FI12" i="21"/>
  <c r="FF12" i="21"/>
  <c r="FC12" i="21"/>
  <c r="EW12" i="21"/>
  <c r="ET12" i="21"/>
  <c r="EQ12" i="21"/>
  <c r="EN12" i="21"/>
  <c r="EH12" i="21"/>
  <c r="EE12" i="21"/>
  <c r="EB12" i="21"/>
  <c r="DY12" i="21"/>
  <c r="DS12" i="21"/>
  <c r="DP12" i="21"/>
  <c r="DJ12" i="21"/>
  <c r="DG12" i="21"/>
  <c r="DD12" i="21"/>
  <c r="DD11" i="21" s="1"/>
  <c r="DA12" i="21"/>
  <c r="CO12" i="21"/>
  <c r="CI12" i="21"/>
  <c r="CF12" i="21"/>
  <c r="CC12" i="21"/>
  <c r="BZ12" i="21"/>
  <c r="BZ11" i="21" s="1"/>
  <c r="BT12" i="21"/>
  <c r="BQ12" i="21"/>
  <c r="BN12" i="21"/>
  <c r="BK12" i="21"/>
  <c r="BH12" i="21"/>
  <c r="BE12" i="21"/>
  <c r="BB12" i="21"/>
  <c r="AY12" i="21"/>
  <c r="AV12" i="21"/>
  <c r="AS12" i="21"/>
  <c r="AP12" i="21"/>
  <c r="AM12" i="21"/>
  <c r="AJ12" i="21"/>
  <c r="AG12" i="21"/>
  <c r="AF12" i="21"/>
  <c r="Z12" i="21"/>
  <c r="W12" i="21"/>
  <c r="E12" i="21"/>
  <c r="HE11" i="21"/>
  <c r="HB11" i="21"/>
  <c r="GY11" i="21"/>
  <c r="GV11" i="21"/>
  <c r="GP11" i="21"/>
  <c r="GM11" i="21"/>
  <c r="GJ11" i="21"/>
  <c r="GG11" i="21"/>
  <c r="GA11" i="21"/>
  <c r="FL11" i="21"/>
  <c r="FI11" i="21"/>
  <c r="FF11" i="21"/>
  <c r="FC11" i="21"/>
  <c r="EW11" i="21"/>
  <c r="EW8" i="21" s="1"/>
  <c r="ET11" i="21"/>
  <c r="EQ11" i="21"/>
  <c r="EN11" i="21"/>
  <c r="EH11" i="21"/>
  <c r="DS11" i="21"/>
  <c r="DP11" i="21"/>
  <c r="DJ11" i="21"/>
  <c r="DA11" i="21"/>
  <c r="CX11" i="21"/>
  <c r="CO11" i="21"/>
  <c r="CI11" i="21"/>
  <c r="CF11" i="21"/>
  <c r="CC11" i="21"/>
  <c r="BT11" i="21"/>
  <c r="BQ11" i="21"/>
  <c r="BN11" i="21"/>
  <c r="BK11" i="21"/>
  <c r="BH11" i="21"/>
  <c r="BE11" i="21"/>
  <c r="BB11" i="21"/>
  <c r="AY11" i="21"/>
  <c r="AV11" i="21"/>
  <c r="AS11" i="21"/>
  <c r="AP11" i="21"/>
  <c r="AM11" i="21"/>
  <c r="AJ11" i="21"/>
  <c r="AG11" i="21"/>
  <c r="AF11" i="21"/>
  <c r="Z11" i="21"/>
  <c r="W11" i="21"/>
  <c r="W16" i="21" s="1"/>
  <c r="E11" i="21"/>
  <c r="E19" i="21" s="1"/>
  <c r="HE10" i="21"/>
  <c r="HB10" i="21"/>
  <c r="GY10" i="21"/>
  <c r="GV10" i="21"/>
  <c r="GP10" i="21"/>
  <c r="GM10" i="21"/>
  <c r="GJ10" i="21"/>
  <c r="GG10" i="21"/>
  <c r="GA10" i="21"/>
  <c r="FL10" i="21"/>
  <c r="FI10" i="21"/>
  <c r="FF10" i="21"/>
  <c r="FC10" i="21"/>
  <c r="EW10" i="21"/>
  <c r="ET10" i="21"/>
  <c r="EQ10" i="21"/>
  <c r="EN10" i="21"/>
  <c r="EH10" i="21"/>
  <c r="EE10" i="21"/>
  <c r="EB10" i="21"/>
  <c r="DY10" i="21"/>
  <c r="DS10" i="21"/>
  <c r="DP10" i="21"/>
  <c r="DJ10" i="21"/>
  <c r="DG10" i="21"/>
  <c r="DD10" i="21"/>
  <c r="CU10" i="21"/>
  <c r="CO10" i="21"/>
  <c r="CL10" i="21"/>
  <c r="CI10" i="21"/>
  <c r="CI6" i="21" s="1"/>
  <c r="CF10" i="21"/>
  <c r="CF6" i="21" s="1"/>
  <c r="CC10" i="21"/>
  <c r="BQ10" i="21"/>
  <c r="BN10" i="21"/>
  <c r="BN9" i="21" s="1"/>
  <c r="BK10" i="21"/>
  <c r="BK9" i="21" s="1"/>
  <c r="BH10" i="21"/>
  <c r="BE10" i="21"/>
  <c r="BB10" i="21"/>
  <c r="AY10" i="21"/>
  <c r="AV10" i="21"/>
  <c r="AS10" i="21"/>
  <c r="AP10" i="21"/>
  <c r="AM10" i="21"/>
  <c r="AG10" i="21"/>
  <c r="AF10" i="21"/>
  <c r="Z10" i="21"/>
  <c r="Z6" i="21" s="1"/>
  <c r="W10" i="21"/>
  <c r="W6" i="21" s="1"/>
  <c r="W18" i="21" s="1"/>
  <c r="HE9" i="21"/>
  <c r="HB9" i="21"/>
  <c r="GY9" i="21"/>
  <c r="GV9" i="21"/>
  <c r="GP9" i="21"/>
  <c r="GP8" i="21" s="1"/>
  <c r="GM9" i="21"/>
  <c r="GJ9" i="21"/>
  <c r="GG9" i="21"/>
  <c r="GA9" i="21"/>
  <c r="GA8" i="21" s="1"/>
  <c r="FR9" i="21"/>
  <c r="FR8" i="21" s="1"/>
  <c r="FR10" i="21" s="1"/>
  <c r="FL9" i="21"/>
  <c r="FL8" i="21" s="1"/>
  <c r="FI9" i="21"/>
  <c r="FF9" i="21"/>
  <c r="FC9" i="21"/>
  <c r="EW9" i="21"/>
  <c r="ET9" i="21"/>
  <c r="EQ9" i="21"/>
  <c r="EN9" i="21"/>
  <c r="EH9" i="21"/>
  <c r="EH8" i="21" s="1"/>
  <c r="EE9" i="21"/>
  <c r="EB9" i="21"/>
  <c r="DY9" i="21"/>
  <c r="DS9" i="21"/>
  <c r="DP9" i="21"/>
  <c r="DJ9" i="21"/>
  <c r="DG9" i="21"/>
  <c r="DD9" i="21"/>
  <c r="DA9" i="21"/>
  <c r="CX9" i="21"/>
  <c r="CX10" i="21" s="1"/>
  <c r="CU9" i="21"/>
  <c r="CO9" i="21"/>
  <c r="CO7" i="21" s="1"/>
  <c r="CL9" i="21"/>
  <c r="CI9" i="21"/>
  <c r="CF9" i="21"/>
  <c r="CC9" i="21"/>
  <c r="BZ9" i="21"/>
  <c r="BW9" i="21"/>
  <c r="BQ9" i="21"/>
  <c r="BH9" i="21"/>
  <c r="BE9" i="21"/>
  <c r="BB9" i="21"/>
  <c r="AY9" i="21"/>
  <c r="AV9" i="21"/>
  <c r="AS9" i="21"/>
  <c r="AP9" i="21"/>
  <c r="AM9" i="21"/>
  <c r="AJ9" i="21"/>
  <c r="AG9" i="21"/>
  <c r="AG23" i="21" s="1"/>
  <c r="AF9" i="21"/>
  <c r="AF23" i="21" s="1"/>
  <c r="AF27" i="21" s="1"/>
  <c r="AE9" i="21"/>
  <c r="AE23" i="21" s="1"/>
  <c r="AE27" i="21" s="1"/>
  <c r="AD9" i="21"/>
  <c r="AD23" i="21" s="1"/>
  <c r="AD27" i="21" s="1"/>
  <c r="AC9" i="21"/>
  <c r="Z9" i="21"/>
  <c r="W9" i="21"/>
  <c r="E9" i="21"/>
  <c r="E10" i="21" s="1"/>
  <c r="HB8" i="21"/>
  <c r="GY8" i="21"/>
  <c r="GV8" i="21"/>
  <c r="GM8" i="21"/>
  <c r="GJ8" i="21"/>
  <c r="GJ6" i="21" s="1"/>
  <c r="GG8" i="21"/>
  <c r="GG6" i="21" s="1"/>
  <c r="FI8" i="21"/>
  <c r="FF8" i="21"/>
  <c r="FF6" i="21" s="1"/>
  <c r="FC8" i="21"/>
  <c r="FC6" i="21" s="1"/>
  <c r="ET8" i="21"/>
  <c r="ET6" i="21" s="1"/>
  <c r="EQ8" i="21"/>
  <c r="EN8" i="21"/>
  <c r="EE8" i="21"/>
  <c r="EE6" i="21" s="1"/>
  <c r="EB8" i="21"/>
  <c r="EB6" i="21" s="1"/>
  <c r="DY8" i="21"/>
  <c r="DY6" i="21" s="1"/>
  <c r="DV8" i="21"/>
  <c r="DS8" i="21"/>
  <c r="DP8" i="21"/>
  <c r="DM8" i="21"/>
  <c r="DJ8" i="21"/>
  <c r="DJ6" i="21" s="1"/>
  <c r="DG8" i="21"/>
  <c r="DA8" i="21"/>
  <c r="CX8" i="21"/>
  <c r="CU8" i="21"/>
  <c r="CO8" i="21"/>
  <c r="CL8" i="21"/>
  <c r="CI8" i="21"/>
  <c r="CF8" i="21"/>
  <c r="CC8" i="21"/>
  <c r="BZ8" i="21"/>
  <c r="BW8" i="21"/>
  <c r="BT8" i="21"/>
  <c r="BQ8" i="21"/>
  <c r="BN8" i="21"/>
  <c r="BK8" i="21"/>
  <c r="BH8" i="21"/>
  <c r="BE8" i="21"/>
  <c r="BB8" i="21"/>
  <c r="AY8" i="21"/>
  <c r="AV8" i="21"/>
  <c r="AS8" i="21"/>
  <c r="AP8" i="21"/>
  <c r="AM8" i="21"/>
  <c r="AJ8" i="21"/>
  <c r="AG8" i="21"/>
  <c r="AF8" i="21"/>
  <c r="AE8" i="21"/>
  <c r="AD8" i="21"/>
  <c r="AC8" i="21"/>
  <c r="Z8" i="21"/>
  <c r="W8" i="21"/>
  <c r="E8" i="21"/>
  <c r="HE7" i="21"/>
  <c r="HE8" i="21" s="1"/>
  <c r="HB7" i="21"/>
  <c r="HB5" i="21" s="1"/>
  <c r="GY7" i="21"/>
  <c r="GY5" i="21" s="1"/>
  <c r="GV7" i="21"/>
  <c r="GV5" i="21" s="1"/>
  <c r="GM7" i="21"/>
  <c r="GJ7" i="21"/>
  <c r="GG7" i="21"/>
  <c r="FR7" i="21"/>
  <c r="FI7" i="21"/>
  <c r="FI5" i="21" s="1"/>
  <c r="FF7" i="21"/>
  <c r="FF5" i="21" s="1"/>
  <c r="FC7" i="21"/>
  <c r="FC5" i="21" s="1"/>
  <c r="ET7" i="21"/>
  <c r="EQ7" i="21"/>
  <c r="EN7" i="21"/>
  <c r="EE7" i="21"/>
  <c r="EE5" i="21" s="1"/>
  <c r="EB7" i="21"/>
  <c r="EB5" i="21" s="1"/>
  <c r="DY7" i="21"/>
  <c r="DY5" i="21" s="1"/>
  <c r="DS7" i="21"/>
  <c r="DM7" i="21"/>
  <c r="DM5" i="21" s="1"/>
  <c r="DJ7" i="21"/>
  <c r="DJ5" i="21" s="1"/>
  <c r="DA7" i="21"/>
  <c r="CX7" i="21"/>
  <c r="CX6" i="21" s="1"/>
  <c r="CU7" i="21"/>
  <c r="CL7" i="21"/>
  <c r="CI7" i="21"/>
  <c r="CF7" i="21"/>
  <c r="CC7" i="21"/>
  <c r="BZ7" i="21"/>
  <c r="BW7" i="21"/>
  <c r="BT7" i="21"/>
  <c r="BT6" i="21" s="1"/>
  <c r="BQ7" i="21"/>
  <c r="BN7" i="21"/>
  <c r="BK7" i="21"/>
  <c r="BH7" i="21"/>
  <c r="BE7" i="21"/>
  <c r="BB7" i="21"/>
  <c r="AY7" i="21"/>
  <c r="AV7" i="21"/>
  <c r="AS7" i="21"/>
  <c r="AP7" i="21"/>
  <c r="AM7" i="21"/>
  <c r="AJ7" i="21"/>
  <c r="AG7" i="21"/>
  <c r="AF7" i="21"/>
  <c r="AE7" i="21"/>
  <c r="AD7" i="21"/>
  <c r="AC7" i="21"/>
  <c r="Z7" i="21"/>
  <c r="W7" i="21"/>
  <c r="E7" i="21"/>
  <c r="HB6" i="21"/>
  <c r="GY6" i="21"/>
  <c r="GV6" i="21"/>
  <c r="GS6" i="21"/>
  <c r="GP6" i="21"/>
  <c r="GM6" i="21"/>
  <c r="GD6" i="21"/>
  <c r="GA6" i="21"/>
  <c r="FU6" i="21"/>
  <c r="FR6" i="21"/>
  <c r="FL6" i="21"/>
  <c r="FI6" i="21"/>
  <c r="EZ6" i="21"/>
  <c r="EW6" i="21"/>
  <c r="EQ6" i="21"/>
  <c r="EN6" i="21"/>
  <c r="EK6" i="21"/>
  <c r="EH6" i="21"/>
  <c r="DV6" i="21"/>
  <c r="DS6" i="21"/>
  <c r="DP6" i="21"/>
  <c r="DM6" i="21"/>
  <c r="DD6" i="21"/>
  <c r="DA6" i="21"/>
  <c r="CU6" i="21"/>
  <c r="CR6" i="21"/>
  <c r="CO6" i="21"/>
  <c r="CL6" i="21"/>
  <c r="CC6" i="21"/>
  <c r="BZ6" i="21"/>
  <c r="BW6" i="21"/>
  <c r="BH6" i="21"/>
  <c r="BE6" i="21"/>
  <c r="BB6" i="21"/>
  <c r="AY6" i="21"/>
  <c r="AV6" i="21"/>
  <c r="AS6" i="21"/>
  <c r="AP6" i="21"/>
  <c r="AP2" i="21" s="1"/>
  <c r="AM6" i="21"/>
  <c r="AJ6" i="21"/>
  <c r="E6" i="21"/>
  <c r="GS5" i="21"/>
  <c r="GP5" i="21"/>
  <c r="GM5" i="21"/>
  <c r="GJ5" i="21"/>
  <c r="GG5" i="21"/>
  <c r="GD5" i="21"/>
  <c r="GA5" i="21"/>
  <c r="FX5" i="21"/>
  <c r="FU5" i="21"/>
  <c r="FR5" i="21"/>
  <c r="FO5" i="21"/>
  <c r="FL5" i="21"/>
  <c r="EZ5" i="21"/>
  <c r="EW5" i="21"/>
  <c r="ET5" i="21"/>
  <c r="EQ5" i="21"/>
  <c r="EN5" i="21"/>
  <c r="EK5" i="21"/>
  <c r="EH5" i="21"/>
  <c r="DV5" i="21"/>
  <c r="DS5" i="21"/>
  <c r="DP5" i="21"/>
  <c r="DD5" i="21"/>
  <c r="DA5" i="21"/>
  <c r="DA14" i="21" s="1"/>
  <c r="CX5" i="21"/>
  <c r="CU5" i="21"/>
  <c r="CR5" i="21"/>
  <c r="CO5" i="21"/>
  <c r="CL5" i="21"/>
  <c r="CI5" i="21"/>
  <c r="CF5" i="21"/>
  <c r="CC5" i="21"/>
  <c r="BZ5" i="21"/>
  <c r="BW5" i="21"/>
  <c r="BW12" i="21" s="1"/>
  <c r="BT5" i="21"/>
  <c r="BQ5" i="21"/>
  <c r="BN5" i="21"/>
  <c r="BK5" i="21"/>
  <c r="BH5" i="21"/>
  <c r="BE5" i="21"/>
  <c r="BB5" i="21"/>
  <c r="AY5" i="21"/>
  <c r="AV5" i="21"/>
  <c r="AS5" i="21"/>
  <c r="AP5" i="21"/>
  <c r="AM5" i="21"/>
  <c r="AJ5" i="21"/>
  <c r="AG5" i="21"/>
  <c r="AG29" i="21" s="1"/>
  <c r="AF5" i="21"/>
  <c r="AF30" i="21" s="1"/>
  <c r="AE5" i="21"/>
  <c r="AD5" i="21"/>
  <c r="AC5" i="21"/>
  <c r="Z5" i="21"/>
  <c r="W5" i="21"/>
  <c r="W19" i="21" s="1"/>
  <c r="E5" i="21"/>
  <c r="FX2" i="21"/>
  <c r="CC2" i="21"/>
  <c r="E55" i="20"/>
  <c r="E54" i="20"/>
  <c r="DA52" i="20"/>
  <c r="E52" i="20"/>
  <c r="DA51" i="20"/>
  <c r="E51" i="20"/>
  <c r="DA50" i="20"/>
  <c r="CU50" i="20"/>
  <c r="DA49" i="20"/>
  <c r="CU49" i="20"/>
  <c r="E49" i="20"/>
  <c r="CU48" i="20"/>
  <c r="E48" i="20"/>
  <c r="CU47" i="20"/>
  <c r="E47" i="20"/>
  <c r="Z46" i="20"/>
  <c r="E46" i="20"/>
  <c r="DA45" i="20"/>
  <c r="Z45" i="20"/>
  <c r="E45" i="20"/>
  <c r="DA43" i="20"/>
  <c r="CU43" i="20"/>
  <c r="CU11" i="20" s="1"/>
  <c r="Z43" i="20"/>
  <c r="W43" i="20"/>
  <c r="DA42" i="20"/>
  <c r="CU42" i="20"/>
  <c r="Z42" i="20"/>
  <c r="W42" i="20"/>
  <c r="HE41" i="20"/>
  <c r="DA41" i="20"/>
  <c r="CU41" i="20"/>
  <c r="HE40" i="20"/>
  <c r="DA40" i="20"/>
  <c r="CU40" i="20"/>
  <c r="E40" i="20"/>
  <c r="HE39" i="20"/>
  <c r="DA39" i="20"/>
  <c r="CU39" i="20"/>
  <c r="E39" i="20"/>
  <c r="HE38" i="20"/>
  <c r="DA38" i="20"/>
  <c r="CU38" i="20"/>
  <c r="HE37" i="20"/>
  <c r="HE42" i="20" s="1"/>
  <c r="DA37" i="20"/>
  <c r="CU37" i="20"/>
  <c r="BZ37" i="20"/>
  <c r="BN37" i="20"/>
  <c r="BK37" i="20"/>
  <c r="BE37" i="20"/>
  <c r="BB37" i="20"/>
  <c r="AV37" i="20"/>
  <c r="AS37" i="20"/>
  <c r="AM37" i="20"/>
  <c r="AJ37" i="20"/>
  <c r="Z37" i="20"/>
  <c r="W37" i="20"/>
  <c r="E37" i="20"/>
  <c r="HE36" i="20"/>
  <c r="DA36" i="20"/>
  <c r="CU36" i="20"/>
  <c r="BZ36" i="20"/>
  <c r="BN36" i="20"/>
  <c r="BK36" i="20"/>
  <c r="BE36" i="20"/>
  <c r="BB36" i="20"/>
  <c r="AV36" i="20"/>
  <c r="AS36" i="20"/>
  <c r="AM36" i="20"/>
  <c r="AJ36" i="20"/>
  <c r="AG36" i="20"/>
  <c r="AF36" i="20"/>
  <c r="AE36" i="20"/>
  <c r="AD36" i="20"/>
  <c r="AC36" i="20"/>
  <c r="Z36" i="20"/>
  <c r="W36" i="20"/>
  <c r="E36" i="20"/>
  <c r="HE35" i="20"/>
  <c r="DA35" i="20"/>
  <c r="DA24" i="20" s="1"/>
  <c r="CU35" i="20"/>
  <c r="BZ35" i="20"/>
  <c r="BN35" i="20"/>
  <c r="BK35" i="20"/>
  <c r="BE35" i="20"/>
  <c r="BB35" i="20"/>
  <c r="AV35" i="20"/>
  <c r="AS35" i="20"/>
  <c r="AM35" i="20"/>
  <c r="AJ35" i="20"/>
  <c r="AG35" i="20"/>
  <c r="AF35" i="20"/>
  <c r="AE35" i="20"/>
  <c r="AD35" i="20"/>
  <c r="AC35" i="20"/>
  <c r="Z35" i="20"/>
  <c r="W35" i="20"/>
  <c r="E35" i="20"/>
  <c r="HE34" i="20"/>
  <c r="DA34" i="20"/>
  <c r="CU34" i="20"/>
  <c r="BZ34" i="20"/>
  <c r="BW34" i="20"/>
  <c r="BN34" i="20"/>
  <c r="BK34" i="20"/>
  <c r="BE34" i="20"/>
  <c r="BB34" i="20"/>
  <c r="AV34" i="20"/>
  <c r="AS34" i="20"/>
  <c r="AM34" i="20"/>
  <c r="AJ34" i="20"/>
  <c r="Z34" i="20"/>
  <c r="W34" i="20"/>
  <c r="E34" i="20"/>
  <c r="HE33" i="20"/>
  <c r="DA33" i="20"/>
  <c r="CU33" i="20"/>
  <c r="CO33" i="20"/>
  <c r="CO32" i="20" s="1"/>
  <c r="CO34" i="20" s="1"/>
  <c r="CF33" i="20"/>
  <c r="CC33" i="20"/>
  <c r="BW33" i="20"/>
  <c r="BN33" i="20"/>
  <c r="BK33" i="20"/>
  <c r="BE33" i="20"/>
  <c r="BB33" i="20"/>
  <c r="AV33" i="20"/>
  <c r="AS33" i="20"/>
  <c r="AM33" i="20"/>
  <c r="AJ33" i="20"/>
  <c r="AF33" i="20"/>
  <c r="Z33" i="20"/>
  <c r="W33" i="20"/>
  <c r="E33" i="20"/>
  <c r="E38" i="20" s="1"/>
  <c r="E31" i="20" s="1"/>
  <c r="DA32" i="20"/>
  <c r="CU32" i="20"/>
  <c r="CF32" i="20"/>
  <c r="CC32" i="20"/>
  <c r="BW32" i="20"/>
  <c r="BN32" i="20"/>
  <c r="BK32" i="20"/>
  <c r="BE32" i="20"/>
  <c r="BB32" i="20"/>
  <c r="AV32" i="20"/>
  <c r="AS32" i="20"/>
  <c r="AM32" i="20"/>
  <c r="AJ32" i="20"/>
  <c r="AE32" i="20"/>
  <c r="AD32" i="20"/>
  <c r="AC32" i="20"/>
  <c r="Z32" i="20"/>
  <c r="W32" i="20"/>
  <c r="HE31" i="20"/>
  <c r="DA31" i="20"/>
  <c r="CU31" i="20"/>
  <c r="CU26" i="20" s="1"/>
  <c r="CO31" i="20"/>
  <c r="CF31" i="20"/>
  <c r="CC31" i="20"/>
  <c r="BW31" i="20"/>
  <c r="BN31" i="20"/>
  <c r="BK31" i="20"/>
  <c r="BE31" i="20"/>
  <c r="BB31" i="20"/>
  <c r="AV31" i="20"/>
  <c r="AS31" i="20"/>
  <c r="AM31" i="20"/>
  <c r="AJ31" i="20"/>
  <c r="Z31" i="20"/>
  <c r="W31" i="20"/>
  <c r="HE30" i="20"/>
  <c r="DA30" i="20"/>
  <c r="CU30" i="20"/>
  <c r="CO30" i="20"/>
  <c r="CF30" i="20"/>
  <c r="CC30" i="20"/>
  <c r="BZ30" i="20"/>
  <c r="BZ10" i="20" s="1"/>
  <c r="BZ15" i="20" s="1"/>
  <c r="BW30" i="20"/>
  <c r="BW16" i="20" s="1"/>
  <c r="BN30" i="20"/>
  <c r="BK30" i="20"/>
  <c r="BE30" i="20"/>
  <c r="BB30" i="20"/>
  <c r="AS30" i="20"/>
  <c r="AM30" i="20"/>
  <c r="AJ30" i="20"/>
  <c r="Z30" i="20"/>
  <c r="W30" i="20"/>
  <c r="W39" i="20" s="1"/>
  <c r="HE29" i="20"/>
  <c r="DA29" i="20"/>
  <c r="CU29" i="20"/>
  <c r="CO29" i="20"/>
  <c r="CF29" i="20"/>
  <c r="CC29" i="20"/>
  <c r="BZ29" i="20"/>
  <c r="BN29" i="20"/>
  <c r="BK29" i="20"/>
  <c r="BE29" i="20"/>
  <c r="BE25" i="20" s="1"/>
  <c r="BB29" i="20"/>
  <c r="BB25" i="20" s="1"/>
  <c r="AV29" i="20"/>
  <c r="AV25" i="20" s="1"/>
  <c r="AV21" i="20" s="1"/>
  <c r="AS29" i="20"/>
  <c r="AS25" i="20" s="1"/>
  <c r="AM29" i="20"/>
  <c r="AM25" i="20" s="1"/>
  <c r="AM21" i="20" s="1"/>
  <c r="AJ29" i="20"/>
  <c r="Z29" i="20"/>
  <c r="W29" i="20"/>
  <c r="W40" i="20" s="1"/>
  <c r="DA28" i="20"/>
  <c r="CX28" i="20"/>
  <c r="CU28" i="20"/>
  <c r="CO28" i="20"/>
  <c r="CL28" i="20"/>
  <c r="CF28" i="20"/>
  <c r="CC28" i="20"/>
  <c r="BZ28" i="20"/>
  <c r="BT28" i="20"/>
  <c r="BN28" i="20"/>
  <c r="BK28" i="20"/>
  <c r="BE28" i="20"/>
  <c r="BB28" i="20"/>
  <c r="AV28" i="20"/>
  <c r="AS28" i="20"/>
  <c r="AM28" i="20"/>
  <c r="AJ28" i="20"/>
  <c r="Z28" i="20"/>
  <c r="W28" i="20"/>
  <c r="E28" i="20"/>
  <c r="HE27" i="20"/>
  <c r="HE28" i="20" s="1"/>
  <c r="HB27" i="20"/>
  <c r="GM27" i="20"/>
  <c r="FI27" i="20"/>
  <c r="ET27" i="20"/>
  <c r="EE27" i="20"/>
  <c r="DA27" i="20"/>
  <c r="CX27" i="20"/>
  <c r="CU27" i="20"/>
  <c r="CU25" i="20" s="1"/>
  <c r="CO27" i="20"/>
  <c r="CO25" i="20" s="1"/>
  <c r="CL27" i="20"/>
  <c r="CF27" i="20"/>
  <c r="CC27" i="20"/>
  <c r="BZ27" i="20"/>
  <c r="BT27" i="20"/>
  <c r="BN27" i="20"/>
  <c r="BN26" i="20" s="1"/>
  <c r="BK27" i="20"/>
  <c r="BK26" i="20" s="1"/>
  <c r="BE27" i="20"/>
  <c r="BE26" i="20" s="1"/>
  <c r="BB27" i="20"/>
  <c r="BB26" i="20" s="1"/>
  <c r="AV27" i="20"/>
  <c r="AS27" i="20"/>
  <c r="AM27" i="20"/>
  <c r="AJ27" i="20"/>
  <c r="Z27" i="20"/>
  <c r="Z38" i="20" s="1"/>
  <c r="W27" i="20"/>
  <c r="W41" i="20" s="1"/>
  <c r="E27" i="20"/>
  <c r="E20" i="20" s="1"/>
  <c r="HB26" i="20"/>
  <c r="GM26" i="20"/>
  <c r="FI26" i="20"/>
  <c r="ET26" i="20"/>
  <c r="EE26" i="20"/>
  <c r="DP26" i="20"/>
  <c r="DP24" i="20" s="1"/>
  <c r="DA26" i="20"/>
  <c r="CX26" i="20"/>
  <c r="CO26" i="20"/>
  <c r="CL26" i="20"/>
  <c r="CF26" i="20"/>
  <c r="CC26" i="20"/>
  <c r="BZ26" i="20"/>
  <c r="BZ17" i="20" s="1"/>
  <c r="BT26" i="20"/>
  <c r="AV26" i="20"/>
  <c r="AS26" i="20"/>
  <c r="AM26" i="20"/>
  <c r="AJ26" i="20"/>
  <c r="E26" i="20"/>
  <c r="HB25" i="20"/>
  <c r="GM25" i="20"/>
  <c r="GM23" i="20" s="1"/>
  <c r="FI25" i="20"/>
  <c r="FI23" i="20" s="1"/>
  <c r="ET25" i="20"/>
  <c r="ET23" i="20" s="1"/>
  <c r="EE25" i="20"/>
  <c r="EE23" i="20" s="1"/>
  <c r="DP25" i="20"/>
  <c r="DP23" i="20" s="1"/>
  <c r="DG25" i="20"/>
  <c r="DA25" i="20"/>
  <c r="CX25" i="20"/>
  <c r="CL25" i="20"/>
  <c r="CF25" i="20"/>
  <c r="CC25" i="20"/>
  <c r="CC24" i="20" s="1"/>
  <c r="BZ25" i="20"/>
  <c r="BW25" i="20"/>
  <c r="BT25" i="20"/>
  <c r="AJ25" i="20"/>
  <c r="AJ21" i="20" s="1"/>
  <c r="AG25" i="20"/>
  <c r="AG24" i="20" s="1"/>
  <c r="AF25" i="20"/>
  <c r="AE25" i="20"/>
  <c r="AD25" i="20"/>
  <c r="AC25" i="20"/>
  <c r="AC24" i="20" s="1"/>
  <c r="E25" i="20"/>
  <c r="HB24" i="20"/>
  <c r="GM24" i="20"/>
  <c r="ET24" i="20"/>
  <c r="EE24" i="20"/>
  <c r="CX24" i="20"/>
  <c r="CR24" i="20"/>
  <c r="CO24" i="20"/>
  <c r="CL24" i="20"/>
  <c r="CF24" i="20"/>
  <c r="BZ24" i="20"/>
  <c r="BW24" i="20"/>
  <c r="BT24" i="20"/>
  <c r="BN24" i="20"/>
  <c r="BN21" i="20" s="1"/>
  <c r="BK24" i="20"/>
  <c r="BE24" i="20"/>
  <c r="BB24" i="20"/>
  <c r="AV24" i="20"/>
  <c r="AS24" i="20"/>
  <c r="AM24" i="20"/>
  <c r="AJ24" i="20"/>
  <c r="AF24" i="20"/>
  <c r="AE24" i="20"/>
  <c r="AD24" i="20"/>
  <c r="E24" i="20"/>
  <c r="HB23" i="20"/>
  <c r="DG23" i="20"/>
  <c r="DG20" i="20" s="1"/>
  <c r="DD23" i="20"/>
  <c r="CX23" i="20"/>
  <c r="CO23" i="20"/>
  <c r="CR23" i="20" s="1"/>
  <c r="CL23" i="20"/>
  <c r="CL20" i="20" s="1"/>
  <c r="CF23" i="20"/>
  <c r="CC23" i="20"/>
  <c r="BZ23" i="20"/>
  <c r="BW23" i="20"/>
  <c r="BT23" i="20"/>
  <c r="E23" i="20"/>
  <c r="HB22" i="20"/>
  <c r="GM22" i="20"/>
  <c r="GM16" i="20" s="1"/>
  <c r="FI22" i="20"/>
  <c r="FI16" i="20" s="1"/>
  <c r="ET22" i="20"/>
  <c r="ET16" i="20" s="1"/>
  <c r="EE22" i="20"/>
  <c r="DP22" i="20"/>
  <c r="DP16" i="20" s="1"/>
  <c r="DG22" i="20"/>
  <c r="DD22" i="20"/>
  <c r="CF22" i="20"/>
  <c r="CC22" i="20"/>
  <c r="CC19" i="20" s="1"/>
  <c r="BZ22" i="20"/>
  <c r="BW22" i="20"/>
  <c r="BT22" i="20"/>
  <c r="AG22" i="20"/>
  <c r="AF22" i="20"/>
  <c r="AE22" i="20"/>
  <c r="AD22" i="20"/>
  <c r="AC22" i="20"/>
  <c r="HB21" i="20"/>
  <c r="GM21" i="20"/>
  <c r="FI21" i="20"/>
  <c r="ET21" i="20"/>
  <c r="EE21" i="20"/>
  <c r="DP21" i="20"/>
  <c r="DG21" i="20"/>
  <c r="DD21" i="20"/>
  <c r="BZ21" i="20"/>
  <c r="BW21" i="20"/>
  <c r="AG21" i="20"/>
  <c r="AF21" i="20"/>
  <c r="AE21" i="20"/>
  <c r="AD21" i="20"/>
  <c r="AC21" i="20"/>
  <c r="Z21" i="20"/>
  <c r="W21" i="20"/>
  <c r="GA20" i="20"/>
  <c r="FL20" i="20"/>
  <c r="EW20" i="20"/>
  <c r="EH20" i="20"/>
  <c r="DS20" i="20"/>
  <c r="DD20" i="20"/>
  <c r="BZ20" i="20"/>
  <c r="BW20" i="20"/>
  <c r="AG20" i="20"/>
  <c r="AF20" i="20"/>
  <c r="AE20" i="20"/>
  <c r="AD20" i="20"/>
  <c r="AC20" i="20"/>
  <c r="Z20" i="20"/>
  <c r="Z17" i="20" s="1"/>
  <c r="W20" i="20"/>
  <c r="W17" i="20" s="1"/>
  <c r="HB19" i="20"/>
  <c r="GP19" i="20"/>
  <c r="GM19" i="20"/>
  <c r="GA19" i="20"/>
  <c r="FL19" i="20"/>
  <c r="FI19" i="20"/>
  <c r="EW19" i="20"/>
  <c r="ET19" i="20"/>
  <c r="EH19" i="20"/>
  <c r="EE19" i="20"/>
  <c r="DS19" i="20"/>
  <c r="DP19" i="20"/>
  <c r="DG19" i="20"/>
  <c r="DD19" i="20"/>
  <c r="CF19" i="20"/>
  <c r="BZ19" i="20"/>
  <c r="BW19" i="20"/>
  <c r="AG19" i="20"/>
  <c r="AF19" i="20"/>
  <c r="AE19" i="20"/>
  <c r="AD19" i="20"/>
  <c r="AC19" i="20"/>
  <c r="HB18" i="20"/>
  <c r="GP18" i="20"/>
  <c r="GM18" i="20"/>
  <c r="GA18" i="20"/>
  <c r="FL18" i="20"/>
  <c r="FI18" i="20"/>
  <c r="EW18" i="20"/>
  <c r="ET18" i="20"/>
  <c r="EH18" i="20"/>
  <c r="EE18" i="20"/>
  <c r="DS18" i="20"/>
  <c r="DP18" i="20"/>
  <c r="DG18" i="20"/>
  <c r="CX18" i="20"/>
  <c r="BZ18" i="20"/>
  <c r="BZ16" i="20" s="1"/>
  <c r="BW18" i="20"/>
  <c r="BQ18" i="20"/>
  <c r="BN18" i="20"/>
  <c r="BK18" i="20"/>
  <c r="BH18" i="20"/>
  <c r="BE18" i="20"/>
  <c r="BB18" i="20"/>
  <c r="AY18" i="20"/>
  <c r="AV18" i="20"/>
  <c r="AS18" i="20"/>
  <c r="AP18" i="20"/>
  <c r="AM18" i="20"/>
  <c r="AJ18" i="20"/>
  <c r="AG18" i="20"/>
  <c r="AF18" i="20"/>
  <c r="AE18" i="20"/>
  <c r="AD18" i="20"/>
  <c r="AC18" i="20"/>
  <c r="E18" i="20"/>
  <c r="HB17" i="20"/>
  <c r="GP17" i="20"/>
  <c r="GM17" i="20"/>
  <c r="GA17" i="20"/>
  <c r="FL17" i="20"/>
  <c r="FI17" i="20"/>
  <c r="EW17" i="20"/>
  <c r="ET17" i="20"/>
  <c r="EN17" i="20"/>
  <c r="EH17" i="20"/>
  <c r="EE17" i="20"/>
  <c r="DY17" i="20"/>
  <c r="DS17" i="20"/>
  <c r="DP17" i="20"/>
  <c r="DG17" i="20"/>
  <c r="CX17" i="20"/>
  <c r="BW17" i="20"/>
  <c r="BT17" i="20"/>
  <c r="BQ17" i="20"/>
  <c r="BN17" i="20"/>
  <c r="BK17" i="20"/>
  <c r="BH17" i="20"/>
  <c r="BE17" i="20"/>
  <c r="BB17" i="20"/>
  <c r="AY17" i="20"/>
  <c r="AV17" i="20"/>
  <c r="AS17" i="20"/>
  <c r="AP17" i="20"/>
  <c r="AM17" i="20"/>
  <c r="AJ17" i="20"/>
  <c r="AG17" i="20"/>
  <c r="AF17" i="20"/>
  <c r="AE17" i="20"/>
  <c r="AD17" i="20"/>
  <c r="AC17" i="20"/>
  <c r="E17" i="20"/>
  <c r="HB16" i="20"/>
  <c r="GV16" i="20"/>
  <c r="GP16" i="20"/>
  <c r="GG16" i="20"/>
  <c r="GG15" i="20" s="1"/>
  <c r="FC16" i="20"/>
  <c r="EN16" i="20"/>
  <c r="EE16" i="20"/>
  <c r="DY16" i="20"/>
  <c r="DD16" i="20"/>
  <c r="CX16" i="20"/>
  <c r="CX12" i="20" s="1"/>
  <c r="CO16" i="20"/>
  <c r="CO15" i="20" s="1"/>
  <c r="CI16" i="20"/>
  <c r="CF16" i="20"/>
  <c r="CC16" i="20"/>
  <c r="BT16" i="20"/>
  <c r="BQ16" i="20"/>
  <c r="BQ2" i="20" s="1"/>
  <c r="BN16" i="20"/>
  <c r="BK16" i="20"/>
  <c r="BH16" i="20"/>
  <c r="BE16" i="20"/>
  <c r="BB16" i="20"/>
  <c r="AY16" i="20"/>
  <c r="AV16" i="20"/>
  <c r="AS16" i="20"/>
  <c r="AP16" i="20"/>
  <c r="AM16" i="20"/>
  <c r="AJ16" i="20"/>
  <c r="AG16" i="20"/>
  <c r="AF16" i="20"/>
  <c r="AE16" i="20"/>
  <c r="AD16" i="20"/>
  <c r="AC16" i="20"/>
  <c r="HB15" i="20"/>
  <c r="GV15" i="20"/>
  <c r="GV17" i="20" s="1"/>
  <c r="GM15" i="20"/>
  <c r="GM2" i="20" s="1"/>
  <c r="GA15" i="20"/>
  <c r="FL15" i="20"/>
  <c r="FI15" i="20"/>
  <c r="FC15" i="20"/>
  <c r="FC17" i="20" s="1"/>
  <c r="EW15" i="20"/>
  <c r="ET15" i="20"/>
  <c r="EN15" i="20"/>
  <c r="EH15" i="20"/>
  <c r="EE15" i="20"/>
  <c r="DY15" i="20"/>
  <c r="DY18" i="20" s="1"/>
  <c r="DS15" i="20"/>
  <c r="DP15" i="20"/>
  <c r="DP7" i="20" s="1"/>
  <c r="DG15" i="20"/>
  <c r="DD15" i="20"/>
  <c r="DD8" i="20" s="1"/>
  <c r="DD7" i="20" s="1"/>
  <c r="CX15" i="20"/>
  <c r="CI15" i="20"/>
  <c r="CF15" i="20"/>
  <c r="CC15" i="20"/>
  <c r="BW15" i="20"/>
  <c r="BT15" i="20"/>
  <c r="BQ15" i="20"/>
  <c r="BN15" i="20"/>
  <c r="BK15" i="20"/>
  <c r="BH15" i="20"/>
  <c r="BE15" i="20"/>
  <c r="BB15" i="20"/>
  <c r="AY15" i="20"/>
  <c r="AV15" i="20"/>
  <c r="AS15" i="20"/>
  <c r="AP15" i="20"/>
  <c r="AM15" i="20"/>
  <c r="AJ15" i="20"/>
  <c r="AG15" i="20"/>
  <c r="AF15" i="20"/>
  <c r="AE15" i="20"/>
  <c r="AD15" i="20"/>
  <c r="AC15" i="20"/>
  <c r="Z15" i="20"/>
  <c r="W15" i="20"/>
  <c r="E15" i="20"/>
  <c r="HB14" i="20"/>
  <c r="GV14" i="20"/>
  <c r="GP14" i="20"/>
  <c r="GM14" i="20"/>
  <c r="GG14" i="20"/>
  <c r="GG17" i="20" s="1"/>
  <c r="FI14" i="20"/>
  <c r="FC14" i="20"/>
  <c r="ET14" i="20"/>
  <c r="EN14" i="20"/>
  <c r="EE14" i="20"/>
  <c r="EB14" i="20"/>
  <c r="DY14" i="20"/>
  <c r="DP14" i="20"/>
  <c r="DG14" i="20"/>
  <c r="DD14" i="20"/>
  <c r="CX14" i="20"/>
  <c r="CO14" i="20"/>
  <c r="CO17" i="20" s="1"/>
  <c r="CI14" i="20"/>
  <c r="CF14" i="20"/>
  <c r="CC14" i="20"/>
  <c r="BW14" i="20"/>
  <c r="BT14" i="20"/>
  <c r="BQ14" i="20"/>
  <c r="BN14" i="20"/>
  <c r="BK14" i="20"/>
  <c r="BH14" i="20"/>
  <c r="BE14" i="20"/>
  <c r="BB14" i="20"/>
  <c r="AY14" i="20"/>
  <c r="AV14" i="20"/>
  <c r="AS14" i="20"/>
  <c r="AP14" i="20"/>
  <c r="AM14" i="20"/>
  <c r="AJ14" i="20"/>
  <c r="AG14" i="20"/>
  <c r="AF14" i="20"/>
  <c r="AE14" i="20"/>
  <c r="AD14" i="20"/>
  <c r="AC14" i="20"/>
  <c r="Z14" i="20"/>
  <c r="W14" i="20"/>
  <c r="E14" i="20"/>
  <c r="HE13" i="20"/>
  <c r="HB13" i="20"/>
  <c r="GY13" i="20"/>
  <c r="GV13" i="20"/>
  <c r="GP13" i="20"/>
  <c r="GM13" i="20"/>
  <c r="GJ13" i="20"/>
  <c r="GG13" i="20"/>
  <c r="GA13" i="20"/>
  <c r="FL13" i="20"/>
  <c r="FI13" i="20"/>
  <c r="FF13" i="20"/>
  <c r="FC13" i="20"/>
  <c r="EW13" i="20"/>
  <c r="ET13" i="20"/>
  <c r="EQ13" i="20"/>
  <c r="EN13" i="20"/>
  <c r="EH13" i="20"/>
  <c r="EE13" i="20"/>
  <c r="EB13" i="20"/>
  <c r="DY13" i="20"/>
  <c r="DP13" i="20"/>
  <c r="DG13" i="20"/>
  <c r="DD13" i="20"/>
  <c r="CX13" i="20"/>
  <c r="CU13" i="20"/>
  <c r="CU12" i="20" s="1"/>
  <c r="CO13" i="20"/>
  <c r="CI13" i="20"/>
  <c r="CF13" i="20"/>
  <c r="CC13" i="20"/>
  <c r="BT13" i="20"/>
  <c r="BT10" i="20" s="1"/>
  <c r="BQ13" i="20"/>
  <c r="BN13" i="20"/>
  <c r="BK13" i="20"/>
  <c r="BH13" i="20"/>
  <c r="BE13" i="20"/>
  <c r="BB13" i="20"/>
  <c r="AY13" i="20"/>
  <c r="AV13" i="20"/>
  <c r="AS13" i="20"/>
  <c r="AP13" i="20"/>
  <c r="AM13" i="20"/>
  <c r="AJ13" i="20"/>
  <c r="AG13" i="20"/>
  <c r="AF13" i="20"/>
  <c r="AE13" i="20"/>
  <c r="AD13" i="20"/>
  <c r="AC13" i="20"/>
  <c r="Z13" i="20"/>
  <c r="W13" i="20"/>
  <c r="E13" i="20"/>
  <c r="E12" i="20" s="1"/>
  <c r="HB12" i="20"/>
  <c r="GY12" i="20"/>
  <c r="GV12" i="20"/>
  <c r="GP12" i="20"/>
  <c r="GM12" i="20"/>
  <c r="GJ12" i="20"/>
  <c r="GG12" i="20"/>
  <c r="GA12" i="20"/>
  <c r="FL12" i="20"/>
  <c r="FI12" i="20"/>
  <c r="FF12" i="20"/>
  <c r="FC12" i="20"/>
  <c r="EW12" i="20"/>
  <c r="ET12" i="20"/>
  <c r="EQ12" i="20"/>
  <c r="EN12" i="20"/>
  <c r="EH12" i="20"/>
  <c r="EE12" i="20"/>
  <c r="EB12" i="20"/>
  <c r="DY12" i="20"/>
  <c r="DS12" i="20"/>
  <c r="DP12" i="20"/>
  <c r="DG12" i="20"/>
  <c r="DD12" i="20"/>
  <c r="CO12" i="20"/>
  <c r="CI12" i="20"/>
  <c r="CF12" i="20"/>
  <c r="CC12" i="20"/>
  <c r="BZ12" i="20"/>
  <c r="BT12" i="20"/>
  <c r="BQ12" i="20"/>
  <c r="BN12" i="20"/>
  <c r="BK12" i="20"/>
  <c r="BH12" i="20"/>
  <c r="BE12" i="20"/>
  <c r="BB12" i="20"/>
  <c r="AY12" i="20"/>
  <c r="AV12" i="20"/>
  <c r="AS12" i="20"/>
  <c r="AP12" i="20"/>
  <c r="AM12" i="20"/>
  <c r="AJ12" i="20"/>
  <c r="AG12" i="20"/>
  <c r="AF12" i="20"/>
  <c r="Z12" i="20"/>
  <c r="W12" i="20"/>
  <c r="HE11" i="20"/>
  <c r="HB11" i="20"/>
  <c r="GY11" i="20"/>
  <c r="GV11" i="20"/>
  <c r="GP11" i="20"/>
  <c r="GM11" i="20"/>
  <c r="GJ11" i="20"/>
  <c r="GG11" i="20"/>
  <c r="GA11" i="20"/>
  <c r="FL11" i="20"/>
  <c r="FI11" i="20"/>
  <c r="FF11" i="20"/>
  <c r="FC11" i="20"/>
  <c r="EW11" i="20"/>
  <c r="ET11" i="20"/>
  <c r="EQ11" i="20"/>
  <c r="EN11" i="20"/>
  <c r="EH11" i="20"/>
  <c r="DS11" i="20"/>
  <c r="DP11" i="20"/>
  <c r="DJ11" i="20"/>
  <c r="DD11" i="20"/>
  <c r="CX11" i="20"/>
  <c r="CO11" i="20"/>
  <c r="CI11" i="20"/>
  <c r="CF11" i="20"/>
  <c r="CC11" i="20"/>
  <c r="BZ11" i="20"/>
  <c r="BT11" i="20"/>
  <c r="BQ11" i="20"/>
  <c r="BN11" i="20"/>
  <c r="BK11" i="20"/>
  <c r="BH11" i="20"/>
  <c r="BE11" i="20"/>
  <c r="BB11" i="20"/>
  <c r="AY11" i="20"/>
  <c r="AV11" i="20"/>
  <c r="AS11" i="20"/>
  <c r="AP11" i="20"/>
  <c r="AM11" i="20"/>
  <c r="AJ11" i="20"/>
  <c r="AG11" i="20"/>
  <c r="AF11" i="20"/>
  <c r="Z11" i="20"/>
  <c r="Z16" i="20" s="1"/>
  <c r="W11" i="20"/>
  <c r="W16" i="20" s="1"/>
  <c r="E11" i="20"/>
  <c r="HE10" i="20"/>
  <c r="HB10" i="20"/>
  <c r="GY10" i="20"/>
  <c r="GV10" i="20"/>
  <c r="GP10" i="20"/>
  <c r="GM10" i="20"/>
  <c r="GJ10" i="20"/>
  <c r="GG10" i="20"/>
  <c r="GA10" i="20"/>
  <c r="FL10" i="20"/>
  <c r="FI10" i="20"/>
  <c r="FF10" i="20"/>
  <c r="FC10" i="20"/>
  <c r="EW10" i="20"/>
  <c r="ET10" i="20"/>
  <c r="EQ10" i="20"/>
  <c r="EN10" i="20"/>
  <c r="EH10" i="20"/>
  <c r="EE10" i="20"/>
  <c r="EB10" i="20"/>
  <c r="DY10" i="20"/>
  <c r="DS10" i="20"/>
  <c r="DP10" i="20"/>
  <c r="DJ10" i="20"/>
  <c r="DJ12" i="20" s="1"/>
  <c r="DG10" i="20"/>
  <c r="DD10" i="20"/>
  <c r="CU10" i="20"/>
  <c r="CO10" i="20"/>
  <c r="CL10" i="20"/>
  <c r="CI10" i="20"/>
  <c r="CI6" i="20" s="1"/>
  <c r="CF10" i="20"/>
  <c r="CF6" i="20" s="1"/>
  <c r="CF2" i="20" s="1"/>
  <c r="CC10" i="20"/>
  <c r="BQ10" i="20"/>
  <c r="BN10" i="20"/>
  <c r="BN9" i="20" s="1"/>
  <c r="BK10" i="20"/>
  <c r="BK9" i="20" s="1"/>
  <c r="BH10" i="20"/>
  <c r="BE10" i="20"/>
  <c r="BB10" i="20"/>
  <c r="AY10" i="20"/>
  <c r="AV10" i="20"/>
  <c r="AS10" i="20"/>
  <c r="AP10" i="20"/>
  <c r="AM10" i="20"/>
  <c r="AG10" i="20"/>
  <c r="AF10" i="20"/>
  <c r="Z10" i="20"/>
  <c r="Z6" i="20" s="1"/>
  <c r="Z18" i="20" s="1"/>
  <c r="W10" i="20"/>
  <c r="W6" i="20" s="1"/>
  <c r="HE9" i="20"/>
  <c r="HB9" i="20"/>
  <c r="GY9" i="20"/>
  <c r="GV9" i="20"/>
  <c r="GP9" i="20"/>
  <c r="GP8" i="20" s="1"/>
  <c r="GM9" i="20"/>
  <c r="GJ9" i="20"/>
  <c r="GG9" i="20"/>
  <c r="GA9" i="20"/>
  <c r="GA8" i="20" s="1"/>
  <c r="FR9" i="20"/>
  <c r="FR8" i="20" s="1"/>
  <c r="FR10" i="20" s="1"/>
  <c r="FL9" i="20"/>
  <c r="FL8" i="20" s="1"/>
  <c r="FI9" i="20"/>
  <c r="FF9" i="20"/>
  <c r="FC9" i="20"/>
  <c r="EW9" i="20"/>
  <c r="ET9" i="20"/>
  <c r="EQ9" i="20"/>
  <c r="EN9" i="20"/>
  <c r="EH9" i="20"/>
  <c r="EH8" i="20" s="1"/>
  <c r="EH7" i="20" s="1"/>
  <c r="EE9" i="20"/>
  <c r="EB9" i="20"/>
  <c r="DY9" i="20"/>
  <c r="DS9" i="20"/>
  <c r="DP9" i="20"/>
  <c r="DJ9" i="20"/>
  <c r="DG9" i="20"/>
  <c r="DD9" i="20"/>
  <c r="CX9" i="20"/>
  <c r="CX10" i="20" s="1"/>
  <c r="CU9" i="20"/>
  <c r="CO9" i="20"/>
  <c r="CO7" i="20" s="1"/>
  <c r="CL9" i="20"/>
  <c r="CI9" i="20"/>
  <c r="CF9" i="20"/>
  <c r="CC9" i="20"/>
  <c r="BZ9" i="20"/>
  <c r="BW9" i="20"/>
  <c r="BT9" i="20"/>
  <c r="BQ9" i="20"/>
  <c r="BH9" i="20"/>
  <c r="BE9" i="20"/>
  <c r="BB9" i="20"/>
  <c r="AY9" i="20"/>
  <c r="AV9" i="20"/>
  <c r="AS9" i="20"/>
  <c r="AP9" i="20"/>
  <c r="AM9" i="20"/>
  <c r="AJ9" i="20"/>
  <c r="AG9" i="20"/>
  <c r="AG23" i="20" s="1"/>
  <c r="AF9" i="20"/>
  <c r="AF23" i="20" s="1"/>
  <c r="AF27" i="20" s="1"/>
  <c r="AE9" i="20"/>
  <c r="AE23" i="20" s="1"/>
  <c r="AE27" i="20" s="1"/>
  <c r="AD9" i="20"/>
  <c r="AD23" i="20" s="1"/>
  <c r="AD27" i="20" s="1"/>
  <c r="AC9" i="20"/>
  <c r="Z9" i="20"/>
  <c r="W9" i="20"/>
  <c r="E9" i="20"/>
  <c r="E10" i="20" s="1"/>
  <c r="HB8" i="20"/>
  <c r="GY8" i="20"/>
  <c r="GV8" i="20"/>
  <c r="GM8" i="20"/>
  <c r="GJ8" i="20"/>
  <c r="GJ6" i="20" s="1"/>
  <c r="GG8" i="20"/>
  <c r="GG6" i="20" s="1"/>
  <c r="FI8" i="20"/>
  <c r="FF8" i="20"/>
  <c r="FF6" i="20" s="1"/>
  <c r="FC8" i="20"/>
  <c r="FC6" i="20" s="1"/>
  <c r="EW8" i="20"/>
  <c r="ET8" i="20"/>
  <c r="ET6" i="20" s="1"/>
  <c r="EQ8" i="20"/>
  <c r="EN8" i="20"/>
  <c r="EE8" i="20"/>
  <c r="EE6" i="20" s="1"/>
  <c r="EB8" i="20"/>
  <c r="EB6" i="20" s="1"/>
  <c r="DY8" i="20"/>
  <c r="DY6" i="20" s="1"/>
  <c r="DV8" i="20"/>
  <c r="DS8" i="20"/>
  <c r="DP8" i="20"/>
  <c r="DM8" i="20"/>
  <c r="DJ8" i="20"/>
  <c r="DJ6" i="20" s="1"/>
  <c r="DG8" i="20"/>
  <c r="CX8" i="20"/>
  <c r="CU8" i="20"/>
  <c r="CO8" i="20"/>
  <c r="CL8" i="20"/>
  <c r="CI8" i="20"/>
  <c r="CF8" i="20"/>
  <c r="CC8" i="20"/>
  <c r="BZ8" i="20"/>
  <c r="BW8" i="20"/>
  <c r="BT8" i="20"/>
  <c r="BQ8" i="20"/>
  <c r="BN8" i="20"/>
  <c r="BK8" i="20"/>
  <c r="BH8" i="20"/>
  <c r="BE8" i="20"/>
  <c r="BB8" i="20"/>
  <c r="AY8" i="20"/>
  <c r="AV8" i="20"/>
  <c r="AS8" i="20"/>
  <c r="AP8" i="20"/>
  <c r="AM8" i="20"/>
  <c r="AJ8" i="20"/>
  <c r="AG8" i="20"/>
  <c r="AF8" i="20"/>
  <c r="AE8" i="20"/>
  <c r="AD8" i="20"/>
  <c r="AC8" i="20"/>
  <c r="Z8" i="20"/>
  <c r="W8" i="20"/>
  <c r="E8" i="20"/>
  <c r="HE7" i="20"/>
  <c r="HE8" i="20" s="1"/>
  <c r="HB7" i="20"/>
  <c r="HB5" i="20" s="1"/>
  <c r="GY7" i="20"/>
  <c r="GY5" i="20" s="1"/>
  <c r="GV7" i="20"/>
  <c r="GV5" i="20" s="1"/>
  <c r="GM7" i="20"/>
  <c r="GJ7" i="20"/>
  <c r="GG7" i="20"/>
  <c r="FR7" i="20"/>
  <c r="FI7" i="20"/>
  <c r="FI5" i="20" s="1"/>
  <c r="FF7" i="20"/>
  <c r="FF5" i="20" s="1"/>
  <c r="FC7" i="20"/>
  <c r="FC5" i="20" s="1"/>
  <c r="ET7" i="20"/>
  <c r="EQ7" i="20"/>
  <c r="EN7" i="20"/>
  <c r="EE7" i="20"/>
  <c r="EE5" i="20" s="1"/>
  <c r="EE2" i="20" s="1"/>
  <c r="EB7" i="20"/>
  <c r="EB5" i="20" s="1"/>
  <c r="DY7" i="20"/>
  <c r="DY5" i="20" s="1"/>
  <c r="DM7" i="20"/>
  <c r="DM5" i="20" s="1"/>
  <c r="DJ7" i="20"/>
  <c r="DJ5" i="20" s="1"/>
  <c r="CX7" i="20"/>
  <c r="CX6" i="20" s="1"/>
  <c r="CU7" i="20"/>
  <c r="CL7" i="20"/>
  <c r="CI7" i="20"/>
  <c r="CF7" i="20"/>
  <c r="CC7" i="20"/>
  <c r="BZ7" i="20"/>
  <c r="BW7" i="20"/>
  <c r="BT7" i="20"/>
  <c r="BQ7" i="20"/>
  <c r="BN7" i="20"/>
  <c r="BK7" i="20"/>
  <c r="BH7" i="20"/>
  <c r="BE7" i="20"/>
  <c r="BB7" i="20"/>
  <c r="AY7" i="20"/>
  <c r="AV7" i="20"/>
  <c r="AS7" i="20"/>
  <c r="AP7" i="20"/>
  <c r="AM7" i="20"/>
  <c r="AJ7" i="20"/>
  <c r="AG7" i="20"/>
  <c r="AF7" i="20"/>
  <c r="AE7" i="20"/>
  <c r="AD7" i="20"/>
  <c r="AC7" i="20"/>
  <c r="Z7" i="20"/>
  <c r="W7" i="20"/>
  <c r="E7" i="20"/>
  <c r="HB6" i="20"/>
  <c r="GY6" i="20"/>
  <c r="GV6" i="20"/>
  <c r="GS6" i="20"/>
  <c r="GP6" i="20"/>
  <c r="GM6" i="20"/>
  <c r="GD6" i="20"/>
  <c r="GA6" i="20"/>
  <c r="FU6" i="20"/>
  <c r="FR6" i="20"/>
  <c r="FL6" i="20"/>
  <c r="FI6" i="20"/>
  <c r="EZ6" i="20"/>
  <c r="EW6" i="20"/>
  <c r="EQ6" i="20"/>
  <c r="EN6" i="20"/>
  <c r="EK6" i="20"/>
  <c r="EH6" i="20"/>
  <c r="DV6" i="20"/>
  <c r="DS6" i="20"/>
  <c r="DP6" i="20"/>
  <c r="DM6" i="20"/>
  <c r="DD6" i="20"/>
  <c r="CU6" i="20"/>
  <c r="CR6" i="20"/>
  <c r="CO6" i="20"/>
  <c r="CL6" i="20"/>
  <c r="CC6" i="20"/>
  <c r="BZ6" i="20"/>
  <c r="BW6" i="20"/>
  <c r="BT6" i="20"/>
  <c r="BH6" i="20"/>
  <c r="BH2" i="20" s="1"/>
  <c r="BE6" i="20"/>
  <c r="BB6" i="20"/>
  <c r="AY6" i="20"/>
  <c r="AV6" i="20"/>
  <c r="AS6" i="20"/>
  <c r="AS2" i="20" s="1"/>
  <c r="AP6" i="20"/>
  <c r="AP2" i="20" s="1"/>
  <c r="AM6" i="20"/>
  <c r="AM2" i="20" s="1"/>
  <c r="AJ6" i="20"/>
  <c r="AJ2" i="20" s="1"/>
  <c r="E6" i="20"/>
  <c r="GS5" i="20"/>
  <c r="GP5" i="20"/>
  <c r="GM5" i="20"/>
  <c r="GJ5" i="20"/>
  <c r="GG5" i="20"/>
  <c r="GD5" i="20"/>
  <c r="GA5" i="20"/>
  <c r="GA7" i="20" s="1"/>
  <c r="FX5" i="20"/>
  <c r="FU5" i="20"/>
  <c r="FR5" i="20"/>
  <c r="FO5" i="20"/>
  <c r="FL5" i="20"/>
  <c r="FL7" i="20" s="1"/>
  <c r="EZ5" i="20"/>
  <c r="EW5" i="20"/>
  <c r="ET5" i="20"/>
  <c r="EQ5" i="20"/>
  <c r="EN5" i="20"/>
  <c r="EK5" i="20"/>
  <c r="EH5" i="20"/>
  <c r="DV5" i="20"/>
  <c r="DS5" i="20"/>
  <c r="DS7" i="20" s="1"/>
  <c r="DP5" i="20"/>
  <c r="DP2" i="20" s="1"/>
  <c r="DD5" i="20"/>
  <c r="CX5" i="20"/>
  <c r="CU5" i="20"/>
  <c r="CU15" i="20" s="1"/>
  <c r="CR5" i="20"/>
  <c r="CO5" i="20"/>
  <c r="CL5" i="20"/>
  <c r="CI5" i="20"/>
  <c r="CF5" i="20"/>
  <c r="CC5" i="20"/>
  <c r="BZ5" i="20"/>
  <c r="BW5" i="20"/>
  <c r="BT5" i="20"/>
  <c r="BQ5" i="20"/>
  <c r="BN5" i="20"/>
  <c r="BK5" i="20"/>
  <c r="BH5" i="20"/>
  <c r="BE5" i="20"/>
  <c r="BB5" i="20"/>
  <c r="AY5" i="20"/>
  <c r="AY2" i="20" s="1"/>
  <c r="AV5" i="20"/>
  <c r="AS5" i="20"/>
  <c r="AP5" i="20"/>
  <c r="AM5" i="20"/>
  <c r="AJ5" i="20"/>
  <c r="AG5" i="20"/>
  <c r="AF5" i="20"/>
  <c r="AF30" i="20" s="1"/>
  <c r="AE5" i="20"/>
  <c r="AE30" i="20" s="1"/>
  <c r="AD5" i="20"/>
  <c r="AD30" i="20" s="1"/>
  <c r="AC5" i="20"/>
  <c r="Z5" i="20"/>
  <c r="Z19" i="20" s="1"/>
  <c r="W5" i="20"/>
  <c r="E5" i="20"/>
  <c r="FX2" i="20"/>
  <c r="CC2" i="20"/>
  <c r="BE2" i="20"/>
  <c r="BB2" i="20"/>
  <c r="E55" i="19"/>
  <c r="E54" i="19"/>
  <c r="DA52" i="19"/>
  <c r="E52" i="19"/>
  <c r="DA51" i="19"/>
  <c r="E51" i="19"/>
  <c r="DA50" i="19"/>
  <c r="CU50" i="19"/>
  <c r="DA49" i="19"/>
  <c r="DA24" i="19" s="1"/>
  <c r="CU49" i="19"/>
  <c r="E49" i="19"/>
  <c r="CU48" i="19"/>
  <c r="E48" i="19"/>
  <c r="CU47" i="19"/>
  <c r="E47" i="19"/>
  <c r="Z46" i="19"/>
  <c r="E46" i="19"/>
  <c r="DA45" i="19"/>
  <c r="Z45" i="19"/>
  <c r="Z40" i="19" s="1"/>
  <c r="E45" i="19"/>
  <c r="DA43" i="19"/>
  <c r="Z43" i="19"/>
  <c r="W43" i="19"/>
  <c r="DA42" i="19"/>
  <c r="CU42" i="19"/>
  <c r="Z42" i="19"/>
  <c r="W42" i="19"/>
  <c r="HE41" i="19"/>
  <c r="DA41" i="19"/>
  <c r="DA26" i="19" s="1"/>
  <c r="CU41" i="19"/>
  <c r="HE40" i="19"/>
  <c r="DA40" i="19"/>
  <c r="CU40" i="19"/>
  <c r="E40" i="19"/>
  <c r="HE39" i="19"/>
  <c r="DA39" i="19"/>
  <c r="CU39" i="19"/>
  <c r="E39" i="19"/>
  <c r="HE38" i="19"/>
  <c r="DA38" i="19"/>
  <c r="CU38" i="19"/>
  <c r="HE37" i="19"/>
  <c r="HE42" i="19" s="1"/>
  <c r="DA37" i="19"/>
  <c r="CU37" i="19"/>
  <c r="BZ37" i="19"/>
  <c r="BN37" i="19"/>
  <c r="BK37" i="19"/>
  <c r="BE37" i="19"/>
  <c r="BB37" i="19"/>
  <c r="AV37" i="19"/>
  <c r="AS37" i="19"/>
  <c r="AM37" i="19"/>
  <c r="AJ37" i="19"/>
  <c r="Z37" i="19"/>
  <c r="W37" i="19"/>
  <c r="E37" i="19"/>
  <c r="HE36" i="19"/>
  <c r="DA36" i="19"/>
  <c r="CU36" i="19"/>
  <c r="BZ36" i="19"/>
  <c r="BN36" i="19"/>
  <c r="BK36" i="19"/>
  <c r="BE36" i="19"/>
  <c r="BB36" i="19"/>
  <c r="AV36" i="19"/>
  <c r="AS36" i="19"/>
  <c r="AM36" i="19"/>
  <c r="AJ36" i="19"/>
  <c r="AG36" i="19"/>
  <c r="AF36" i="19"/>
  <c r="AE36" i="19"/>
  <c r="AD36" i="19"/>
  <c r="AC36" i="19"/>
  <c r="Z36" i="19"/>
  <c r="W36" i="19"/>
  <c r="E36" i="19"/>
  <c r="HE35" i="19"/>
  <c r="DA35" i="19"/>
  <c r="CU35" i="19"/>
  <c r="BZ35" i="19"/>
  <c r="BN35" i="19"/>
  <c r="BK35" i="19"/>
  <c r="BE35" i="19"/>
  <c r="BB35" i="19"/>
  <c r="AV35" i="19"/>
  <c r="AS35" i="19"/>
  <c r="AM35" i="19"/>
  <c r="AJ35" i="19"/>
  <c r="AG35" i="19"/>
  <c r="AF35" i="19"/>
  <c r="AE35" i="19"/>
  <c r="AD35" i="19"/>
  <c r="AC35" i="19"/>
  <c r="Z35" i="19"/>
  <c r="W35" i="19"/>
  <c r="E35" i="19"/>
  <c r="HE34" i="19"/>
  <c r="DA34" i="19"/>
  <c r="CU34" i="19"/>
  <c r="CO34" i="19"/>
  <c r="BZ34" i="19"/>
  <c r="BW34" i="19"/>
  <c r="BN34" i="19"/>
  <c r="BK34" i="19"/>
  <c r="BE34" i="19"/>
  <c r="BB34" i="19"/>
  <c r="AV34" i="19"/>
  <c r="AS34" i="19"/>
  <c r="AM34" i="19"/>
  <c r="AJ34" i="19"/>
  <c r="Z34" i="19"/>
  <c r="W34" i="19"/>
  <c r="E34" i="19"/>
  <c r="HE33" i="19"/>
  <c r="DA33" i="19"/>
  <c r="CU33" i="19"/>
  <c r="CU43" i="19" s="1"/>
  <c r="CO33" i="19"/>
  <c r="CF33" i="19"/>
  <c r="CC33" i="19"/>
  <c r="BW33" i="19"/>
  <c r="BN33" i="19"/>
  <c r="BK33" i="19"/>
  <c r="BE33" i="19"/>
  <c r="BB33" i="19"/>
  <c r="AV33" i="19"/>
  <c r="AS33" i="19"/>
  <c r="AM33" i="19"/>
  <c r="AJ33" i="19"/>
  <c r="AF33" i="19"/>
  <c r="Z33" i="19"/>
  <c r="W33" i="19"/>
  <c r="E33" i="19"/>
  <c r="DA32" i="19"/>
  <c r="CU32" i="19"/>
  <c r="CO32" i="19"/>
  <c r="CF32" i="19"/>
  <c r="CC32" i="19"/>
  <c r="BW32" i="19"/>
  <c r="BN32" i="19"/>
  <c r="BK32" i="19"/>
  <c r="BE32" i="19"/>
  <c r="BB32" i="19"/>
  <c r="AV32" i="19"/>
  <c r="AS32" i="19"/>
  <c r="AM32" i="19"/>
  <c r="AJ32" i="19"/>
  <c r="AE32" i="19"/>
  <c r="AD32" i="19"/>
  <c r="AC32" i="19"/>
  <c r="Z32" i="19"/>
  <c r="W32" i="19"/>
  <c r="HE31" i="19"/>
  <c r="DA31" i="19"/>
  <c r="CU31" i="19"/>
  <c r="CU26" i="19" s="1"/>
  <c r="CO31" i="19"/>
  <c r="CF31" i="19"/>
  <c r="CC31" i="19"/>
  <c r="BW31" i="19"/>
  <c r="BN31" i="19"/>
  <c r="BK31" i="19"/>
  <c r="BE31" i="19"/>
  <c r="BB31" i="19"/>
  <c r="AV31" i="19"/>
  <c r="AS31" i="19"/>
  <c r="AM31" i="19"/>
  <c r="AJ31" i="19"/>
  <c r="Z31" i="19"/>
  <c r="W31" i="19"/>
  <c r="HE30" i="19"/>
  <c r="DA30" i="19"/>
  <c r="CU30" i="19"/>
  <c r="CO30" i="19"/>
  <c r="CF30" i="19"/>
  <c r="CC30" i="19"/>
  <c r="BZ30" i="19"/>
  <c r="BZ10" i="19" s="1"/>
  <c r="BW30" i="19"/>
  <c r="BN30" i="19"/>
  <c r="BK30" i="19"/>
  <c r="BE30" i="19"/>
  <c r="BB30" i="19"/>
  <c r="AS30" i="19"/>
  <c r="AM30" i="19"/>
  <c r="AJ30" i="19"/>
  <c r="Z30" i="19"/>
  <c r="W30" i="19"/>
  <c r="HE29" i="19"/>
  <c r="DA29" i="19"/>
  <c r="CU29" i="19"/>
  <c r="CO29" i="19"/>
  <c r="CF29" i="19"/>
  <c r="CC29" i="19"/>
  <c r="BZ29" i="19"/>
  <c r="BN29" i="19"/>
  <c r="BK29" i="19"/>
  <c r="BE29" i="19"/>
  <c r="BB29" i="19"/>
  <c r="BB25" i="19" s="1"/>
  <c r="AV29" i="19"/>
  <c r="AV25" i="19" s="1"/>
  <c r="AS29" i="19"/>
  <c r="AM29" i="19"/>
  <c r="AJ29" i="19"/>
  <c r="Z29" i="19"/>
  <c r="DA28" i="19"/>
  <c r="CX28" i="19"/>
  <c r="CU28" i="19"/>
  <c r="CO28" i="19"/>
  <c r="CL28" i="19"/>
  <c r="CF28" i="19"/>
  <c r="CC28" i="19"/>
  <c r="BZ28" i="19"/>
  <c r="BT28" i="19"/>
  <c r="BN28" i="19"/>
  <c r="BK28" i="19"/>
  <c r="BE28" i="19"/>
  <c r="BB28" i="19"/>
  <c r="AV28" i="19"/>
  <c r="AS28" i="19"/>
  <c r="AM28" i="19"/>
  <c r="AJ28" i="19"/>
  <c r="Z28" i="19"/>
  <c r="W28" i="19"/>
  <c r="E28" i="19"/>
  <c r="E20" i="19" s="1"/>
  <c r="HE27" i="19"/>
  <c r="HE28" i="19" s="1"/>
  <c r="HB27" i="19"/>
  <c r="GM27" i="19"/>
  <c r="FI27" i="19"/>
  <c r="ET27" i="19"/>
  <c r="EE27" i="19"/>
  <c r="DA27" i="19"/>
  <c r="CX27" i="19"/>
  <c r="CU27" i="19"/>
  <c r="CU25" i="19" s="1"/>
  <c r="CO27" i="19"/>
  <c r="CO25" i="19" s="1"/>
  <c r="CL27" i="19"/>
  <c r="CF27" i="19"/>
  <c r="CC27" i="19"/>
  <c r="BZ27" i="19"/>
  <c r="BT27" i="19"/>
  <c r="BN27" i="19"/>
  <c r="BN26" i="19" s="1"/>
  <c r="BK27" i="19"/>
  <c r="BK26" i="19" s="1"/>
  <c r="BE27" i="19"/>
  <c r="BE26" i="19" s="1"/>
  <c r="BB27" i="19"/>
  <c r="BB26" i="19" s="1"/>
  <c r="AV27" i="19"/>
  <c r="AS27" i="19"/>
  <c r="AM27" i="19"/>
  <c r="AJ27" i="19"/>
  <c r="Z27" i="19"/>
  <c r="W27" i="19"/>
  <c r="E27" i="19"/>
  <c r="HB26" i="19"/>
  <c r="GM26" i="19"/>
  <c r="FI26" i="19"/>
  <c r="ET26" i="19"/>
  <c r="EE26" i="19"/>
  <c r="EE24" i="19" s="1"/>
  <c r="DP26" i="19"/>
  <c r="DP24" i="19" s="1"/>
  <c r="CX26" i="19"/>
  <c r="CO26" i="19"/>
  <c r="CL26" i="19"/>
  <c r="CF26" i="19"/>
  <c r="CC26" i="19"/>
  <c r="BZ26" i="19"/>
  <c r="BZ17" i="19" s="1"/>
  <c r="BT26" i="19"/>
  <c r="AV26" i="19"/>
  <c r="AS26" i="19"/>
  <c r="AM26" i="19"/>
  <c r="AJ26" i="19"/>
  <c r="E26" i="19"/>
  <c r="HB25" i="19"/>
  <c r="GM25" i="19"/>
  <c r="FI25" i="19"/>
  <c r="ET25" i="19"/>
  <c r="EE25" i="19"/>
  <c r="EE23" i="19" s="1"/>
  <c r="DP25" i="19"/>
  <c r="DP23" i="19" s="1"/>
  <c r="DG25" i="19"/>
  <c r="DA25" i="19"/>
  <c r="CX25" i="19"/>
  <c r="CL25" i="19"/>
  <c r="CF25" i="19"/>
  <c r="CC25" i="19"/>
  <c r="CC24" i="19" s="1"/>
  <c r="BZ25" i="19"/>
  <c r="BW25" i="19"/>
  <c r="BT25" i="19"/>
  <c r="BE25" i="19"/>
  <c r="AS25" i="19"/>
  <c r="AM25" i="19"/>
  <c r="AM21" i="19" s="1"/>
  <c r="AJ25" i="19"/>
  <c r="AG25" i="19"/>
  <c r="AF25" i="19"/>
  <c r="AE25" i="19"/>
  <c r="AD25" i="19"/>
  <c r="AC25" i="19"/>
  <c r="E25" i="19"/>
  <c r="HB24" i="19"/>
  <c r="GM24" i="19"/>
  <c r="ET24" i="19"/>
  <c r="CX24" i="19"/>
  <c r="CR24" i="19"/>
  <c r="CO24" i="19"/>
  <c r="CL24" i="19"/>
  <c r="CF24" i="19"/>
  <c r="BZ24" i="19"/>
  <c r="BW24" i="19"/>
  <c r="BT24" i="19"/>
  <c r="BN24" i="19"/>
  <c r="BK24" i="19"/>
  <c r="BE24" i="19"/>
  <c r="BB24" i="19"/>
  <c r="AV24" i="19"/>
  <c r="AS24" i="19"/>
  <c r="AM24" i="19"/>
  <c r="AJ24" i="19"/>
  <c r="AG24" i="19"/>
  <c r="AG27" i="19" s="1"/>
  <c r="AF24" i="19"/>
  <c r="AE24" i="19"/>
  <c r="AD24" i="19"/>
  <c r="AC24" i="19"/>
  <c r="E24" i="19"/>
  <c r="E12" i="19" s="1"/>
  <c r="HB23" i="19"/>
  <c r="GM23" i="19"/>
  <c r="FI23" i="19"/>
  <c r="ET23" i="19"/>
  <c r="DG23" i="19"/>
  <c r="DG20" i="19" s="1"/>
  <c r="DD23" i="19"/>
  <c r="CX23" i="19"/>
  <c r="CR23" i="19"/>
  <c r="CO23" i="19"/>
  <c r="CL23" i="19"/>
  <c r="CF23" i="19"/>
  <c r="CC23" i="19"/>
  <c r="BZ23" i="19"/>
  <c r="BW23" i="19"/>
  <c r="BT23" i="19"/>
  <c r="AG23" i="19"/>
  <c r="AD23" i="19"/>
  <c r="AD27" i="19" s="1"/>
  <c r="E23" i="19"/>
  <c r="HB22" i="19"/>
  <c r="GM22" i="19"/>
  <c r="FI22" i="19"/>
  <c r="FI16" i="19" s="1"/>
  <c r="ET22" i="19"/>
  <c r="ET16" i="19" s="1"/>
  <c r="EE22" i="19"/>
  <c r="DP22" i="19"/>
  <c r="DP16" i="19" s="1"/>
  <c r="DG22" i="19"/>
  <c r="DD22" i="19"/>
  <c r="CF22" i="19"/>
  <c r="CC22" i="19"/>
  <c r="BZ22" i="19"/>
  <c r="BW22" i="19"/>
  <c r="BT22" i="19"/>
  <c r="BT10" i="19" s="1"/>
  <c r="AG22" i="19"/>
  <c r="AF22" i="19"/>
  <c r="AE22" i="19"/>
  <c r="AD22" i="19"/>
  <c r="AC22" i="19"/>
  <c r="HB21" i="19"/>
  <c r="GM21" i="19"/>
  <c r="FI21" i="19"/>
  <c r="ET21" i="19"/>
  <c r="EE21" i="19"/>
  <c r="DP21" i="19"/>
  <c r="DG21" i="19"/>
  <c r="DD21" i="19"/>
  <c r="BZ21" i="19"/>
  <c r="BW21" i="19"/>
  <c r="AG21" i="19"/>
  <c r="AF21" i="19"/>
  <c r="AE21" i="19"/>
  <c r="AD21" i="19"/>
  <c r="AC21" i="19"/>
  <c r="Z21" i="19"/>
  <c r="W21" i="19"/>
  <c r="GA20" i="19"/>
  <c r="FL20" i="19"/>
  <c r="EW20" i="19"/>
  <c r="EH20" i="19"/>
  <c r="DS20" i="19"/>
  <c r="DD20" i="19"/>
  <c r="BZ20" i="19"/>
  <c r="BW20" i="19"/>
  <c r="AG20" i="19"/>
  <c r="AF20" i="19"/>
  <c r="AE20" i="19"/>
  <c r="AD20" i="19"/>
  <c r="AC20" i="19"/>
  <c r="Z20" i="19"/>
  <c r="W20" i="19"/>
  <c r="HB19" i="19"/>
  <c r="GP19" i="19"/>
  <c r="GM19" i="19"/>
  <c r="GA19" i="19"/>
  <c r="FL19" i="19"/>
  <c r="FI19" i="19"/>
  <c r="EW19" i="19"/>
  <c r="ET19" i="19"/>
  <c r="EH19" i="19"/>
  <c r="EE19" i="19"/>
  <c r="DS19" i="19"/>
  <c r="DP19" i="19"/>
  <c r="DP11" i="19" s="1"/>
  <c r="DP6" i="19" s="1"/>
  <c r="DG19" i="19"/>
  <c r="DD19" i="19"/>
  <c r="BZ19" i="19"/>
  <c r="BW19" i="19"/>
  <c r="AG19" i="19"/>
  <c r="AF19" i="19"/>
  <c r="AE19" i="19"/>
  <c r="AD19" i="19"/>
  <c r="AC19" i="19"/>
  <c r="HB18" i="19"/>
  <c r="GP18" i="19"/>
  <c r="GM18" i="19"/>
  <c r="GA18" i="19"/>
  <c r="FL18" i="19"/>
  <c r="FI18" i="19"/>
  <c r="EW18" i="19"/>
  <c r="ET18" i="19"/>
  <c r="EH18" i="19"/>
  <c r="EE18" i="19"/>
  <c r="DS18" i="19"/>
  <c r="DP18" i="19"/>
  <c r="DG18" i="19"/>
  <c r="CX18" i="19"/>
  <c r="BZ18" i="19"/>
  <c r="BZ16" i="19" s="1"/>
  <c r="BW18" i="19"/>
  <c r="BW16" i="19" s="1"/>
  <c r="BQ18" i="19"/>
  <c r="BN18" i="19"/>
  <c r="BK18" i="19"/>
  <c r="BH18" i="19"/>
  <c r="BE18" i="19"/>
  <c r="BB18" i="19"/>
  <c r="AY18" i="19"/>
  <c r="AV18" i="19"/>
  <c r="AS18" i="19"/>
  <c r="AP18" i="19"/>
  <c r="AM18" i="19"/>
  <c r="AJ18" i="19"/>
  <c r="AG18" i="19"/>
  <c r="AF18" i="19"/>
  <c r="AE18" i="19"/>
  <c r="AD18" i="19"/>
  <c r="AC18" i="19"/>
  <c r="E18" i="19"/>
  <c r="HB17" i="19"/>
  <c r="GP17" i="19"/>
  <c r="GM17" i="19"/>
  <c r="GA17" i="19"/>
  <c r="FL17" i="19"/>
  <c r="FI17" i="19"/>
  <c r="EW17" i="19"/>
  <c r="ET17" i="19"/>
  <c r="EH17" i="19"/>
  <c r="EH8" i="19" s="1"/>
  <c r="EE17" i="19"/>
  <c r="DY17" i="19"/>
  <c r="DS17" i="19"/>
  <c r="DP17" i="19"/>
  <c r="DG17" i="19"/>
  <c r="CX17" i="19"/>
  <c r="BW17" i="19"/>
  <c r="BT17" i="19"/>
  <c r="BQ17" i="19"/>
  <c r="BN17" i="19"/>
  <c r="BK17" i="19"/>
  <c r="BH17" i="19"/>
  <c r="BH2" i="19" s="1"/>
  <c r="BE17" i="19"/>
  <c r="BB17" i="19"/>
  <c r="AY17" i="19"/>
  <c r="AV17" i="19"/>
  <c r="AS17" i="19"/>
  <c r="AP17" i="19"/>
  <c r="AM17" i="19"/>
  <c r="AM2" i="19" s="1"/>
  <c r="AJ17" i="19"/>
  <c r="AJ2" i="19" s="1"/>
  <c r="AG17" i="19"/>
  <c r="AF17" i="19"/>
  <c r="AE17" i="19"/>
  <c r="AD17" i="19"/>
  <c r="AC17" i="19"/>
  <c r="Z17" i="19"/>
  <c r="E17" i="19"/>
  <c r="HB16" i="19"/>
  <c r="GV16" i="19"/>
  <c r="GP16" i="19"/>
  <c r="GM16" i="19"/>
  <c r="GG16" i="19"/>
  <c r="FC16" i="19"/>
  <c r="EN16" i="19"/>
  <c r="EN15" i="19" s="1"/>
  <c r="EN17" i="19" s="1"/>
  <c r="EE16" i="19"/>
  <c r="DY16" i="19"/>
  <c r="DY18" i="19" s="1"/>
  <c r="DD16" i="19"/>
  <c r="CX16" i="19"/>
  <c r="CX12" i="19" s="1"/>
  <c r="CO16" i="19"/>
  <c r="CO15" i="19" s="1"/>
  <c r="CI16" i="19"/>
  <c r="CF16" i="19"/>
  <c r="CC16" i="19"/>
  <c r="BT16" i="19"/>
  <c r="BQ16" i="19"/>
  <c r="BN16" i="19"/>
  <c r="BK16" i="19"/>
  <c r="BH16" i="19"/>
  <c r="BE16" i="19"/>
  <c r="BB16" i="19"/>
  <c r="AY16" i="19"/>
  <c r="AV16" i="19"/>
  <c r="AS16" i="19"/>
  <c r="AP16" i="19"/>
  <c r="AM16" i="19"/>
  <c r="AJ16" i="19"/>
  <c r="AG16" i="19"/>
  <c r="AF16" i="19"/>
  <c r="AE16" i="19"/>
  <c r="AD16" i="19"/>
  <c r="AC16" i="19"/>
  <c r="HB15" i="19"/>
  <c r="GV15" i="19"/>
  <c r="GV17" i="19" s="1"/>
  <c r="GM15" i="19"/>
  <c r="GG15" i="19"/>
  <c r="GA15" i="19"/>
  <c r="FL15" i="19"/>
  <c r="FI15" i="19"/>
  <c r="FC15" i="19"/>
  <c r="EW15" i="19"/>
  <c r="ET15" i="19"/>
  <c r="ET2" i="19" s="1"/>
  <c r="EH15" i="19"/>
  <c r="EE15" i="19"/>
  <c r="DY15" i="19"/>
  <c r="DS15" i="19"/>
  <c r="DP15" i="19"/>
  <c r="DP7" i="19" s="1"/>
  <c r="DG15" i="19"/>
  <c r="DD15" i="19"/>
  <c r="CX15" i="19"/>
  <c r="CI15" i="19"/>
  <c r="CF15" i="19"/>
  <c r="CC15" i="19"/>
  <c r="BW15" i="19"/>
  <c r="BT15" i="19"/>
  <c r="BQ15" i="19"/>
  <c r="BN15" i="19"/>
  <c r="BK15" i="19"/>
  <c r="BH15" i="19"/>
  <c r="BE15" i="19"/>
  <c r="BB15" i="19"/>
  <c r="AY15" i="19"/>
  <c r="AV15" i="19"/>
  <c r="AS15" i="19"/>
  <c r="AP15" i="19"/>
  <c r="AM15" i="19"/>
  <c r="AJ15" i="19"/>
  <c r="AG15" i="19"/>
  <c r="AF15" i="19"/>
  <c r="AE15" i="19"/>
  <c r="AD15" i="19"/>
  <c r="AC15" i="19"/>
  <c r="Z15" i="19"/>
  <c r="W15" i="19"/>
  <c r="E15" i="19"/>
  <c r="HB14" i="19"/>
  <c r="GV14" i="19"/>
  <c r="GP14" i="19"/>
  <c r="GM14" i="19"/>
  <c r="GG14" i="19"/>
  <c r="GG17" i="19" s="1"/>
  <c r="FI14" i="19"/>
  <c r="FC14" i="19"/>
  <c r="FC17" i="19" s="1"/>
  <c r="ET14" i="19"/>
  <c r="EN14" i="19"/>
  <c r="EE14" i="19"/>
  <c r="EB14" i="19"/>
  <c r="DY14" i="19"/>
  <c r="DP14" i="19"/>
  <c r="DG14" i="19"/>
  <c r="DD14" i="19"/>
  <c r="CX14" i="19"/>
  <c r="CO14" i="19"/>
  <c r="CO17" i="19" s="1"/>
  <c r="CI14" i="19"/>
  <c r="CF14" i="19"/>
  <c r="CC14" i="19"/>
  <c r="BW14" i="19"/>
  <c r="BT14" i="19"/>
  <c r="BQ14" i="19"/>
  <c r="BN14" i="19"/>
  <c r="BK14" i="19"/>
  <c r="BH14" i="19"/>
  <c r="BE14" i="19"/>
  <c r="BB14" i="19"/>
  <c r="AY14" i="19"/>
  <c r="AV14" i="19"/>
  <c r="AS14" i="19"/>
  <c r="AP14" i="19"/>
  <c r="AM14" i="19"/>
  <c r="AJ14" i="19"/>
  <c r="AG14" i="19"/>
  <c r="AF14" i="19"/>
  <c r="AE14" i="19"/>
  <c r="AD14" i="19"/>
  <c r="AC14" i="19"/>
  <c r="Z14" i="19"/>
  <c r="W14" i="19"/>
  <c r="W17" i="19" s="1"/>
  <c r="E14" i="19"/>
  <c r="HE13" i="19"/>
  <c r="HB13" i="19"/>
  <c r="GY13" i="19"/>
  <c r="GV13" i="19"/>
  <c r="GP13" i="19"/>
  <c r="GM13" i="19"/>
  <c r="GJ13" i="19"/>
  <c r="GG13" i="19"/>
  <c r="GA13" i="19"/>
  <c r="FL13" i="19"/>
  <c r="FI13" i="19"/>
  <c r="FF13" i="19"/>
  <c r="FC13" i="19"/>
  <c r="EW13" i="19"/>
  <c r="ET13" i="19"/>
  <c r="EQ13" i="19"/>
  <c r="EN13" i="19"/>
  <c r="EH13" i="19"/>
  <c r="EE13" i="19"/>
  <c r="EB13" i="19"/>
  <c r="DY13" i="19"/>
  <c r="DP13" i="19"/>
  <c r="DG13" i="19"/>
  <c r="DD13" i="19"/>
  <c r="CX13" i="19"/>
  <c r="CU13" i="19"/>
  <c r="CU12" i="19" s="1"/>
  <c r="CO13" i="19"/>
  <c r="CI13" i="19"/>
  <c r="CF13" i="19"/>
  <c r="CC13" i="19"/>
  <c r="BW13" i="19"/>
  <c r="BT13" i="19"/>
  <c r="BQ13" i="19"/>
  <c r="BN13" i="19"/>
  <c r="BK13" i="19"/>
  <c r="BH13" i="19"/>
  <c r="BE13" i="19"/>
  <c r="BB13" i="19"/>
  <c r="AY13" i="19"/>
  <c r="AV13" i="19"/>
  <c r="AS13" i="19"/>
  <c r="AP13" i="19"/>
  <c r="AM13" i="19"/>
  <c r="AJ13" i="19"/>
  <c r="AG13" i="19"/>
  <c r="AF13" i="19"/>
  <c r="AE13" i="19"/>
  <c r="AD13" i="19"/>
  <c r="AC13" i="19"/>
  <c r="Z13" i="19"/>
  <c r="W13" i="19"/>
  <c r="E13" i="19"/>
  <c r="HB12" i="19"/>
  <c r="GY12" i="19"/>
  <c r="GV12" i="19"/>
  <c r="GP12" i="19"/>
  <c r="GM12" i="19"/>
  <c r="GJ12" i="19"/>
  <c r="GG12" i="19"/>
  <c r="GA12" i="19"/>
  <c r="FL12" i="19"/>
  <c r="FI12" i="19"/>
  <c r="FF12" i="19"/>
  <c r="FC12" i="19"/>
  <c r="EW12" i="19"/>
  <c r="ET12" i="19"/>
  <c r="EQ12" i="19"/>
  <c r="EN12" i="19"/>
  <c r="EH12" i="19"/>
  <c r="EE12" i="19"/>
  <c r="EB12" i="19"/>
  <c r="DY12" i="19"/>
  <c r="DS12" i="19"/>
  <c r="DP12" i="19"/>
  <c r="DJ12" i="19"/>
  <c r="DG12" i="19"/>
  <c r="DD12" i="19"/>
  <c r="CO12" i="19"/>
  <c r="CI12" i="19"/>
  <c r="CF12" i="19"/>
  <c r="CC12" i="19"/>
  <c r="BZ12" i="19"/>
  <c r="BT12" i="19"/>
  <c r="BQ12" i="19"/>
  <c r="BN12" i="19"/>
  <c r="BK12" i="19"/>
  <c r="BH12" i="19"/>
  <c r="BE12" i="19"/>
  <c r="BB12" i="19"/>
  <c r="AY12" i="19"/>
  <c r="AV12" i="19"/>
  <c r="AS12" i="19"/>
  <c r="AP12" i="19"/>
  <c r="AM12" i="19"/>
  <c r="AJ12" i="19"/>
  <c r="AG12" i="19"/>
  <c r="AF12" i="19"/>
  <c r="Z12" i="19"/>
  <c r="W12" i="19"/>
  <c r="HE11" i="19"/>
  <c r="HB11" i="19"/>
  <c r="GY11" i="19"/>
  <c r="GV11" i="19"/>
  <c r="GP11" i="19"/>
  <c r="GM11" i="19"/>
  <c r="GJ11" i="19"/>
  <c r="GG11" i="19"/>
  <c r="GA11" i="19"/>
  <c r="FL11" i="19"/>
  <c r="FI11" i="19"/>
  <c r="FF11" i="19"/>
  <c r="FC11" i="19"/>
  <c r="EW11" i="19"/>
  <c r="EW8" i="19" s="1"/>
  <c r="ET11" i="19"/>
  <c r="EQ11" i="19"/>
  <c r="EN11" i="19"/>
  <c r="EH11" i="19"/>
  <c r="DS11" i="19"/>
  <c r="DJ11" i="19"/>
  <c r="DD11" i="19"/>
  <c r="CX11" i="19"/>
  <c r="CO11" i="19"/>
  <c r="CI11" i="19"/>
  <c r="CF11" i="19"/>
  <c r="CC11" i="19"/>
  <c r="BZ11" i="19"/>
  <c r="BT11" i="19"/>
  <c r="BQ11" i="19"/>
  <c r="BN11" i="19"/>
  <c r="BK11" i="19"/>
  <c r="BH11" i="19"/>
  <c r="BE11" i="19"/>
  <c r="BB11" i="19"/>
  <c r="AY11" i="19"/>
  <c r="AV11" i="19"/>
  <c r="AS11" i="19"/>
  <c r="AP11" i="19"/>
  <c r="AM11" i="19"/>
  <c r="AJ11" i="19"/>
  <c r="AG11" i="19"/>
  <c r="AF11" i="19"/>
  <c r="Z11" i="19"/>
  <c r="Z16" i="19" s="1"/>
  <c r="W11" i="19"/>
  <c r="W18" i="19" s="1"/>
  <c r="E11" i="19"/>
  <c r="HE10" i="19"/>
  <c r="HB10" i="19"/>
  <c r="GY10" i="19"/>
  <c r="GV10" i="19"/>
  <c r="GP10" i="19"/>
  <c r="GM10" i="19"/>
  <c r="GJ10" i="19"/>
  <c r="GG10" i="19"/>
  <c r="GA10" i="19"/>
  <c r="GA8" i="19" s="1"/>
  <c r="FR10" i="19"/>
  <c r="FL10" i="19"/>
  <c r="FL8" i="19" s="1"/>
  <c r="FI10" i="19"/>
  <c r="FF10" i="19"/>
  <c r="FC10" i="19"/>
  <c r="EW10" i="19"/>
  <c r="ET10" i="19"/>
  <c r="EQ10" i="19"/>
  <c r="EN10" i="19"/>
  <c r="EH10" i="19"/>
  <c r="EE10" i="19"/>
  <c r="EB10" i="19"/>
  <c r="DY10" i="19"/>
  <c r="DS10" i="19"/>
  <c r="DP10" i="19"/>
  <c r="DJ10" i="19"/>
  <c r="DG10" i="19"/>
  <c r="DD10" i="19"/>
  <c r="CU10" i="19"/>
  <c r="CO10" i="19"/>
  <c r="CL10" i="19"/>
  <c r="CI10" i="19"/>
  <c r="CI6" i="19" s="1"/>
  <c r="CI2" i="19" s="1"/>
  <c r="CF10" i="19"/>
  <c r="CF6" i="19" s="1"/>
  <c r="CC10" i="19"/>
  <c r="CC6" i="19" s="1"/>
  <c r="BQ10" i="19"/>
  <c r="BN10" i="19"/>
  <c r="BN9" i="19" s="1"/>
  <c r="BK10" i="19"/>
  <c r="BK9" i="19" s="1"/>
  <c r="BH10" i="19"/>
  <c r="BE10" i="19"/>
  <c r="BB10" i="19"/>
  <c r="AY10" i="19"/>
  <c r="AV10" i="19"/>
  <c r="AS10" i="19"/>
  <c r="AP10" i="19"/>
  <c r="AM10" i="19"/>
  <c r="AG10" i="19"/>
  <c r="AF10" i="19"/>
  <c r="Z10" i="19"/>
  <c r="W10" i="19"/>
  <c r="HE9" i="19"/>
  <c r="HB9" i="19"/>
  <c r="GY9" i="19"/>
  <c r="GV9" i="19"/>
  <c r="GP9" i="19"/>
  <c r="GP8" i="19" s="1"/>
  <c r="GM9" i="19"/>
  <c r="GJ9" i="19"/>
  <c r="GG9" i="19"/>
  <c r="GA9" i="19"/>
  <c r="FR9" i="19"/>
  <c r="FL9" i="19"/>
  <c r="FI9" i="19"/>
  <c r="FF9" i="19"/>
  <c r="FC9" i="19"/>
  <c r="EW9" i="19"/>
  <c r="ET9" i="19"/>
  <c r="EQ9" i="19"/>
  <c r="EN9" i="19"/>
  <c r="EH9" i="19"/>
  <c r="EE9" i="19"/>
  <c r="EB9" i="19"/>
  <c r="DY9" i="19"/>
  <c r="DS9" i="19"/>
  <c r="DP9" i="19"/>
  <c r="DJ9" i="19"/>
  <c r="DG9" i="19"/>
  <c r="DD9" i="19"/>
  <c r="CX9" i="19"/>
  <c r="CX10" i="19" s="1"/>
  <c r="CU9" i="19"/>
  <c r="CO9" i="19"/>
  <c r="CO7" i="19" s="1"/>
  <c r="CL9" i="19"/>
  <c r="CI9" i="19"/>
  <c r="CF9" i="19"/>
  <c r="CC9" i="19"/>
  <c r="BZ9" i="19"/>
  <c r="BW9" i="19"/>
  <c r="BQ9" i="19"/>
  <c r="BH9" i="19"/>
  <c r="BE9" i="19"/>
  <c r="BB9" i="19"/>
  <c r="AY9" i="19"/>
  <c r="AV9" i="19"/>
  <c r="AS9" i="19"/>
  <c r="AP9" i="19"/>
  <c r="AM9" i="19"/>
  <c r="AJ9" i="19"/>
  <c r="AG9" i="19"/>
  <c r="AF9" i="19"/>
  <c r="AF23" i="19" s="1"/>
  <c r="AF27" i="19" s="1"/>
  <c r="AE9" i="19"/>
  <c r="AE23" i="19" s="1"/>
  <c r="AE27" i="19" s="1"/>
  <c r="AD9" i="19"/>
  <c r="AC9" i="19"/>
  <c r="AC23" i="19" s="1"/>
  <c r="AC27" i="19" s="1"/>
  <c r="Z9" i="19"/>
  <c r="W9" i="19"/>
  <c r="E9" i="19"/>
  <c r="E10" i="19" s="1"/>
  <c r="HE8" i="19"/>
  <c r="HB8" i="19"/>
  <c r="GY8" i="19"/>
  <c r="GY6" i="19" s="1"/>
  <c r="GV8" i="19"/>
  <c r="GM8" i="19"/>
  <c r="GM6" i="19" s="1"/>
  <c r="GJ8" i="19"/>
  <c r="GJ6" i="19" s="1"/>
  <c r="GG8" i="19"/>
  <c r="GG6" i="19" s="1"/>
  <c r="FR8" i="19"/>
  <c r="FI8" i="19"/>
  <c r="FF8" i="19"/>
  <c r="FF6" i="19" s="1"/>
  <c r="FC8" i="19"/>
  <c r="FC6" i="19" s="1"/>
  <c r="ET8" i="19"/>
  <c r="EQ8" i="19"/>
  <c r="EN8" i="19"/>
  <c r="EE8" i="19"/>
  <c r="EB8" i="19"/>
  <c r="EB6" i="19" s="1"/>
  <c r="DY8" i="19"/>
  <c r="DY6" i="19" s="1"/>
  <c r="DV8" i="19"/>
  <c r="DS8" i="19"/>
  <c r="DP8" i="19"/>
  <c r="DM8" i="19"/>
  <c r="DJ8" i="19"/>
  <c r="DG8" i="19"/>
  <c r="DD8" i="19"/>
  <c r="CX8" i="19"/>
  <c r="CU8" i="19"/>
  <c r="CO8" i="19"/>
  <c r="CL8" i="19"/>
  <c r="CI8" i="19"/>
  <c r="CF8" i="19"/>
  <c r="CC8" i="19"/>
  <c r="BZ8" i="19"/>
  <c r="BW8" i="19"/>
  <c r="BT8" i="19"/>
  <c r="BQ8" i="19"/>
  <c r="BN8" i="19"/>
  <c r="BK8" i="19"/>
  <c r="BH8" i="19"/>
  <c r="BE8" i="19"/>
  <c r="BB8" i="19"/>
  <c r="AY8" i="19"/>
  <c r="AV8" i="19"/>
  <c r="AS8" i="19"/>
  <c r="AP8" i="19"/>
  <c r="AM8" i="19"/>
  <c r="AJ8" i="19"/>
  <c r="AG8" i="19"/>
  <c r="AF8" i="19"/>
  <c r="AE8" i="19"/>
  <c r="AD8" i="19"/>
  <c r="AC8" i="19"/>
  <c r="Z8" i="19"/>
  <c r="W8" i="19"/>
  <c r="E8" i="19"/>
  <c r="HE7" i="19"/>
  <c r="HB7" i="19"/>
  <c r="GY7" i="19"/>
  <c r="GV7" i="19"/>
  <c r="GV5" i="19" s="1"/>
  <c r="GM7" i="19"/>
  <c r="GJ7" i="19"/>
  <c r="GG7" i="19"/>
  <c r="FR7" i="19"/>
  <c r="FI7" i="19"/>
  <c r="FI5" i="19" s="1"/>
  <c r="FI2" i="19" s="1"/>
  <c r="FF7" i="19"/>
  <c r="FF5" i="19" s="1"/>
  <c r="FC7" i="19"/>
  <c r="FC5" i="19" s="1"/>
  <c r="ET7" i="19"/>
  <c r="EQ7" i="19"/>
  <c r="EN7" i="19"/>
  <c r="EE7" i="19"/>
  <c r="EE5" i="19" s="1"/>
  <c r="EE2" i="19" s="1"/>
  <c r="EB7" i="19"/>
  <c r="EB5" i="19" s="1"/>
  <c r="DY7" i="19"/>
  <c r="DM7" i="19"/>
  <c r="DJ7" i="19"/>
  <c r="DD7" i="19"/>
  <c r="DJ2" i="19" s="1"/>
  <c r="CU17" i="19" s="1"/>
  <c r="CX7" i="19"/>
  <c r="CU7" i="19"/>
  <c r="CL7" i="19"/>
  <c r="CI7" i="19"/>
  <c r="CF7" i="19"/>
  <c r="CC7" i="19"/>
  <c r="BZ7" i="19"/>
  <c r="BW7" i="19"/>
  <c r="BT7" i="19"/>
  <c r="BQ7" i="19"/>
  <c r="BN7" i="19"/>
  <c r="BK7" i="19"/>
  <c r="BH7" i="19"/>
  <c r="BE7" i="19"/>
  <c r="BB7" i="19"/>
  <c r="AY7" i="19"/>
  <c r="AV7" i="19"/>
  <c r="AS7" i="19"/>
  <c r="AP7" i="19"/>
  <c r="AM7" i="19"/>
  <c r="AJ7" i="19"/>
  <c r="AG7" i="19"/>
  <c r="AF7" i="19"/>
  <c r="AE7" i="19"/>
  <c r="AD7" i="19"/>
  <c r="AC7" i="19"/>
  <c r="Z7" i="19"/>
  <c r="W7" i="19"/>
  <c r="E7" i="19"/>
  <c r="HB6" i="19"/>
  <c r="GV6" i="19"/>
  <c r="GS6" i="19"/>
  <c r="GP6" i="19"/>
  <c r="GD6" i="19"/>
  <c r="GA6" i="19"/>
  <c r="FU6" i="19"/>
  <c r="FR6" i="19"/>
  <c r="FL6" i="19"/>
  <c r="FI6" i="19"/>
  <c r="EZ6" i="19"/>
  <c r="EW6" i="19"/>
  <c r="ET6" i="19"/>
  <c r="EQ6" i="19"/>
  <c r="EN6" i="19"/>
  <c r="EK6" i="19"/>
  <c r="EH6" i="19"/>
  <c r="EE6" i="19"/>
  <c r="DV6" i="19"/>
  <c r="DS6" i="19"/>
  <c r="DM6" i="19"/>
  <c r="DJ6" i="19"/>
  <c r="DD6" i="19"/>
  <c r="CX6" i="19"/>
  <c r="CU6" i="19"/>
  <c r="CR6" i="19"/>
  <c r="CO6" i="19"/>
  <c r="CL6" i="19"/>
  <c r="BZ6" i="19"/>
  <c r="BW6" i="19"/>
  <c r="BT6" i="19"/>
  <c r="BH6" i="19"/>
  <c r="BE6" i="19"/>
  <c r="BB6" i="19"/>
  <c r="AY6" i="19"/>
  <c r="AV6" i="19"/>
  <c r="AS6" i="19"/>
  <c r="AP6" i="19"/>
  <c r="AM6" i="19"/>
  <c r="AJ6" i="19"/>
  <c r="Z6" i="19"/>
  <c r="W6" i="19"/>
  <c r="E6" i="19"/>
  <c r="HB5" i="19"/>
  <c r="GY5" i="19"/>
  <c r="GS5" i="19"/>
  <c r="GP5" i="19"/>
  <c r="GP7" i="19" s="1"/>
  <c r="GM5" i="19"/>
  <c r="GJ5" i="19"/>
  <c r="GG5" i="19"/>
  <c r="GD5" i="19"/>
  <c r="GA5" i="19"/>
  <c r="FX5" i="19"/>
  <c r="FU5" i="19"/>
  <c r="FR5" i="19"/>
  <c r="FO5" i="19"/>
  <c r="FL5" i="19"/>
  <c r="EZ5" i="19"/>
  <c r="EW5" i="19"/>
  <c r="ET5" i="19"/>
  <c r="EQ5" i="19"/>
  <c r="EN5" i="19"/>
  <c r="EK5" i="19"/>
  <c r="EH5" i="19"/>
  <c r="DY5" i="19"/>
  <c r="DV5" i="19"/>
  <c r="DS5" i="19"/>
  <c r="DM5" i="19"/>
  <c r="DJ5" i="19"/>
  <c r="DD5" i="19"/>
  <c r="CX5" i="19"/>
  <c r="CU5" i="19"/>
  <c r="CR5" i="19"/>
  <c r="CO5" i="19"/>
  <c r="CL5" i="19"/>
  <c r="CI5" i="19"/>
  <c r="CF5" i="19"/>
  <c r="CC5" i="19"/>
  <c r="BZ5" i="19"/>
  <c r="BW5" i="19"/>
  <c r="BT5" i="19"/>
  <c r="BQ5" i="19"/>
  <c r="BN5" i="19"/>
  <c r="BK5" i="19"/>
  <c r="BH5" i="19"/>
  <c r="BE5" i="19"/>
  <c r="BB5" i="19"/>
  <c r="BB2" i="19" s="1"/>
  <c r="AY5" i="19"/>
  <c r="AY2" i="19" s="1"/>
  <c r="AV5" i="19"/>
  <c r="AS5" i="19"/>
  <c r="AP5" i="19"/>
  <c r="AM5" i="19"/>
  <c r="AJ5" i="19"/>
  <c r="AG5" i="19"/>
  <c r="AF5" i="19"/>
  <c r="AE5" i="19"/>
  <c r="AD5" i="19"/>
  <c r="AC5" i="19"/>
  <c r="Z5" i="19"/>
  <c r="Z19" i="19" s="1"/>
  <c r="W5" i="19"/>
  <c r="W19" i="19" s="1"/>
  <c r="E5" i="19"/>
  <c r="FX2" i="19"/>
  <c r="DD2" i="19"/>
  <c r="CU18" i="19" s="1"/>
  <c r="H69" i="18"/>
  <c r="H68" i="18"/>
  <c r="H67" i="18"/>
  <c r="H66" i="18"/>
  <c r="H65" i="18"/>
  <c r="H64" i="18"/>
  <c r="H63" i="18"/>
  <c r="H59" i="18" s="1"/>
  <c r="H62" i="18"/>
  <c r="H54" i="18" s="1"/>
  <c r="H49" i="18" s="1"/>
  <c r="H61" i="18"/>
  <c r="H60" i="18"/>
  <c r="H57" i="18"/>
  <c r="H56" i="18"/>
  <c r="H55" i="18"/>
  <c r="H53" i="18"/>
  <c r="K52" i="18"/>
  <c r="H52" i="18"/>
  <c r="E52" i="18"/>
  <c r="K51" i="18"/>
  <c r="H51" i="18"/>
  <c r="E51" i="18"/>
  <c r="DA50" i="18"/>
  <c r="DA26" i="18" s="1"/>
  <c r="K50" i="18"/>
  <c r="DA49" i="18"/>
  <c r="K49" i="18"/>
  <c r="E49" i="18"/>
  <c r="CU48" i="18"/>
  <c r="K48" i="18"/>
  <c r="E48" i="18"/>
  <c r="CU47" i="18"/>
  <c r="K47" i="18"/>
  <c r="H47" i="18"/>
  <c r="H45" i="18" s="1"/>
  <c r="E47" i="18"/>
  <c r="H46" i="18"/>
  <c r="E46" i="18"/>
  <c r="DA45" i="18"/>
  <c r="E45" i="18"/>
  <c r="E53" i="18" s="1"/>
  <c r="E43" i="18" s="1"/>
  <c r="H44" i="18"/>
  <c r="DA43" i="18"/>
  <c r="Z43" i="18"/>
  <c r="K43" i="18"/>
  <c r="K11" i="18" s="1"/>
  <c r="DA42" i="18"/>
  <c r="CU42" i="18"/>
  <c r="Z42" i="18"/>
  <c r="HE41" i="18"/>
  <c r="DA41" i="18"/>
  <c r="CU41" i="18"/>
  <c r="H41" i="18"/>
  <c r="HE40" i="18"/>
  <c r="DA40" i="18"/>
  <c r="CU40" i="18"/>
  <c r="HE39" i="18"/>
  <c r="DA39" i="18"/>
  <c r="CU39" i="18"/>
  <c r="HE38" i="18"/>
  <c r="DA38" i="18"/>
  <c r="CU38" i="18"/>
  <c r="K38" i="18"/>
  <c r="H38" i="18"/>
  <c r="DA37" i="18"/>
  <c r="CU37" i="18"/>
  <c r="Z37" i="18"/>
  <c r="W37" i="18"/>
  <c r="K37" i="18"/>
  <c r="H37" i="18"/>
  <c r="E37" i="18"/>
  <c r="HE36" i="18"/>
  <c r="DA36" i="18"/>
  <c r="CU36" i="18"/>
  <c r="Z36" i="18"/>
  <c r="W36" i="18"/>
  <c r="K36" i="18"/>
  <c r="H36" i="18"/>
  <c r="E36" i="18"/>
  <c r="HE35" i="18"/>
  <c r="DA35" i="18"/>
  <c r="CU35" i="18"/>
  <c r="BZ35" i="18"/>
  <c r="BN35" i="18"/>
  <c r="BK35" i="18"/>
  <c r="BE35" i="18"/>
  <c r="BB35" i="18"/>
  <c r="AV35" i="18"/>
  <c r="AS35" i="18"/>
  <c r="AM35" i="18"/>
  <c r="AJ35" i="18"/>
  <c r="Z35" i="18"/>
  <c r="W35" i="18"/>
  <c r="Q35" i="18"/>
  <c r="N35" i="18"/>
  <c r="K35" i="18"/>
  <c r="H35" i="18"/>
  <c r="E35" i="18"/>
  <c r="E38" i="18" s="1"/>
  <c r="E31" i="18" s="1"/>
  <c r="HE34" i="18"/>
  <c r="DA34" i="18"/>
  <c r="CU34" i="18"/>
  <c r="BZ34" i="18"/>
  <c r="BN34" i="18"/>
  <c r="BK34" i="18"/>
  <c r="BE34" i="18"/>
  <c r="BB34" i="18"/>
  <c r="AV34" i="18"/>
  <c r="AS34" i="18"/>
  <c r="AM34" i="18"/>
  <c r="AJ34" i="18"/>
  <c r="Z34" i="18"/>
  <c r="W34" i="18"/>
  <c r="Q34" i="18"/>
  <c r="N34" i="18"/>
  <c r="K34" i="18"/>
  <c r="H34" i="18"/>
  <c r="E34" i="18"/>
  <c r="HE33" i="18"/>
  <c r="DA33" i="18"/>
  <c r="CU33" i="18"/>
  <c r="CU43" i="18" s="1"/>
  <c r="CU11" i="18" s="1"/>
  <c r="CO33" i="18"/>
  <c r="BN33" i="18"/>
  <c r="BK33" i="18"/>
  <c r="BE33" i="18"/>
  <c r="BB33" i="18"/>
  <c r="AV33" i="18"/>
  <c r="AS33" i="18"/>
  <c r="AM33" i="18"/>
  <c r="AJ33" i="18"/>
  <c r="AF33" i="18"/>
  <c r="Z33" i="18"/>
  <c r="W33" i="18"/>
  <c r="Q33" i="18"/>
  <c r="N33" i="18"/>
  <c r="K33" i="18"/>
  <c r="H33" i="18"/>
  <c r="H21" i="18" s="1"/>
  <c r="E33" i="18"/>
  <c r="DA32" i="18"/>
  <c r="CU32" i="18"/>
  <c r="CO32" i="18"/>
  <c r="CO34" i="18" s="1"/>
  <c r="BN32" i="18"/>
  <c r="BK32" i="18"/>
  <c r="BE32" i="18"/>
  <c r="BB32" i="18"/>
  <c r="AV32" i="18"/>
  <c r="AS32" i="18"/>
  <c r="AM32" i="18"/>
  <c r="AJ32" i="18"/>
  <c r="AE32" i="18"/>
  <c r="AD32" i="18"/>
  <c r="AC32" i="18"/>
  <c r="Z32" i="18"/>
  <c r="Z28" i="18" s="1"/>
  <c r="W32" i="18"/>
  <c r="Q32" i="18"/>
  <c r="N32" i="18"/>
  <c r="K32" i="18"/>
  <c r="H32" i="18"/>
  <c r="HE31" i="18"/>
  <c r="DA31" i="18"/>
  <c r="CU31" i="18"/>
  <c r="CU26" i="18" s="1"/>
  <c r="CO31" i="18"/>
  <c r="CF31" i="18"/>
  <c r="CC31" i="18"/>
  <c r="BW31" i="18"/>
  <c r="BN31" i="18"/>
  <c r="BK31" i="18"/>
  <c r="BE31" i="18"/>
  <c r="BB31" i="18"/>
  <c r="AV31" i="18"/>
  <c r="AS31" i="18"/>
  <c r="AM31" i="18"/>
  <c r="AJ31" i="18"/>
  <c r="Z31" i="18"/>
  <c r="Z39" i="18" s="1"/>
  <c r="W31" i="18"/>
  <c r="Q31" i="18"/>
  <c r="N31" i="18"/>
  <c r="K31" i="18"/>
  <c r="K25" i="18" s="1"/>
  <c r="K18" i="18" s="1"/>
  <c r="H31" i="18"/>
  <c r="HE30" i="18"/>
  <c r="DA30" i="18"/>
  <c r="CU30" i="18"/>
  <c r="CO30" i="18"/>
  <c r="CF30" i="18"/>
  <c r="CC30" i="18"/>
  <c r="BZ30" i="18"/>
  <c r="BZ10" i="18" s="1"/>
  <c r="BW30" i="18"/>
  <c r="BN30" i="18"/>
  <c r="BK30" i="18"/>
  <c r="BE30" i="18"/>
  <c r="BB30" i="18"/>
  <c r="AS30" i="18"/>
  <c r="AM30" i="18"/>
  <c r="AJ30" i="18"/>
  <c r="Z30" i="18"/>
  <c r="Z29" i="18" s="1"/>
  <c r="Z40" i="18" s="1"/>
  <c r="W30" i="18"/>
  <c r="Q30" i="18"/>
  <c r="N30" i="18"/>
  <c r="K30" i="18"/>
  <c r="H30" i="18"/>
  <c r="HE29" i="18"/>
  <c r="DA29" i="18"/>
  <c r="CU29" i="18"/>
  <c r="CO29" i="18"/>
  <c r="CF29" i="18"/>
  <c r="CC29" i="18"/>
  <c r="BZ29" i="18"/>
  <c r="BN29" i="18"/>
  <c r="BK29" i="18"/>
  <c r="BE29" i="18"/>
  <c r="BE25" i="18" s="1"/>
  <c r="BB29" i="18"/>
  <c r="BB25" i="18" s="1"/>
  <c r="AV29" i="18"/>
  <c r="AS29" i="18"/>
  <c r="AM29" i="18"/>
  <c r="AM25" i="18" s="1"/>
  <c r="AM21" i="18" s="1"/>
  <c r="AJ29" i="18"/>
  <c r="W29" i="18"/>
  <c r="W40" i="18" s="1"/>
  <c r="Q29" i="18"/>
  <c r="N29" i="18"/>
  <c r="K29" i="18"/>
  <c r="H29" i="18"/>
  <c r="H25" i="18" s="1"/>
  <c r="HE28" i="18"/>
  <c r="DA28" i="18"/>
  <c r="CU28" i="18"/>
  <c r="CO28" i="18"/>
  <c r="CF28" i="18"/>
  <c r="CC28" i="18"/>
  <c r="BZ28" i="18"/>
  <c r="BN28" i="18"/>
  <c r="BK28" i="18"/>
  <c r="BE28" i="18"/>
  <c r="BB28" i="18"/>
  <c r="AV28" i="18"/>
  <c r="AS28" i="18"/>
  <c r="AM28" i="18"/>
  <c r="AJ28" i="18"/>
  <c r="W28" i="18"/>
  <c r="Q28" i="18"/>
  <c r="N28" i="18"/>
  <c r="K28" i="18"/>
  <c r="H28" i="18"/>
  <c r="HE27" i="18"/>
  <c r="HB27" i="18"/>
  <c r="ET27" i="18"/>
  <c r="EE27" i="18"/>
  <c r="DA27" i="18"/>
  <c r="DA24" i="18" s="1"/>
  <c r="CU27" i="18"/>
  <c r="CO27" i="18"/>
  <c r="CO25" i="18" s="1"/>
  <c r="CF27" i="18"/>
  <c r="CC27" i="18"/>
  <c r="BZ27" i="18"/>
  <c r="BN27" i="18"/>
  <c r="BN26" i="18" s="1"/>
  <c r="BK27" i="18"/>
  <c r="BE27" i="18"/>
  <c r="BE26" i="18" s="1"/>
  <c r="BB27" i="18"/>
  <c r="AV27" i="18"/>
  <c r="AS27" i="18"/>
  <c r="AM27" i="18"/>
  <c r="AM26" i="18" s="1"/>
  <c r="AJ27" i="18"/>
  <c r="Z27" i="18"/>
  <c r="Z41" i="18" s="1"/>
  <c r="W27" i="18"/>
  <c r="W41" i="18" s="1"/>
  <c r="Q27" i="18"/>
  <c r="Q26" i="18" s="1"/>
  <c r="Q21" i="18" s="1"/>
  <c r="N27" i="18"/>
  <c r="K27" i="18"/>
  <c r="H27" i="18"/>
  <c r="HB26" i="18"/>
  <c r="ET26" i="18"/>
  <c r="ET24" i="18" s="1"/>
  <c r="EE26" i="18"/>
  <c r="DP26" i="18"/>
  <c r="DP24" i="18" s="1"/>
  <c r="CX26" i="18"/>
  <c r="CO26" i="18"/>
  <c r="CL26" i="18"/>
  <c r="CF26" i="18"/>
  <c r="CC26" i="18"/>
  <c r="BZ26" i="18"/>
  <c r="BT26" i="18"/>
  <c r="BK26" i="18"/>
  <c r="BB26" i="18"/>
  <c r="AV26" i="18"/>
  <c r="AS26" i="18"/>
  <c r="AJ26" i="18"/>
  <c r="AJ21" i="18" s="1"/>
  <c r="N26" i="18"/>
  <c r="K26" i="18"/>
  <c r="H26" i="18"/>
  <c r="E26" i="18"/>
  <c r="HE25" i="18"/>
  <c r="HB25" i="18"/>
  <c r="ET25" i="18"/>
  <c r="ET23" i="18" s="1"/>
  <c r="EE25" i="18"/>
  <c r="EE23" i="18" s="1"/>
  <c r="DP25" i="18"/>
  <c r="DG25" i="18"/>
  <c r="CX25" i="18"/>
  <c r="CL25" i="18"/>
  <c r="CF25" i="18"/>
  <c r="CC25" i="18"/>
  <c r="CC24" i="18" s="1"/>
  <c r="CC19" i="18" s="1"/>
  <c r="BZ25" i="18"/>
  <c r="BW25" i="18"/>
  <c r="BT25" i="18"/>
  <c r="AV25" i="18"/>
  <c r="AV21" i="18" s="1"/>
  <c r="AS25" i="18"/>
  <c r="AJ25" i="18"/>
  <c r="AG25" i="18"/>
  <c r="AG24" i="18" s="1"/>
  <c r="AF25" i="18"/>
  <c r="AE25" i="18"/>
  <c r="AE24" i="18" s="1"/>
  <c r="AD25" i="18"/>
  <c r="AC25" i="18"/>
  <c r="AC24" i="18" s="1"/>
  <c r="Q25" i="18"/>
  <c r="N25" i="18"/>
  <c r="N21" i="18" s="1"/>
  <c r="E25" i="18"/>
  <c r="HB24" i="18"/>
  <c r="EE24" i="18"/>
  <c r="CX24" i="18"/>
  <c r="CR24" i="18"/>
  <c r="CO24" i="18"/>
  <c r="CL24" i="18"/>
  <c r="CF24" i="18"/>
  <c r="BZ24" i="18"/>
  <c r="BZ17" i="18" s="1"/>
  <c r="BW24" i="18"/>
  <c r="BT24" i="18"/>
  <c r="BN24" i="18"/>
  <c r="BN21" i="18" s="1"/>
  <c r="BK24" i="18"/>
  <c r="BE24" i="18"/>
  <c r="BB24" i="18"/>
  <c r="AV24" i="18"/>
  <c r="AS24" i="18"/>
  <c r="AM24" i="18"/>
  <c r="AJ24" i="18"/>
  <c r="AF24" i="18"/>
  <c r="AD24" i="18"/>
  <c r="Q24" i="18"/>
  <c r="N24" i="18"/>
  <c r="K24" i="18"/>
  <c r="H24" i="18"/>
  <c r="E24" i="18"/>
  <c r="HB23" i="18"/>
  <c r="DP23" i="18"/>
  <c r="DG23" i="18"/>
  <c r="DG20" i="18" s="1"/>
  <c r="CX23" i="18"/>
  <c r="CX12" i="18" s="1"/>
  <c r="CR23" i="18"/>
  <c r="CO23" i="18"/>
  <c r="CL23" i="18"/>
  <c r="CF23" i="18"/>
  <c r="CC23" i="18"/>
  <c r="BZ23" i="18"/>
  <c r="BW23" i="18"/>
  <c r="BW13" i="18" s="1"/>
  <c r="BT23" i="18"/>
  <c r="K23" i="18"/>
  <c r="H23" i="18"/>
  <c r="H22" i="18" s="1"/>
  <c r="E23" i="18"/>
  <c r="HB22" i="18"/>
  <c r="ET22" i="18"/>
  <c r="EE22" i="18"/>
  <c r="EE16" i="18" s="1"/>
  <c r="DP22" i="18"/>
  <c r="DP16" i="18" s="1"/>
  <c r="DG22" i="18"/>
  <c r="CF22" i="18"/>
  <c r="CF19" i="18" s="1"/>
  <c r="CC22" i="18"/>
  <c r="BZ22" i="18"/>
  <c r="BW22" i="18"/>
  <c r="BT22" i="18"/>
  <c r="BT10" i="18" s="1"/>
  <c r="AG22" i="18"/>
  <c r="AF22" i="18"/>
  <c r="AE22" i="18"/>
  <c r="AD22" i="18"/>
  <c r="AC22" i="18"/>
  <c r="K22" i="18"/>
  <c r="HB21" i="18"/>
  <c r="ET21" i="18"/>
  <c r="EE21" i="18"/>
  <c r="DP21" i="18"/>
  <c r="DG21" i="18"/>
  <c r="DD21" i="18"/>
  <c r="DD8" i="18" s="1"/>
  <c r="BZ21" i="18"/>
  <c r="BW21" i="18"/>
  <c r="BK21" i="18"/>
  <c r="AS21" i="18"/>
  <c r="AG21" i="18"/>
  <c r="AF21" i="18"/>
  <c r="AE21" i="18"/>
  <c r="AD21" i="18"/>
  <c r="AC21" i="18"/>
  <c r="K21" i="18"/>
  <c r="K19" i="18" s="1"/>
  <c r="DD20" i="18"/>
  <c r="CL20" i="18"/>
  <c r="CR20" i="18" s="1"/>
  <c r="BZ20" i="18"/>
  <c r="BW20" i="18"/>
  <c r="AG20" i="18"/>
  <c r="AF20" i="18"/>
  <c r="AE20" i="18"/>
  <c r="AD20" i="18"/>
  <c r="AC20" i="18"/>
  <c r="H20" i="18"/>
  <c r="HB19" i="18"/>
  <c r="ET19" i="18"/>
  <c r="EE19" i="18"/>
  <c r="DP19" i="18"/>
  <c r="DG19" i="18"/>
  <c r="DD19" i="18"/>
  <c r="BZ19" i="18"/>
  <c r="BW19" i="18"/>
  <c r="AG19" i="18"/>
  <c r="AF19" i="18"/>
  <c r="AE19" i="18"/>
  <c r="AD19" i="18"/>
  <c r="AC19" i="18"/>
  <c r="H19" i="18"/>
  <c r="H16" i="18" s="1"/>
  <c r="HB18" i="18"/>
  <c r="GA18" i="18"/>
  <c r="FL18" i="18"/>
  <c r="EW18" i="18"/>
  <c r="ET18" i="18"/>
  <c r="EH18" i="18"/>
  <c r="EE18" i="18"/>
  <c r="DS18" i="18"/>
  <c r="DP18" i="18"/>
  <c r="DG18" i="18"/>
  <c r="CX18" i="18"/>
  <c r="BZ18" i="18"/>
  <c r="BW18" i="18"/>
  <c r="BW16" i="18" s="1"/>
  <c r="AG18" i="18"/>
  <c r="AF18" i="18"/>
  <c r="AE18" i="18"/>
  <c r="AD18" i="18"/>
  <c r="AC18" i="18"/>
  <c r="H18" i="18"/>
  <c r="E18" i="18"/>
  <c r="HB17" i="18"/>
  <c r="GP17" i="18"/>
  <c r="GA17" i="18"/>
  <c r="FL17" i="18"/>
  <c r="EW17" i="18"/>
  <c r="ET17" i="18"/>
  <c r="EH17" i="18"/>
  <c r="EE17" i="18"/>
  <c r="DY17" i="18"/>
  <c r="DS17" i="18"/>
  <c r="DP17" i="18"/>
  <c r="DG17" i="18"/>
  <c r="CX17" i="18"/>
  <c r="BW17" i="18"/>
  <c r="BT17" i="18"/>
  <c r="AG17" i="18"/>
  <c r="AF17" i="18"/>
  <c r="AE17" i="18"/>
  <c r="AD17" i="18"/>
  <c r="AC17" i="18"/>
  <c r="H17" i="18"/>
  <c r="E17" i="18"/>
  <c r="BT16" i="18" s="1"/>
  <c r="HB16" i="18"/>
  <c r="GV16" i="18"/>
  <c r="GP16" i="18"/>
  <c r="GP8" i="18" s="1"/>
  <c r="GG16" i="18"/>
  <c r="FC16" i="18"/>
  <c r="FC15" i="18" s="1"/>
  <c r="ET16" i="18"/>
  <c r="EN16" i="18"/>
  <c r="DY16" i="18"/>
  <c r="DD16" i="18"/>
  <c r="CX16" i="18"/>
  <c r="CO16" i="18"/>
  <c r="BZ16" i="18"/>
  <c r="BQ16" i="18"/>
  <c r="BN16" i="18"/>
  <c r="BK16" i="18"/>
  <c r="BH16" i="18"/>
  <c r="BE16" i="18"/>
  <c r="BB16" i="18"/>
  <c r="AY16" i="18"/>
  <c r="AV16" i="18"/>
  <c r="AS16" i="18"/>
  <c r="AP16" i="18"/>
  <c r="AM16" i="18"/>
  <c r="AJ16" i="18"/>
  <c r="AG16" i="18"/>
  <c r="AF16" i="18"/>
  <c r="AE16" i="18"/>
  <c r="AD16" i="18"/>
  <c r="AC16" i="18"/>
  <c r="T16" i="18"/>
  <c r="Q16" i="18"/>
  <c r="N16" i="18"/>
  <c r="N2" i="18" s="1"/>
  <c r="HB15" i="18"/>
  <c r="GV15" i="18"/>
  <c r="GG15" i="18"/>
  <c r="GG17" i="18" s="1"/>
  <c r="GA15" i="18"/>
  <c r="FL15" i="18"/>
  <c r="EW15" i="18"/>
  <c r="ET15" i="18"/>
  <c r="EN15" i="18"/>
  <c r="EH15" i="18"/>
  <c r="EE15" i="18"/>
  <c r="DY15" i="18"/>
  <c r="DY18" i="18" s="1"/>
  <c r="DS15" i="18"/>
  <c r="DP15" i="18"/>
  <c r="DG15" i="18"/>
  <c r="DD15" i="18"/>
  <c r="CX15" i="18"/>
  <c r="CO15" i="18"/>
  <c r="CO17" i="18" s="1"/>
  <c r="BW15" i="18"/>
  <c r="BT15" i="18"/>
  <c r="BQ15" i="18"/>
  <c r="BN15" i="18"/>
  <c r="BK15" i="18"/>
  <c r="BH15" i="18"/>
  <c r="BE15" i="18"/>
  <c r="BB15" i="18"/>
  <c r="AY15" i="18"/>
  <c r="AV15" i="18"/>
  <c r="AS15" i="18"/>
  <c r="AP15" i="18"/>
  <c r="AM15" i="18"/>
  <c r="AJ15" i="18"/>
  <c r="AG15" i="18"/>
  <c r="AF15" i="18"/>
  <c r="AE15" i="18"/>
  <c r="AD15" i="18"/>
  <c r="AC15" i="18"/>
  <c r="Z15" i="18"/>
  <c r="W15" i="18"/>
  <c r="T15" i="18"/>
  <c r="Q15" i="18"/>
  <c r="Q2" i="18" s="1"/>
  <c r="N15" i="18"/>
  <c r="E15" i="18"/>
  <c r="E12" i="18" s="1"/>
  <c r="HB14" i="18"/>
  <c r="GV14" i="18"/>
  <c r="GV17" i="18" s="1"/>
  <c r="GP14" i="18"/>
  <c r="GG14" i="18"/>
  <c r="FC14" i="18"/>
  <c r="FC17" i="18" s="1"/>
  <c r="ET14" i="18"/>
  <c r="EN14" i="18"/>
  <c r="EN17" i="18" s="1"/>
  <c r="EE14" i="18"/>
  <c r="EB14" i="18"/>
  <c r="DY14" i="18"/>
  <c r="DP14" i="18"/>
  <c r="DG14" i="18"/>
  <c r="DD14" i="18"/>
  <c r="CX14" i="18"/>
  <c r="CO14" i="18"/>
  <c r="CI14" i="18"/>
  <c r="CF14" i="18"/>
  <c r="CC14" i="18"/>
  <c r="BW14" i="18"/>
  <c r="BT14" i="18"/>
  <c r="BQ14" i="18"/>
  <c r="BN14" i="18"/>
  <c r="BK14" i="18"/>
  <c r="BH14" i="18"/>
  <c r="BE14" i="18"/>
  <c r="BB14" i="18"/>
  <c r="AY14" i="18"/>
  <c r="AV14" i="18"/>
  <c r="AS14" i="18"/>
  <c r="AP14" i="18"/>
  <c r="AM14" i="18"/>
  <c r="AJ14" i="18"/>
  <c r="AG14" i="18"/>
  <c r="AF14" i="18"/>
  <c r="AE14" i="18"/>
  <c r="AD14" i="18"/>
  <c r="AC14" i="18"/>
  <c r="Z14" i="18"/>
  <c r="W14" i="18"/>
  <c r="T14" i="18"/>
  <c r="Q14" i="18"/>
  <c r="N14" i="18"/>
  <c r="E14" i="18"/>
  <c r="HE13" i="18"/>
  <c r="HB13" i="18"/>
  <c r="GY13" i="18"/>
  <c r="GV13" i="18"/>
  <c r="GP13" i="18"/>
  <c r="GG13" i="18"/>
  <c r="GA13" i="18"/>
  <c r="FL13" i="18"/>
  <c r="FC13" i="18"/>
  <c r="EW13" i="18"/>
  <c r="ET13" i="18"/>
  <c r="EQ13" i="18"/>
  <c r="EN13" i="18"/>
  <c r="EH13" i="18"/>
  <c r="EE13" i="18"/>
  <c r="EB13" i="18"/>
  <c r="DY13" i="18"/>
  <c r="DP13" i="18"/>
  <c r="DG13" i="18"/>
  <c r="DD13" i="18"/>
  <c r="CX13" i="18"/>
  <c r="CU13" i="18"/>
  <c r="CO13" i="18"/>
  <c r="CI13" i="18"/>
  <c r="CF13" i="18"/>
  <c r="CC13" i="18"/>
  <c r="BT13" i="18"/>
  <c r="BQ13" i="18"/>
  <c r="BN13" i="18"/>
  <c r="BK13" i="18"/>
  <c r="BH13" i="18"/>
  <c r="BE13" i="18"/>
  <c r="BB13" i="18"/>
  <c r="AY13" i="18"/>
  <c r="AV13" i="18"/>
  <c r="AS13" i="18"/>
  <c r="AP13" i="18"/>
  <c r="AM13" i="18"/>
  <c r="AJ13" i="18"/>
  <c r="AG13" i="18"/>
  <c r="AF13" i="18"/>
  <c r="AE13" i="18"/>
  <c r="AD13" i="18"/>
  <c r="AC13" i="18"/>
  <c r="Z13" i="18"/>
  <c r="W13" i="18"/>
  <c r="T13" i="18"/>
  <c r="Q13" i="18"/>
  <c r="N13" i="18"/>
  <c r="K13" i="18"/>
  <c r="E13" i="18"/>
  <c r="HB12" i="18"/>
  <c r="GY12" i="18"/>
  <c r="GV12" i="18"/>
  <c r="GP12" i="18"/>
  <c r="GG12" i="18"/>
  <c r="GA12" i="18"/>
  <c r="FL12" i="18"/>
  <c r="FC12" i="18"/>
  <c r="EW12" i="18"/>
  <c r="ET12" i="18"/>
  <c r="EQ12" i="18"/>
  <c r="EN12" i="18"/>
  <c r="EH12" i="18"/>
  <c r="EE12" i="18"/>
  <c r="EB12" i="18"/>
  <c r="DY12" i="18"/>
  <c r="DS12" i="18"/>
  <c r="DP12" i="18"/>
  <c r="DG12" i="18"/>
  <c r="DD12" i="18"/>
  <c r="DD11" i="18" s="1"/>
  <c r="DA12" i="18"/>
  <c r="CU12" i="18"/>
  <c r="CO12" i="18"/>
  <c r="CI12" i="18"/>
  <c r="CF12" i="18"/>
  <c r="CC12" i="18"/>
  <c r="BZ12" i="18"/>
  <c r="BZ11" i="18" s="1"/>
  <c r="BT12" i="18"/>
  <c r="BQ12" i="18"/>
  <c r="BN12" i="18"/>
  <c r="BK12" i="18"/>
  <c r="BH12" i="18"/>
  <c r="BE12" i="18"/>
  <c r="BB12" i="18"/>
  <c r="AY12" i="18"/>
  <c r="AV12" i="18"/>
  <c r="AS12" i="18"/>
  <c r="AP12" i="18"/>
  <c r="AM12" i="18"/>
  <c r="AJ12" i="18"/>
  <c r="AG12" i="18"/>
  <c r="AF12" i="18"/>
  <c r="Z12" i="18"/>
  <c r="W12" i="18"/>
  <c r="W17" i="18" s="1"/>
  <c r="T12" i="18"/>
  <c r="Q12" i="18"/>
  <c r="N12" i="18"/>
  <c r="K12" i="18"/>
  <c r="HE11" i="18"/>
  <c r="HB11" i="18"/>
  <c r="GY11" i="18"/>
  <c r="GV11" i="18"/>
  <c r="GP11" i="18"/>
  <c r="GG11" i="18"/>
  <c r="GA11" i="18"/>
  <c r="GA8" i="18" s="1"/>
  <c r="FL11" i="18"/>
  <c r="FC11" i="18"/>
  <c r="EW11" i="18"/>
  <c r="EW8" i="18" s="1"/>
  <c r="EW7" i="18" s="1"/>
  <c r="ET11" i="18"/>
  <c r="EQ11" i="18"/>
  <c r="EN11" i="18"/>
  <c r="EH11" i="18"/>
  <c r="EH8" i="18" s="1"/>
  <c r="EH7" i="18" s="1"/>
  <c r="DS11" i="18"/>
  <c r="DP11" i="18"/>
  <c r="DJ11" i="18"/>
  <c r="DJ10" i="18" s="1"/>
  <c r="DJ12" i="18" s="1"/>
  <c r="DA11" i="18"/>
  <c r="CX11" i="18"/>
  <c r="CO11" i="18"/>
  <c r="CI11" i="18"/>
  <c r="CF11" i="18"/>
  <c r="CC11" i="18"/>
  <c r="BT11" i="18"/>
  <c r="BQ11" i="18"/>
  <c r="BN11" i="18"/>
  <c r="BK11" i="18"/>
  <c r="BH11" i="18"/>
  <c r="BE11" i="18"/>
  <c r="BB11" i="18"/>
  <c r="AY11" i="18"/>
  <c r="AV11" i="18"/>
  <c r="AS11" i="18"/>
  <c r="AP11" i="18"/>
  <c r="AM11" i="18"/>
  <c r="AJ11" i="18"/>
  <c r="AG11" i="18"/>
  <c r="AF11" i="18"/>
  <c r="Z11" i="18"/>
  <c r="W11" i="18"/>
  <c r="T11" i="18"/>
  <c r="Q11" i="18"/>
  <c r="N11" i="18"/>
  <c r="E11" i="18"/>
  <c r="BT9" i="18" s="1"/>
  <c r="HE10" i="18"/>
  <c r="HB10" i="18"/>
  <c r="GY10" i="18"/>
  <c r="GV10" i="18"/>
  <c r="GP10" i="18"/>
  <c r="GG10" i="18"/>
  <c r="GA10" i="18"/>
  <c r="FL10" i="18"/>
  <c r="FC10" i="18"/>
  <c r="EW10" i="18"/>
  <c r="ET10" i="18"/>
  <c r="EQ10" i="18"/>
  <c r="EN10" i="18"/>
  <c r="EH10" i="18"/>
  <c r="EE10" i="18"/>
  <c r="EB10" i="18"/>
  <c r="DY10" i="18"/>
  <c r="DS10" i="18"/>
  <c r="DP10" i="18"/>
  <c r="DG10" i="18"/>
  <c r="DD10" i="18"/>
  <c r="DA10" i="18"/>
  <c r="CX10" i="18"/>
  <c r="CU10" i="18"/>
  <c r="CO10" i="18"/>
  <c r="CI10" i="18"/>
  <c r="CI6" i="18" s="1"/>
  <c r="CI2" i="18" s="1"/>
  <c r="CF10" i="18"/>
  <c r="CC10" i="18"/>
  <c r="BQ10" i="18"/>
  <c r="BN10" i="18"/>
  <c r="BN9" i="18" s="1"/>
  <c r="BN2" i="18" s="1"/>
  <c r="BK10" i="18"/>
  <c r="BK9" i="18" s="1"/>
  <c r="BK2" i="18" s="1"/>
  <c r="BH10" i="18"/>
  <c r="BE10" i="18"/>
  <c r="BE6" i="18" s="1"/>
  <c r="BB10" i="18"/>
  <c r="AY10" i="18"/>
  <c r="AY6" i="18" s="1"/>
  <c r="AV10" i="18"/>
  <c r="AS10" i="18"/>
  <c r="AP10" i="18"/>
  <c r="AM10" i="18"/>
  <c r="AM6" i="18" s="1"/>
  <c r="AM2" i="18" s="1"/>
  <c r="AG10" i="18"/>
  <c r="AF10" i="18"/>
  <c r="Z10" i="18"/>
  <c r="Z6" i="18" s="1"/>
  <c r="W10" i="18"/>
  <c r="W6" i="18" s="1"/>
  <c r="W19" i="18" s="1"/>
  <c r="T10" i="18"/>
  <c r="T6" i="18" s="1"/>
  <c r="T2" i="18" s="1"/>
  <c r="Q10" i="18"/>
  <c r="N10" i="18"/>
  <c r="K10" i="18"/>
  <c r="HE9" i="18"/>
  <c r="HB9" i="18"/>
  <c r="GY9" i="18"/>
  <c r="GV9" i="18"/>
  <c r="GP9" i="18"/>
  <c r="GG9" i="18"/>
  <c r="GA9" i="18"/>
  <c r="FR9" i="18"/>
  <c r="FR8" i="18" s="1"/>
  <c r="FR10" i="18" s="1"/>
  <c r="FL9" i="18"/>
  <c r="FL8" i="18" s="1"/>
  <c r="FC9" i="18"/>
  <c r="EW9" i="18"/>
  <c r="ET9" i="18"/>
  <c r="EQ9" i="18"/>
  <c r="EN9" i="18"/>
  <c r="EH9" i="18"/>
  <c r="EE9" i="18"/>
  <c r="EB9" i="18"/>
  <c r="DY9" i="18"/>
  <c r="DS9" i="18"/>
  <c r="DP9" i="18"/>
  <c r="DJ9" i="18"/>
  <c r="DG9" i="18"/>
  <c r="DD9" i="18"/>
  <c r="DA9" i="18"/>
  <c r="CX9" i="18"/>
  <c r="CU9" i="18"/>
  <c r="CO9" i="18"/>
  <c r="CI9" i="18"/>
  <c r="CF9" i="18"/>
  <c r="CC9" i="18"/>
  <c r="BZ9" i="18"/>
  <c r="BW9" i="18"/>
  <c r="BQ9" i="18"/>
  <c r="BQ2" i="18" s="1"/>
  <c r="BH9" i="18"/>
  <c r="BE9" i="18"/>
  <c r="BB9" i="18"/>
  <c r="AY9" i="18"/>
  <c r="AV9" i="18"/>
  <c r="AS9" i="18"/>
  <c r="AP9" i="18"/>
  <c r="AM9" i="18"/>
  <c r="AJ9" i="18"/>
  <c r="AG9" i="18"/>
  <c r="AG23" i="18" s="1"/>
  <c r="AF9" i="18"/>
  <c r="AF23" i="18" s="1"/>
  <c r="AF27" i="18" s="1"/>
  <c r="AE9" i="18"/>
  <c r="AE23" i="18" s="1"/>
  <c r="AD9" i="18"/>
  <c r="AD23" i="18" s="1"/>
  <c r="AD27" i="18" s="1"/>
  <c r="AC9" i="18"/>
  <c r="Z9" i="18"/>
  <c r="W9" i="18"/>
  <c r="T9" i="18"/>
  <c r="Q9" i="18"/>
  <c r="N9" i="18"/>
  <c r="K9" i="18"/>
  <c r="H9" i="18"/>
  <c r="E9" i="18"/>
  <c r="E10" i="18" s="1"/>
  <c r="HB8" i="18"/>
  <c r="HB6" i="18" s="1"/>
  <c r="GY8" i="18"/>
  <c r="GV8" i="18"/>
  <c r="GG8" i="18"/>
  <c r="GG6" i="18" s="1"/>
  <c r="FC8" i="18"/>
  <c r="FC6" i="18" s="1"/>
  <c r="ET8" i="18"/>
  <c r="ET6" i="18" s="1"/>
  <c r="EQ8" i="18"/>
  <c r="EN8" i="18"/>
  <c r="EE8" i="18"/>
  <c r="EE6" i="18" s="1"/>
  <c r="EB8" i="18"/>
  <c r="EB6" i="18" s="1"/>
  <c r="DY8" i="18"/>
  <c r="DV8" i="18"/>
  <c r="DS8" i="18"/>
  <c r="DP8" i="18"/>
  <c r="DM8" i="18"/>
  <c r="DJ8" i="18"/>
  <c r="DJ6" i="18" s="1"/>
  <c r="DG8" i="18"/>
  <c r="DA8" i="18"/>
  <c r="CX8" i="18"/>
  <c r="CU8" i="18"/>
  <c r="CO8" i="18"/>
  <c r="CL8" i="18"/>
  <c r="CI8" i="18"/>
  <c r="CF8" i="18"/>
  <c r="CC8" i="18"/>
  <c r="BZ8" i="18"/>
  <c r="BW8" i="18"/>
  <c r="BT8" i="18"/>
  <c r="BQ8" i="18"/>
  <c r="BN8" i="18"/>
  <c r="BK8" i="18"/>
  <c r="BH8" i="18"/>
  <c r="BE8" i="18"/>
  <c r="BB8" i="18"/>
  <c r="AY8" i="18"/>
  <c r="AV8" i="18"/>
  <c r="AS8" i="18"/>
  <c r="AP8" i="18"/>
  <c r="AM8" i="18"/>
  <c r="AJ8" i="18"/>
  <c r="AG8" i="18"/>
  <c r="AF8" i="18"/>
  <c r="AE8" i="18"/>
  <c r="AD8" i="18"/>
  <c r="AC8" i="18"/>
  <c r="Z8" i="18"/>
  <c r="W8" i="18"/>
  <c r="T8" i="18"/>
  <c r="Q8" i="18"/>
  <c r="N8" i="18"/>
  <c r="K8" i="18"/>
  <c r="H8" i="18"/>
  <c r="E8" i="18"/>
  <c r="HE7" i="18"/>
  <c r="HE8" i="18" s="1"/>
  <c r="HE3" i="18" s="1"/>
  <c r="HB7" i="18"/>
  <c r="GY7" i="18"/>
  <c r="GY5" i="18" s="1"/>
  <c r="GV7" i="18"/>
  <c r="GG7" i="18"/>
  <c r="FR7" i="18"/>
  <c r="FC7" i="18"/>
  <c r="FC5" i="18" s="1"/>
  <c r="ET7" i="18"/>
  <c r="EQ7" i="18"/>
  <c r="EN7" i="18"/>
  <c r="EE7" i="18"/>
  <c r="EE5" i="18" s="1"/>
  <c r="EE2" i="18" s="1"/>
  <c r="EB7" i="18"/>
  <c r="DY7" i="18"/>
  <c r="DS7" i="18"/>
  <c r="DY2" i="18" s="1"/>
  <c r="CU22" i="18" s="1"/>
  <c r="DM7" i="18"/>
  <c r="DM5" i="18" s="1"/>
  <c r="DJ7" i="18"/>
  <c r="DA7" i="18"/>
  <c r="CX7" i="18"/>
  <c r="CU7" i="18"/>
  <c r="CO7" i="18"/>
  <c r="CL7" i="18"/>
  <c r="CI7" i="18"/>
  <c r="CF7" i="18"/>
  <c r="CC7" i="18"/>
  <c r="BZ7" i="18"/>
  <c r="BW7" i="18"/>
  <c r="BT7" i="18"/>
  <c r="BT6" i="18" s="1"/>
  <c r="BQ7" i="18"/>
  <c r="BN7" i="18"/>
  <c r="BK7" i="18"/>
  <c r="BH7" i="18"/>
  <c r="BE7" i="18"/>
  <c r="BB7" i="18"/>
  <c r="AY7" i="18"/>
  <c r="AV7" i="18"/>
  <c r="AS7" i="18"/>
  <c r="AP7" i="18"/>
  <c r="AM7" i="18"/>
  <c r="AJ7" i="18"/>
  <c r="AG7" i="18"/>
  <c r="AF7" i="18"/>
  <c r="AE7" i="18"/>
  <c r="AD7" i="18"/>
  <c r="AC7" i="18"/>
  <c r="Z7" i="18"/>
  <c r="W7" i="18"/>
  <c r="T7" i="18"/>
  <c r="Q7" i="18"/>
  <c r="N7" i="18"/>
  <c r="K7" i="18"/>
  <c r="H7" i="18"/>
  <c r="E7" i="18"/>
  <c r="GY6" i="18"/>
  <c r="GV6" i="18"/>
  <c r="GS6" i="18"/>
  <c r="GP6" i="18"/>
  <c r="GD6" i="18"/>
  <c r="GA6" i="18"/>
  <c r="FU6" i="18"/>
  <c r="FR6" i="18"/>
  <c r="FL6" i="18"/>
  <c r="EZ6" i="18"/>
  <c r="EW6" i="18"/>
  <c r="EQ6" i="18"/>
  <c r="EN6" i="18"/>
  <c r="EK6" i="18"/>
  <c r="EH6" i="18"/>
  <c r="DY6" i="18"/>
  <c r="DV6" i="18"/>
  <c r="DS6" i="18"/>
  <c r="DP6" i="18"/>
  <c r="DM6" i="18"/>
  <c r="DD6" i="18"/>
  <c r="DA6" i="18"/>
  <c r="CX6" i="18"/>
  <c r="CU6" i="18"/>
  <c r="CR6" i="18"/>
  <c r="CO6" i="18"/>
  <c r="CL6" i="18"/>
  <c r="CF6" i="18"/>
  <c r="CC6" i="18"/>
  <c r="BZ6" i="18"/>
  <c r="BW6" i="18"/>
  <c r="BH6" i="18"/>
  <c r="BH2" i="18" s="1"/>
  <c r="BB6" i="18"/>
  <c r="AV6" i="18"/>
  <c r="AS6" i="18"/>
  <c r="AS2" i="18" s="1"/>
  <c r="AP6" i="18"/>
  <c r="AJ6" i="18"/>
  <c r="AJ2" i="18" s="1"/>
  <c r="Q6" i="18"/>
  <c r="N6" i="18"/>
  <c r="K6" i="18"/>
  <c r="H6" i="18"/>
  <c r="E6" i="18"/>
  <c r="HE5" i="18"/>
  <c r="HB5" i="18"/>
  <c r="GV5" i="18"/>
  <c r="GS5" i="18"/>
  <c r="GP5" i="18"/>
  <c r="GP7" i="18" s="1"/>
  <c r="GG5" i="18"/>
  <c r="GD5" i="18"/>
  <c r="GA5" i="18"/>
  <c r="FX5" i="18"/>
  <c r="FU5" i="18"/>
  <c r="FR5" i="18"/>
  <c r="FO5" i="18"/>
  <c r="FL5" i="18"/>
  <c r="FL7" i="18" s="1"/>
  <c r="EZ5" i="18"/>
  <c r="EW5" i="18"/>
  <c r="ET5" i="18"/>
  <c r="EQ5" i="18"/>
  <c r="EN5" i="18"/>
  <c r="EK5" i="18"/>
  <c r="EH5" i="18"/>
  <c r="EB5" i="18"/>
  <c r="DY5" i="18"/>
  <c r="DV5" i="18"/>
  <c r="DS5" i="18"/>
  <c r="DP5" i="18"/>
  <c r="DJ5" i="18"/>
  <c r="DD5" i="18"/>
  <c r="DD7" i="18" s="1"/>
  <c r="DA5" i="18"/>
  <c r="CX5" i="18"/>
  <c r="CX22" i="18" s="1"/>
  <c r="CU5" i="18"/>
  <c r="CR5" i="18"/>
  <c r="CO5" i="18"/>
  <c r="CL5" i="18"/>
  <c r="CI5" i="18"/>
  <c r="CF5" i="18"/>
  <c r="CF2" i="18" s="1"/>
  <c r="CC5" i="18"/>
  <c r="BZ5" i="18"/>
  <c r="BZ15" i="18" s="1"/>
  <c r="BW5" i="18"/>
  <c r="BT5" i="18"/>
  <c r="BQ5" i="18"/>
  <c r="BN5" i="18"/>
  <c r="BK5" i="18"/>
  <c r="BH5" i="18"/>
  <c r="BE5" i="18"/>
  <c r="BE2" i="18" s="1"/>
  <c r="BB5" i="18"/>
  <c r="AY5" i="18"/>
  <c r="AV5" i="18"/>
  <c r="AV2" i="18" s="1"/>
  <c r="AS5" i="18"/>
  <c r="AP5" i="18"/>
  <c r="AM5" i="18"/>
  <c r="AJ5" i="18"/>
  <c r="AG5" i="18"/>
  <c r="AF5" i="18"/>
  <c r="AF30" i="18" s="1"/>
  <c r="AE5" i="18"/>
  <c r="AD5" i="18"/>
  <c r="AC5" i="18"/>
  <c r="Z5" i="18"/>
  <c r="Z19" i="18" s="1"/>
  <c r="W5" i="18"/>
  <c r="W18" i="18" s="1"/>
  <c r="W3" i="18" s="1"/>
  <c r="T5" i="18"/>
  <c r="Q5" i="18"/>
  <c r="N5" i="18"/>
  <c r="K5" i="18"/>
  <c r="H5" i="18"/>
  <c r="E5" i="18"/>
  <c r="FX2" i="18"/>
  <c r="CL2" i="18"/>
  <c r="CR2" i="18" s="1"/>
  <c r="CC2" i="18"/>
  <c r="BB2" i="18"/>
  <c r="AP2" i="18"/>
  <c r="H69" i="17"/>
  <c r="H68" i="17"/>
  <c r="H67" i="17"/>
  <c r="H66" i="17"/>
  <c r="H65" i="17"/>
  <c r="H64" i="17"/>
  <c r="H63" i="17"/>
  <c r="H59" i="17" s="1"/>
  <c r="H62" i="17"/>
  <c r="H61" i="17"/>
  <c r="H60" i="17"/>
  <c r="H57" i="17"/>
  <c r="H56" i="17"/>
  <c r="H55" i="17"/>
  <c r="H54" i="17"/>
  <c r="H53" i="17"/>
  <c r="K52" i="17"/>
  <c r="H52" i="17"/>
  <c r="E52" i="17"/>
  <c r="K51" i="17"/>
  <c r="H51" i="17"/>
  <c r="H48" i="17" s="1"/>
  <c r="E51" i="17"/>
  <c r="DA50" i="17"/>
  <c r="K50" i="17"/>
  <c r="DA49" i="17"/>
  <c r="K49" i="17"/>
  <c r="H49" i="17"/>
  <c r="E49" i="17"/>
  <c r="CU48" i="17"/>
  <c r="K48" i="17"/>
  <c r="E48" i="17"/>
  <c r="CU47" i="17"/>
  <c r="K47" i="17"/>
  <c r="H47" i="17"/>
  <c r="H45" i="17" s="1"/>
  <c r="E47" i="17"/>
  <c r="H46" i="17"/>
  <c r="H44" i="17" s="1"/>
  <c r="E46" i="17"/>
  <c r="DA45" i="17"/>
  <c r="E45" i="17"/>
  <c r="E53" i="17" s="1"/>
  <c r="E43" i="17" s="1"/>
  <c r="DA43" i="17"/>
  <c r="Z43" i="17"/>
  <c r="DA42" i="17"/>
  <c r="CU42" i="17"/>
  <c r="Z42" i="17"/>
  <c r="HE41" i="17"/>
  <c r="DA41" i="17"/>
  <c r="CU41" i="17"/>
  <c r="H41" i="17"/>
  <c r="HE40" i="17"/>
  <c r="DA40" i="17"/>
  <c r="CU40" i="17"/>
  <c r="HE39" i="17"/>
  <c r="DA39" i="17"/>
  <c r="CU39" i="17"/>
  <c r="W39" i="17"/>
  <c r="HE38" i="17"/>
  <c r="DA38" i="17"/>
  <c r="CU38" i="17"/>
  <c r="K38" i="17"/>
  <c r="H38" i="17"/>
  <c r="DA37" i="17"/>
  <c r="DA10" i="17" s="1"/>
  <c r="CU37" i="17"/>
  <c r="Z37" i="17"/>
  <c r="W37" i="17"/>
  <c r="K37" i="17"/>
  <c r="H37" i="17"/>
  <c r="E37" i="17"/>
  <c r="HE36" i="17"/>
  <c r="DA36" i="17"/>
  <c r="CU36" i="17"/>
  <c r="Z36" i="17"/>
  <c r="W36" i="17"/>
  <c r="K36" i="17"/>
  <c r="H36" i="17"/>
  <c r="E36" i="17"/>
  <c r="HE35" i="17"/>
  <c r="DA35" i="17"/>
  <c r="CU35" i="17"/>
  <c r="BZ35" i="17"/>
  <c r="BN35" i="17"/>
  <c r="BK35" i="17"/>
  <c r="BE35" i="17"/>
  <c r="BB35" i="17"/>
  <c r="AV35" i="17"/>
  <c r="AS35" i="17"/>
  <c r="AM35" i="17"/>
  <c r="AJ35" i="17"/>
  <c r="Z35" i="17"/>
  <c r="W35" i="17"/>
  <c r="Q35" i="17"/>
  <c r="N35" i="17"/>
  <c r="K35" i="17"/>
  <c r="H35" i="17"/>
  <c r="E35" i="17"/>
  <c r="HE34" i="17"/>
  <c r="DA34" i="17"/>
  <c r="CU34" i="17"/>
  <c r="BZ34" i="17"/>
  <c r="BN34" i="17"/>
  <c r="BK34" i="17"/>
  <c r="BE34" i="17"/>
  <c r="BB34" i="17"/>
  <c r="AV34" i="17"/>
  <c r="AS34" i="17"/>
  <c r="AM34" i="17"/>
  <c r="AJ34" i="17"/>
  <c r="Z34" i="17"/>
  <c r="Z39" i="17" s="1"/>
  <c r="W34" i="17"/>
  <c r="W38" i="17" s="1"/>
  <c r="W26" i="17" s="1"/>
  <c r="Q34" i="17"/>
  <c r="N34" i="17"/>
  <c r="K34" i="17"/>
  <c r="H34" i="17"/>
  <c r="E34" i="17"/>
  <c r="E38" i="17" s="1"/>
  <c r="E31" i="17" s="1"/>
  <c r="HE33" i="17"/>
  <c r="DA33" i="17"/>
  <c r="CU33" i="17"/>
  <c r="CU43" i="17" s="1"/>
  <c r="CU11" i="17" s="1"/>
  <c r="CO33" i="17"/>
  <c r="BN33" i="17"/>
  <c r="BK33" i="17"/>
  <c r="BE33" i="17"/>
  <c r="BB33" i="17"/>
  <c r="AV33" i="17"/>
  <c r="AS33" i="17"/>
  <c r="AM33" i="17"/>
  <c r="AJ33" i="17"/>
  <c r="AF33" i="17"/>
  <c r="Z33" i="17"/>
  <c r="W33" i="17"/>
  <c r="Q33" i="17"/>
  <c r="N33" i="17"/>
  <c r="K33" i="17"/>
  <c r="K43" i="17" s="1"/>
  <c r="K11" i="17" s="1"/>
  <c r="H33" i="17"/>
  <c r="E33" i="17"/>
  <c r="DA32" i="17"/>
  <c r="CU32" i="17"/>
  <c r="CO32" i="17"/>
  <c r="CO34" i="17" s="1"/>
  <c r="BN32" i="17"/>
  <c r="BK32" i="17"/>
  <c r="BE32" i="17"/>
  <c r="BB32" i="17"/>
  <c r="AV32" i="17"/>
  <c r="AS32" i="17"/>
  <c r="AM32" i="17"/>
  <c r="AJ32" i="17"/>
  <c r="AE32" i="17"/>
  <c r="AD32" i="17"/>
  <c r="AC32" i="17"/>
  <c r="Z32" i="17"/>
  <c r="Z28" i="17" s="1"/>
  <c r="W32" i="17"/>
  <c r="Q32" i="17"/>
  <c r="N32" i="17"/>
  <c r="K32" i="17"/>
  <c r="H32" i="17"/>
  <c r="HE31" i="17"/>
  <c r="DA31" i="17"/>
  <c r="CU31" i="17"/>
  <c r="CO31" i="17"/>
  <c r="CF31" i="17"/>
  <c r="CC31" i="17"/>
  <c r="BW31" i="17"/>
  <c r="BN31" i="17"/>
  <c r="BK31" i="17"/>
  <c r="BE31" i="17"/>
  <c r="BB31" i="17"/>
  <c r="AV31" i="17"/>
  <c r="AS31" i="17"/>
  <c r="AM31" i="17"/>
  <c r="AJ31" i="17"/>
  <c r="Z31" i="17"/>
  <c r="W31" i="17"/>
  <c r="Q31" i="17"/>
  <c r="N31" i="17"/>
  <c r="K31" i="17"/>
  <c r="K25" i="17" s="1"/>
  <c r="H31" i="17"/>
  <c r="HE30" i="17"/>
  <c r="DA30" i="17"/>
  <c r="CU30" i="17"/>
  <c r="CO30" i="17"/>
  <c r="CF30" i="17"/>
  <c r="CC30" i="17"/>
  <c r="BZ30" i="17"/>
  <c r="BZ10" i="17" s="1"/>
  <c r="BW30" i="17"/>
  <c r="BN30" i="17"/>
  <c r="BK30" i="17"/>
  <c r="BE30" i="17"/>
  <c r="BB30" i="17"/>
  <c r="AS30" i="17"/>
  <c r="AM30" i="17"/>
  <c r="AJ30" i="17"/>
  <c r="Z30" i="17"/>
  <c r="Z29" i="17" s="1"/>
  <c r="Z40" i="17" s="1"/>
  <c r="W30" i="17"/>
  <c r="W29" i="17" s="1"/>
  <c r="Q30" i="17"/>
  <c r="N30" i="17"/>
  <c r="K30" i="17"/>
  <c r="H30" i="17"/>
  <c r="HE29" i="17"/>
  <c r="DA29" i="17"/>
  <c r="CU29" i="17"/>
  <c r="CU26" i="17" s="1"/>
  <c r="CO29" i="17"/>
  <c r="CF29" i="17"/>
  <c r="CC29" i="17"/>
  <c r="BZ29" i="17"/>
  <c r="BN29" i="17"/>
  <c r="BN28" i="17" s="1"/>
  <c r="BK29" i="17"/>
  <c r="BE29" i="17"/>
  <c r="BB29" i="17"/>
  <c r="BB25" i="17" s="1"/>
  <c r="AV29" i="17"/>
  <c r="AV25" i="17" s="1"/>
  <c r="AV21" i="17" s="1"/>
  <c r="AS29" i="17"/>
  <c r="AM29" i="17"/>
  <c r="AJ29" i="17"/>
  <c r="Q29" i="17"/>
  <c r="N29" i="17"/>
  <c r="K29" i="17"/>
  <c r="H29" i="17"/>
  <c r="H15" i="17" s="1"/>
  <c r="HE28" i="17"/>
  <c r="DA28" i="17"/>
  <c r="DA24" i="17" s="1"/>
  <c r="CU28" i="17"/>
  <c r="CU25" i="17" s="1"/>
  <c r="CO28" i="17"/>
  <c r="CF28" i="17"/>
  <c r="CC28" i="17"/>
  <c r="BZ28" i="17"/>
  <c r="BK28" i="17"/>
  <c r="BE28" i="17"/>
  <c r="BB28" i="17"/>
  <c r="AV28" i="17"/>
  <c r="AS28" i="17"/>
  <c r="AM28" i="17"/>
  <c r="AJ28" i="17"/>
  <c r="W28" i="17"/>
  <c r="Q28" i="17"/>
  <c r="N28" i="17"/>
  <c r="H28" i="17"/>
  <c r="HE27" i="17"/>
  <c r="HB27" i="17"/>
  <c r="ET27" i="17"/>
  <c r="EE27" i="17"/>
  <c r="DA27" i="17"/>
  <c r="CU27" i="17"/>
  <c r="CO27" i="17"/>
  <c r="CO25" i="17" s="1"/>
  <c r="CF27" i="17"/>
  <c r="CC27" i="17"/>
  <c r="BZ27" i="17"/>
  <c r="BN27" i="17"/>
  <c r="BN26" i="17" s="1"/>
  <c r="BN21" i="17" s="1"/>
  <c r="BK27" i="17"/>
  <c r="BK26" i="17" s="1"/>
  <c r="BK21" i="17" s="1"/>
  <c r="BE27" i="17"/>
  <c r="BE26" i="17" s="1"/>
  <c r="BB27" i="17"/>
  <c r="AV27" i="17"/>
  <c r="AS27" i="17"/>
  <c r="AM27" i="17"/>
  <c r="AJ27" i="17"/>
  <c r="AJ26" i="17" s="1"/>
  <c r="AJ21" i="17" s="1"/>
  <c r="Z27" i="17"/>
  <c r="W27" i="17"/>
  <c r="Q27" i="17"/>
  <c r="Q26" i="17" s="1"/>
  <c r="N27" i="17"/>
  <c r="N26" i="17" s="1"/>
  <c r="N21" i="17" s="1"/>
  <c r="K27" i="17"/>
  <c r="H27" i="17"/>
  <c r="HB26" i="17"/>
  <c r="ET26" i="17"/>
  <c r="EE26" i="17"/>
  <c r="DP26" i="17"/>
  <c r="DP24" i="17" s="1"/>
  <c r="DA26" i="17"/>
  <c r="CX26" i="17"/>
  <c r="CO26" i="17"/>
  <c r="CL26" i="17"/>
  <c r="CF26" i="17"/>
  <c r="CC26" i="17"/>
  <c r="BZ26" i="17"/>
  <c r="BT26" i="17"/>
  <c r="BB26" i="17"/>
  <c r="AV26" i="17"/>
  <c r="AS26" i="17"/>
  <c r="AM26" i="17"/>
  <c r="K26" i="17"/>
  <c r="H26" i="17"/>
  <c r="H25" i="17" s="1"/>
  <c r="E26" i="17"/>
  <c r="HE25" i="17"/>
  <c r="HB25" i="17"/>
  <c r="ET25" i="17"/>
  <c r="ET23" i="17" s="1"/>
  <c r="EE25" i="17"/>
  <c r="EE23" i="17" s="1"/>
  <c r="DP25" i="17"/>
  <c r="DG25" i="17"/>
  <c r="DA25" i="17"/>
  <c r="CX25" i="17"/>
  <c r="CL25" i="17"/>
  <c r="CF25" i="17"/>
  <c r="CF24" i="17" s="1"/>
  <c r="CF19" i="17" s="1"/>
  <c r="CC25" i="17"/>
  <c r="CC24" i="17" s="1"/>
  <c r="CC19" i="17" s="1"/>
  <c r="BZ25" i="17"/>
  <c r="BW25" i="17"/>
  <c r="BT25" i="17"/>
  <c r="BE25" i="17"/>
  <c r="AS25" i="17"/>
  <c r="AM25" i="17"/>
  <c r="AJ25" i="17"/>
  <c r="AG25" i="17"/>
  <c r="AF25" i="17"/>
  <c r="AE25" i="17"/>
  <c r="AD25" i="17"/>
  <c r="AC25" i="17"/>
  <c r="AC24" i="17" s="1"/>
  <c r="Q25" i="17"/>
  <c r="N25" i="17"/>
  <c r="E25" i="17"/>
  <c r="HB24" i="17"/>
  <c r="ET24" i="17"/>
  <c r="EE24" i="17"/>
  <c r="CX24" i="17"/>
  <c r="CR24" i="17"/>
  <c r="CO24" i="17"/>
  <c r="CL24" i="17"/>
  <c r="BZ24" i="17"/>
  <c r="BZ17" i="17" s="1"/>
  <c r="BW24" i="17"/>
  <c r="BT24" i="17"/>
  <c r="BN24" i="17"/>
  <c r="BK24" i="17"/>
  <c r="BE24" i="17"/>
  <c r="BB24" i="17"/>
  <c r="AV24" i="17"/>
  <c r="AS24" i="17"/>
  <c r="AS21" i="17" s="1"/>
  <c r="AM24" i="17"/>
  <c r="AJ24" i="17"/>
  <c r="AG24" i="17"/>
  <c r="AG27" i="17" s="1"/>
  <c r="AF24" i="17"/>
  <c r="AE24" i="17"/>
  <c r="AD24" i="17"/>
  <c r="Q24" i="17"/>
  <c r="N24" i="17"/>
  <c r="K24" i="17"/>
  <c r="H24" i="17"/>
  <c r="E24" i="17"/>
  <c r="HB23" i="17"/>
  <c r="DP23" i="17"/>
  <c r="DG23" i="17"/>
  <c r="DG20" i="17" s="1"/>
  <c r="CX23" i="17"/>
  <c r="CR23" i="17"/>
  <c r="CO23" i="17"/>
  <c r="CL23" i="17"/>
  <c r="CF23" i="17"/>
  <c r="CC23" i="17"/>
  <c r="BZ23" i="17"/>
  <c r="BW23" i="17"/>
  <c r="BT23" i="17"/>
  <c r="AG23" i="17"/>
  <c r="K23" i="17"/>
  <c r="H23" i="17"/>
  <c r="E23" i="17"/>
  <c r="HB22" i="17"/>
  <c r="ET22" i="17"/>
  <c r="EE22" i="17"/>
  <c r="DP22" i="17"/>
  <c r="DP16" i="17" s="1"/>
  <c r="DG22" i="17"/>
  <c r="CF22" i="17"/>
  <c r="CC22" i="17"/>
  <c r="BZ22" i="17"/>
  <c r="BW22" i="17"/>
  <c r="BT22" i="17"/>
  <c r="AG22" i="17"/>
  <c r="AF22" i="17"/>
  <c r="AE22" i="17"/>
  <c r="AD22" i="17"/>
  <c r="AC22" i="17"/>
  <c r="K22" i="17"/>
  <c r="H22" i="17"/>
  <c r="HB21" i="17"/>
  <c r="ET21" i="17"/>
  <c r="EE21" i="17"/>
  <c r="DP21" i="17"/>
  <c r="DG21" i="17"/>
  <c r="DD21" i="17"/>
  <c r="BZ21" i="17"/>
  <c r="BW21" i="17"/>
  <c r="AM21" i="17"/>
  <c r="AG21" i="17"/>
  <c r="AF21" i="17"/>
  <c r="AE21" i="17"/>
  <c r="AD21" i="17"/>
  <c r="AC21" i="17"/>
  <c r="K21" i="17"/>
  <c r="K19" i="17" s="1"/>
  <c r="H21" i="17"/>
  <c r="DD20" i="17"/>
  <c r="CR20" i="17"/>
  <c r="CL20" i="17"/>
  <c r="BZ20" i="17"/>
  <c r="BW20" i="17"/>
  <c r="AG20" i="17"/>
  <c r="AF20" i="17"/>
  <c r="AE20" i="17"/>
  <c r="AD20" i="17"/>
  <c r="AC20" i="17"/>
  <c r="H20" i="17"/>
  <c r="HB19" i="17"/>
  <c r="ET19" i="17"/>
  <c r="EE19" i="17"/>
  <c r="DP19" i="17"/>
  <c r="DG19" i="17"/>
  <c r="DD19" i="17"/>
  <c r="BZ19" i="17"/>
  <c r="BW19" i="17"/>
  <c r="AG19" i="17"/>
  <c r="AF19" i="17"/>
  <c r="AE19" i="17"/>
  <c r="AD19" i="17"/>
  <c r="AC19" i="17"/>
  <c r="H19" i="17"/>
  <c r="HB18" i="17"/>
  <c r="GA18" i="17"/>
  <c r="FL18" i="17"/>
  <c r="EW18" i="17"/>
  <c r="ET18" i="17"/>
  <c r="EH18" i="17"/>
  <c r="EE18" i="17"/>
  <c r="DY18" i="17"/>
  <c r="DS18" i="17"/>
  <c r="DP18" i="17"/>
  <c r="DG18" i="17"/>
  <c r="CX18" i="17"/>
  <c r="BZ18" i="17"/>
  <c r="BZ16" i="17" s="1"/>
  <c r="BW18" i="17"/>
  <c r="BW16" i="17" s="1"/>
  <c r="AG18" i="17"/>
  <c r="AF18" i="17"/>
  <c r="AE18" i="17"/>
  <c r="AD18" i="17"/>
  <c r="AC18" i="17"/>
  <c r="H18" i="17"/>
  <c r="E18" i="17"/>
  <c r="HB17" i="17"/>
  <c r="GP17" i="17"/>
  <c r="GG17" i="17"/>
  <c r="GA17" i="17"/>
  <c r="FL17" i="17"/>
  <c r="EW17" i="17"/>
  <c r="ET17" i="17"/>
  <c r="EH17" i="17"/>
  <c r="EE17" i="17"/>
  <c r="DY17" i="17"/>
  <c r="DS17" i="17"/>
  <c r="DP17" i="17"/>
  <c r="DG17" i="17"/>
  <c r="CX17" i="17"/>
  <c r="BW17" i="17"/>
  <c r="BT17" i="17"/>
  <c r="AG17" i="17"/>
  <c r="AF17" i="17"/>
  <c r="AE17" i="17"/>
  <c r="AD17" i="17"/>
  <c r="AC17" i="17"/>
  <c r="H17" i="17"/>
  <c r="E17" i="17"/>
  <c r="BT16" i="17" s="1"/>
  <c r="HB16" i="17"/>
  <c r="GV16" i="17"/>
  <c r="GV15" i="17" s="1"/>
  <c r="GP16" i="17"/>
  <c r="GG16" i="17"/>
  <c r="FC16" i="17"/>
  <c r="ET16" i="17"/>
  <c r="EN16" i="17"/>
  <c r="EE16" i="17"/>
  <c r="DY16" i="17"/>
  <c r="DD16" i="17"/>
  <c r="CX16" i="17"/>
  <c r="CX12" i="17" s="1"/>
  <c r="CO16" i="17"/>
  <c r="CO15" i="17" s="1"/>
  <c r="BQ16" i="17"/>
  <c r="BN16" i="17"/>
  <c r="BK16" i="17"/>
  <c r="BH16" i="17"/>
  <c r="BE16" i="17"/>
  <c r="BB16" i="17"/>
  <c r="AY16" i="17"/>
  <c r="AV16" i="17"/>
  <c r="AS16" i="17"/>
  <c r="AP16" i="17"/>
  <c r="AM16" i="17"/>
  <c r="AJ16" i="17"/>
  <c r="AG16" i="17"/>
  <c r="AF16" i="17"/>
  <c r="AE16" i="17"/>
  <c r="AD16" i="17"/>
  <c r="AC16" i="17"/>
  <c r="W16" i="17"/>
  <c r="T16" i="17"/>
  <c r="Q16" i="17"/>
  <c r="N16" i="17"/>
  <c r="H16" i="17"/>
  <c r="HB15" i="17"/>
  <c r="GG15" i="17"/>
  <c r="GA15" i="17"/>
  <c r="FL15" i="17"/>
  <c r="FC15" i="17"/>
  <c r="EW15" i="17"/>
  <c r="ET15" i="17"/>
  <c r="EN15" i="17"/>
  <c r="EH15" i="17"/>
  <c r="EE15" i="17"/>
  <c r="DY15" i="17"/>
  <c r="DS15" i="17"/>
  <c r="DP15" i="17"/>
  <c r="DG15" i="17"/>
  <c r="DD15" i="17"/>
  <c r="CX15" i="17"/>
  <c r="BW15" i="17"/>
  <c r="BT15" i="17"/>
  <c r="BQ15" i="17"/>
  <c r="BN15" i="17"/>
  <c r="BK15" i="17"/>
  <c r="BH15" i="17"/>
  <c r="BE15" i="17"/>
  <c r="BB15" i="17"/>
  <c r="AY15" i="17"/>
  <c r="AV15" i="17"/>
  <c r="AS15" i="17"/>
  <c r="AP15" i="17"/>
  <c r="AM15" i="17"/>
  <c r="AJ15" i="17"/>
  <c r="AG15" i="17"/>
  <c r="AF15" i="17"/>
  <c r="AE15" i="17"/>
  <c r="AD15" i="17"/>
  <c r="AC15" i="17"/>
  <c r="Z15" i="17"/>
  <c r="W15" i="17"/>
  <c r="T15" i="17"/>
  <c r="Q15" i="17"/>
  <c r="N15" i="17"/>
  <c r="E15" i="17"/>
  <c r="E20" i="17" s="1"/>
  <c r="HB14" i="17"/>
  <c r="GV14" i="17"/>
  <c r="GV17" i="17" s="1"/>
  <c r="GP14" i="17"/>
  <c r="GG14" i="17"/>
  <c r="FC14" i="17"/>
  <c r="FC17" i="17" s="1"/>
  <c r="ET14" i="17"/>
  <c r="EN14" i="17"/>
  <c r="EN17" i="17" s="1"/>
  <c r="EE14" i="17"/>
  <c r="EB14" i="17"/>
  <c r="DY14" i="17"/>
  <c r="DP14" i="17"/>
  <c r="DG14" i="17"/>
  <c r="DD14" i="17"/>
  <c r="CX14" i="17"/>
  <c r="CO14" i="17"/>
  <c r="CO17" i="17" s="1"/>
  <c r="CI14" i="17"/>
  <c r="CF14" i="17"/>
  <c r="CC14" i="17"/>
  <c r="BW14" i="17"/>
  <c r="BT14" i="17"/>
  <c r="BQ14" i="17"/>
  <c r="BN14" i="17"/>
  <c r="BK14" i="17"/>
  <c r="BH14" i="17"/>
  <c r="BE14" i="17"/>
  <c r="BB14" i="17"/>
  <c r="AY14" i="17"/>
  <c r="AV14" i="17"/>
  <c r="AS14" i="17"/>
  <c r="AP14" i="17"/>
  <c r="AM14" i="17"/>
  <c r="AJ14" i="17"/>
  <c r="AG14" i="17"/>
  <c r="AF14" i="17"/>
  <c r="AE14" i="17"/>
  <c r="AD14" i="17"/>
  <c r="AC14" i="17"/>
  <c r="Z14" i="17"/>
  <c r="W14" i="17"/>
  <c r="T14" i="17"/>
  <c r="Q14" i="17"/>
  <c r="N14" i="17"/>
  <c r="E14" i="17"/>
  <c r="E12" i="17" s="1"/>
  <c r="HE13" i="17"/>
  <c r="HB13" i="17"/>
  <c r="GY13" i="17"/>
  <c r="GV13" i="17"/>
  <c r="GP13" i="17"/>
  <c r="GG13" i="17"/>
  <c r="GA13" i="17"/>
  <c r="FL13" i="17"/>
  <c r="FC13" i="17"/>
  <c r="EW13" i="17"/>
  <c r="ET13" i="17"/>
  <c r="EQ13" i="17"/>
  <c r="EN13" i="17"/>
  <c r="EH13" i="17"/>
  <c r="EE13" i="17"/>
  <c r="EB13" i="17"/>
  <c r="DY13" i="17"/>
  <c r="DP13" i="17"/>
  <c r="DG13" i="17"/>
  <c r="DD13" i="17"/>
  <c r="CX13" i="17"/>
  <c r="CU13" i="17"/>
  <c r="CO13" i="17"/>
  <c r="CI13" i="17"/>
  <c r="CF13" i="17"/>
  <c r="CC13" i="17"/>
  <c r="BW13" i="17"/>
  <c r="BT13" i="17"/>
  <c r="BQ13" i="17"/>
  <c r="BN13" i="17"/>
  <c r="BK13" i="17"/>
  <c r="BH13" i="17"/>
  <c r="BE13" i="17"/>
  <c r="BB13" i="17"/>
  <c r="AY13" i="17"/>
  <c r="AV13" i="17"/>
  <c r="AS13" i="17"/>
  <c r="AP13" i="17"/>
  <c r="AM13" i="17"/>
  <c r="AJ13" i="17"/>
  <c r="AG13" i="17"/>
  <c r="AF13" i="17"/>
  <c r="AE13" i="17"/>
  <c r="AD13" i="17"/>
  <c r="AC13" i="17"/>
  <c r="Z13" i="17"/>
  <c r="W13" i="17"/>
  <c r="T13" i="17"/>
  <c r="Q13" i="17"/>
  <c r="N13" i="17"/>
  <c r="K13" i="17"/>
  <c r="K12" i="17" s="1"/>
  <c r="E13" i="17"/>
  <c r="HB12" i="17"/>
  <c r="GY12" i="17"/>
  <c r="GV12" i="17"/>
  <c r="GP12" i="17"/>
  <c r="GG12" i="17"/>
  <c r="GA12" i="17"/>
  <c r="FL12" i="17"/>
  <c r="FC12" i="17"/>
  <c r="EW12" i="17"/>
  <c r="ET12" i="17"/>
  <c r="ET2" i="17" s="1"/>
  <c r="EQ12" i="17"/>
  <c r="EN12" i="17"/>
  <c r="EH12" i="17"/>
  <c r="EE12" i="17"/>
  <c r="EB12" i="17"/>
  <c r="DY12" i="17"/>
  <c r="DS12" i="17"/>
  <c r="DP12" i="17"/>
  <c r="DG12" i="17"/>
  <c r="DD12" i="17"/>
  <c r="DD11" i="17" s="1"/>
  <c r="DD7" i="17" s="1"/>
  <c r="DA12" i="17"/>
  <c r="CU12" i="17"/>
  <c r="CO12" i="17"/>
  <c r="CI12" i="17"/>
  <c r="CF12" i="17"/>
  <c r="CC12" i="17"/>
  <c r="BZ12" i="17"/>
  <c r="BZ11" i="17" s="1"/>
  <c r="BT12" i="17"/>
  <c r="BQ12" i="17"/>
  <c r="BN12" i="17"/>
  <c r="BK12" i="17"/>
  <c r="BH12" i="17"/>
  <c r="BE12" i="17"/>
  <c r="BB12" i="17"/>
  <c r="AY12" i="17"/>
  <c r="AV12" i="17"/>
  <c r="AS12" i="17"/>
  <c r="AP12" i="17"/>
  <c r="AM12" i="17"/>
  <c r="AJ12" i="17"/>
  <c r="AG12" i="17"/>
  <c r="AF12" i="17"/>
  <c r="Z12" i="17"/>
  <c r="W12" i="17"/>
  <c r="T12" i="17"/>
  <c r="Q12" i="17"/>
  <c r="N12" i="17"/>
  <c r="HE11" i="17"/>
  <c r="HB11" i="17"/>
  <c r="GY11" i="17"/>
  <c r="GV11" i="17"/>
  <c r="GP11" i="17"/>
  <c r="GG11" i="17"/>
  <c r="GA11" i="17"/>
  <c r="GA8" i="17" s="1"/>
  <c r="GA7" i="17" s="1"/>
  <c r="FL11" i="17"/>
  <c r="FC11" i="17"/>
  <c r="EW11" i="17"/>
  <c r="ET11" i="17"/>
  <c r="EQ11" i="17"/>
  <c r="EN11" i="17"/>
  <c r="EH11" i="17"/>
  <c r="EH8" i="17" s="1"/>
  <c r="DS11" i="17"/>
  <c r="DP11" i="17"/>
  <c r="DJ11" i="17"/>
  <c r="DJ10" i="17" s="1"/>
  <c r="DJ12" i="17" s="1"/>
  <c r="DA11" i="17"/>
  <c r="CX11" i="17"/>
  <c r="CO11" i="17"/>
  <c r="CI11" i="17"/>
  <c r="CF11" i="17"/>
  <c r="CC11" i="17"/>
  <c r="BT11" i="17"/>
  <c r="BQ11" i="17"/>
  <c r="BN11" i="17"/>
  <c r="BK11" i="17"/>
  <c r="BH11" i="17"/>
  <c r="BE11" i="17"/>
  <c r="BB11" i="17"/>
  <c r="AY11" i="17"/>
  <c r="AV11" i="17"/>
  <c r="AS11" i="17"/>
  <c r="AP11" i="17"/>
  <c r="AM11" i="17"/>
  <c r="AJ11" i="17"/>
  <c r="AG11" i="17"/>
  <c r="AF11" i="17"/>
  <c r="Z11" i="17"/>
  <c r="W11" i="17"/>
  <c r="T11" i="17"/>
  <c r="Q11" i="17"/>
  <c r="N11" i="17"/>
  <c r="E11" i="17"/>
  <c r="E19" i="17" s="1"/>
  <c r="E3" i="17" s="1"/>
  <c r="HE10" i="17"/>
  <c r="HB10" i="17"/>
  <c r="GY10" i="17"/>
  <c r="GV10" i="17"/>
  <c r="GP10" i="17"/>
  <c r="GG10" i="17"/>
  <c r="GA10" i="17"/>
  <c r="FL10" i="17"/>
  <c r="FC10" i="17"/>
  <c r="EW10" i="17"/>
  <c r="ET10" i="17"/>
  <c r="EQ10" i="17"/>
  <c r="EN10" i="17"/>
  <c r="EH10" i="17"/>
  <c r="EE10" i="17"/>
  <c r="EB10" i="17"/>
  <c r="DY10" i="17"/>
  <c r="DS10" i="17"/>
  <c r="DS8" i="17" s="1"/>
  <c r="DP10" i="17"/>
  <c r="DG10" i="17"/>
  <c r="DD10" i="17"/>
  <c r="CU10" i="17"/>
  <c r="CO10" i="17"/>
  <c r="CI10" i="17"/>
  <c r="CI6" i="17" s="1"/>
  <c r="CI2" i="17" s="1"/>
  <c r="CF10" i="17"/>
  <c r="CC10" i="17"/>
  <c r="CC6" i="17" s="1"/>
  <c r="CC2" i="17" s="1"/>
  <c r="BT10" i="17"/>
  <c r="BQ10" i="17"/>
  <c r="BQ9" i="17" s="1"/>
  <c r="BQ2" i="17" s="1"/>
  <c r="BN10" i="17"/>
  <c r="BN9" i="17" s="1"/>
  <c r="BK10" i="17"/>
  <c r="BK9" i="17" s="1"/>
  <c r="BK2" i="17" s="1"/>
  <c r="BH10" i="17"/>
  <c r="BE10" i="17"/>
  <c r="BE6" i="17" s="1"/>
  <c r="BE2" i="17" s="1"/>
  <c r="BB10" i="17"/>
  <c r="AY10" i="17"/>
  <c r="AY6" i="17" s="1"/>
  <c r="AV10" i="17"/>
  <c r="AV6" i="17" s="1"/>
  <c r="AS10" i="17"/>
  <c r="AP10" i="17"/>
  <c r="AM10" i="17"/>
  <c r="AG10" i="17"/>
  <c r="AF10" i="17"/>
  <c r="Z10" i="17"/>
  <c r="Z6" i="17" s="1"/>
  <c r="W10" i="17"/>
  <c r="T10" i="17"/>
  <c r="T6" i="17" s="1"/>
  <c r="T2" i="17" s="1"/>
  <c r="Q10" i="17"/>
  <c r="Q6" i="17" s="1"/>
  <c r="Q2" i="17" s="1"/>
  <c r="N10" i="17"/>
  <c r="K10" i="17"/>
  <c r="HE9" i="17"/>
  <c r="HB9" i="17"/>
  <c r="GY9" i="17"/>
  <c r="GV9" i="17"/>
  <c r="GP9" i="17"/>
  <c r="GP8" i="17" s="1"/>
  <c r="GG9" i="17"/>
  <c r="GA9" i="17"/>
  <c r="FR9" i="17"/>
  <c r="FL9" i="17"/>
  <c r="FL8" i="17" s="1"/>
  <c r="FC9" i="17"/>
  <c r="EW9" i="17"/>
  <c r="ET9" i="17"/>
  <c r="EQ9" i="17"/>
  <c r="EN9" i="17"/>
  <c r="EH9" i="17"/>
  <c r="EE9" i="17"/>
  <c r="EB9" i="17"/>
  <c r="DY9" i="17"/>
  <c r="DS9" i="17"/>
  <c r="DP9" i="17"/>
  <c r="DP7" i="17" s="1"/>
  <c r="DJ9" i="17"/>
  <c r="DG9" i="17"/>
  <c r="DD9" i="17"/>
  <c r="DA9" i="17"/>
  <c r="CX9" i="17"/>
  <c r="CX10" i="17" s="1"/>
  <c r="CU9" i="17"/>
  <c r="CO9" i="17"/>
  <c r="CI9" i="17"/>
  <c r="CF9" i="17"/>
  <c r="CC9" i="17"/>
  <c r="BZ9" i="17"/>
  <c r="BW9" i="17"/>
  <c r="BT9" i="17"/>
  <c r="BH9" i="17"/>
  <c r="BE9" i="17"/>
  <c r="BB9" i="17"/>
  <c r="AY9" i="17"/>
  <c r="AV9" i="17"/>
  <c r="AS9" i="17"/>
  <c r="AP9" i="17"/>
  <c r="AM9" i="17"/>
  <c r="AJ9" i="17"/>
  <c r="AG9" i="17"/>
  <c r="AF9" i="17"/>
  <c r="AF23" i="17" s="1"/>
  <c r="AF27" i="17" s="1"/>
  <c r="AE9" i="17"/>
  <c r="AE23" i="17" s="1"/>
  <c r="AE27" i="17" s="1"/>
  <c r="AD9" i="17"/>
  <c r="AD23" i="17" s="1"/>
  <c r="AD27" i="17" s="1"/>
  <c r="AC9" i="17"/>
  <c r="Z9" i="17"/>
  <c r="W9" i="17"/>
  <c r="W17" i="17" s="1"/>
  <c r="W4" i="17" s="1"/>
  <c r="T9" i="17"/>
  <c r="Q9" i="17"/>
  <c r="N9" i="17"/>
  <c r="K9" i="17"/>
  <c r="H9" i="17"/>
  <c r="E9" i="17"/>
  <c r="E10" i="17" s="1"/>
  <c r="HB8" i="17"/>
  <c r="HB6" i="17" s="1"/>
  <c r="GY8" i="17"/>
  <c r="GV8" i="17"/>
  <c r="GG8" i="17"/>
  <c r="GG6" i="17" s="1"/>
  <c r="FR8" i="17"/>
  <c r="FR10" i="17" s="1"/>
  <c r="FC8" i="17"/>
  <c r="FC6" i="17" s="1"/>
  <c r="EW8" i="17"/>
  <c r="ET8" i="17"/>
  <c r="EQ8" i="17"/>
  <c r="EN8" i="17"/>
  <c r="EE8" i="17"/>
  <c r="EB8" i="17"/>
  <c r="EB6" i="17" s="1"/>
  <c r="DY8" i="17"/>
  <c r="DY6" i="17" s="1"/>
  <c r="DV8" i="17"/>
  <c r="DP8" i="17"/>
  <c r="DM8" i="17"/>
  <c r="DJ8" i="17"/>
  <c r="DJ6" i="17" s="1"/>
  <c r="DG8" i="17"/>
  <c r="DD8" i="17"/>
  <c r="DA8" i="17"/>
  <c r="CX8" i="17"/>
  <c r="CU8" i="17"/>
  <c r="CO8" i="17"/>
  <c r="CL8" i="17"/>
  <c r="CI8" i="17"/>
  <c r="CF8" i="17"/>
  <c r="CC8" i="17"/>
  <c r="BZ8" i="17"/>
  <c r="BW8" i="17"/>
  <c r="BT8" i="17"/>
  <c r="BQ8" i="17"/>
  <c r="BN8" i="17"/>
  <c r="BK8" i="17"/>
  <c r="BH8" i="17"/>
  <c r="BE8" i="17"/>
  <c r="BB8" i="17"/>
  <c r="AY8" i="17"/>
  <c r="AV8" i="17"/>
  <c r="AS8" i="17"/>
  <c r="AP8" i="17"/>
  <c r="AM8" i="17"/>
  <c r="AJ8" i="17"/>
  <c r="AG8" i="17"/>
  <c r="AF8" i="17"/>
  <c r="AE8" i="17"/>
  <c r="AD8" i="17"/>
  <c r="AC8" i="17"/>
  <c r="Z8" i="17"/>
  <c r="W8" i="17"/>
  <c r="T8" i="17"/>
  <c r="Q8" i="17"/>
  <c r="N8" i="17"/>
  <c r="K8" i="17"/>
  <c r="H8" i="17"/>
  <c r="E8" i="17"/>
  <c r="HE7" i="17"/>
  <c r="HE8" i="17" s="1"/>
  <c r="HE3" i="17" s="1"/>
  <c r="HB7" i="17"/>
  <c r="GY7" i="17"/>
  <c r="GY5" i="17" s="1"/>
  <c r="GV7" i="17"/>
  <c r="GV5" i="17" s="1"/>
  <c r="GG7" i="17"/>
  <c r="FR7" i="17"/>
  <c r="FC7" i="17"/>
  <c r="FC5" i="17" s="1"/>
  <c r="ET7" i="17"/>
  <c r="EQ7" i="17"/>
  <c r="EN7" i="17"/>
  <c r="EE7" i="17"/>
  <c r="EE5" i="17" s="1"/>
  <c r="EE2" i="17" s="1"/>
  <c r="EB7" i="17"/>
  <c r="EB5" i="17" s="1"/>
  <c r="DY7" i="17"/>
  <c r="DY5" i="17" s="1"/>
  <c r="DM7" i="17"/>
  <c r="DM5" i="17" s="1"/>
  <c r="DJ7" i="17"/>
  <c r="DA7" i="17"/>
  <c r="CX7" i="17"/>
  <c r="CX6" i="17" s="1"/>
  <c r="CU7" i="17"/>
  <c r="CO7" i="17"/>
  <c r="CL7" i="17"/>
  <c r="CI7" i="17"/>
  <c r="CF7" i="17"/>
  <c r="CC7" i="17"/>
  <c r="BZ7" i="17"/>
  <c r="BW7" i="17"/>
  <c r="BT7" i="17"/>
  <c r="BQ7" i="17"/>
  <c r="BN7" i="17"/>
  <c r="BK7" i="17"/>
  <c r="BH7" i="17"/>
  <c r="BE7" i="17"/>
  <c r="BB7" i="17"/>
  <c r="AY7" i="17"/>
  <c r="AV7" i="17"/>
  <c r="AS7" i="17"/>
  <c r="AP7" i="17"/>
  <c r="AM7" i="17"/>
  <c r="AJ7" i="17"/>
  <c r="AG7" i="17"/>
  <c r="AF7" i="17"/>
  <c r="AE7" i="17"/>
  <c r="AD7" i="17"/>
  <c r="AC7" i="17"/>
  <c r="Z7" i="17"/>
  <c r="W7" i="17"/>
  <c r="T7" i="17"/>
  <c r="Q7" i="17"/>
  <c r="N7" i="17"/>
  <c r="K7" i="17"/>
  <c r="H7" i="17"/>
  <c r="E7" i="17"/>
  <c r="GY6" i="17"/>
  <c r="GV6" i="17"/>
  <c r="GS6" i="17"/>
  <c r="GP6" i="17"/>
  <c r="GD6" i="17"/>
  <c r="GA6" i="17"/>
  <c r="FU6" i="17"/>
  <c r="FR6" i="17"/>
  <c r="FL6" i="17"/>
  <c r="EZ6" i="17"/>
  <c r="EW6" i="17"/>
  <c r="ET6" i="17"/>
  <c r="EQ6" i="17"/>
  <c r="EN6" i="17"/>
  <c r="EK6" i="17"/>
  <c r="EH6" i="17"/>
  <c r="EE6" i="17"/>
  <c r="DV6" i="17"/>
  <c r="DS6" i="17"/>
  <c r="DP6" i="17"/>
  <c r="DM6" i="17"/>
  <c r="DD6" i="17"/>
  <c r="DA6" i="17"/>
  <c r="CU6" i="17"/>
  <c r="CR6" i="17"/>
  <c r="CO6" i="17"/>
  <c r="CL6" i="17"/>
  <c r="CF6" i="17"/>
  <c r="BZ6" i="17"/>
  <c r="BW6" i="17"/>
  <c r="BT6" i="17"/>
  <c r="BH6" i="17"/>
  <c r="BB6" i="17"/>
  <c r="AS6" i="17"/>
  <c r="AS2" i="17" s="1"/>
  <c r="AP6" i="17"/>
  <c r="AM6" i="17"/>
  <c r="AM2" i="17" s="1"/>
  <c r="AJ6" i="17"/>
  <c r="W6" i="17"/>
  <c r="W19" i="17" s="1"/>
  <c r="N6" i="17"/>
  <c r="K6" i="17"/>
  <c r="H6" i="17"/>
  <c r="E6" i="17"/>
  <c r="HE5" i="17"/>
  <c r="HB5" i="17"/>
  <c r="GS5" i="17"/>
  <c r="GP5" i="17"/>
  <c r="GG5" i="17"/>
  <c r="GD5" i="17"/>
  <c r="GA5" i="17"/>
  <c r="FX5" i="17"/>
  <c r="FU5" i="17"/>
  <c r="FR5" i="17"/>
  <c r="FO5" i="17"/>
  <c r="FL5" i="17"/>
  <c r="FL7" i="17" s="1"/>
  <c r="EZ5" i="17"/>
  <c r="EW5" i="17"/>
  <c r="EW7" i="17" s="1"/>
  <c r="ET5" i="17"/>
  <c r="EQ5" i="17"/>
  <c r="EN5" i="17"/>
  <c r="EK5" i="17"/>
  <c r="EH5" i="17"/>
  <c r="DV5" i="17"/>
  <c r="DS5" i="17"/>
  <c r="DS7" i="17" s="1"/>
  <c r="DP5" i="17"/>
  <c r="DP2" i="17" s="1"/>
  <c r="DJ5" i="17"/>
  <c r="DD5" i="17"/>
  <c r="DA5" i="17"/>
  <c r="DA14" i="17" s="1"/>
  <c r="CX5" i="17"/>
  <c r="CU5" i="17"/>
  <c r="CU16" i="17" s="1"/>
  <c r="CR5" i="17"/>
  <c r="CO5" i="17"/>
  <c r="CL5" i="17"/>
  <c r="CI5" i="17"/>
  <c r="CF5" i="17"/>
  <c r="CC5" i="17"/>
  <c r="BZ5" i="17"/>
  <c r="BW5" i="17"/>
  <c r="BT5" i="17"/>
  <c r="BT20" i="17" s="1"/>
  <c r="BQ5" i="17"/>
  <c r="BN5" i="17"/>
  <c r="BN2" i="17" s="1"/>
  <c r="BK5" i="17"/>
  <c r="BH5" i="17"/>
  <c r="BE5" i="17"/>
  <c r="BB5" i="17"/>
  <c r="AY5" i="17"/>
  <c r="AY2" i="17" s="1"/>
  <c r="AV5" i="17"/>
  <c r="AV2" i="17" s="1"/>
  <c r="AS5" i="17"/>
  <c r="AP5" i="17"/>
  <c r="AP2" i="17" s="1"/>
  <c r="AM5" i="17"/>
  <c r="AJ5" i="17"/>
  <c r="AG5" i="17"/>
  <c r="AG29" i="17" s="1"/>
  <c r="AF5" i="17"/>
  <c r="AE5" i="17"/>
  <c r="AD5" i="17"/>
  <c r="AD30" i="17" s="1"/>
  <c r="AC5" i="17"/>
  <c r="Z5" i="17"/>
  <c r="Z19" i="17" s="1"/>
  <c r="W5" i="17"/>
  <c r="T5" i="17"/>
  <c r="Q5" i="17"/>
  <c r="N5" i="17"/>
  <c r="K5" i="17"/>
  <c r="K16" i="17" s="1"/>
  <c r="H5" i="17"/>
  <c r="H12" i="17" s="1"/>
  <c r="E5" i="17"/>
  <c r="FX2" i="17"/>
  <c r="CL2" i="17"/>
  <c r="CR2" i="17" s="1"/>
  <c r="CF2" i="17"/>
  <c r="BH2" i="17"/>
  <c r="BB2" i="17"/>
  <c r="AJ2" i="17"/>
  <c r="N2" i="17"/>
  <c r="H69" i="16"/>
  <c r="H68" i="16"/>
  <c r="H67" i="16"/>
  <c r="H63" i="16" s="1"/>
  <c r="H66" i="16"/>
  <c r="H65" i="16"/>
  <c r="H64" i="16"/>
  <c r="H62" i="16"/>
  <c r="H61" i="16"/>
  <c r="H60" i="16"/>
  <c r="H57" i="16"/>
  <c r="H56" i="16"/>
  <c r="H55" i="16"/>
  <c r="H53" i="16"/>
  <c r="K52" i="16"/>
  <c r="H52" i="16"/>
  <c r="E52" i="16"/>
  <c r="K51" i="16"/>
  <c r="H51" i="16"/>
  <c r="E51" i="16"/>
  <c r="DA50" i="16"/>
  <c r="K50" i="16"/>
  <c r="K48" i="16" s="1"/>
  <c r="DA49" i="16"/>
  <c r="K49" i="16"/>
  <c r="E49" i="16"/>
  <c r="CU48" i="16"/>
  <c r="E48" i="16"/>
  <c r="CU47" i="16"/>
  <c r="K47" i="16"/>
  <c r="H47" i="16"/>
  <c r="E47" i="16"/>
  <c r="H46" i="16"/>
  <c r="E46" i="16"/>
  <c r="DA45" i="16"/>
  <c r="H45" i="16"/>
  <c r="E45" i="16"/>
  <c r="E53" i="16" s="1"/>
  <c r="E43" i="16" s="1"/>
  <c r="H44" i="16"/>
  <c r="DA43" i="16"/>
  <c r="CU43" i="16"/>
  <c r="Z43" i="16"/>
  <c r="DA42" i="16"/>
  <c r="CU42" i="16"/>
  <c r="Z42" i="16"/>
  <c r="HE41" i="16"/>
  <c r="DA41" i="16"/>
  <c r="CU41" i="16"/>
  <c r="H41" i="16"/>
  <c r="HE40" i="16"/>
  <c r="DA40" i="16"/>
  <c r="CU40" i="16"/>
  <c r="HE39" i="16"/>
  <c r="HE37" i="16" s="1"/>
  <c r="HE42" i="16" s="1"/>
  <c r="HE23" i="16" s="1"/>
  <c r="DA39" i="16"/>
  <c r="CU39" i="16"/>
  <c r="HE38" i="16"/>
  <c r="DA38" i="16"/>
  <c r="CU38" i="16"/>
  <c r="K38" i="16"/>
  <c r="H38" i="16"/>
  <c r="DA37" i="16"/>
  <c r="CU37" i="16"/>
  <c r="Z37" i="16"/>
  <c r="W37" i="16"/>
  <c r="K37" i="16"/>
  <c r="H37" i="16"/>
  <c r="E37" i="16"/>
  <c r="HE36" i="16"/>
  <c r="DA36" i="16"/>
  <c r="CU36" i="16"/>
  <c r="Z36" i="16"/>
  <c r="W36" i="16"/>
  <c r="K36" i="16"/>
  <c r="H36" i="16"/>
  <c r="E36" i="16"/>
  <c r="HE35" i="16"/>
  <c r="DA35" i="16"/>
  <c r="DA26" i="16" s="1"/>
  <c r="CU35" i="16"/>
  <c r="BZ35" i="16"/>
  <c r="BN35" i="16"/>
  <c r="BK35" i="16"/>
  <c r="BE35" i="16"/>
  <c r="BB35" i="16"/>
  <c r="AV35" i="16"/>
  <c r="AS35" i="16"/>
  <c r="AM35" i="16"/>
  <c r="AJ35" i="16"/>
  <c r="Z35" i="16"/>
  <c r="W35" i="16"/>
  <c r="Q35" i="16"/>
  <c r="N35" i="16"/>
  <c r="K35" i="16"/>
  <c r="H35" i="16"/>
  <c r="E35" i="16"/>
  <c r="HE34" i="16"/>
  <c r="DA34" i="16"/>
  <c r="CU34" i="16"/>
  <c r="BZ34" i="16"/>
  <c r="BN34" i="16"/>
  <c r="BK34" i="16"/>
  <c r="BE34" i="16"/>
  <c r="BB34" i="16"/>
  <c r="AV34" i="16"/>
  <c r="AS34" i="16"/>
  <c r="AM34" i="16"/>
  <c r="AJ34" i="16"/>
  <c r="Z34" i="16"/>
  <c r="W34" i="16"/>
  <c r="Q34" i="16"/>
  <c r="N34" i="16"/>
  <c r="K34" i="16"/>
  <c r="H34" i="16"/>
  <c r="E34" i="16"/>
  <c r="HE33" i="16"/>
  <c r="DA33" i="16"/>
  <c r="CU33" i="16"/>
  <c r="CO33" i="16"/>
  <c r="BN33" i="16"/>
  <c r="BK33" i="16"/>
  <c r="BE33" i="16"/>
  <c r="BB33" i="16"/>
  <c r="AV33" i="16"/>
  <c r="AS33" i="16"/>
  <c r="AM33" i="16"/>
  <c r="AJ33" i="16"/>
  <c r="AF33" i="16"/>
  <c r="Z33" i="16"/>
  <c r="W33" i="16"/>
  <c r="Q33" i="16"/>
  <c r="N33" i="16"/>
  <c r="K33" i="16"/>
  <c r="K43" i="16" s="1"/>
  <c r="H33" i="16"/>
  <c r="E33" i="16"/>
  <c r="E38" i="16" s="1"/>
  <c r="E31" i="16" s="1"/>
  <c r="DA32" i="16"/>
  <c r="CU32" i="16"/>
  <c r="CO32" i="16"/>
  <c r="BN32" i="16"/>
  <c r="BK32" i="16"/>
  <c r="BE32" i="16"/>
  <c r="BB32" i="16"/>
  <c r="AV32" i="16"/>
  <c r="AS32" i="16"/>
  <c r="AM32" i="16"/>
  <c r="AJ32" i="16"/>
  <c r="AE32" i="16"/>
  <c r="AD32" i="16"/>
  <c r="AC32" i="16"/>
  <c r="Z32" i="16"/>
  <c r="W32" i="16"/>
  <c r="W28" i="16" s="1"/>
  <c r="Q32" i="16"/>
  <c r="N32" i="16"/>
  <c r="K32" i="16"/>
  <c r="H32" i="16"/>
  <c r="HE31" i="16"/>
  <c r="DA31" i="16"/>
  <c r="CU31" i="16"/>
  <c r="CO31" i="16"/>
  <c r="CO34" i="16" s="1"/>
  <c r="CF31" i="16"/>
  <c r="CC31" i="16"/>
  <c r="BW31" i="16"/>
  <c r="BN31" i="16"/>
  <c r="BK31" i="16"/>
  <c r="BE31" i="16"/>
  <c r="BB31" i="16"/>
  <c r="AV31" i="16"/>
  <c r="AS31" i="16"/>
  <c r="AM31" i="16"/>
  <c r="AJ31" i="16"/>
  <c r="Z31" i="16"/>
  <c r="W31" i="16"/>
  <c r="Q31" i="16"/>
  <c r="N31" i="16"/>
  <c r="K31" i="16"/>
  <c r="K28" i="16" s="1"/>
  <c r="H31" i="16"/>
  <c r="HE30" i="16"/>
  <c r="DA30" i="16"/>
  <c r="CU30" i="16"/>
  <c r="CO30" i="16"/>
  <c r="CF30" i="16"/>
  <c r="CC30" i="16"/>
  <c r="BZ30" i="16"/>
  <c r="BW30" i="16"/>
  <c r="BN30" i="16"/>
  <c r="BK30" i="16"/>
  <c r="BE30" i="16"/>
  <c r="BB30" i="16"/>
  <c r="AS30" i="16"/>
  <c r="AM30" i="16"/>
  <c r="AJ30" i="16"/>
  <c r="Z30" i="16"/>
  <c r="Z29" i="16" s="1"/>
  <c r="W30" i="16"/>
  <c r="W29" i="16" s="1"/>
  <c r="Q30" i="16"/>
  <c r="N30" i="16"/>
  <c r="K30" i="16"/>
  <c r="H30" i="16"/>
  <c r="HE29" i="16"/>
  <c r="DA29" i="16"/>
  <c r="CU29" i="16"/>
  <c r="CO29" i="16"/>
  <c r="CF29" i="16"/>
  <c r="CC29" i="16"/>
  <c r="BZ29" i="16"/>
  <c r="BN29" i="16"/>
  <c r="BN28" i="16" s="1"/>
  <c r="BK29" i="16"/>
  <c r="BK28" i="16" s="1"/>
  <c r="BE29" i="16"/>
  <c r="BB29" i="16"/>
  <c r="AV29" i="16"/>
  <c r="AS29" i="16"/>
  <c r="AM29" i="16"/>
  <c r="AJ29" i="16"/>
  <c r="AJ25" i="16" s="1"/>
  <c r="Q29" i="16"/>
  <c r="Q25" i="16" s="1"/>
  <c r="Q21" i="16" s="1"/>
  <c r="N29" i="16"/>
  <c r="N25" i="16" s="1"/>
  <c r="K29" i="16"/>
  <c r="H29" i="16"/>
  <c r="H22" i="16" s="1"/>
  <c r="H14" i="16" s="1"/>
  <c r="DA28" i="16"/>
  <c r="CU28" i="16"/>
  <c r="CO28" i="16"/>
  <c r="CF28" i="16"/>
  <c r="CC28" i="16"/>
  <c r="BZ28" i="16"/>
  <c r="BE28" i="16"/>
  <c r="BB28" i="16"/>
  <c r="AV28" i="16"/>
  <c r="AS28" i="16"/>
  <c r="AM28" i="16"/>
  <c r="AJ28" i="16"/>
  <c r="Z28" i="16"/>
  <c r="Q28" i="16"/>
  <c r="N28" i="16"/>
  <c r="H28" i="16"/>
  <c r="HE27" i="16"/>
  <c r="HE28" i="16" s="1"/>
  <c r="HB27" i="16"/>
  <c r="ET27" i="16"/>
  <c r="EE27" i="16"/>
  <c r="DA27" i="16"/>
  <c r="CU27" i="16"/>
  <c r="CO27" i="16"/>
  <c r="CF27" i="16"/>
  <c r="CF23" i="16" s="1"/>
  <c r="CC27" i="16"/>
  <c r="CC23" i="16" s="1"/>
  <c r="BZ27" i="16"/>
  <c r="BN27" i="16"/>
  <c r="BK27" i="16"/>
  <c r="BE27" i="16"/>
  <c r="BB27" i="16"/>
  <c r="AV27" i="16"/>
  <c r="AV26" i="16" s="1"/>
  <c r="AV21" i="16" s="1"/>
  <c r="AS27" i="16"/>
  <c r="AS26" i="16" s="1"/>
  <c r="AS21" i="16" s="1"/>
  <c r="AM27" i="16"/>
  <c r="AM26" i="16" s="1"/>
  <c r="AJ27" i="16"/>
  <c r="AJ26" i="16" s="1"/>
  <c r="Z27" i="16"/>
  <c r="W27" i="16"/>
  <c r="Q27" i="16"/>
  <c r="N27" i="16"/>
  <c r="K27" i="16"/>
  <c r="H27" i="16"/>
  <c r="HB26" i="16"/>
  <c r="HB24" i="16" s="1"/>
  <c r="ET26" i="16"/>
  <c r="ET24" i="16" s="1"/>
  <c r="EE26" i="16"/>
  <c r="EE24" i="16" s="1"/>
  <c r="DP26" i="16"/>
  <c r="CX26" i="16"/>
  <c r="CX12" i="16" s="1"/>
  <c r="CU26" i="16"/>
  <c r="CO26" i="16"/>
  <c r="CO24" i="16" s="1"/>
  <c r="CL26" i="16"/>
  <c r="CF26" i="16"/>
  <c r="CC26" i="16"/>
  <c r="BZ26" i="16"/>
  <c r="BT26" i="16"/>
  <c r="BN26" i="16"/>
  <c r="BK26" i="16"/>
  <c r="BE26" i="16"/>
  <c r="BB26" i="16"/>
  <c r="Q26" i="16"/>
  <c r="N26" i="16"/>
  <c r="K26" i="16"/>
  <c r="H26" i="16"/>
  <c r="E26" i="16"/>
  <c r="HE25" i="16"/>
  <c r="HB25" i="16"/>
  <c r="HB23" i="16" s="1"/>
  <c r="ET25" i="16"/>
  <c r="EE25" i="16"/>
  <c r="DP25" i="16"/>
  <c r="DP23" i="16" s="1"/>
  <c r="DG25" i="16"/>
  <c r="CX25" i="16"/>
  <c r="CU25" i="16"/>
  <c r="CO25" i="16"/>
  <c r="CL25" i="16"/>
  <c r="CF25" i="16"/>
  <c r="CF24" i="16" s="1"/>
  <c r="CC25" i="16"/>
  <c r="BZ25" i="16"/>
  <c r="BW25" i="16"/>
  <c r="BT25" i="16"/>
  <c r="BE25" i="16"/>
  <c r="BB25" i="16"/>
  <c r="AV25" i="16"/>
  <c r="AS25" i="16"/>
  <c r="AM25" i="16"/>
  <c r="AG25" i="16"/>
  <c r="AF25" i="16"/>
  <c r="AF24" i="16" s="1"/>
  <c r="AE25" i="16"/>
  <c r="AE24" i="16" s="1"/>
  <c r="AD25" i="16"/>
  <c r="AD24" i="16" s="1"/>
  <c r="AD27" i="16" s="1"/>
  <c r="AC25" i="16"/>
  <c r="K25" i="16"/>
  <c r="H25" i="16"/>
  <c r="E25" i="16"/>
  <c r="DP24" i="16"/>
  <c r="DA24" i="16"/>
  <c r="CX24" i="16"/>
  <c r="CR24" i="16"/>
  <c r="CL24" i="16"/>
  <c r="CC24" i="16"/>
  <c r="BZ24" i="16"/>
  <c r="BW24" i="16"/>
  <c r="BT24" i="16"/>
  <c r="BT21" i="16" s="1"/>
  <c r="BN24" i="16"/>
  <c r="BN21" i="16" s="1"/>
  <c r="BK24" i="16"/>
  <c r="BK21" i="16" s="1"/>
  <c r="BE24" i="16"/>
  <c r="BB24" i="16"/>
  <c r="AV24" i="16"/>
  <c r="AS24" i="16"/>
  <c r="AM24" i="16"/>
  <c r="AJ24" i="16"/>
  <c r="AG24" i="16"/>
  <c r="AC24" i="16"/>
  <c r="AC27" i="16" s="1"/>
  <c r="Q24" i="16"/>
  <c r="N24" i="16"/>
  <c r="N21" i="16" s="1"/>
  <c r="K24" i="16"/>
  <c r="H24" i="16"/>
  <c r="E24" i="16"/>
  <c r="ET23" i="16"/>
  <c r="EE23" i="16"/>
  <c r="DG23" i="16"/>
  <c r="CX23" i="16"/>
  <c r="CR23" i="16"/>
  <c r="CO23" i="16"/>
  <c r="CL23" i="16"/>
  <c r="CL20" i="16" s="1"/>
  <c r="BZ23" i="16"/>
  <c r="BW23" i="16"/>
  <c r="BT23" i="16"/>
  <c r="AF23" i="16"/>
  <c r="AF27" i="16" s="1"/>
  <c r="AE23" i="16"/>
  <c r="AD23" i="16"/>
  <c r="AC23" i="16"/>
  <c r="K23" i="16"/>
  <c r="H23" i="16"/>
  <c r="E23" i="16"/>
  <c r="HB22" i="16"/>
  <c r="HB16" i="16" s="1"/>
  <c r="ET22" i="16"/>
  <c r="EE22" i="16"/>
  <c r="EE16" i="16" s="1"/>
  <c r="DP22" i="16"/>
  <c r="DG22" i="16"/>
  <c r="CF22" i="16"/>
  <c r="CF19" i="16" s="1"/>
  <c r="CC22" i="16"/>
  <c r="CC19" i="16" s="1"/>
  <c r="BZ22" i="16"/>
  <c r="BW22" i="16"/>
  <c r="BT22" i="16"/>
  <c r="AG22" i="16"/>
  <c r="AF22" i="16"/>
  <c r="AE22" i="16"/>
  <c r="AD22" i="16"/>
  <c r="AC22" i="16"/>
  <c r="K22" i="16"/>
  <c r="HB21" i="16"/>
  <c r="ET21" i="16"/>
  <c r="EE21" i="16"/>
  <c r="DP21" i="16"/>
  <c r="DG21" i="16"/>
  <c r="DD21" i="16"/>
  <c r="BZ21" i="16"/>
  <c r="BW21" i="16"/>
  <c r="BE21" i="16"/>
  <c r="BB21" i="16"/>
  <c r="AG21" i="16"/>
  <c r="AF21" i="16"/>
  <c r="AE21" i="16"/>
  <c r="AD21" i="16"/>
  <c r="AC21" i="16"/>
  <c r="K21" i="16"/>
  <c r="DG20" i="16"/>
  <c r="DD20" i="16"/>
  <c r="BZ20" i="16"/>
  <c r="BW20" i="16"/>
  <c r="BW13" i="16" s="1"/>
  <c r="BW10" i="16" s="1"/>
  <c r="BW2" i="16" s="1"/>
  <c r="AG20" i="16"/>
  <c r="AF20" i="16"/>
  <c r="AE20" i="16"/>
  <c r="AD20" i="16"/>
  <c r="AC20" i="16"/>
  <c r="K20" i="16"/>
  <c r="H20" i="16"/>
  <c r="HB19" i="16"/>
  <c r="ET19" i="16"/>
  <c r="EE19" i="16"/>
  <c r="DP19" i="16"/>
  <c r="DP11" i="16" s="1"/>
  <c r="DG19" i="16"/>
  <c r="DG11" i="16" s="1"/>
  <c r="DD19" i="16"/>
  <c r="BZ19" i="16"/>
  <c r="BW19" i="16"/>
  <c r="AG19" i="16"/>
  <c r="AF19" i="16"/>
  <c r="AE19" i="16"/>
  <c r="AD19" i="16"/>
  <c r="AC19" i="16"/>
  <c r="K19" i="16"/>
  <c r="H19" i="16"/>
  <c r="HB18" i="16"/>
  <c r="GA18" i="16"/>
  <c r="FL18" i="16"/>
  <c r="EW18" i="16"/>
  <c r="ET18" i="16"/>
  <c r="EH18" i="16"/>
  <c r="EE18" i="16"/>
  <c r="DS18" i="16"/>
  <c r="DP18" i="16"/>
  <c r="DG18" i="16"/>
  <c r="CX18" i="16"/>
  <c r="BZ18" i="16"/>
  <c r="BZ16" i="16" s="1"/>
  <c r="BW18" i="16"/>
  <c r="AG18" i="16"/>
  <c r="AF18" i="16"/>
  <c r="AE18" i="16"/>
  <c r="AD18" i="16"/>
  <c r="AC18" i="16"/>
  <c r="H18" i="16"/>
  <c r="E18" i="16"/>
  <c r="HB17" i="16"/>
  <c r="GP17" i="16"/>
  <c r="GA17" i="16"/>
  <c r="FL17" i="16"/>
  <c r="EW17" i="16"/>
  <c r="ET17" i="16"/>
  <c r="EH17" i="16"/>
  <c r="EE17" i="16"/>
  <c r="DY17" i="16"/>
  <c r="DY16" i="16" s="1"/>
  <c r="DY18" i="16" s="1"/>
  <c r="DS17" i="16"/>
  <c r="DP17" i="16"/>
  <c r="DG17" i="16"/>
  <c r="CX17" i="16"/>
  <c r="BZ17" i="16"/>
  <c r="BW17" i="16"/>
  <c r="BT17" i="16"/>
  <c r="AG17" i="16"/>
  <c r="AF17" i="16"/>
  <c r="AE17" i="16"/>
  <c r="AD17" i="16"/>
  <c r="AC17" i="16"/>
  <c r="H17" i="16"/>
  <c r="E17" i="16"/>
  <c r="GV16" i="16"/>
  <c r="GP16" i="16"/>
  <c r="GG16" i="16"/>
  <c r="GG15" i="16" s="1"/>
  <c r="FC16" i="16"/>
  <c r="ET16" i="16"/>
  <c r="EN16" i="16"/>
  <c r="EN15" i="16" s="1"/>
  <c r="EN17" i="16" s="1"/>
  <c r="DP16" i="16"/>
  <c r="DG16" i="16"/>
  <c r="DD16" i="16"/>
  <c r="CX16" i="16"/>
  <c r="CO16" i="16"/>
  <c r="CO15" i="16" s="1"/>
  <c r="BW16" i="16"/>
  <c r="BT16" i="16"/>
  <c r="BT19" i="16" s="1"/>
  <c r="BQ16" i="16"/>
  <c r="BN16" i="16"/>
  <c r="BK16" i="16"/>
  <c r="BH16" i="16"/>
  <c r="BE16" i="16"/>
  <c r="BB16" i="16"/>
  <c r="AY16" i="16"/>
  <c r="AV16" i="16"/>
  <c r="AS16" i="16"/>
  <c r="AP16" i="16"/>
  <c r="AM16" i="16"/>
  <c r="AJ16" i="16"/>
  <c r="AG16" i="16"/>
  <c r="AF16" i="16"/>
  <c r="AE16" i="16"/>
  <c r="AD16" i="16"/>
  <c r="AC16" i="16"/>
  <c r="T16" i="16"/>
  <c r="Q16" i="16"/>
  <c r="N16" i="16"/>
  <c r="H16" i="16"/>
  <c r="H11" i="16" s="1"/>
  <c r="HB15" i="16"/>
  <c r="GV15" i="16"/>
  <c r="GV17" i="16" s="1"/>
  <c r="GA15" i="16"/>
  <c r="FL15" i="16"/>
  <c r="FC15" i="16"/>
  <c r="EW15" i="16"/>
  <c r="ET15" i="16"/>
  <c r="EH15" i="16"/>
  <c r="EE15" i="16"/>
  <c r="DY15" i="16"/>
  <c r="DS15" i="16"/>
  <c r="DP15" i="16"/>
  <c r="DG15" i="16"/>
  <c r="DD15" i="16"/>
  <c r="DD8" i="16" s="1"/>
  <c r="CX15" i="16"/>
  <c r="BW15" i="16"/>
  <c r="BT15" i="16"/>
  <c r="BQ15" i="16"/>
  <c r="BN15" i="16"/>
  <c r="BK15" i="16"/>
  <c r="BH15" i="16"/>
  <c r="BE15" i="16"/>
  <c r="BB15" i="16"/>
  <c r="AY15" i="16"/>
  <c r="AV15" i="16"/>
  <c r="AS15" i="16"/>
  <c r="AP15" i="16"/>
  <c r="AM15" i="16"/>
  <c r="AJ15" i="16"/>
  <c r="AG15" i="16"/>
  <c r="AF15" i="16"/>
  <c r="AE15" i="16"/>
  <c r="AD15" i="16"/>
  <c r="AC15" i="16"/>
  <c r="Z15" i="16"/>
  <c r="W15" i="16"/>
  <c r="T15" i="16"/>
  <c r="Q15" i="16"/>
  <c r="N15" i="16"/>
  <c r="N2" i="16" s="1"/>
  <c r="H15" i="16"/>
  <c r="E15" i="16"/>
  <c r="HB14" i="16"/>
  <c r="GV14" i="16"/>
  <c r="GP14" i="16"/>
  <c r="GG14" i="16"/>
  <c r="GG17" i="16" s="1"/>
  <c r="FC14" i="16"/>
  <c r="FC17" i="16" s="1"/>
  <c r="ET14" i="16"/>
  <c r="EN14" i="16"/>
  <c r="EE14" i="16"/>
  <c r="EB14" i="16"/>
  <c r="DY14" i="16"/>
  <c r="DP14" i="16"/>
  <c r="DG14" i="16"/>
  <c r="DD14" i="16"/>
  <c r="CX14" i="16"/>
  <c r="CO14" i="16"/>
  <c r="CO17" i="16" s="1"/>
  <c r="CI14" i="16"/>
  <c r="CF14" i="16"/>
  <c r="CC14" i="16"/>
  <c r="BW14" i="16"/>
  <c r="BT14" i="16"/>
  <c r="BQ14" i="16"/>
  <c r="BN14" i="16"/>
  <c r="BK14" i="16"/>
  <c r="BH14" i="16"/>
  <c r="BE14" i="16"/>
  <c r="BB14" i="16"/>
  <c r="AY14" i="16"/>
  <c r="AV14" i="16"/>
  <c r="AS14" i="16"/>
  <c r="AP14" i="16"/>
  <c r="AM14" i="16"/>
  <c r="AJ14" i="16"/>
  <c r="AG14" i="16"/>
  <c r="AF14" i="16"/>
  <c r="AE14" i="16"/>
  <c r="AD14" i="16"/>
  <c r="AC14" i="16"/>
  <c r="Z14" i="16"/>
  <c r="W14" i="16"/>
  <c r="T14" i="16"/>
  <c r="Q14" i="16"/>
  <c r="N14" i="16"/>
  <c r="E14" i="16"/>
  <c r="HE13" i="16"/>
  <c r="HB13" i="16"/>
  <c r="GY13" i="16"/>
  <c r="GV13" i="16"/>
  <c r="GP13" i="16"/>
  <c r="GG13" i="16"/>
  <c r="GA13" i="16"/>
  <c r="FL13" i="16"/>
  <c r="FC13" i="16"/>
  <c r="EW13" i="16"/>
  <c r="ET13" i="16"/>
  <c r="EQ13" i="16"/>
  <c r="EN13" i="16"/>
  <c r="EH13" i="16"/>
  <c r="EE13" i="16"/>
  <c r="EB13" i="16"/>
  <c r="DY13" i="16"/>
  <c r="DP13" i="16"/>
  <c r="DG13" i="16"/>
  <c r="DD13" i="16"/>
  <c r="CX13" i="16"/>
  <c r="CU13" i="16"/>
  <c r="CU12" i="16" s="1"/>
  <c r="CU11" i="16" s="1"/>
  <c r="CU16" i="16" s="1"/>
  <c r="CO13" i="16"/>
  <c r="CI13" i="16"/>
  <c r="CF13" i="16"/>
  <c r="CC13" i="16"/>
  <c r="BT13" i="16"/>
  <c r="BQ13" i="16"/>
  <c r="BN13" i="16"/>
  <c r="BK13" i="16"/>
  <c r="BH13" i="16"/>
  <c r="BE13" i="16"/>
  <c r="BB13" i="16"/>
  <c r="AY13" i="16"/>
  <c r="AV13" i="16"/>
  <c r="AS13" i="16"/>
  <c r="AP13" i="16"/>
  <c r="AM13" i="16"/>
  <c r="AJ13" i="16"/>
  <c r="AG13" i="16"/>
  <c r="AF13" i="16"/>
  <c r="AE13" i="16"/>
  <c r="AD13" i="16"/>
  <c r="AC13" i="16"/>
  <c r="Z13" i="16"/>
  <c r="W13" i="16"/>
  <c r="T13" i="16"/>
  <c r="Q13" i="16"/>
  <c r="N13" i="16"/>
  <c r="K13" i="16"/>
  <c r="K12" i="16" s="1"/>
  <c r="E13" i="16"/>
  <c r="E12" i="16" s="1"/>
  <c r="HB12" i="16"/>
  <c r="GY12" i="16"/>
  <c r="GV12" i="16"/>
  <c r="GP12" i="16"/>
  <c r="GG12" i="16"/>
  <c r="GA12" i="16"/>
  <c r="FL12" i="16"/>
  <c r="FC12" i="16"/>
  <c r="EW12" i="16"/>
  <c r="ET12" i="16"/>
  <c r="EQ12" i="16"/>
  <c r="EN12" i="16"/>
  <c r="EH12" i="16"/>
  <c r="EE12" i="16"/>
  <c r="EB12" i="16"/>
  <c r="DY12" i="16"/>
  <c r="DS12" i="16"/>
  <c r="DP12" i="16"/>
  <c r="DG12" i="16"/>
  <c r="DD12" i="16"/>
  <c r="DA12" i="16"/>
  <c r="CO12" i="16"/>
  <c r="CI12" i="16"/>
  <c r="CF12" i="16"/>
  <c r="CC12" i="16"/>
  <c r="BZ12" i="16"/>
  <c r="BW12" i="16"/>
  <c r="BT12" i="16"/>
  <c r="BQ12" i="16"/>
  <c r="BN12" i="16"/>
  <c r="BK12" i="16"/>
  <c r="BH12" i="16"/>
  <c r="BE12" i="16"/>
  <c r="BB12" i="16"/>
  <c r="AY12" i="16"/>
  <c r="AV12" i="16"/>
  <c r="AS12" i="16"/>
  <c r="AP12" i="16"/>
  <c r="AM12" i="16"/>
  <c r="AJ12" i="16"/>
  <c r="AG12" i="16"/>
  <c r="AF12" i="16"/>
  <c r="Z12" i="16"/>
  <c r="W12" i="16"/>
  <c r="T12" i="16"/>
  <c r="Q12" i="16"/>
  <c r="N12" i="16"/>
  <c r="HE11" i="16"/>
  <c r="HB11" i="16"/>
  <c r="GY11" i="16"/>
  <c r="GV11" i="16"/>
  <c r="GP11" i="16"/>
  <c r="GG11" i="16"/>
  <c r="GA11" i="16"/>
  <c r="FL11" i="16"/>
  <c r="FC11" i="16"/>
  <c r="EW11" i="16"/>
  <c r="ET11" i="16"/>
  <c r="EQ11" i="16"/>
  <c r="EN11" i="16"/>
  <c r="EH11" i="16"/>
  <c r="DS11" i="16"/>
  <c r="DS8" i="16" s="1"/>
  <c r="DJ11" i="16"/>
  <c r="DD11" i="16"/>
  <c r="DA11" i="16"/>
  <c r="CX11" i="16"/>
  <c r="CO11" i="16"/>
  <c r="CI11" i="16"/>
  <c r="CF11" i="16"/>
  <c r="CC11" i="16"/>
  <c r="BZ11" i="16"/>
  <c r="BZ10" i="16" s="1"/>
  <c r="BT11" i="16"/>
  <c r="BT10" i="16" s="1"/>
  <c r="BT20" i="16" s="1"/>
  <c r="BT4" i="16" s="1"/>
  <c r="BQ11" i="16"/>
  <c r="BN11" i="16"/>
  <c r="BK11" i="16"/>
  <c r="BH11" i="16"/>
  <c r="BE11" i="16"/>
  <c r="BB11" i="16"/>
  <c r="AY11" i="16"/>
  <c r="AV11" i="16"/>
  <c r="AS11" i="16"/>
  <c r="AP11" i="16"/>
  <c r="AM11" i="16"/>
  <c r="AJ11" i="16"/>
  <c r="AG11" i="16"/>
  <c r="AF11" i="16"/>
  <c r="Z11" i="16"/>
  <c r="W11" i="16"/>
  <c r="T11" i="16"/>
  <c r="Q11" i="16"/>
  <c r="N11" i="16"/>
  <c r="E11" i="16"/>
  <c r="HE10" i="16"/>
  <c r="HB10" i="16"/>
  <c r="GY10" i="16"/>
  <c r="GV10" i="16"/>
  <c r="GP10" i="16"/>
  <c r="GG10" i="16"/>
  <c r="GA10" i="16"/>
  <c r="FL10" i="16"/>
  <c r="FC10" i="16"/>
  <c r="EW10" i="16"/>
  <c r="ET10" i="16"/>
  <c r="EQ10" i="16"/>
  <c r="EN10" i="16"/>
  <c r="EH10" i="16"/>
  <c r="EE10" i="16"/>
  <c r="EE2" i="16" s="1"/>
  <c r="EB10" i="16"/>
  <c r="DY10" i="16"/>
  <c r="DS10" i="16"/>
  <c r="DP10" i="16"/>
  <c r="DJ10" i="16"/>
  <c r="DG10" i="16"/>
  <c r="DD10" i="16"/>
  <c r="DA10" i="16"/>
  <c r="CX10" i="16"/>
  <c r="CU10" i="16"/>
  <c r="CO10" i="16"/>
  <c r="CI10" i="16"/>
  <c r="CF10" i="16"/>
  <c r="CC10" i="16"/>
  <c r="BQ10" i="16"/>
  <c r="BQ9" i="16" s="1"/>
  <c r="BQ2" i="16" s="1"/>
  <c r="BN10" i="16"/>
  <c r="BK10" i="16"/>
  <c r="BH10" i="16"/>
  <c r="BH6" i="16" s="1"/>
  <c r="BE10" i="16"/>
  <c r="BB10" i="16"/>
  <c r="AY10" i="16"/>
  <c r="AV10" i="16"/>
  <c r="AS10" i="16"/>
  <c r="AS6" i="16" s="1"/>
  <c r="AS2" i="16" s="1"/>
  <c r="AP10" i="16"/>
  <c r="AM10" i="16"/>
  <c r="AG10" i="16"/>
  <c r="AF10" i="16"/>
  <c r="Z10" i="16"/>
  <c r="W10" i="16"/>
  <c r="T10" i="16"/>
  <c r="Q10" i="16"/>
  <c r="N10" i="16"/>
  <c r="K10" i="16"/>
  <c r="H10" i="16"/>
  <c r="E10" i="16"/>
  <c r="HE9" i="16"/>
  <c r="HB9" i="16"/>
  <c r="GY9" i="16"/>
  <c r="GV9" i="16"/>
  <c r="GP9" i="16"/>
  <c r="GG9" i="16"/>
  <c r="GA9" i="16"/>
  <c r="FR9" i="16"/>
  <c r="FL9" i="16"/>
  <c r="FC9" i="16"/>
  <c r="EW9" i="16"/>
  <c r="EW8" i="16" s="1"/>
  <c r="ET9" i="16"/>
  <c r="EQ9" i="16"/>
  <c r="EN9" i="16"/>
  <c r="EH9" i="16"/>
  <c r="EE9" i="16"/>
  <c r="EB9" i="16"/>
  <c r="DY9" i="16"/>
  <c r="DS9" i="16"/>
  <c r="DP9" i="16"/>
  <c r="DJ9" i="16"/>
  <c r="DJ12" i="16" s="1"/>
  <c r="DG9" i="16"/>
  <c r="DD9" i="16"/>
  <c r="DA9" i="16"/>
  <c r="CX9" i="16"/>
  <c r="CU9" i="16"/>
  <c r="CO9" i="16"/>
  <c r="CI9" i="16"/>
  <c r="CF9" i="16"/>
  <c r="CC9" i="16"/>
  <c r="BZ9" i="16"/>
  <c r="BW9" i="16"/>
  <c r="BT9" i="16"/>
  <c r="BN9" i="16"/>
  <c r="BK9" i="16"/>
  <c r="BH9" i="16"/>
  <c r="BE9" i="16"/>
  <c r="BB9" i="16"/>
  <c r="AY9" i="16"/>
  <c r="AV9" i="16"/>
  <c r="AS9" i="16"/>
  <c r="AP9" i="16"/>
  <c r="AM9" i="16"/>
  <c r="AJ9" i="16"/>
  <c r="AG9" i="16"/>
  <c r="AG23" i="16" s="1"/>
  <c r="AG27" i="16" s="1"/>
  <c r="AF9" i="16"/>
  <c r="AE9" i="16"/>
  <c r="AD9" i="16"/>
  <c r="AC9" i="16"/>
  <c r="Z9" i="16"/>
  <c r="W9" i="16"/>
  <c r="T9" i="16"/>
  <c r="Q9" i="16"/>
  <c r="N9" i="16"/>
  <c r="K9" i="16"/>
  <c r="H9" i="16"/>
  <c r="E9" i="16"/>
  <c r="HB8" i="16"/>
  <c r="GY8" i="16"/>
  <c r="GV8" i="16"/>
  <c r="GV6" i="16" s="1"/>
  <c r="GP8" i="16"/>
  <c r="GG8" i="16"/>
  <c r="GA8" i="16"/>
  <c r="FR8" i="16"/>
  <c r="FL8" i="16"/>
  <c r="FC8" i="16"/>
  <c r="ET8" i="16"/>
  <c r="EQ8" i="16"/>
  <c r="EQ6" i="16" s="1"/>
  <c r="EN8" i="16"/>
  <c r="EN6" i="16" s="1"/>
  <c r="EH8" i="16"/>
  <c r="EE8" i="16"/>
  <c r="EB8" i="16"/>
  <c r="DY8" i="16"/>
  <c r="DV8" i="16"/>
  <c r="DP8" i="16"/>
  <c r="DP6" i="16" s="1"/>
  <c r="DM8" i="16"/>
  <c r="DM6" i="16" s="1"/>
  <c r="DJ8" i="16"/>
  <c r="DG8" i="16"/>
  <c r="DA8" i="16"/>
  <c r="CX8" i="16"/>
  <c r="CU8" i="16"/>
  <c r="CO8" i="16"/>
  <c r="CO6" i="16" s="1"/>
  <c r="CL8" i="16"/>
  <c r="CI8" i="16"/>
  <c r="CF8" i="16"/>
  <c r="CC8" i="16"/>
  <c r="BZ8" i="16"/>
  <c r="BW8" i="16"/>
  <c r="BT8" i="16"/>
  <c r="BQ8" i="16"/>
  <c r="BN8" i="16"/>
  <c r="BK8" i="16"/>
  <c r="BH8" i="16"/>
  <c r="BE8" i="16"/>
  <c r="BB8" i="16"/>
  <c r="AY8" i="16"/>
  <c r="AV8" i="16"/>
  <c r="AS8" i="16"/>
  <c r="AP8" i="16"/>
  <c r="AM8" i="16"/>
  <c r="AJ8" i="16"/>
  <c r="AG8" i="16"/>
  <c r="AF8" i="16"/>
  <c r="AE8" i="16"/>
  <c r="AD8" i="16"/>
  <c r="AC8" i="16"/>
  <c r="Z8" i="16"/>
  <c r="W8" i="16"/>
  <c r="T8" i="16"/>
  <c r="Q8" i="16"/>
  <c r="N8" i="16"/>
  <c r="K8" i="16"/>
  <c r="H8" i="16"/>
  <c r="E8" i="16"/>
  <c r="HE7" i="16"/>
  <c r="HE8" i="16" s="1"/>
  <c r="HB7" i="16"/>
  <c r="GY7" i="16"/>
  <c r="GV7" i="16"/>
  <c r="GG7" i="16"/>
  <c r="FR7" i="16"/>
  <c r="FR10" i="16" s="1"/>
  <c r="FL7" i="16"/>
  <c r="FC7" i="16"/>
  <c r="ET7" i="16"/>
  <c r="ET5" i="16" s="1"/>
  <c r="ET2" i="16" s="1"/>
  <c r="EQ7" i="16"/>
  <c r="EQ5" i="16" s="1"/>
  <c r="EN7" i="16"/>
  <c r="EN5" i="16" s="1"/>
  <c r="EE7" i="16"/>
  <c r="EB7" i="16"/>
  <c r="DY7" i="16"/>
  <c r="DP7" i="16"/>
  <c r="DM7" i="16"/>
  <c r="DJ7" i="16"/>
  <c r="DG7" i="16"/>
  <c r="DA7" i="16"/>
  <c r="CX7" i="16"/>
  <c r="CU7" i="16"/>
  <c r="CO7" i="16"/>
  <c r="CL7" i="16"/>
  <c r="CI7" i="16"/>
  <c r="CF7" i="16"/>
  <c r="CC7" i="16"/>
  <c r="BZ7" i="16"/>
  <c r="BW7" i="16"/>
  <c r="BT7" i="16"/>
  <c r="BQ7" i="16"/>
  <c r="BN7" i="16"/>
  <c r="BK7" i="16"/>
  <c r="BH7" i="16"/>
  <c r="BE7" i="16"/>
  <c r="BB7" i="16"/>
  <c r="AY7" i="16"/>
  <c r="AV7" i="16"/>
  <c r="AS7" i="16"/>
  <c r="AP7" i="16"/>
  <c r="AM7" i="16"/>
  <c r="AJ7" i="16"/>
  <c r="AG7" i="16"/>
  <c r="AF7" i="16"/>
  <c r="AE7" i="16"/>
  <c r="AD7" i="16"/>
  <c r="AC7" i="16"/>
  <c r="Z7" i="16"/>
  <c r="W7" i="16"/>
  <c r="T7" i="16"/>
  <c r="Q7" i="16"/>
  <c r="N7" i="16"/>
  <c r="K7" i="16"/>
  <c r="H7" i="16"/>
  <c r="E7" i="16"/>
  <c r="E6" i="16" s="1"/>
  <c r="HB6" i="16"/>
  <c r="GY6" i="16"/>
  <c r="GS6" i="16"/>
  <c r="GP6" i="16"/>
  <c r="GG6" i="16"/>
  <c r="GD6" i="16"/>
  <c r="GA6" i="16"/>
  <c r="FU6" i="16"/>
  <c r="FR6" i="16"/>
  <c r="FL6" i="16"/>
  <c r="FC6" i="16"/>
  <c r="EZ6" i="16"/>
  <c r="EW6" i="16"/>
  <c r="ET6" i="16"/>
  <c r="EK6" i="16"/>
  <c r="EH6" i="16"/>
  <c r="EE6" i="16"/>
  <c r="EB6" i="16"/>
  <c r="DY6" i="16"/>
  <c r="DV6" i="16"/>
  <c r="DS6" i="16"/>
  <c r="DJ6" i="16"/>
  <c r="DD6" i="16"/>
  <c r="DA6" i="16"/>
  <c r="CX6" i="16"/>
  <c r="CU6" i="16"/>
  <c r="CR6" i="16"/>
  <c r="CL6" i="16"/>
  <c r="CI6" i="16"/>
  <c r="CF6" i="16"/>
  <c r="CC6" i="16"/>
  <c r="BZ6" i="16"/>
  <c r="BW6" i="16"/>
  <c r="BT6" i="16"/>
  <c r="BE6" i="16"/>
  <c r="BB6" i="16"/>
  <c r="AY6" i="16"/>
  <c r="AV6" i="16"/>
  <c r="AP6" i="16"/>
  <c r="AM6" i="16"/>
  <c r="AJ6" i="16"/>
  <c r="Z6" i="16"/>
  <c r="W6" i="16"/>
  <c r="T6" i="16"/>
  <c r="Q6" i="16"/>
  <c r="Q2" i="16" s="1"/>
  <c r="N6" i="16"/>
  <c r="K6" i="16"/>
  <c r="H6" i="16"/>
  <c r="HE5" i="16"/>
  <c r="HB5" i="16"/>
  <c r="GY5" i="16"/>
  <c r="GV5" i="16"/>
  <c r="GS5" i="16"/>
  <c r="GP5" i="16"/>
  <c r="GP7" i="16" s="1"/>
  <c r="GG5" i="16"/>
  <c r="GD5" i="16"/>
  <c r="GA5" i="16"/>
  <c r="GA7" i="16" s="1"/>
  <c r="FX5" i="16"/>
  <c r="FX2" i="16" s="1"/>
  <c r="FU5" i="16"/>
  <c r="FR5" i="16"/>
  <c r="FO5" i="16"/>
  <c r="FL5" i="16"/>
  <c r="FC5" i="16"/>
  <c r="EZ5" i="16"/>
  <c r="EW5" i="16"/>
  <c r="EW7" i="16" s="1"/>
  <c r="EK5" i="16"/>
  <c r="EH5" i="16"/>
  <c r="EH7" i="16" s="1"/>
  <c r="EE5" i="16"/>
  <c r="EB5" i="16"/>
  <c r="DY5" i="16"/>
  <c r="DV5" i="16"/>
  <c r="DS5" i="16"/>
  <c r="DM5" i="16"/>
  <c r="DJ5" i="16"/>
  <c r="DD5" i="16"/>
  <c r="DD7" i="16" s="1"/>
  <c r="DA5" i="16"/>
  <c r="DA15" i="16" s="1"/>
  <c r="CX5" i="16"/>
  <c r="CX22" i="16" s="1"/>
  <c r="CU5" i="16"/>
  <c r="CO5" i="16"/>
  <c r="CR5" i="16" s="1"/>
  <c r="CL5" i="16"/>
  <c r="CL2" i="16" s="1"/>
  <c r="CI5" i="16"/>
  <c r="CI2" i="16" s="1"/>
  <c r="CF5" i="16"/>
  <c r="CF2" i="16" s="1"/>
  <c r="CC5" i="16"/>
  <c r="CC2" i="16" s="1"/>
  <c r="BZ5" i="16"/>
  <c r="BZ13" i="16" s="1"/>
  <c r="BW5" i="16"/>
  <c r="BT5" i="16"/>
  <c r="BQ5" i="16"/>
  <c r="BN5" i="16"/>
  <c r="BK5" i="16"/>
  <c r="BK2" i="16" s="1"/>
  <c r="BH5" i="16"/>
  <c r="BH2" i="16" s="1"/>
  <c r="BE5" i="16"/>
  <c r="BE2" i="16" s="1"/>
  <c r="BB5" i="16"/>
  <c r="BB2" i="16" s="1"/>
  <c r="AY5" i="16"/>
  <c r="AV5" i="16"/>
  <c r="AS5" i="16"/>
  <c r="AP5" i="16"/>
  <c r="AM5" i="16"/>
  <c r="AM2" i="16" s="1"/>
  <c r="AJ5" i="16"/>
  <c r="AJ2" i="16" s="1"/>
  <c r="AG5" i="16"/>
  <c r="AF5" i="16"/>
  <c r="AF30" i="16" s="1"/>
  <c r="AE5" i="16"/>
  <c r="AD5" i="16"/>
  <c r="AC5" i="16"/>
  <c r="AC31" i="16" s="1"/>
  <c r="Z5" i="16"/>
  <c r="Z19" i="16" s="1"/>
  <c r="W5" i="16"/>
  <c r="W19" i="16" s="1"/>
  <c r="T5" i="16"/>
  <c r="Q5" i="16"/>
  <c r="N5" i="16"/>
  <c r="K5" i="16"/>
  <c r="H5" i="16"/>
  <c r="E5" i="16"/>
  <c r="E20" i="16" s="1"/>
  <c r="FO2" i="16"/>
  <c r="DA23" i="16" s="1"/>
  <c r="FL2" i="16"/>
  <c r="BN2" i="16"/>
  <c r="AY2" i="16"/>
  <c r="AV2" i="16"/>
  <c r="AP2" i="16"/>
  <c r="T2" i="16"/>
  <c r="H69" i="7"/>
  <c r="H68" i="7"/>
  <c r="H67" i="7"/>
  <c r="H66" i="7"/>
  <c r="H65" i="7"/>
  <c r="H64" i="7"/>
  <c r="H63" i="7"/>
  <c r="H59" i="7" s="1"/>
  <c r="H62" i="7"/>
  <c r="H61" i="7"/>
  <c r="H60" i="7"/>
  <c r="H57" i="7"/>
  <c r="H56" i="7"/>
  <c r="H55" i="7"/>
  <c r="H54" i="7"/>
  <c r="H53" i="7"/>
  <c r="K52" i="7"/>
  <c r="H52" i="7"/>
  <c r="E52" i="7"/>
  <c r="K51" i="7"/>
  <c r="H51" i="7"/>
  <c r="H48" i="7" s="1"/>
  <c r="E51" i="7"/>
  <c r="DA50" i="7"/>
  <c r="K50" i="7"/>
  <c r="DA49" i="7"/>
  <c r="K49" i="7"/>
  <c r="E49" i="7"/>
  <c r="CU48" i="7"/>
  <c r="K48" i="7"/>
  <c r="E48" i="7"/>
  <c r="CU47" i="7"/>
  <c r="K47" i="7"/>
  <c r="H47" i="7"/>
  <c r="H45" i="7" s="1"/>
  <c r="E47" i="7"/>
  <c r="H46" i="7"/>
  <c r="H44" i="7" s="1"/>
  <c r="E46" i="7"/>
  <c r="DA45" i="7"/>
  <c r="E45" i="7"/>
  <c r="E53" i="7" s="1"/>
  <c r="E43" i="7" s="1"/>
  <c r="DA43" i="7"/>
  <c r="Z43" i="7"/>
  <c r="DA42" i="7"/>
  <c r="CU42" i="7"/>
  <c r="Z42" i="7"/>
  <c r="HE41" i="7"/>
  <c r="DA41" i="7"/>
  <c r="CU41" i="7"/>
  <c r="H41" i="7"/>
  <c r="HE40" i="7"/>
  <c r="DA40" i="7"/>
  <c r="CU40" i="7"/>
  <c r="HE39" i="7"/>
  <c r="DA39" i="7"/>
  <c r="CU39" i="7"/>
  <c r="HE38" i="7"/>
  <c r="DA38" i="7"/>
  <c r="CU38" i="7"/>
  <c r="K38" i="7"/>
  <c r="H38" i="7"/>
  <c r="DA37" i="7"/>
  <c r="CU37" i="7"/>
  <c r="Z37" i="7"/>
  <c r="W37" i="7"/>
  <c r="K37" i="7"/>
  <c r="H37" i="7"/>
  <c r="E37" i="7"/>
  <c r="HE36" i="7"/>
  <c r="DA36" i="7"/>
  <c r="CU36" i="7"/>
  <c r="Z36" i="7"/>
  <c r="W36" i="7"/>
  <c r="K36" i="7"/>
  <c r="H36" i="7"/>
  <c r="E36" i="7"/>
  <c r="HE35" i="7"/>
  <c r="DA35" i="7"/>
  <c r="DA24" i="7" s="1"/>
  <c r="CU35" i="7"/>
  <c r="BN35" i="7"/>
  <c r="BK35" i="7"/>
  <c r="BE35" i="7"/>
  <c r="BB35" i="7"/>
  <c r="AV35" i="7"/>
  <c r="AS35" i="7"/>
  <c r="AM35" i="7"/>
  <c r="AJ35" i="7"/>
  <c r="Z35" i="7"/>
  <c r="W35" i="7"/>
  <c r="Q35" i="7"/>
  <c r="N35" i="7"/>
  <c r="K35" i="7"/>
  <c r="H35" i="7"/>
  <c r="E35" i="7"/>
  <c r="E38" i="7" s="1"/>
  <c r="E31" i="7" s="1"/>
  <c r="HE34" i="7"/>
  <c r="DA34" i="7"/>
  <c r="CU34" i="7"/>
  <c r="BN34" i="7"/>
  <c r="BK34" i="7"/>
  <c r="BE34" i="7"/>
  <c r="BB34" i="7"/>
  <c r="AV34" i="7"/>
  <c r="AS34" i="7"/>
  <c r="AM34" i="7"/>
  <c r="AJ34" i="7"/>
  <c r="Z34" i="7"/>
  <c r="Z39" i="7" s="1"/>
  <c r="W34" i="7"/>
  <c r="W39" i="7" s="1"/>
  <c r="Q34" i="7"/>
  <c r="N34" i="7"/>
  <c r="K34" i="7"/>
  <c r="H34" i="7"/>
  <c r="E34" i="7"/>
  <c r="HE33" i="7"/>
  <c r="DA33" i="7"/>
  <c r="CU33" i="7"/>
  <c r="CU43" i="7" s="1"/>
  <c r="CU11" i="7" s="1"/>
  <c r="CO33" i="7"/>
  <c r="BN33" i="7"/>
  <c r="BK33" i="7"/>
  <c r="BE33" i="7"/>
  <c r="BB33" i="7"/>
  <c r="AV33" i="7"/>
  <c r="AS33" i="7"/>
  <c r="AM33" i="7"/>
  <c r="AJ33" i="7"/>
  <c r="AF33" i="7"/>
  <c r="Z33" i="7"/>
  <c r="W33" i="7"/>
  <c r="Q33" i="7"/>
  <c r="N33" i="7"/>
  <c r="K33" i="7"/>
  <c r="K43" i="7" s="1"/>
  <c r="H33" i="7"/>
  <c r="E33" i="7"/>
  <c r="DA32" i="7"/>
  <c r="CU32" i="7"/>
  <c r="CO32" i="7"/>
  <c r="CO34" i="7" s="1"/>
  <c r="CO20" i="7" s="1"/>
  <c r="BN32" i="7"/>
  <c r="BK32" i="7"/>
  <c r="BE32" i="7"/>
  <c r="BB32" i="7"/>
  <c r="AV32" i="7"/>
  <c r="AS32" i="7"/>
  <c r="AM32" i="7"/>
  <c r="AJ32" i="7"/>
  <c r="AE32" i="7"/>
  <c r="AD32" i="7"/>
  <c r="AC32" i="7"/>
  <c r="Z32" i="7"/>
  <c r="Z28" i="7" s="1"/>
  <c r="W32" i="7"/>
  <c r="Q32" i="7"/>
  <c r="N32" i="7"/>
  <c r="K32" i="7"/>
  <c r="H32" i="7"/>
  <c r="HE31" i="7"/>
  <c r="DA31" i="7"/>
  <c r="CU31" i="7"/>
  <c r="CU26" i="7" s="1"/>
  <c r="CO31" i="7"/>
  <c r="BW31" i="7"/>
  <c r="BN31" i="7"/>
  <c r="BK31" i="7"/>
  <c r="BE31" i="7"/>
  <c r="BB31" i="7"/>
  <c r="AV31" i="7"/>
  <c r="AS31" i="7"/>
  <c r="AM31" i="7"/>
  <c r="AJ31" i="7"/>
  <c r="Z31" i="7"/>
  <c r="W31" i="7"/>
  <c r="Q31" i="7"/>
  <c r="N31" i="7"/>
  <c r="K31" i="7"/>
  <c r="K25" i="7" s="1"/>
  <c r="H31" i="7"/>
  <c r="HE30" i="7"/>
  <c r="DA30" i="7"/>
  <c r="CU30" i="7"/>
  <c r="CO30" i="7"/>
  <c r="BW30" i="7"/>
  <c r="BN30" i="7"/>
  <c r="BK30" i="7"/>
  <c r="BE30" i="7"/>
  <c r="BB30" i="7"/>
  <c r="AS30" i="7"/>
  <c r="AM30" i="7"/>
  <c r="AJ30" i="7"/>
  <c r="Z30" i="7"/>
  <c r="W30" i="7"/>
  <c r="Q30" i="7"/>
  <c r="N30" i="7"/>
  <c r="K30" i="7"/>
  <c r="H30" i="7"/>
  <c r="HE29" i="7"/>
  <c r="HE27" i="7" s="1"/>
  <c r="HE28" i="7" s="1"/>
  <c r="DA29" i="7"/>
  <c r="CU29" i="7"/>
  <c r="CO29" i="7"/>
  <c r="BN29" i="7"/>
  <c r="BK29" i="7"/>
  <c r="BE29" i="7"/>
  <c r="BE25" i="7" s="1"/>
  <c r="BB29" i="7"/>
  <c r="BB25" i="7" s="1"/>
  <c r="AV29" i="7"/>
  <c r="AV25" i="7" s="1"/>
  <c r="AV21" i="7" s="1"/>
  <c r="AS29" i="7"/>
  <c r="AS25" i="7" s="1"/>
  <c r="AS21" i="7" s="1"/>
  <c r="AM29" i="7"/>
  <c r="AM25" i="7" s="1"/>
  <c r="AM21" i="7" s="1"/>
  <c r="AJ29" i="7"/>
  <c r="Z29" i="7"/>
  <c r="W29" i="7"/>
  <c r="W40" i="7" s="1"/>
  <c r="Q29" i="7"/>
  <c r="N29" i="7"/>
  <c r="K29" i="7"/>
  <c r="H29" i="7"/>
  <c r="H25" i="7" s="1"/>
  <c r="DA28" i="7"/>
  <c r="CU28" i="7"/>
  <c r="CO28" i="7"/>
  <c r="BN28" i="7"/>
  <c r="BK28" i="7"/>
  <c r="BE28" i="7"/>
  <c r="BB28" i="7"/>
  <c r="AV28" i="7"/>
  <c r="AS28" i="7"/>
  <c r="AM28" i="7"/>
  <c r="AJ28" i="7"/>
  <c r="W28" i="7"/>
  <c r="Q28" i="7"/>
  <c r="N28" i="7"/>
  <c r="K28" i="7"/>
  <c r="H28" i="7"/>
  <c r="HB27" i="7"/>
  <c r="GM27" i="7"/>
  <c r="FI27" i="7"/>
  <c r="ET27" i="7"/>
  <c r="EE27" i="7"/>
  <c r="DA27" i="7"/>
  <c r="CU27" i="7"/>
  <c r="CO27" i="7"/>
  <c r="BN27" i="7"/>
  <c r="BN26" i="7" s="1"/>
  <c r="BK27" i="7"/>
  <c r="BK26" i="7" s="1"/>
  <c r="BE27" i="7"/>
  <c r="BE26" i="7" s="1"/>
  <c r="BB27" i="7"/>
  <c r="AV27" i="7"/>
  <c r="AS27" i="7"/>
  <c r="AM27" i="7"/>
  <c r="AJ27" i="7"/>
  <c r="Z27" i="7"/>
  <c r="Z41" i="7" s="1"/>
  <c r="W27" i="7"/>
  <c r="W41" i="7" s="1"/>
  <c r="Q27" i="7"/>
  <c r="Q26" i="7" s="1"/>
  <c r="N27" i="7"/>
  <c r="N26" i="7" s="1"/>
  <c r="K27" i="7"/>
  <c r="H27" i="7"/>
  <c r="HB26" i="7"/>
  <c r="GM26" i="7"/>
  <c r="FI26" i="7"/>
  <c r="ET26" i="7"/>
  <c r="EE26" i="7"/>
  <c r="DP26" i="7"/>
  <c r="DP24" i="7" s="1"/>
  <c r="DA26" i="7"/>
  <c r="CX26" i="7"/>
  <c r="CO26" i="7"/>
  <c r="CL26" i="7"/>
  <c r="BT26" i="7"/>
  <c r="BB26" i="7"/>
  <c r="AV26" i="7"/>
  <c r="AS26" i="7"/>
  <c r="AM26" i="7"/>
  <c r="AJ26" i="7"/>
  <c r="K26" i="7"/>
  <c r="H26" i="7"/>
  <c r="E26" i="7"/>
  <c r="HE25" i="7"/>
  <c r="HB25" i="7"/>
  <c r="GM25" i="7"/>
  <c r="GM23" i="7" s="1"/>
  <c r="FI25" i="7"/>
  <c r="FI23" i="7" s="1"/>
  <c r="ET25" i="7"/>
  <c r="ET23" i="7" s="1"/>
  <c r="EE25" i="7"/>
  <c r="EE23" i="7" s="1"/>
  <c r="DP25" i="7"/>
  <c r="DP23" i="7" s="1"/>
  <c r="DG25" i="7"/>
  <c r="DA25" i="7"/>
  <c r="CX25" i="7"/>
  <c r="CO25" i="7"/>
  <c r="CL25" i="7"/>
  <c r="BW25" i="7"/>
  <c r="BT25" i="7"/>
  <c r="AJ25" i="7"/>
  <c r="AJ21" i="7" s="1"/>
  <c r="AG25" i="7"/>
  <c r="AG24" i="7" s="1"/>
  <c r="AF25" i="7"/>
  <c r="AE25" i="7"/>
  <c r="AD25" i="7"/>
  <c r="AC25" i="7"/>
  <c r="AC24" i="7" s="1"/>
  <c r="Q25" i="7"/>
  <c r="N25" i="7"/>
  <c r="E25" i="7"/>
  <c r="HB24" i="7"/>
  <c r="GM24" i="7"/>
  <c r="ET24" i="7"/>
  <c r="EE24" i="7"/>
  <c r="CX24" i="7"/>
  <c r="CR24" i="7"/>
  <c r="CO24" i="7"/>
  <c r="CL24" i="7"/>
  <c r="BW24" i="7"/>
  <c r="BT24" i="7"/>
  <c r="BN24" i="7"/>
  <c r="BK24" i="7"/>
  <c r="BE24" i="7"/>
  <c r="BB24" i="7"/>
  <c r="AV24" i="7"/>
  <c r="AS24" i="7"/>
  <c r="AM24" i="7"/>
  <c r="AJ24" i="7"/>
  <c r="AF24" i="7"/>
  <c r="AE24" i="7"/>
  <c r="AD24" i="7"/>
  <c r="Q24" i="7"/>
  <c r="N24" i="7"/>
  <c r="K24" i="7"/>
  <c r="H24" i="7"/>
  <c r="E24" i="7"/>
  <c r="HB23" i="7"/>
  <c r="DG23" i="7"/>
  <c r="DG20" i="7" s="1"/>
  <c r="CX23" i="7"/>
  <c r="CO23" i="7"/>
  <c r="CR23" i="7" s="1"/>
  <c r="CL23" i="7"/>
  <c r="BW23" i="7"/>
  <c r="BT23" i="7"/>
  <c r="K23" i="7"/>
  <c r="H23" i="7"/>
  <c r="E23" i="7"/>
  <c r="HB22" i="7"/>
  <c r="GM22" i="7"/>
  <c r="GM16" i="7" s="1"/>
  <c r="FI22" i="7"/>
  <c r="FI16" i="7" s="1"/>
  <c r="ET22" i="7"/>
  <c r="EE22" i="7"/>
  <c r="DP22" i="7"/>
  <c r="DP16" i="7" s="1"/>
  <c r="DG22" i="7"/>
  <c r="BW22" i="7"/>
  <c r="BT22" i="7"/>
  <c r="BT10" i="7" s="1"/>
  <c r="AG22" i="7"/>
  <c r="AF22" i="7"/>
  <c r="AE22" i="7"/>
  <c r="AD22" i="7"/>
  <c r="AC22" i="7"/>
  <c r="K22" i="7"/>
  <c r="H22" i="7"/>
  <c r="HB21" i="7"/>
  <c r="GM21" i="7"/>
  <c r="FI21" i="7"/>
  <c r="ET21" i="7"/>
  <c r="EE21" i="7"/>
  <c r="DP21" i="7"/>
  <c r="DG21" i="7"/>
  <c r="DD21" i="7"/>
  <c r="DD8" i="7" s="1"/>
  <c r="DD7" i="7" s="1"/>
  <c r="BW21" i="7"/>
  <c r="AG21" i="7"/>
  <c r="AF21" i="7"/>
  <c r="AE21" i="7"/>
  <c r="AD21" i="7"/>
  <c r="AC21" i="7"/>
  <c r="K21" i="7"/>
  <c r="K19" i="7" s="1"/>
  <c r="H21" i="7"/>
  <c r="DD20" i="7"/>
  <c r="CL20" i="7"/>
  <c r="BW20" i="7"/>
  <c r="AG20" i="7"/>
  <c r="AF20" i="7"/>
  <c r="AE20" i="7"/>
  <c r="AD20" i="7"/>
  <c r="AC20" i="7"/>
  <c r="H20" i="7"/>
  <c r="HB19" i="7"/>
  <c r="GM19" i="7"/>
  <c r="FI19" i="7"/>
  <c r="ET19" i="7"/>
  <c r="EE19" i="7"/>
  <c r="DP19" i="7"/>
  <c r="DG19" i="7"/>
  <c r="DD19" i="7"/>
  <c r="BW19" i="7"/>
  <c r="AG19" i="7"/>
  <c r="AF19" i="7"/>
  <c r="AE19" i="7"/>
  <c r="AD19" i="7"/>
  <c r="AC19" i="7"/>
  <c r="H19" i="7"/>
  <c r="HB18" i="7"/>
  <c r="GM18" i="7"/>
  <c r="GA18" i="7"/>
  <c r="FL18" i="7"/>
  <c r="FI18" i="7"/>
  <c r="EW18" i="7"/>
  <c r="ET18" i="7"/>
  <c r="EH18" i="7"/>
  <c r="EE18" i="7"/>
  <c r="DY18" i="7"/>
  <c r="DS18" i="7"/>
  <c r="DP18" i="7"/>
  <c r="DG18" i="7"/>
  <c r="CX18" i="7"/>
  <c r="BW18" i="7"/>
  <c r="BW16" i="7" s="1"/>
  <c r="AG18" i="7"/>
  <c r="AF18" i="7"/>
  <c r="AE18" i="7"/>
  <c r="AD18" i="7"/>
  <c r="AC18" i="7"/>
  <c r="H18" i="7"/>
  <c r="E18" i="7"/>
  <c r="HB17" i="7"/>
  <c r="GP17" i="7"/>
  <c r="GM17" i="7"/>
  <c r="GG17" i="7"/>
  <c r="GA17" i="7"/>
  <c r="FL17" i="7"/>
  <c r="FI17" i="7"/>
  <c r="EW17" i="7"/>
  <c r="ET17" i="7"/>
  <c r="EH17" i="7"/>
  <c r="EE17" i="7"/>
  <c r="DY17" i="7"/>
  <c r="DS17" i="7"/>
  <c r="DP17" i="7"/>
  <c r="DG17" i="7"/>
  <c r="CX17" i="7"/>
  <c r="BW17" i="7"/>
  <c r="BT17" i="7"/>
  <c r="AG17" i="7"/>
  <c r="AF17" i="7"/>
  <c r="AE17" i="7"/>
  <c r="AD17" i="7"/>
  <c r="AC17" i="7"/>
  <c r="H17" i="7"/>
  <c r="E17" i="7"/>
  <c r="BT16" i="7" s="1"/>
  <c r="HB16" i="7"/>
  <c r="GV16" i="7"/>
  <c r="GV15" i="7" s="1"/>
  <c r="GP16" i="7"/>
  <c r="GG16" i="7"/>
  <c r="FC16" i="7"/>
  <c r="FC15" i="7" s="1"/>
  <c r="ET16" i="7"/>
  <c r="EN16" i="7"/>
  <c r="EN15" i="7" s="1"/>
  <c r="EN17" i="7" s="1"/>
  <c r="EE16" i="7"/>
  <c r="DY16" i="7"/>
  <c r="DD16" i="7"/>
  <c r="CX16" i="7"/>
  <c r="CX12" i="7" s="1"/>
  <c r="CO16" i="7"/>
  <c r="CO15" i="7" s="1"/>
  <c r="BQ16" i="7"/>
  <c r="BN16" i="7"/>
  <c r="BK16" i="7"/>
  <c r="BH16" i="7"/>
  <c r="BE16" i="7"/>
  <c r="BB16" i="7"/>
  <c r="AY16" i="7"/>
  <c r="AV16" i="7"/>
  <c r="AS16" i="7"/>
  <c r="AP16" i="7"/>
  <c r="AM16" i="7"/>
  <c r="AJ16" i="7"/>
  <c r="AG16" i="7"/>
  <c r="AF16" i="7"/>
  <c r="AE16" i="7"/>
  <c r="AD16" i="7"/>
  <c r="AC16" i="7"/>
  <c r="Z16" i="7"/>
  <c r="W16" i="7"/>
  <c r="T16" i="7"/>
  <c r="Q16" i="7"/>
  <c r="N16" i="7"/>
  <c r="HB15" i="7"/>
  <c r="GM15" i="7"/>
  <c r="GM2" i="7" s="1"/>
  <c r="GG15" i="7"/>
  <c r="GA15" i="7"/>
  <c r="FL15" i="7"/>
  <c r="FI15" i="7"/>
  <c r="EW15" i="7"/>
  <c r="ET15" i="7"/>
  <c r="EH15" i="7"/>
  <c r="EE15" i="7"/>
  <c r="DY15" i="7"/>
  <c r="DS15" i="7"/>
  <c r="DP15" i="7"/>
  <c r="DG15" i="7"/>
  <c r="DD15" i="7"/>
  <c r="CX15" i="7"/>
  <c r="BW15" i="7"/>
  <c r="BT15" i="7"/>
  <c r="BQ15" i="7"/>
  <c r="BN15" i="7"/>
  <c r="BK15" i="7"/>
  <c r="BH15" i="7"/>
  <c r="BE15" i="7"/>
  <c r="BB15" i="7"/>
  <c r="AY15" i="7"/>
  <c r="AV15" i="7"/>
  <c r="AS15" i="7"/>
  <c r="AP15" i="7"/>
  <c r="AM15" i="7"/>
  <c r="AJ15" i="7"/>
  <c r="AG15" i="7"/>
  <c r="AF15" i="7"/>
  <c r="AE15" i="7"/>
  <c r="AD15" i="7"/>
  <c r="AC15" i="7"/>
  <c r="Z15" i="7"/>
  <c r="W15" i="7"/>
  <c r="T15" i="7"/>
  <c r="Q15" i="7"/>
  <c r="N15" i="7"/>
  <c r="E15" i="7"/>
  <c r="E12" i="7" s="1"/>
  <c r="HB14" i="7"/>
  <c r="GV14" i="7"/>
  <c r="GV17" i="7" s="1"/>
  <c r="GP14" i="7"/>
  <c r="GM14" i="7"/>
  <c r="GG14" i="7"/>
  <c r="FI14" i="7"/>
  <c r="FC14" i="7"/>
  <c r="ET14" i="7"/>
  <c r="EN14" i="7"/>
  <c r="EE14" i="7"/>
  <c r="EB14" i="7"/>
  <c r="DY14" i="7"/>
  <c r="DP14" i="7"/>
  <c r="DG14" i="7"/>
  <c r="DD14" i="7"/>
  <c r="CX14" i="7"/>
  <c r="CO14" i="7"/>
  <c r="CO17" i="7" s="1"/>
  <c r="BW14" i="7"/>
  <c r="BT14" i="7"/>
  <c r="BQ14" i="7"/>
  <c r="BN14" i="7"/>
  <c r="BK14" i="7"/>
  <c r="BH14" i="7"/>
  <c r="BE14" i="7"/>
  <c r="BB14" i="7"/>
  <c r="AY14" i="7"/>
  <c r="AV14" i="7"/>
  <c r="AS14" i="7"/>
  <c r="AP14" i="7"/>
  <c r="AM14" i="7"/>
  <c r="AJ14" i="7"/>
  <c r="AG14" i="7"/>
  <c r="AF14" i="7"/>
  <c r="AE14" i="7"/>
  <c r="AD14" i="7"/>
  <c r="AC14" i="7"/>
  <c r="Z14" i="7"/>
  <c r="W14" i="7"/>
  <c r="T14" i="7"/>
  <c r="Q14" i="7"/>
  <c r="N14" i="7"/>
  <c r="E14" i="7"/>
  <c r="HE13" i="7"/>
  <c r="HB13" i="7"/>
  <c r="GY13" i="7"/>
  <c r="GV13" i="7"/>
  <c r="GP13" i="7"/>
  <c r="GM13" i="7"/>
  <c r="GJ13" i="7"/>
  <c r="GG13" i="7"/>
  <c r="GA13" i="7"/>
  <c r="FL13" i="7"/>
  <c r="FI13" i="7"/>
  <c r="FF13" i="7"/>
  <c r="FC13" i="7"/>
  <c r="EW13" i="7"/>
  <c r="ET13" i="7"/>
  <c r="EQ13" i="7"/>
  <c r="EN13" i="7"/>
  <c r="EH13" i="7"/>
  <c r="EE13" i="7"/>
  <c r="EB13" i="7"/>
  <c r="DY13" i="7"/>
  <c r="DP13" i="7"/>
  <c r="DG13" i="7"/>
  <c r="DD13" i="7"/>
  <c r="CX13" i="7"/>
  <c r="CU13" i="7"/>
  <c r="CO13" i="7"/>
  <c r="BW13" i="7"/>
  <c r="BT13" i="7"/>
  <c r="BQ13" i="7"/>
  <c r="BN13" i="7"/>
  <c r="BK13" i="7"/>
  <c r="BH13" i="7"/>
  <c r="BE13" i="7"/>
  <c r="BB13" i="7"/>
  <c r="AY13" i="7"/>
  <c r="AV13" i="7"/>
  <c r="AS13" i="7"/>
  <c r="AP13" i="7"/>
  <c r="AM13" i="7"/>
  <c r="AJ13" i="7"/>
  <c r="AG13" i="7"/>
  <c r="AF13" i="7"/>
  <c r="AE13" i="7"/>
  <c r="AD13" i="7"/>
  <c r="AC13" i="7"/>
  <c r="Z13" i="7"/>
  <c r="W13" i="7"/>
  <c r="T13" i="7"/>
  <c r="Q13" i="7"/>
  <c r="N13" i="7"/>
  <c r="K13" i="7"/>
  <c r="K12" i="7" s="1"/>
  <c r="E13" i="7"/>
  <c r="HB12" i="7"/>
  <c r="GY12" i="7"/>
  <c r="GV12" i="7"/>
  <c r="GP12" i="7"/>
  <c r="GM12" i="7"/>
  <c r="GJ12" i="7"/>
  <c r="GG12" i="7"/>
  <c r="GA12" i="7"/>
  <c r="FL12" i="7"/>
  <c r="FI12" i="7"/>
  <c r="FF12" i="7"/>
  <c r="FC12" i="7"/>
  <c r="EW12" i="7"/>
  <c r="ET12" i="7"/>
  <c r="EQ12" i="7"/>
  <c r="EN12" i="7"/>
  <c r="EH12" i="7"/>
  <c r="EE12" i="7"/>
  <c r="EB12" i="7"/>
  <c r="DY12" i="7"/>
  <c r="DS12" i="7"/>
  <c r="DP12" i="7"/>
  <c r="DG12" i="7"/>
  <c r="DD12" i="7"/>
  <c r="DD11" i="7" s="1"/>
  <c r="DA12" i="7"/>
  <c r="DA11" i="7" s="1"/>
  <c r="CU12" i="7"/>
  <c r="CO12" i="7"/>
  <c r="BT12" i="7"/>
  <c r="BQ12" i="7"/>
  <c r="BN12" i="7"/>
  <c r="BK12" i="7"/>
  <c r="BH12" i="7"/>
  <c r="BE12" i="7"/>
  <c r="BB12" i="7"/>
  <c r="AY12" i="7"/>
  <c r="AV12" i="7"/>
  <c r="AS12" i="7"/>
  <c r="AP12" i="7"/>
  <c r="AM12" i="7"/>
  <c r="AJ12" i="7"/>
  <c r="AG12" i="7"/>
  <c r="AF12" i="7"/>
  <c r="Z12" i="7"/>
  <c r="W12" i="7"/>
  <c r="T12" i="7"/>
  <c r="Q12" i="7"/>
  <c r="N12" i="7"/>
  <c r="HE11" i="7"/>
  <c r="HB11" i="7"/>
  <c r="GY11" i="7"/>
  <c r="GV11" i="7"/>
  <c r="GP11" i="7"/>
  <c r="GM11" i="7"/>
  <c r="GJ11" i="7"/>
  <c r="GG11" i="7"/>
  <c r="GA11" i="7"/>
  <c r="GA8" i="7" s="1"/>
  <c r="FL11" i="7"/>
  <c r="FI11" i="7"/>
  <c r="FF11" i="7"/>
  <c r="FC11" i="7"/>
  <c r="EW11" i="7"/>
  <c r="ET11" i="7"/>
  <c r="EQ11" i="7"/>
  <c r="EN11" i="7"/>
  <c r="EH11" i="7"/>
  <c r="EH8" i="7" s="1"/>
  <c r="EH7" i="7" s="1"/>
  <c r="DS11" i="7"/>
  <c r="DP11" i="7"/>
  <c r="DJ11" i="7"/>
  <c r="DJ10" i="7" s="1"/>
  <c r="DJ12" i="7" s="1"/>
  <c r="CX11" i="7"/>
  <c r="CO11" i="7"/>
  <c r="BT11" i="7"/>
  <c r="BQ11" i="7"/>
  <c r="BN11" i="7"/>
  <c r="BK11" i="7"/>
  <c r="BH11" i="7"/>
  <c r="BE11" i="7"/>
  <c r="BB11" i="7"/>
  <c r="AY11" i="7"/>
  <c r="AV11" i="7"/>
  <c r="AS11" i="7"/>
  <c r="AP11" i="7"/>
  <c r="AM11" i="7"/>
  <c r="AJ11" i="7"/>
  <c r="AG11" i="7"/>
  <c r="AF11" i="7"/>
  <c r="Z11" i="7"/>
  <c r="W11" i="7"/>
  <c r="T11" i="7"/>
  <c r="Q11" i="7"/>
  <c r="N11" i="7"/>
  <c r="E11" i="7"/>
  <c r="HE10" i="7"/>
  <c r="HB10" i="7"/>
  <c r="GY10" i="7"/>
  <c r="GV10" i="7"/>
  <c r="GP10" i="7"/>
  <c r="GM10" i="7"/>
  <c r="GJ10" i="7"/>
  <c r="GG10" i="7"/>
  <c r="GA10" i="7"/>
  <c r="FL10" i="7"/>
  <c r="FI10" i="7"/>
  <c r="FF10" i="7"/>
  <c r="FC10" i="7"/>
  <c r="EW10" i="7"/>
  <c r="ET10" i="7"/>
  <c r="EQ10" i="7"/>
  <c r="EN10" i="7"/>
  <c r="EH10" i="7"/>
  <c r="EE10" i="7"/>
  <c r="EB10" i="7"/>
  <c r="DY10" i="7"/>
  <c r="DS10" i="7"/>
  <c r="DS8" i="7" s="1"/>
  <c r="DP10" i="7"/>
  <c r="DG10" i="7"/>
  <c r="DD10" i="7"/>
  <c r="CU10" i="7"/>
  <c r="CO10" i="7"/>
  <c r="BQ10" i="7"/>
  <c r="BN10" i="7"/>
  <c r="BN9" i="7" s="1"/>
  <c r="BN2" i="7" s="1"/>
  <c r="BK10" i="7"/>
  <c r="BK9" i="7" s="1"/>
  <c r="BH10" i="7"/>
  <c r="BE10" i="7"/>
  <c r="BE6" i="7" s="1"/>
  <c r="BE2" i="7" s="1"/>
  <c r="BB10" i="7"/>
  <c r="BB6" i="7" s="1"/>
  <c r="BB2" i="7" s="1"/>
  <c r="AY10" i="7"/>
  <c r="AY6" i="7" s="1"/>
  <c r="AV10" i="7"/>
  <c r="AV6" i="7" s="1"/>
  <c r="AS10" i="7"/>
  <c r="AS6" i="7" s="1"/>
  <c r="AS2" i="7" s="1"/>
  <c r="AP10" i="7"/>
  <c r="AP6" i="7" s="1"/>
  <c r="AP2" i="7" s="1"/>
  <c r="AM10" i="7"/>
  <c r="AG10" i="7"/>
  <c r="AF10" i="7"/>
  <c r="Z10" i="7"/>
  <c r="Z6" i="7" s="1"/>
  <c r="Z18" i="7" s="1"/>
  <c r="W10" i="7"/>
  <c r="W6" i="7" s="1"/>
  <c r="W18" i="7" s="1"/>
  <c r="T10" i="7"/>
  <c r="T6" i="7" s="1"/>
  <c r="T2" i="7" s="1"/>
  <c r="Q10" i="7"/>
  <c r="Q6" i="7" s="1"/>
  <c r="Q2" i="7" s="1"/>
  <c r="N10" i="7"/>
  <c r="N6" i="7" s="1"/>
  <c r="N2" i="7" s="1"/>
  <c r="K10" i="7"/>
  <c r="HE9" i="7"/>
  <c r="HE7" i="7" s="1"/>
  <c r="HB9" i="7"/>
  <c r="GY9" i="7"/>
  <c r="GV9" i="7"/>
  <c r="GP9" i="7"/>
  <c r="GP8" i="7" s="1"/>
  <c r="GM9" i="7"/>
  <c r="GJ9" i="7"/>
  <c r="GG9" i="7"/>
  <c r="GA9" i="7"/>
  <c r="FR9" i="7"/>
  <c r="FR8" i="7" s="1"/>
  <c r="FL9" i="7"/>
  <c r="FL8" i="7" s="1"/>
  <c r="FI9" i="7"/>
  <c r="FF9" i="7"/>
  <c r="FC9" i="7"/>
  <c r="EW9" i="7"/>
  <c r="ET9" i="7"/>
  <c r="EQ9" i="7"/>
  <c r="EN9" i="7"/>
  <c r="EH9" i="7"/>
  <c r="EE9" i="7"/>
  <c r="EB9" i="7"/>
  <c r="DY9" i="7"/>
  <c r="DS9" i="7"/>
  <c r="DP9" i="7"/>
  <c r="DP7" i="7" s="1"/>
  <c r="DJ9" i="7"/>
  <c r="DG9" i="7"/>
  <c r="DD9" i="7"/>
  <c r="DA9" i="7"/>
  <c r="CX9" i="7"/>
  <c r="CX10" i="7" s="1"/>
  <c r="CU9" i="7"/>
  <c r="CO9" i="7"/>
  <c r="BW9" i="7"/>
  <c r="BT9" i="7"/>
  <c r="BQ9" i="7"/>
  <c r="BQ2" i="7" s="1"/>
  <c r="BH9" i="7"/>
  <c r="BE9" i="7"/>
  <c r="BB9" i="7"/>
  <c r="AY9" i="7"/>
  <c r="AV9" i="7"/>
  <c r="AS9" i="7"/>
  <c r="AP9" i="7"/>
  <c r="AM9" i="7"/>
  <c r="AJ9" i="7"/>
  <c r="AG9" i="7"/>
  <c r="AG23" i="7" s="1"/>
  <c r="AF9" i="7"/>
  <c r="AF23" i="7" s="1"/>
  <c r="AF27" i="7" s="1"/>
  <c r="AE9" i="7"/>
  <c r="AE23" i="7" s="1"/>
  <c r="AE27" i="7" s="1"/>
  <c r="AD9" i="7"/>
  <c r="AD23" i="7" s="1"/>
  <c r="AD27" i="7" s="1"/>
  <c r="AC9" i="7"/>
  <c r="Z9" i="7"/>
  <c r="W9" i="7"/>
  <c r="T9" i="7"/>
  <c r="Q9" i="7"/>
  <c r="N9" i="7"/>
  <c r="K9" i="7"/>
  <c r="H9" i="7"/>
  <c r="E9" i="7"/>
  <c r="E10" i="7" s="1"/>
  <c r="HB8" i="7"/>
  <c r="GY8" i="7"/>
  <c r="GV8" i="7"/>
  <c r="GM8" i="7"/>
  <c r="GJ8" i="7"/>
  <c r="GJ6" i="7" s="1"/>
  <c r="GG8" i="7"/>
  <c r="GG6" i="7" s="1"/>
  <c r="FI8" i="7"/>
  <c r="FF8" i="7"/>
  <c r="FF6" i="7" s="1"/>
  <c r="FC8" i="7"/>
  <c r="FC6" i="7" s="1"/>
  <c r="EW8" i="7"/>
  <c r="EW7" i="7" s="1"/>
  <c r="ET8" i="7"/>
  <c r="ET6" i="7" s="1"/>
  <c r="EQ8" i="7"/>
  <c r="EN8" i="7"/>
  <c r="EE8" i="7"/>
  <c r="EE6" i="7" s="1"/>
  <c r="EB8" i="7"/>
  <c r="EB6" i="7" s="1"/>
  <c r="DY8" i="7"/>
  <c r="DY6" i="7" s="1"/>
  <c r="DV8" i="7"/>
  <c r="DP8" i="7"/>
  <c r="DM8" i="7"/>
  <c r="DJ8" i="7"/>
  <c r="DJ6" i="7" s="1"/>
  <c r="DG8" i="7"/>
  <c r="DA8" i="7"/>
  <c r="CX8" i="7"/>
  <c r="CU8" i="7"/>
  <c r="CO8" i="7"/>
  <c r="CL8" i="7"/>
  <c r="BW8" i="7"/>
  <c r="BT8" i="7"/>
  <c r="BQ8" i="7"/>
  <c r="BN8" i="7"/>
  <c r="BK8" i="7"/>
  <c r="BH8" i="7"/>
  <c r="BE8" i="7"/>
  <c r="BB8" i="7"/>
  <c r="AY8" i="7"/>
  <c r="AV8" i="7"/>
  <c r="AS8" i="7"/>
  <c r="AP8" i="7"/>
  <c r="AM8" i="7"/>
  <c r="AJ8" i="7"/>
  <c r="AG8" i="7"/>
  <c r="AF8" i="7"/>
  <c r="AE8" i="7"/>
  <c r="AD8" i="7"/>
  <c r="AC8" i="7"/>
  <c r="Z8" i="7"/>
  <c r="W8" i="7"/>
  <c r="T8" i="7"/>
  <c r="Q8" i="7"/>
  <c r="N8" i="7"/>
  <c r="K8" i="7"/>
  <c r="H8" i="7"/>
  <c r="E8" i="7"/>
  <c r="HB7" i="7"/>
  <c r="HB5" i="7" s="1"/>
  <c r="GY7" i="7"/>
  <c r="GY5" i="7" s="1"/>
  <c r="GV7" i="7"/>
  <c r="GV5" i="7" s="1"/>
  <c r="GM7" i="7"/>
  <c r="GJ7" i="7"/>
  <c r="GG7" i="7"/>
  <c r="FR7" i="7"/>
  <c r="FI7" i="7"/>
  <c r="FI5" i="7" s="1"/>
  <c r="FI2" i="7" s="1"/>
  <c r="FF7" i="7"/>
  <c r="FF5" i="7" s="1"/>
  <c r="FC7" i="7"/>
  <c r="FC5" i="7" s="1"/>
  <c r="ET7" i="7"/>
  <c r="EQ7" i="7"/>
  <c r="EN7" i="7"/>
  <c r="EE7" i="7"/>
  <c r="EE5" i="7" s="1"/>
  <c r="EB7" i="7"/>
  <c r="EB5" i="7" s="1"/>
  <c r="DY7" i="7"/>
  <c r="DY5" i="7" s="1"/>
  <c r="DM7" i="7"/>
  <c r="DM5" i="7" s="1"/>
  <c r="DJ7" i="7"/>
  <c r="DJ5" i="7" s="1"/>
  <c r="DA7" i="7"/>
  <c r="CX7" i="7"/>
  <c r="CX6" i="7" s="1"/>
  <c r="CU7" i="7"/>
  <c r="CO7" i="7"/>
  <c r="CL7" i="7"/>
  <c r="BW7" i="7"/>
  <c r="BT7" i="7"/>
  <c r="BQ7" i="7"/>
  <c r="BN7" i="7"/>
  <c r="BK7" i="7"/>
  <c r="BH7" i="7"/>
  <c r="BE7" i="7"/>
  <c r="BB7" i="7"/>
  <c r="AY7" i="7"/>
  <c r="AV7" i="7"/>
  <c r="AS7" i="7"/>
  <c r="AP7" i="7"/>
  <c r="AM7" i="7"/>
  <c r="AJ7" i="7"/>
  <c r="AG7" i="7"/>
  <c r="AF7" i="7"/>
  <c r="AE7" i="7"/>
  <c r="AD7" i="7"/>
  <c r="AC7" i="7"/>
  <c r="Z7" i="7"/>
  <c r="W7" i="7"/>
  <c r="T7" i="7"/>
  <c r="Q7" i="7"/>
  <c r="N7" i="7"/>
  <c r="K7" i="7"/>
  <c r="H7" i="7"/>
  <c r="E7" i="7"/>
  <c r="HB6" i="7"/>
  <c r="GY6" i="7"/>
  <c r="GV6" i="7"/>
  <c r="GS6" i="7"/>
  <c r="GP6" i="7"/>
  <c r="GM6" i="7"/>
  <c r="GD6" i="7"/>
  <c r="GA6" i="7"/>
  <c r="FU6" i="7"/>
  <c r="FR6" i="7"/>
  <c r="FL6" i="7"/>
  <c r="FI6" i="7"/>
  <c r="EZ6" i="7"/>
  <c r="EW6" i="7"/>
  <c r="EQ6" i="7"/>
  <c r="EN6" i="7"/>
  <c r="EK6" i="7"/>
  <c r="EH6" i="7"/>
  <c r="DV6" i="7"/>
  <c r="DS6" i="7"/>
  <c r="DP6" i="7"/>
  <c r="DM6" i="7"/>
  <c r="DD6" i="7"/>
  <c r="DA6" i="7"/>
  <c r="CU6" i="7"/>
  <c r="CR6" i="7"/>
  <c r="CO6" i="7"/>
  <c r="CL6" i="7"/>
  <c r="BW6" i="7"/>
  <c r="BT6" i="7"/>
  <c r="BH6" i="7"/>
  <c r="BH2" i="7" s="1"/>
  <c r="AM6" i="7"/>
  <c r="AM2" i="7" s="1"/>
  <c r="AJ6" i="7"/>
  <c r="AJ2" i="7" s="1"/>
  <c r="K6" i="7"/>
  <c r="H6" i="7"/>
  <c r="E6" i="7"/>
  <c r="HE5" i="7"/>
  <c r="GS5" i="7"/>
  <c r="GP5" i="7"/>
  <c r="GP7" i="7" s="1"/>
  <c r="GM5" i="7"/>
  <c r="GJ5" i="7"/>
  <c r="GG5" i="7"/>
  <c r="GD5" i="7"/>
  <c r="GA5" i="7"/>
  <c r="GA7" i="7" s="1"/>
  <c r="FX5" i="7"/>
  <c r="FU5" i="7"/>
  <c r="FR5" i="7"/>
  <c r="FO5" i="7"/>
  <c r="FL5" i="7"/>
  <c r="FL7" i="7" s="1"/>
  <c r="EZ5" i="7"/>
  <c r="EW5" i="7"/>
  <c r="ET5" i="7"/>
  <c r="EQ5" i="7"/>
  <c r="EN5" i="7"/>
  <c r="EK5" i="7"/>
  <c r="EH5" i="7"/>
  <c r="DV5" i="7"/>
  <c r="DS5" i="7"/>
  <c r="DS7" i="7" s="1"/>
  <c r="DP5" i="7"/>
  <c r="DP2" i="7" s="1"/>
  <c r="DD5" i="7"/>
  <c r="DA5" i="7"/>
  <c r="DA14" i="7" s="1"/>
  <c r="CX5" i="7"/>
  <c r="CU5" i="7"/>
  <c r="CU16" i="7" s="1"/>
  <c r="CR5" i="7"/>
  <c r="CO5" i="7"/>
  <c r="CL5" i="7"/>
  <c r="BW5" i="7"/>
  <c r="BT5" i="7"/>
  <c r="BQ5" i="7"/>
  <c r="BN5" i="7"/>
  <c r="BK5" i="7"/>
  <c r="BH5" i="7"/>
  <c r="BE5" i="7"/>
  <c r="BB5" i="7"/>
  <c r="AY5" i="7"/>
  <c r="AY2" i="7" s="1"/>
  <c r="AV5" i="7"/>
  <c r="AV2" i="7" s="1"/>
  <c r="AS5" i="7"/>
  <c r="AP5" i="7"/>
  <c r="AM5" i="7"/>
  <c r="AJ5" i="7"/>
  <c r="AG5" i="7"/>
  <c r="AF5" i="7"/>
  <c r="AE5" i="7"/>
  <c r="AD5" i="7"/>
  <c r="AD30" i="7" s="1"/>
  <c r="AC5" i="7"/>
  <c r="Z5" i="7"/>
  <c r="Z19" i="7" s="1"/>
  <c r="W5" i="7"/>
  <c r="W19" i="7" s="1"/>
  <c r="T5" i="7"/>
  <c r="Q5" i="7"/>
  <c r="N5" i="7"/>
  <c r="K5" i="7"/>
  <c r="H5" i="7"/>
  <c r="H12" i="7" s="1"/>
  <c r="E5" i="7"/>
  <c r="FX2" i="7"/>
  <c r="CL2" i="7"/>
  <c r="CO2" i="7" s="1"/>
  <c r="H69" i="8"/>
  <c r="H68" i="8"/>
  <c r="H67" i="8"/>
  <c r="H66" i="8"/>
  <c r="H65" i="8"/>
  <c r="H64" i="8"/>
  <c r="H63" i="8"/>
  <c r="H59" i="8" s="1"/>
  <c r="H62" i="8"/>
  <c r="H61" i="8"/>
  <c r="H60" i="8"/>
  <c r="H57" i="8"/>
  <c r="H56" i="8"/>
  <c r="H55" i="8"/>
  <c r="H54" i="8"/>
  <c r="H53" i="8"/>
  <c r="K52" i="8"/>
  <c r="H52" i="8"/>
  <c r="E52" i="8"/>
  <c r="K51" i="8"/>
  <c r="H51" i="8"/>
  <c r="H48" i="8" s="1"/>
  <c r="E51" i="8"/>
  <c r="DA50" i="8"/>
  <c r="K50" i="8"/>
  <c r="DA49" i="8"/>
  <c r="K49" i="8"/>
  <c r="E49" i="8"/>
  <c r="CU48" i="8"/>
  <c r="K48" i="8"/>
  <c r="E48" i="8"/>
  <c r="CU47" i="8"/>
  <c r="K47" i="8"/>
  <c r="H47" i="8"/>
  <c r="H45" i="8" s="1"/>
  <c r="E47" i="8"/>
  <c r="H46" i="8"/>
  <c r="H44" i="8" s="1"/>
  <c r="E46" i="8"/>
  <c r="DA45" i="8"/>
  <c r="E45" i="8"/>
  <c r="E53" i="8" s="1"/>
  <c r="E43" i="8" s="1"/>
  <c r="DA43" i="8"/>
  <c r="Z43" i="8"/>
  <c r="DA42" i="8"/>
  <c r="CU42" i="8"/>
  <c r="Z42" i="8"/>
  <c r="DA41" i="8"/>
  <c r="CU41" i="8"/>
  <c r="H41" i="8"/>
  <c r="DA40" i="8"/>
  <c r="CU40" i="8"/>
  <c r="DA39" i="8"/>
  <c r="CU39" i="8"/>
  <c r="DA38" i="8"/>
  <c r="CU38" i="8"/>
  <c r="K38" i="8"/>
  <c r="H38" i="8"/>
  <c r="DA37" i="8"/>
  <c r="CU37" i="8"/>
  <c r="Z37" i="8"/>
  <c r="W37" i="8"/>
  <c r="K37" i="8"/>
  <c r="H37" i="8"/>
  <c r="E37" i="8"/>
  <c r="DA36" i="8"/>
  <c r="CU36" i="8"/>
  <c r="Z36" i="8"/>
  <c r="W36" i="8"/>
  <c r="K36" i="8"/>
  <c r="H36" i="8"/>
  <c r="E36" i="8"/>
  <c r="DA35" i="8"/>
  <c r="DA24" i="8" s="1"/>
  <c r="DA13" i="8" s="1"/>
  <c r="CU35" i="8"/>
  <c r="BN35" i="8"/>
  <c r="BK35" i="8"/>
  <c r="BE35" i="8"/>
  <c r="BB35" i="8"/>
  <c r="AV35" i="8"/>
  <c r="AS35" i="8"/>
  <c r="AM35" i="8"/>
  <c r="AJ35" i="8"/>
  <c r="Z35" i="8"/>
  <c r="W35" i="8"/>
  <c r="Q35" i="8"/>
  <c r="N35" i="8"/>
  <c r="K35" i="8"/>
  <c r="H35" i="8"/>
  <c r="E35" i="8"/>
  <c r="E38" i="8" s="1"/>
  <c r="E31" i="8" s="1"/>
  <c r="DA34" i="8"/>
  <c r="CU34" i="8"/>
  <c r="BN34" i="8"/>
  <c r="BK34" i="8"/>
  <c r="BE34" i="8"/>
  <c r="BB34" i="8"/>
  <c r="AV34" i="8"/>
  <c r="AS34" i="8"/>
  <c r="AM34" i="8"/>
  <c r="AJ34" i="8"/>
  <c r="Z34" i="8"/>
  <c r="Z39" i="8" s="1"/>
  <c r="W34" i="8"/>
  <c r="W39" i="8" s="1"/>
  <c r="Q34" i="8"/>
  <c r="N34" i="8"/>
  <c r="K34" i="8"/>
  <c r="H34" i="8"/>
  <c r="E34" i="8"/>
  <c r="DA33" i="8"/>
  <c r="CU33" i="8"/>
  <c r="CU43" i="8" s="1"/>
  <c r="CU11" i="8" s="1"/>
  <c r="CO33" i="8"/>
  <c r="BN33" i="8"/>
  <c r="BK33" i="8"/>
  <c r="BE33" i="8"/>
  <c r="BB33" i="8"/>
  <c r="AV33" i="8"/>
  <c r="AS33" i="8"/>
  <c r="AM33" i="8"/>
  <c r="AJ33" i="8"/>
  <c r="AF33" i="8"/>
  <c r="Z33" i="8"/>
  <c r="W33" i="8"/>
  <c r="Q33" i="8"/>
  <c r="N33" i="8"/>
  <c r="K33" i="8"/>
  <c r="K43" i="8" s="1"/>
  <c r="H33" i="8"/>
  <c r="E33" i="8"/>
  <c r="DA32" i="8"/>
  <c r="CU32" i="8"/>
  <c r="CO32" i="8"/>
  <c r="CO34" i="8" s="1"/>
  <c r="CO20" i="8" s="1"/>
  <c r="BN32" i="8"/>
  <c r="BK32" i="8"/>
  <c r="BE32" i="8"/>
  <c r="BB32" i="8"/>
  <c r="AV32" i="8"/>
  <c r="AS32" i="8"/>
  <c r="AM32" i="8"/>
  <c r="AJ32" i="8"/>
  <c r="AE32" i="8"/>
  <c r="AD32" i="8"/>
  <c r="AC32" i="8"/>
  <c r="Z32" i="8"/>
  <c r="Z28" i="8" s="1"/>
  <c r="W32" i="8"/>
  <c r="Q32" i="8"/>
  <c r="N32" i="8"/>
  <c r="K32" i="8"/>
  <c r="H32" i="8"/>
  <c r="DA31" i="8"/>
  <c r="CU31" i="8"/>
  <c r="CU26" i="8" s="1"/>
  <c r="CO31" i="8"/>
  <c r="BW31" i="8"/>
  <c r="BN31" i="8"/>
  <c r="BK31" i="8"/>
  <c r="BE31" i="8"/>
  <c r="BB31" i="8"/>
  <c r="AV31" i="8"/>
  <c r="AS31" i="8"/>
  <c r="AM31" i="8"/>
  <c r="AJ31" i="8"/>
  <c r="Z31" i="8"/>
  <c r="W31" i="8"/>
  <c r="Q31" i="8"/>
  <c r="N31" i="8"/>
  <c r="K31" i="8"/>
  <c r="K25" i="8" s="1"/>
  <c r="H31" i="8"/>
  <c r="DA30" i="8"/>
  <c r="CU30" i="8"/>
  <c r="CO30" i="8"/>
  <c r="BW30" i="8"/>
  <c r="BN30" i="8"/>
  <c r="BK30" i="8"/>
  <c r="BE30" i="8"/>
  <c r="BB30" i="8"/>
  <c r="AS30" i="8"/>
  <c r="AM30" i="8"/>
  <c r="AJ30" i="8"/>
  <c r="Z30" i="8"/>
  <c r="W30" i="8"/>
  <c r="Q30" i="8"/>
  <c r="N30" i="8"/>
  <c r="K30" i="8"/>
  <c r="H30" i="8"/>
  <c r="DA29" i="8"/>
  <c r="CU29" i="8"/>
  <c r="CO29" i="8"/>
  <c r="BN29" i="8"/>
  <c r="BK29" i="8"/>
  <c r="BE29" i="8"/>
  <c r="BE25" i="8" s="1"/>
  <c r="BB29" i="8"/>
  <c r="BB25" i="8" s="1"/>
  <c r="AV29" i="8"/>
  <c r="AV25" i="8" s="1"/>
  <c r="AV21" i="8" s="1"/>
  <c r="AS29" i="8"/>
  <c r="AS25" i="8" s="1"/>
  <c r="AS21" i="8" s="1"/>
  <c r="AM29" i="8"/>
  <c r="AM25" i="8" s="1"/>
  <c r="AM21" i="8" s="1"/>
  <c r="AJ29" i="8"/>
  <c r="Z29" i="8"/>
  <c r="W29" i="8"/>
  <c r="W40" i="8" s="1"/>
  <c r="Q29" i="8"/>
  <c r="N29" i="8"/>
  <c r="K29" i="8"/>
  <c r="H29" i="8"/>
  <c r="H25" i="8" s="1"/>
  <c r="DA28" i="8"/>
  <c r="CU28" i="8"/>
  <c r="CO28" i="8"/>
  <c r="BN28" i="8"/>
  <c r="BK28" i="8"/>
  <c r="BE28" i="8"/>
  <c r="BB28" i="8"/>
  <c r="AV28" i="8"/>
  <c r="AS28" i="8"/>
  <c r="AM28" i="8"/>
  <c r="AJ28" i="8"/>
  <c r="W28" i="8"/>
  <c r="Q28" i="8"/>
  <c r="N28" i="8"/>
  <c r="K28" i="8"/>
  <c r="H28" i="8"/>
  <c r="HB27" i="8"/>
  <c r="GM27" i="8"/>
  <c r="FI27" i="8"/>
  <c r="ET27" i="8"/>
  <c r="EE27" i="8"/>
  <c r="DA27" i="8"/>
  <c r="CU27" i="8"/>
  <c r="CO27" i="8"/>
  <c r="BN27" i="8"/>
  <c r="BN26" i="8" s="1"/>
  <c r="BK27" i="8"/>
  <c r="BK26" i="8" s="1"/>
  <c r="BE27" i="8"/>
  <c r="BE26" i="8" s="1"/>
  <c r="BB27" i="8"/>
  <c r="AV27" i="8"/>
  <c r="AS27" i="8"/>
  <c r="AM27" i="8"/>
  <c r="AJ27" i="8"/>
  <c r="Z27" i="8"/>
  <c r="Z41" i="8" s="1"/>
  <c r="W27" i="8"/>
  <c r="W41" i="8" s="1"/>
  <c r="Q27" i="8"/>
  <c r="Q26" i="8" s="1"/>
  <c r="N27" i="8"/>
  <c r="N26" i="8" s="1"/>
  <c r="K27" i="8"/>
  <c r="H27" i="8"/>
  <c r="HB26" i="8"/>
  <c r="GM26" i="8"/>
  <c r="FI26" i="8"/>
  <c r="ET26" i="8"/>
  <c r="EE26" i="8"/>
  <c r="DP26" i="8"/>
  <c r="DP24" i="8" s="1"/>
  <c r="DA26" i="8"/>
  <c r="CX26" i="8"/>
  <c r="CO26" i="8"/>
  <c r="CL26" i="8"/>
  <c r="BT26" i="8"/>
  <c r="BB26" i="8"/>
  <c r="AV26" i="8"/>
  <c r="AS26" i="8"/>
  <c r="AM26" i="8"/>
  <c r="AJ26" i="8"/>
  <c r="K26" i="8"/>
  <c r="H26" i="8"/>
  <c r="E26" i="8"/>
  <c r="HB25" i="8"/>
  <c r="GM25" i="8"/>
  <c r="GM23" i="8" s="1"/>
  <c r="FI25" i="8"/>
  <c r="FI23" i="8" s="1"/>
  <c r="ET25" i="8"/>
  <c r="ET23" i="8" s="1"/>
  <c r="EE25" i="8"/>
  <c r="EE23" i="8" s="1"/>
  <c r="DP25" i="8"/>
  <c r="DP23" i="8" s="1"/>
  <c r="DG25" i="8"/>
  <c r="DA25" i="8"/>
  <c r="CX25" i="8"/>
  <c r="CO25" i="8"/>
  <c r="CL25" i="8"/>
  <c r="BW25" i="8"/>
  <c r="BT25" i="8"/>
  <c r="AJ25" i="8"/>
  <c r="AJ21" i="8" s="1"/>
  <c r="AG25" i="8"/>
  <c r="AG24" i="8" s="1"/>
  <c r="AF25" i="8"/>
  <c r="AE25" i="8"/>
  <c r="AD25" i="8"/>
  <c r="AC25" i="8"/>
  <c r="AC24" i="8" s="1"/>
  <c r="Q25" i="8"/>
  <c r="N25" i="8"/>
  <c r="E25" i="8"/>
  <c r="HB24" i="8"/>
  <c r="GM24" i="8"/>
  <c r="ET24" i="8"/>
  <c r="EE24" i="8"/>
  <c r="CX24" i="8"/>
  <c r="CR24" i="8"/>
  <c r="CO24" i="8"/>
  <c r="CL24" i="8"/>
  <c r="BW24" i="8"/>
  <c r="BT24" i="8"/>
  <c r="BN24" i="8"/>
  <c r="BK24" i="8"/>
  <c r="BE24" i="8"/>
  <c r="BB24" i="8"/>
  <c r="AV24" i="8"/>
  <c r="AS24" i="8"/>
  <c r="AM24" i="8"/>
  <c r="AJ24" i="8"/>
  <c r="AF24" i="8"/>
  <c r="AE24" i="8"/>
  <c r="AD24" i="8"/>
  <c r="Q24" i="8"/>
  <c r="N24" i="8"/>
  <c r="K24" i="8"/>
  <c r="H24" i="8"/>
  <c r="E24" i="8"/>
  <c r="HB23" i="8"/>
  <c r="DG23" i="8"/>
  <c r="DG20" i="8" s="1"/>
  <c r="CX23" i="8"/>
  <c r="CO23" i="8"/>
  <c r="CR23" i="8" s="1"/>
  <c r="CL23" i="8"/>
  <c r="BW23" i="8"/>
  <c r="BT23" i="8"/>
  <c r="K23" i="8"/>
  <c r="H23" i="8"/>
  <c r="E23" i="8"/>
  <c r="HB22" i="8"/>
  <c r="GM22" i="8"/>
  <c r="GM16" i="8" s="1"/>
  <c r="FI22" i="8"/>
  <c r="FI16" i="8" s="1"/>
  <c r="ET22" i="8"/>
  <c r="EE22" i="8"/>
  <c r="DP22" i="8"/>
  <c r="DP16" i="8" s="1"/>
  <c r="DG22" i="8"/>
  <c r="BW22" i="8"/>
  <c r="BT22" i="8"/>
  <c r="BT10" i="8" s="1"/>
  <c r="AG22" i="8"/>
  <c r="AF22" i="8"/>
  <c r="AE22" i="8"/>
  <c r="AD22" i="8"/>
  <c r="AC22" i="8"/>
  <c r="K22" i="8"/>
  <c r="H22" i="8"/>
  <c r="HB21" i="8"/>
  <c r="GM21" i="8"/>
  <c r="FI21" i="8"/>
  <c r="ET21" i="8"/>
  <c r="EE21" i="8"/>
  <c r="DP21" i="8"/>
  <c r="DG21" i="8"/>
  <c r="DD21" i="8"/>
  <c r="DD8" i="8" s="1"/>
  <c r="DD7" i="8" s="1"/>
  <c r="BW21" i="8"/>
  <c r="AG21" i="8"/>
  <c r="AF21" i="8"/>
  <c r="AE21" i="8"/>
  <c r="AD21" i="8"/>
  <c r="AC21" i="8"/>
  <c r="K21" i="8"/>
  <c r="K19" i="8" s="1"/>
  <c r="H21" i="8"/>
  <c r="DD20" i="8"/>
  <c r="CL20" i="8"/>
  <c r="BW20" i="8"/>
  <c r="AG20" i="8"/>
  <c r="AF20" i="8"/>
  <c r="AE20" i="8"/>
  <c r="AD20" i="8"/>
  <c r="AC20" i="8"/>
  <c r="H20" i="8"/>
  <c r="HB19" i="8"/>
  <c r="GM19" i="8"/>
  <c r="FI19" i="8"/>
  <c r="ET19" i="8"/>
  <c r="EE19" i="8"/>
  <c r="DP19" i="8"/>
  <c r="DG19" i="8"/>
  <c r="DD19" i="8"/>
  <c r="BW19" i="8"/>
  <c r="AG19" i="8"/>
  <c r="AF19" i="8"/>
  <c r="AE19" i="8"/>
  <c r="AD19" i="8"/>
  <c r="AC19" i="8"/>
  <c r="H19" i="8"/>
  <c r="HB18" i="8"/>
  <c r="GM18" i="8"/>
  <c r="GA18" i="8"/>
  <c r="FL18" i="8"/>
  <c r="FI18" i="8"/>
  <c r="EW18" i="8"/>
  <c r="ET18" i="8"/>
  <c r="EH18" i="8"/>
  <c r="EE18" i="8"/>
  <c r="DY18" i="8"/>
  <c r="DS18" i="8"/>
  <c r="DP18" i="8"/>
  <c r="DG18" i="8"/>
  <c r="CX18" i="8"/>
  <c r="BW18" i="8"/>
  <c r="BW16" i="8" s="1"/>
  <c r="AG18" i="8"/>
  <c r="AF18" i="8"/>
  <c r="AE18" i="8"/>
  <c r="AD18" i="8"/>
  <c r="AC18" i="8"/>
  <c r="H18" i="8"/>
  <c r="E18" i="8"/>
  <c r="HB17" i="8"/>
  <c r="GP17" i="8"/>
  <c r="GM17" i="8"/>
  <c r="GG17" i="8"/>
  <c r="GA17" i="8"/>
  <c r="FL17" i="8"/>
  <c r="FI17" i="8"/>
  <c r="EW17" i="8"/>
  <c r="ET17" i="8"/>
  <c r="EH17" i="8"/>
  <c r="EE17" i="8"/>
  <c r="DY17" i="8"/>
  <c r="DS17" i="8"/>
  <c r="DP17" i="8"/>
  <c r="DG17" i="8"/>
  <c r="CX17" i="8"/>
  <c r="BW17" i="8"/>
  <c r="BT17" i="8"/>
  <c r="AG17" i="8"/>
  <c r="AF17" i="8"/>
  <c r="AE17" i="8"/>
  <c r="AD17" i="8"/>
  <c r="AC17" i="8"/>
  <c r="H17" i="8"/>
  <c r="E17" i="8"/>
  <c r="BT16" i="8" s="1"/>
  <c r="HB16" i="8"/>
  <c r="GV16" i="8"/>
  <c r="GV15" i="8" s="1"/>
  <c r="GP16" i="8"/>
  <c r="GG16" i="8"/>
  <c r="FC16" i="8"/>
  <c r="FC15" i="8" s="1"/>
  <c r="ET16" i="8"/>
  <c r="EN16" i="8"/>
  <c r="EN15" i="8" s="1"/>
  <c r="EN17" i="8" s="1"/>
  <c r="EE16" i="8"/>
  <c r="DY16" i="8"/>
  <c r="DD16" i="8"/>
  <c r="CX16" i="8"/>
  <c r="CX12" i="8" s="1"/>
  <c r="CO16" i="8"/>
  <c r="CO15" i="8" s="1"/>
  <c r="BQ16" i="8"/>
  <c r="BN16" i="8"/>
  <c r="BK16" i="8"/>
  <c r="BH16" i="8"/>
  <c r="BE16" i="8"/>
  <c r="BB16" i="8"/>
  <c r="AY16" i="8"/>
  <c r="AV16" i="8"/>
  <c r="AS16" i="8"/>
  <c r="AP16" i="8"/>
  <c r="AM16" i="8"/>
  <c r="AJ16" i="8"/>
  <c r="AG16" i="8"/>
  <c r="AF16" i="8"/>
  <c r="AE16" i="8"/>
  <c r="AD16" i="8"/>
  <c r="AC16" i="8"/>
  <c r="Z16" i="8"/>
  <c r="W16" i="8"/>
  <c r="T16" i="8"/>
  <c r="Q16" i="8"/>
  <c r="N16" i="8"/>
  <c r="HB15" i="8"/>
  <c r="GM15" i="8"/>
  <c r="GM2" i="8" s="1"/>
  <c r="GG15" i="8"/>
  <c r="GA15" i="8"/>
  <c r="FL15" i="8"/>
  <c r="FI15" i="8"/>
  <c r="EW15" i="8"/>
  <c r="ET15" i="8"/>
  <c r="EH15" i="8"/>
  <c r="EE15" i="8"/>
  <c r="DY15" i="8"/>
  <c r="DS15" i="8"/>
  <c r="DP15" i="8"/>
  <c r="DG15" i="8"/>
  <c r="DD15" i="8"/>
  <c r="CX15" i="8"/>
  <c r="BW15" i="8"/>
  <c r="BT15" i="8"/>
  <c r="BQ15" i="8"/>
  <c r="BN15" i="8"/>
  <c r="BK15" i="8"/>
  <c r="BH15" i="8"/>
  <c r="BE15" i="8"/>
  <c r="BB15" i="8"/>
  <c r="AY15" i="8"/>
  <c r="AV15" i="8"/>
  <c r="AS15" i="8"/>
  <c r="AP15" i="8"/>
  <c r="AM15" i="8"/>
  <c r="AJ15" i="8"/>
  <c r="AG15" i="8"/>
  <c r="AF15" i="8"/>
  <c r="AE15" i="8"/>
  <c r="AD15" i="8"/>
  <c r="AC15" i="8"/>
  <c r="Z15" i="8"/>
  <c r="W15" i="8"/>
  <c r="T15" i="8"/>
  <c r="Q15" i="8"/>
  <c r="N15" i="8"/>
  <c r="E15" i="8"/>
  <c r="E12" i="8" s="1"/>
  <c r="HB14" i="8"/>
  <c r="GV14" i="8"/>
  <c r="GV17" i="8" s="1"/>
  <c r="GP14" i="8"/>
  <c r="GM14" i="8"/>
  <c r="GG14" i="8"/>
  <c r="FI14" i="8"/>
  <c r="FC14" i="8"/>
  <c r="ET14" i="8"/>
  <c r="EN14" i="8"/>
  <c r="EE14" i="8"/>
  <c r="EB14" i="8"/>
  <c r="DY14" i="8"/>
  <c r="DP14" i="8"/>
  <c r="DG14" i="8"/>
  <c r="DD14" i="8"/>
  <c r="CX14" i="8"/>
  <c r="CO14" i="8"/>
  <c r="CO17" i="8" s="1"/>
  <c r="BW14" i="8"/>
  <c r="BT14" i="8"/>
  <c r="BQ14" i="8"/>
  <c r="BN14" i="8"/>
  <c r="BK14" i="8"/>
  <c r="BH14" i="8"/>
  <c r="BE14" i="8"/>
  <c r="BB14" i="8"/>
  <c r="AY14" i="8"/>
  <c r="AV14" i="8"/>
  <c r="AS14" i="8"/>
  <c r="AP14" i="8"/>
  <c r="AM14" i="8"/>
  <c r="AJ14" i="8"/>
  <c r="AG14" i="8"/>
  <c r="AF14" i="8"/>
  <c r="AE14" i="8"/>
  <c r="AD14" i="8"/>
  <c r="AC14" i="8"/>
  <c r="Z14" i="8"/>
  <c r="W14" i="8"/>
  <c r="T14" i="8"/>
  <c r="Q14" i="8"/>
  <c r="N14" i="8"/>
  <c r="E14" i="8"/>
  <c r="HB13" i="8"/>
  <c r="GY13" i="8"/>
  <c r="GV13" i="8"/>
  <c r="GP13" i="8"/>
  <c r="GM13" i="8"/>
  <c r="GJ13" i="8"/>
  <c r="GG13" i="8"/>
  <c r="GA13" i="8"/>
  <c r="FL13" i="8"/>
  <c r="FI13" i="8"/>
  <c r="FF13" i="8"/>
  <c r="FC13" i="8"/>
  <c r="EW13" i="8"/>
  <c r="ET13" i="8"/>
  <c r="EQ13" i="8"/>
  <c r="EN13" i="8"/>
  <c r="EH13" i="8"/>
  <c r="EE13" i="8"/>
  <c r="EB13" i="8"/>
  <c r="DY13" i="8"/>
  <c r="DP13" i="8"/>
  <c r="DG13" i="8"/>
  <c r="DD13" i="8"/>
  <c r="CX13" i="8"/>
  <c r="CU13" i="8"/>
  <c r="CO13" i="8"/>
  <c r="BW13" i="8"/>
  <c r="BT13" i="8"/>
  <c r="BQ13" i="8"/>
  <c r="BN13" i="8"/>
  <c r="BK13" i="8"/>
  <c r="BH13" i="8"/>
  <c r="BE13" i="8"/>
  <c r="BB13" i="8"/>
  <c r="AY13" i="8"/>
  <c r="AV13" i="8"/>
  <c r="AS13" i="8"/>
  <c r="AP13" i="8"/>
  <c r="AM13" i="8"/>
  <c r="AJ13" i="8"/>
  <c r="AG13" i="8"/>
  <c r="AF13" i="8"/>
  <c r="AE13" i="8"/>
  <c r="AD13" i="8"/>
  <c r="AC13" i="8"/>
  <c r="Z13" i="8"/>
  <c r="W13" i="8"/>
  <c r="T13" i="8"/>
  <c r="Q13" i="8"/>
  <c r="N13" i="8"/>
  <c r="K13" i="8"/>
  <c r="K12" i="8" s="1"/>
  <c r="E13" i="8"/>
  <c r="HB12" i="8"/>
  <c r="GY12" i="8"/>
  <c r="GV12" i="8"/>
  <c r="GP12" i="8"/>
  <c r="GM12" i="8"/>
  <c r="GJ12" i="8"/>
  <c r="GG12" i="8"/>
  <c r="GA12" i="8"/>
  <c r="FL12" i="8"/>
  <c r="FI12" i="8"/>
  <c r="FF12" i="8"/>
  <c r="FC12" i="8"/>
  <c r="EW12" i="8"/>
  <c r="ET12" i="8"/>
  <c r="EQ12" i="8"/>
  <c r="EN12" i="8"/>
  <c r="EH12" i="8"/>
  <c r="EE12" i="8"/>
  <c r="EB12" i="8"/>
  <c r="DY12" i="8"/>
  <c r="DS12" i="8"/>
  <c r="DP12" i="8"/>
  <c r="DG12" i="8"/>
  <c r="DD12" i="8"/>
  <c r="DD11" i="8" s="1"/>
  <c r="DA12" i="8"/>
  <c r="DA11" i="8" s="1"/>
  <c r="CU12" i="8"/>
  <c r="CO12" i="8"/>
  <c r="BT12" i="8"/>
  <c r="BQ12" i="8"/>
  <c r="BN12" i="8"/>
  <c r="BK12" i="8"/>
  <c r="BH12" i="8"/>
  <c r="BE12" i="8"/>
  <c r="BB12" i="8"/>
  <c r="AY12" i="8"/>
  <c r="AV12" i="8"/>
  <c r="AS12" i="8"/>
  <c r="AP12" i="8"/>
  <c r="AM12" i="8"/>
  <c r="AJ12" i="8"/>
  <c r="AG12" i="8"/>
  <c r="AF12" i="8"/>
  <c r="Z12" i="8"/>
  <c r="W12" i="8"/>
  <c r="T12" i="8"/>
  <c r="Q12" i="8"/>
  <c r="N12" i="8"/>
  <c r="HB11" i="8"/>
  <c r="GY11" i="8"/>
  <c r="GV11" i="8"/>
  <c r="GP11" i="8"/>
  <c r="GM11" i="8"/>
  <c r="GJ11" i="8"/>
  <c r="GG11" i="8"/>
  <c r="GA11" i="8"/>
  <c r="GA8" i="8" s="1"/>
  <c r="FL11" i="8"/>
  <c r="FI11" i="8"/>
  <c r="FF11" i="8"/>
  <c r="FC11" i="8"/>
  <c r="EW11" i="8"/>
  <c r="ET11" i="8"/>
  <c r="EQ11" i="8"/>
  <c r="EN11" i="8"/>
  <c r="EH11" i="8"/>
  <c r="EH8" i="8" s="1"/>
  <c r="EH7" i="8" s="1"/>
  <c r="DS11" i="8"/>
  <c r="DP11" i="8"/>
  <c r="DJ11" i="8"/>
  <c r="DJ10" i="8" s="1"/>
  <c r="DJ12" i="8" s="1"/>
  <c r="CX11" i="8"/>
  <c r="CO11" i="8"/>
  <c r="BT11" i="8"/>
  <c r="BQ11" i="8"/>
  <c r="BN11" i="8"/>
  <c r="BK11" i="8"/>
  <c r="BH11" i="8"/>
  <c r="BE11" i="8"/>
  <c r="BB11" i="8"/>
  <c r="AY11" i="8"/>
  <c r="AV11" i="8"/>
  <c r="AS11" i="8"/>
  <c r="AP11" i="8"/>
  <c r="AM11" i="8"/>
  <c r="AJ11" i="8"/>
  <c r="AG11" i="8"/>
  <c r="AF11" i="8"/>
  <c r="Z11" i="8"/>
  <c r="W11" i="8"/>
  <c r="T11" i="8"/>
  <c r="Q11" i="8"/>
  <c r="N11" i="8"/>
  <c r="E11" i="8"/>
  <c r="HB10" i="8"/>
  <c r="GY10" i="8"/>
  <c r="GV10" i="8"/>
  <c r="GP10" i="8"/>
  <c r="GM10" i="8"/>
  <c r="GJ10" i="8"/>
  <c r="GG10" i="8"/>
  <c r="GA10" i="8"/>
  <c r="FL10" i="8"/>
  <c r="FI10" i="8"/>
  <c r="FF10" i="8"/>
  <c r="FC10" i="8"/>
  <c r="EW10" i="8"/>
  <c r="ET10" i="8"/>
  <c r="EQ10" i="8"/>
  <c r="EN10" i="8"/>
  <c r="EH10" i="8"/>
  <c r="EE10" i="8"/>
  <c r="EB10" i="8"/>
  <c r="DY10" i="8"/>
  <c r="DS10" i="8"/>
  <c r="DS8" i="8" s="1"/>
  <c r="DP10" i="8"/>
  <c r="DG10" i="8"/>
  <c r="DD10" i="8"/>
  <c r="CU10" i="8"/>
  <c r="CO10" i="8"/>
  <c r="BQ10" i="8"/>
  <c r="BN10" i="8"/>
  <c r="BN9" i="8" s="1"/>
  <c r="BN2" i="8" s="1"/>
  <c r="BK10" i="8"/>
  <c r="BK9" i="8" s="1"/>
  <c r="BH10" i="8"/>
  <c r="BE10" i="8"/>
  <c r="BE6" i="8" s="1"/>
  <c r="BE2" i="8" s="1"/>
  <c r="BB10" i="8"/>
  <c r="BB6" i="8" s="1"/>
  <c r="BB2" i="8" s="1"/>
  <c r="AY10" i="8"/>
  <c r="AY6" i="8" s="1"/>
  <c r="AV10" i="8"/>
  <c r="AV6" i="8" s="1"/>
  <c r="AS10" i="8"/>
  <c r="AS6" i="8" s="1"/>
  <c r="AS2" i="8" s="1"/>
  <c r="AP10" i="8"/>
  <c r="AP6" i="8" s="1"/>
  <c r="AP2" i="8" s="1"/>
  <c r="AM10" i="8"/>
  <c r="AG10" i="8"/>
  <c r="AF10" i="8"/>
  <c r="Z10" i="8"/>
  <c r="Z6" i="8" s="1"/>
  <c r="Z18" i="8" s="1"/>
  <c r="W10" i="8"/>
  <c r="W6" i="8" s="1"/>
  <c r="W18" i="8" s="1"/>
  <c r="T10" i="8"/>
  <c r="T6" i="8" s="1"/>
  <c r="Q10" i="8"/>
  <c r="Q6" i="8" s="1"/>
  <c r="Q2" i="8" s="1"/>
  <c r="N10" i="8"/>
  <c r="N6" i="8" s="1"/>
  <c r="N2" i="8" s="1"/>
  <c r="K10" i="8"/>
  <c r="HB9" i="8"/>
  <c r="GY9" i="8"/>
  <c r="GV9" i="8"/>
  <c r="GP9" i="8"/>
  <c r="GP8" i="8" s="1"/>
  <c r="GM9" i="8"/>
  <c r="GJ9" i="8"/>
  <c r="GG9" i="8"/>
  <c r="GA9" i="8"/>
  <c r="FR9" i="8"/>
  <c r="FR8" i="8" s="1"/>
  <c r="FL9" i="8"/>
  <c r="FL8" i="8" s="1"/>
  <c r="FI9" i="8"/>
  <c r="FF9" i="8"/>
  <c r="FC9" i="8"/>
  <c r="EW9" i="8"/>
  <c r="ET9" i="8"/>
  <c r="EQ9" i="8"/>
  <c r="EN9" i="8"/>
  <c r="EH9" i="8"/>
  <c r="EE9" i="8"/>
  <c r="EB9" i="8"/>
  <c r="DY9" i="8"/>
  <c r="DS9" i="8"/>
  <c r="DP9" i="8"/>
  <c r="DP7" i="8" s="1"/>
  <c r="DJ9" i="8"/>
  <c r="DG9" i="8"/>
  <c r="DD9" i="8"/>
  <c r="DA9" i="8"/>
  <c r="CX9" i="8"/>
  <c r="CX10" i="8" s="1"/>
  <c r="CU9" i="8"/>
  <c r="CO9" i="8"/>
  <c r="BW9" i="8"/>
  <c r="BT9" i="8"/>
  <c r="BQ9" i="8"/>
  <c r="BQ2" i="8" s="1"/>
  <c r="BH9" i="8"/>
  <c r="BE9" i="8"/>
  <c r="BB9" i="8"/>
  <c r="AY9" i="8"/>
  <c r="AV9" i="8"/>
  <c r="AS9" i="8"/>
  <c r="AP9" i="8"/>
  <c r="AM9" i="8"/>
  <c r="AJ9" i="8"/>
  <c r="AG9" i="8"/>
  <c r="AG23" i="8" s="1"/>
  <c r="AF9" i="8"/>
  <c r="AF23" i="8" s="1"/>
  <c r="AF27" i="8" s="1"/>
  <c r="AE9" i="8"/>
  <c r="AE23" i="8" s="1"/>
  <c r="AE27" i="8" s="1"/>
  <c r="AD9" i="8"/>
  <c r="AD23" i="8" s="1"/>
  <c r="AD27" i="8" s="1"/>
  <c r="AC9" i="8"/>
  <c r="Z9" i="8"/>
  <c r="W9" i="8"/>
  <c r="T9" i="8"/>
  <c r="Q9" i="8"/>
  <c r="N9" i="8"/>
  <c r="K9" i="8"/>
  <c r="H9" i="8"/>
  <c r="E9" i="8"/>
  <c r="E10" i="8" s="1"/>
  <c r="HB8" i="8"/>
  <c r="GY8" i="8"/>
  <c r="GV8" i="8"/>
  <c r="GM8" i="8"/>
  <c r="GJ8" i="8"/>
  <c r="GJ6" i="8" s="1"/>
  <c r="GG8" i="8"/>
  <c r="GG6" i="8" s="1"/>
  <c r="FI8" i="8"/>
  <c r="FF8" i="8"/>
  <c r="FF6" i="8" s="1"/>
  <c r="FC8" i="8"/>
  <c r="FC6" i="8" s="1"/>
  <c r="EW8" i="8"/>
  <c r="EW7" i="8" s="1"/>
  <c r="ET8" i="8"/>
  <c r="ET6" i="8" s="1"/>
  <c r="EQ8" i="8"/>
  <c r="EN8" i="8"/>
  <c r="EE8" i="8"/>
  <c r="EE6" i="8" s="1"/>
  <c r="EB8" i="8"/>
  <c r="EB6" i="8" s="1"/>
  <c r="DY8" i="8"/>
  <c r="DY6" i="8" s="1"/>
  <c r="DV8" i="8"/>
  <c r="DP8" i="8"/>
  <c r="DM8" i="8"/>
  <c r="DJ8" i="8"/>
  <c r="DJ6" i="8" s="1"/>
  <c r="DG8" i="8"/>
  <c r="DA8" i="8"/>
  <c r="CX8" i="8"/>
  <c r="CU8" i="8"/>
  <c r="CO8" i="8"/>
  <c r="CL8" i="8"/>
  <c r="BW8" i="8"/>
  <c r="BT8" i="8"/>
  <c r="BQ8" i="8"/>
  <c r="BN8" i="8"/>
  <c r="BK8" i="8"/>
  <c r="BH8" i="8"/>
  <c r="BE8" i="8"/>
  <c r="BB8" i="8"/>
  <c r="AY8" i="8"/>
  <c r="AV8" i="8"/>
  <c r="AS8" i="8"/>
  <c r="AP8" i="8"/>
  <c r="AM8" i="8"/>
  <c r="AJ8" i="8"/>
  <c r="AG8" i="8"/>
  <c r="AF8" i="8"/>
  <c r="AE8" i="8"/>
  <c r="AD8" i="8"/>
  <c r="AC8" i="8"/>
  <c r="Z8" i="8"/>
  <c r="W8" i="8"/>
  <c r="T8" i="8"/>
  <c r="Q8" i="8"/>
  <c r="N8" i="8"/>
  <c r="K8" i="8"/>
  <c r="H8" i="8"/>
  <c r="E8" i="8"/>
  <c r="HB7" i="8"/>
  <c r="HB5" i="8" s="1"/>
  <c r="GY7" i="8"/>
  <c r="GY5" i="8" s="1"/>
  <c r="GV7" i="8"/>
  <c r="GV5" i="8" s="1"/>
  <c r="GM7" i="8"/>
  <c r="GJ7" i="8"/>
  <c r="GG7" i="8"/>
  <c r="FR7" i="8"/>
  <c r="FI7" i="8"/>
  <c r="FI5" i="8" s="1"/>
  <c r="FI2" i="8" s="1"/>
  <c r="FF7" i="8"/>
  <c r="FF5" i="8" s="1"/>
  <c r="FC7" i="8"/>
  <c r="FC5" i="8" s="1"/>
  <c r="ET7" i="8"/>
  <c r="EQ7" i="8"/>
  <c r="EN7" i="8"/>
  <c r="EE7" i="8"/>
  <c r="EE5" i="8" s="1"/>
  <c r="EB7" i="8"/>
  <c r="EB5" i="8" s="1"/>
  <c r="DY7" i="8"/>
  <c r="DY5" i="8" s="1"/>
  <c r="DM7" i="8"/>
  <c r="DM5" i="8" s="1"/>
  <c r="DJ7" i="8"/>
  <c r="DJ5" i="8" s="1"/>
  <c r="DA7" i="8"/>
  <c r="CX7" i="8"/>
  <c r="CX6" i="8" s="1"/>
  <c r="CU7" i="8"/>
  <c r="CO7" i="8"/>
  <c r="CL7" i="8"/>
  <c r="BW7" i="8"/>
  <c r="BT7" i="8"/>
  <c r="BQ7" i="8"/>
  <c r="BN7" i="8"/>
  <c r="BK7" i="8"/>
  <c r="BH7" i="8"/>
  <c r="BE7" i="8"/>
  <c r="BB7" i="8"/>
  <c r="AY7" i="8"/>
  <c r="AV7" i="8"/>
  <c r="AS7" i="8"/>
  <c r="AP7" i="8"/>
  <c r="AM7" i="8"/>
  <c r="AJ7" i="8"/>
  <c r="AG7" i="8"/>
  <c r="AF7" i="8"/>
  <c r="AE7" i="8"/>
  <c r="AD7" i="8"/>
  <c r="AC7" i="8"/>
  <c r="Z7" i="8"/>
  <c r="W7" i="8"/>
  <c r="T7" i="8"/>
  <c r="Q7" i="8"/>
  <c r="N7" i="8"/>
  <c r="K7" i="8"/>
  <c r="H7" i="8"/>
  <c r="E7" i="8"/>
  <c r="HB6" i="8"/>
  <c r="GY6" i="8"/>
  <c r="GV6" i="8"/>
  <c r="GS6" i="8"/>
  <c r="GP6" i="8"/>
  <c r="GM6" i="8"/>
  <c r="GD6" i="8"/>
  <c r="GA6" i="8"/>
  <c r="FU6" i="8"/>
  <c r="FR6" i="8"/>
  <c r="FL6" i="8"/>
  <c r="FI6" i="8"/>
  <c r="EZ6" i="8"/>
  <c r="EW6" i="8"/>
  <c r="EQ6" i="8"/>
  <c r="EN6" i="8"/>
  <c r="EK6" i="8"/>
  <c r="EH6" i="8"/>
  <c r="DV6" i="8"/>
  <c r="DS6" i="8"/>
  <c r="DP6" i="8"/>
  <c r="DM6" i="8"/>
  <c r="DD6" i="8"/>
  <c r="DA6" i="8"/>
  <c r="CU6" i="8"/>
  <c r="CR6" i="8"/>
  <c r="CO6" i="8"/>
  <c r="CL6" i="8"/>
  <c r="BW6" i="8"/>
  <c r="BT6" i="8"/>
  <c r="BH6" i="8"/>
  <c r="BH2" i="8" s="1"/>
  <c r="AM6" i="8"/>
  <c r="AM2" i="8" s="1"/>
  <c r="AJ6" i="8"/>
  <c r="AJ2" i="8" s="1"/>
  <c r="K6" i="8"/>
  <c r="H6" i="8"/>
  <c r="E6" i="8"/>
  <c r="GS5" i="8"/>
  <c r="GP5" i="8"/>
  <c r="GP7" i="8" s="1"/>
  <c r="GM5" i="8"/>
  <c r="GJ5" i="8"/>
  <c r="GG5" i="8"/>
  <c r="GD5" i="8"/>
  <c r="GA5" i="8"/>
  <c r="FX5" i="8"/>
  <c r="FU5" i="8"/>
  <c r="FR5" i="8"/>
  <c r="FO5" i="8"/>
  <c r="FL5" i="8"/>
  <c r="FL7" i="8" s="1"/>
  <c r="EZ5" i="8"/>
  <c r="EW5" i="8"/>
  <c r="ET5" i="8"/>
  <c r="EQ5" i="8"/>
  <c r="EN5" i="8"/>
  <c r="EK5" i="8"/>
  <c r="EH5" i="8"/>
  <c r="DV5" i="8"/>
  <c r="DS5" i="8"/>
  <c r="DS7" i="8" s="1"/>
  <c r="DP5" i="8"/>
  <c r="DP2" i="8" s="1"/>
  <c r="DD5" i="8"/>
  <c r="DA5" i="8"/>
  <c r="DA14" i="8" s="1"/>
  <c r="CX5" i="8"/>
  <c r="CU5" i="8"/>
  <c r="CU15" i="8" s="1"/>
  <c r="CR5" i="8"/>
  <c r="CO5" i="8"/>
  <c r="CL5" i="8"/>
  <c r="BW5" i="8"/>
  <c r="BW12" i="8" s="1"/>
  <c r="BT5" i="8"/>
  <c r="BQ5" i="8"/>
  <c r="BN5" i="8"/>
  <c r="BK5" i="8"/>
  <c r="BH5" i="8"/>
  <c r="BE5" i="8"/>
  <c r="BB5" i="8"/>
  <c r="AY5" i="8"/>
  <c r="AY2" i="8" s="1"/>
  <c r="AV5" i="8"/>
  <c r="AV2" i="8" s="1"/>
  <c r="AS5" i="8"/>
  <c r="AP5" i="8"/>
  <c r="AM5" i="8"/>
  <c r="AJ5" i="8"/>
  <c r="AG5" i="8"/>
  <c r="AF5" i="8"/>
  <c r="AE5" i="8"/>
  <c r="AD5" i="8"/>
  <c r="AD30" i="8" s="1"/>
  <c r="AC5" i="8"/>
  <c r="Z5" i="8"/>
  <c r="Z19" i="8" s="1"/>
  <c r="W5" i="8"/>
  <c r="W19" i="8" s="1"/>
  <c r="T5" i="8"/>
  <c r="T2" i="8" s="1"/>
  <c r="Q5" i="8"/>
  <c r="N5" i="8"/>
  <c r="K5" i="8"/>
  <c r="H5" i="8"/>
  <c r="H12" i="8" s="1"/>
  <c r="E5" i="8"/>
  <c r="FX2" i="8"/>
  <c r="CL2" i="8"/>
  <c r="CO2" i="8" s="1"/>
  <c r="H69" i="6"/>
  <c r="H68" i="6"/>
  <c r="H15" i="6" s="1"/>
  <c r="H10" i="6" s="1"/>
  <c r="H67" i="6"/>
  <c r="H63" i="6" s="1"/>
  <c r="H59" i="6" s="1"/>
  <c r="H50" i="6" s="1"/>
  <c r="H66" i="6"/>
  <c r="H65" i="6"/>
  <c r="H64" i="6"/>
  <c r="H62" i="6"/>
  <c r="H54" i="6" s="1"/>
  <c r="H48" i="6" s="1"/>
  <c r="H61" i="6"/>
  <c r="H60" i="6"/>
  <c r="H57" i="6"/>
  <c r="H56" i="6"/>
  <c r="H55" i="6"/>
  <c r="H53" i="6"/>
  <c r="K52" i="6"/>
  <c r="K19" i="6" s="1"/>
  <c r="K14" i="6" s="1"/>
  <c r="H52" i="6"/>
  <c r="E52" i="6"/>
  <c r="K51" i="6"/>
  <c r="H51" i="6"/>
  <c r="E51" i="6"/>
  <c r="DA50" i="6"/>
  <c r="K50" i="6"/>
  <c r="K48" i="6" s="1"/>
  <c r="DA49" i="6"/>
  <c r="K49" i="6"/>
  <c r="E49" i="6"/>
  <c r="CU48" i="6"/>
  <c r="E48" i="6"/>
  <c r="E53" i="6" s="1"/>
  <c r="E43" i="6" s="1"/>
  <c r="CU47" i="6"/>
  <c r="K47" i="6"/>
  <c r="H47" i="6"/>
  <c r="E47" i="6"/>
  <c r="H46" i="6"/>
  <c r="E46" i="6"/>
  <c r="DA45" i="6"/>
  <c r="H45" i="6"/>
  <c r="E45" i="6"/>
  <c r="H44" i="6"/>
  <c r="DA43" i="6"/>
  <c r="CU43" i="6"/>
  <c r="Z43" i="6"/>
  <c r="DA42" i="6"/>
  <c r="CU42" i="6"/>
  <c r="Z42" i="6"/>
  <c r="HE41" i="6"/>
  <c r="DA41" i="6"/>
  <c r="CU41" i="6"/>
  <c r="H41" i="6"/>
  <c r="HE40" i="6"/>
  <c r="DA40" i="6"/>
  <c r="DA26" i="6" s="1"/>
  <c r="CU40" i="6"/>
  <c r="HE39" i="6"/>
  <c r="HE37" i="6" s="1"/>
  <c r="HE42" i="6" s="1"/>
  <c r="DA39" i="6"/>
  <c r="CU39" i="6"/>
  <c r="HE38" i="6"/>
  <c r="DA38" i="6"/>
  <c r="CU38" i="6"/>
  <c r="W38" i="6"/>
  <c r="K38" i="6"/>
  <c r="H38" i="6"/>
  <c r="DA37" i="6"/>
  <c r="CU37" i="6"/>
  <c r="Z37" i="6"/>
  <c r="W37" i="6"/>
  <c r="K37" i="6"/>
  <c r="H37" i="6"/>
  <c r="E37" i="6"/>
  <c r="HE36" i="6"/>
  <c r="DA36" i="6"/>
  <c r="CU36" i="6"/>
  <c r="Z36" i="6"/>
  <c r="W36" i="6"/>
  <c r="K36" i="6"/>
  <c r="H36" i="6"/>
  <c r="E36" i="6"/>
  <c r="HE35" i="6"/>
  <c r="DA35" i="6"/>
  <c r="CU35" i="6"/>
  <c r="BN35" i="6"/>
  <c r="BK35" i="6"/>
  <c r="BE35" i="6"/>
  <c r="BB35" i="6"/>
  <c r="AV35" i="6"/>
  <c r="AS35" i="6"/>
  <c r="AM35" i="6"/>
  <c r="AJ35" i="6"/>
  <c r="Z35" i="6"/>
  <c r="W35" i="6"/>
  <c r="Q35" i="6"/>
  <c r="N35" i="6"/>
  <c r="K35" i="6"/>
  <c r="H35" i="6"/>
  <c r="E35" i="6"/>
  <c r="HE34" i="6"/>
  <c r="DA34" i="6"/>
  <c r="CU34" i="6"/>
  <c r="BN34" i="6"/>
  <c r="BK34" i="6"/>
  <c r="BE34" i="6"/>
  <c r="BB34" i="6"/>
  <c r="AV34" i="6"/>
  <c r="AS34" i="6"/>
  <c r="AM34" i="6"/>
  <c r="AJ34" i="6"/>
  <c r="Z34" i="6"/>
  <c r="W34" i="6"/>
  <c r="Q34" i="6"/>
  <c r="N34" i="6"/>
  <c r="K34" i="6"/>
  <c r="H34" i="6"/>
  <c r="E34" i="6"/>
  <c r="HE33" i="6"/>
  <c r="DA33" i="6"/>
  <c r="CU33" i="6"/>
  <c r="CO33" i="6"/>
  <c r="CO32" i="6" s="1"/>
  <c r="BN33" i="6"/>
  <c r="BK33" i="6"/>
  <c r="BE33" i="6"/>
  <c r="BB33" i="6"/>
  <c r="AV33" i="6"/>
  <c r="AS33" i="6"/>
  <c r="AM33" i="6"/>
  <c r="AJ33" i="6"/>
  <c r="AF33" i="6"/>
  <c r="Z33" i="6"/>
  <c r="W33" i="6"/>
  <c r="Q33" i="6"/>
  <c r="N33" i="6"/>
  <c r="K33" i="6"/>
  <c r="K43" i="6" s="1"/>
  <c r="K11" i="6" s="1"/>
  <c r="K16" i="6" s="1"/>
  <c r="H33" i="6"/>
  <c r="E33" i="6"/>
  <c r="E38" i="6" s="1"/>
  <c r="E31" i="6" s="1"/>
  <c r="DA32" i="6"/>
  <c r="CU32" i="6"/>
  <c r="BN32" i="6"/>
  <c r="BK32" i="6"/>
  <c r="BE32" i="6"/>
  <c r="BB32" i="6"/>
  <c r="AV32" i="6"/>
  <c r="AS32" i="6"/>
  <c r="AM32" i="6"/>
  <c r="AJ32" i="6"/>
  <c r="AE32" i="6"/>
  <c r="AD32" i="6"/>
  <c r="AC32" i="6"/>
  <c r="Z32" i="6"/>
  <c r="W32" i="6"/>
  <c r="W28" i="6" s="1"/>
  <c r="Q32" i="6"/>
  <c r="N32" i="6"/>
  <c r="K32" i="6"/>
  <c r="H32" i="6"/>
  <c r="HE31" i="6"/>
  <c r="DA31" i="6"/>
  <c r="CU31" i="6"/>
  <c r="CO31" i="6"/>
  <c r="BW31" i="6"/>
  <c r="BN31" i="6"/>
  <c r="BK31" i="6"/>
  <c r="BE31" i="6"/>
  <c r="BB31" i="6"/>
  <c r="AV31" i="6"/>
  <c r="AS31" i="6"/>
  <c r="AM31" i="6"/>
  <c r="AJ31" i="6"/>
  <c r="Z31" i="6"/>
  <c r="W31" i="6"/>
  <c r="Q31" i="6"/>
  <c r="N31" i="6"/>
  <c r="K31" i="6"/>
  <c r="K28" i="6" s="1"/>
  <c r="H31" i="6"/>
  <c r="HE30" i="6"/>
  <c r="DA30" i="6"/>
  <c r="CU30" i="6"/>
  <c r="CO30" i="6"/>
  <c r="BW30" i="6"/>
  <c r="BN30" i="6"/>
  <c r="BK30" i="6"/>
  <c r="BE30" i="6"/>
  <c r="BB30" i="6"/>
  <c r="AS30" i="6"/>
  <c r="AM30" i="6"/>
  <c r="AJ30" i="6"/>
  <c r="Z30" i="6"/>
  <c r="Z29" i="6" s="1"/>
  <c r="W30" i="6"/>
  <c r="W29" i="6" s="1"/>
  <c r="W41" i="6" s="1"/>
  <c r="Q30" i="6"/>
  <c r="N30" i="6"/>
  <c r="K30" i="6"/>
  <c r="H30" i="6"/>
  <c r="HE29" i="6"/>
  <c r="DA29" i="6"/>
  <c r="DA25" i="6" s="1"/>
  <c r="DA14" i="6" s="1"/>
  <c r="CU29" i="6"/>
  <c r="CO29" i="6"/>
  <c r="BN29" i="6"/>
  <c r="BN28" i="6" s="1"/>
  <c r="BK29" i="6"/>
  <c r="BK28" i="6" s="1"/>
  <c r="BE29" i="6"/>
  <c r="BB29" i="6"/>
  <c r="AV29" i="6"/>
  <c r="AS29" i="6"/>
  <c r="AM29" i="6"/>
  <c r="AJ29" i="6"/>
  <c r="AJ25" i="6" s="1"/>
  <c r="Q29" i="6"/>
  <c r="Q25" i="6" s="1"/>
  <c r="N29" i="6"/>
  <c r="N25" i="6" s="1"/>
  <c r="K29" i="6"/>
  <c r="H29" i="6"/>
  <c r="H22" i="6" s="1"/>
  <c r="H14" i="6" s="1"/>
  <c r="DA28" i="6"/>
  <c r="CU28" i="6"/>
  <c r="CO28" i="6"/>
  <c r="BE28" i="6"/>
  <c r="BB28" i="6"/>
  <c r="AV28" i="6"/>
  <c r="AS28" i="6"/>
  <c r="AM28" i="6"/>
  <c r="AJ28" i="6"/>
  <c r="Z28" i="6"/>
  <c r="Q28" i="6"/>
  <c r="N28" i="6"/>
  <c r="H28" i="6"/>
  <c r="HE27" i="6"/>
  <c r="HE28" i="6" s="1"/>
  <c r="HB27" i="6"/>
  <c r="GM27" i="6"/>
  <c r="FI27" i="6"/>
  <c r="ET27" i="6"/>
  <c r="EE27" i="6"/>
  <c r="DA27" i="6"/>
  <c r="CU27" i="6"/>
  <c r="CO27" i="6"/>
  <c r="CO25" i="6" s="1"/>
  <c r="BN27" i="6"/>
  <c r="BK27" i="6"/>
  <c r="BE27" i="6"/>
  <c r="BB27" i="6"/>
  <c r="BB26" i="6" s="1"/>
  <c r="BB21" i="6" s="1"/>
  <c r="AV27" i="6"/>
  <c r="AV26" i="6" s="1"/>
  <c r="AV21" i="6" s="1"/>
  <c r="AS27" i="6"/>
  <c r="AS26" i="6" s="1"/>
  <c r="AM27" i="6"/>
  <c r="AM26" i="6" s="1"/>
  <c r="AJ27" i="6"/>
  <c r="AJ26" i="6" s="1"/>
  <c r="Z27" i="6"/>
  <c r="Z39" i="6" s="1"/>
  <c r="W27" i="6"/>
  <c r="W39" i="6" s="1"/>
  <c r="Q27" i="6"/>
  <c r="N27" i="6"/>
  <c r="K27" i="6"/>
  <c r="H27" i="6"/>
  <c r="HB26" i="6"/>
  <c r="HB24" i="6" s="1"/>
  <c r="GM26" i="6"/>
  <c r="GM24" i="6" s="1"/>
  <c r="FI26" i="6"/>
  <c r="ET26" i="6"/>
  <c r="ET24" i="6" s="1"/>
  <c r="EE26" i="6"/>
  <c r="EE24" i="6" s="1"/>
  <c r="DP26" i="6"/>
  <c r="CX26" i="6"/>
  <c r="CU26" i="6"/>
  <c r="CO26" i="6"/>
  <c r="CO24" i="6" s="1"/>
  <c r="CL26" i="6"/>
  <c r="BT26" i="6"/>
  <c r="BN26" i="6"/>
  <c r="BK26" i="6"/>
  <c r="BE26" i="6"/>
  <c r="Q26" i="6"/>
  <c r="N26" i="6"/>
  <c r="K26" i="6"/>
  <c r="H26" i="6"/>
  <c r="E26" i="6"/>
  <c r="HE25" i="6"/>
  <c r="HB25" i="6"/>
  <c r="HB23" i="6" s="1"/>
  <c r="GM25" i="6"/>
  <c r="GM23" i="6" s="1"/>
  <c r="FI25" i="6"/>
  <c r="ET25" i="6"/>
  <c r="EE25" i="6"/>
  <c r="DP25" i="6"/>
  <c r="DG25" i="6"/>
  <c r="CX25" i="6"/>
  <c r="CX12" i="6" s="1"/>
  <c r="CX21" i="6" s="1"/>
  <c r="CX4" i="6" s="1"/>
  <c r="CU25" i="6"/>
  <c r="CL25" i="6"/>
  <c r="BW25" i="6"/>
  <c r="BT25" i="6"/>
  <c r="BE25" i="6"/>
  <c r="BE21" i="6" s="1"/>
  <c r="BB25" i="6"/>
  <c r="AV25" i="6"/>
  <c r="AS25" i="6"/>
  <c r="AM25" i="6"/>
  <c r="AG25" i="6"/>
  <c r="AF25" i="6"/>
  <c r="AF24" i="6" s="1"/>
  <c r="AE25" i="6"/>
  <c r="AE24" i="6" s="1"/>
  <c r="AD25" i="6"/>
  <c r="AD24" i="6" s="1"/>
  <c r="AD27" i="6" s="1"/>
  <c r="AC25" i="6"/>
  <c r="H25" i="6"/>
  <c r="E25" i="6"/>
  <c r="DP24" i="6"/>
  <c r="DA24" i="6"/>
  <c r="CX24" i="6"/>
  <c r="CR24" i="6"/>
  <c r="CL24" i="6"/>
  <c r="BW24" i="6"/>
  <c r="BT24" i="6"/>
  <c r="BN24" i="6"/>
  <c r="BN21" i="6" s="1"/>
  <c r="BK24" i="6"/>
  <c r="BK21" i="6" s="1"/>
  <c r="BE24" i="6"/>
  <c r="BB24" i="6"/>
  <c r="AV24" i="6"/>
  <c r="AS24" i="6"/>
  <c r="AS21" i="6" s="1"/>
  <c r="AM24" i="6"/>
  <c r="AJ24" i="6"/>
  <c r="AG24" i="6"/>
  <c r="AC24" i="6"/>
  <c r="Q24" i="6"/>
  <c r="Q21" i="6" s="1"/>
  <c r="N24" i="6"/>
  <c r="N21" i="6" s="1"/>
  <c r="K24" i="6"/>
  <c r="H24" i="6"/>
  <c r="E24" i="6"/>
  <c r="FI23" i="6"/>
  <c r="ET23" i="6"/>
  <c r="EE23" i="6"/>
  <c r="DP23" i="6"/>
  <c r="DG23" i="6"/>
  <c r="CX23" i="6"/>
  <c r="CR23" i="6"/>
  <c r="CO23" i="6"/>
  <c r="CL23" i="6"/>
  <c r="CL20" i="6" s="1"/>
  <c r="BW23" i="6"/>
  <c r="BT23" i="6"/>
  <c r="AG23" i="6"/>
  <c r="AF23" i="6"/>
  <c r="AE23" i="6"/>
  <c r="AE27" i="6" s="1"/>
  <c r="AD23" i="6"/>
  <c r="K23" i="6"/>
  <c r="H23" i="6"/>
  <c r="E23" i="6"/>
  <c r="HB22" i="6"/>
  <c r="HB16" i="6" s="1"/>
  <c r="GM22" i="6"/>
  <c r="FI22" i="6"/>
  <c r="ET22" i="6"/>
  <c r="EE22" i="6"/>
  <c r="EE16" i="6" s="1"/>
  <c r="DP22" i="6"/>
  <c r="DG22" i="6"/>
  <c r="CX22" i="6"/>
  <c r="BW22" i="6"/>
  <c r="BT22" i="6"/>
  <c r="AG22" i="6"/>
  <c r="AF22" i="6"/>
  <c r="AE22" i="6"/>
  <c r="AD22" i="6"/>
  <c r="AC22" i="6"/>
  <c r="K22" i="6"/>
  <c r="HB21" i="6"/>
  <c r="GM21" i="6"/>
  <c r="FI21" i="6"/>
  <c r="ET21" i="6"/>
  <c r="EE21" i="6"/>
  <c r="DP21" i="6"/>
  <c r="DG21" i="6"/>
  <c r="DD21" i="6"/>
  <c r="BW21" i="6"/>
  <c r="AG21" i="6"/>
  <c r="AF21" i="6"/>
  <c r="AE21" i="6"/>
  <c r="AD21" i="6"/>
  <c r="AC21" i="6"/>
  <c r="K21" i="6"/>
  <c r="DG20" i="6"/>
  <c r="DD20" i="6"/>
  <c r="BW20" i="6"/>
  <c r="BW13" i="6" s="1"/>
  <c r="BW10" i="6" s="1"/>
  <c r="AG20" i="6"/>
  <c r="AF20" i="6"/>
  <c r="AE20" i="6"/>
  <c r="AD20" i="6"/>
  <c r="AC20" i="6"/>
  <c r="H20" i="6"/>
  <c r="HB19" i="6"/>
  <c r="GM19" i="6"/>
  <c r="FI19" i="6"/>
  <c r="ET19" i="6"/>
  <c r="EE19" i="6"/>
  <c r="DP19" i="6"/>
  <c r="DP11" i="6" s="1"/>
  <c r="DG19" i="6"/>
  <c r="DG11" i="6" s="1"/>
  <c r="DG6" i="6" s="1"/>
  <c r="DD19" i="6"/>
  <c r="BW19" i="6"/>
  <c r="AG19" i="6"/>
  <c r="AF19" i="6"/>
  <c r="AE19" i="6"/>
  <c r="AD19" i="6"/>
  <c r="AC19" i="6"/>
  <c r="H19" i="6"/>
  <c r="HB18" i="6"/>
  <c r="GM18" i="6"/>
  <c r="GA18" i="6"/>
  <c r="FL18" i="6"/>
  <c r="FI18" i="6"/>
  <c r="EW18" i="6"/>
  <c r="ET18" i="6"/>
  <c r="EH18" i="6"/>
  <c r="EE18" i="6"/>
  <c r="DS18" i="6"/>
  <c r="DP18" i="6"/>
  <c r="DG18" i="6"/>
  <c r="CX18" i="6"/>
  <c r="CX20" i="6" s="1"/>
  <c r="BW18" i="6"/>
  <c r="AG18" i="6"/>
  <c r="AF18" i="6"/>
  <c r="AE18" i="6"/>
  <c r="AD18" i="6"/>
  <c r="AC18" i="6"/>
  <c r="H18" i="6"/>
  <c r="E18" i="6"/>
  <c r="HB17" i="6"/>
  <c r="GP17" i="6"/>
  <c r="GM17" i="6"/>
  <c r="GA17" i="6"/>
  <c r="FL17" i="6"/>
  <c r="FI17" i="6"/>
  <c r="EW17" i="6"/>
  <c r="ET17" i="6"/>
  <c r="EH17" i="6"/>
  <c r="EE17" i="6"/>
  <c r="DY17" i="6"/>
  <c r="DY16" i="6" s="1"/>
  <c r="DS17" i="6"/>
  <c r="DP17" i="6"/>
  <c r="DG17" i="6"/>
  <c r="CX17" i="6"/>
  <c r="BW17" i="6"/>
  <c r="BT17" i="6"/>
  <c r="AG17" i="6"/>
  <c r="AF17" i="6"/>
  <c r="AE17" i="6"/>
  <c r="AD17" i="6"/>
  <c r="AC17" i="6"/>
  <c r="H17" i="6"/>
  <c r="E17" i="6"/>
  <c r="GV16" i="6"/>
  <c r="GP16" i="6"/>
  <c r="GM16" i="6"/>
  <c r="GG16" i="6"/>
  <c r="GG15" i="6" s="1"/>
  <c r="FI16" i="6"/>
  <c r="FC16" i="6"/>
  <c r="ET16" i="6"/>
  <c r="EN16" i="6"/>
  <c r="DP16" i="6"/>
  <c r="DG16" i="6"/>
  <c r="DD16" i="6"/>
  <c r="CX16" i="6"/>
  <c r="CO16" i="6"/>
  <c r="BT16" i="6"/>
  <c r="BT19" i="6" s="1"/>
  <c r="BQ16" i="6"/>
  <c r="BN16" i="6"/>
  <c r="BK16" i="6"/>
  <c r="BH16" i="6"/>
  <c r="BE16" i="6"/>
  <c r="BB16" i="6"/>
  <c r="AY16" i="6"/>
  <c r="AV16" i="6"/>
  <c r="AS16" i="6"/>
  <c r="AP16" i="6"/>
  <c r="AM16" i="6"/>
  <c r="AJ16" i="6"/>
  <c r="AG16" i="6"/>
  <c r="AF16" i="6"/>
  <c r="AE16" i="6"/>
  <c r="AD16" i="6"/>
  <c r="AC16" i="6"/>
  <c r="T16" i="6"/>
  <c r="Q16" i="6"/>
  <c r="N16" i="6"/>
  <c r="H16" i="6"/>
  <c r="HB15" i="6"/>
  <c r="GV15" i="6"/>
  <c r="GV17" i="6" s="1"/>
  <c r="GM15" i="6"/>
  <c r="GA15" i="6"/>
  <c r="FL15" i="6"/>
  <c r="FI15" i="6"/>
  <c r="FI2" i="6" s="1"/>
  <c r="FC15" i="6"/>
  <c r="EW15" i="6"/>
  <c r="ET15" i="6"/>
  <c r="EN15" i="6"/>
  <c r="EH15" i="6"/>
  <c r="EE15" i="6"/>
  <c r="DY15" i="6"/>
  <c r="DY18" i="6" s="1"/>
  <c r="DS15" i="6"/>
  <c r="DP15" i="6"/>
  <c r="DG15" i="6"/>
  <c r="DG7" i="6" s="1"/>
  <c r="DD15" i="6"/>
  <c r="DD8" i="6" s="1"/>
  <c r="CX15" i="6"/>
  <c r="CO15" i="6"/>
  <c r="BW15" i="6"/>
  <c r="BT15" i="6"/>
  <c r="BQ15" i="6"/>
  <c r="BN15" i="6"/>
  <c r="BK15" i="6"/>
  <c r="BH15" i="6"/>
  <c r="BE15" i="6"/>
  <c r="BB15" i="6"/>
  <c r="AY15" i="6"/>
  <c r="AV15" i="6"/>
  <c r="AS15" i="6"/>
  <c r="AP15" i="6"/>
  <c r="AM15" i="6"/>
  <c r="AJ15" i="6"/>
  <c r="AG15" i="6"/>
  <c r="AF15" i="6"/>
  <c r="AE15" i="6"/>
  <c r="AD15" i="6"/>
  <c r="AD30" i="6" s="1"/>
  <c r="AC15" i="6"/>
  <c r="Z15" i="6"/>
  <c r="W15" i="6"/>
  <c r="T15" i="6"/>
  <c r="Q15" i="6"/>
  <c r="N15" i="6"/>
  <c r="E15" i="6"/>
  <c r="HB14" i="6"/>
  <c r="GV14" i="6"/>
  <c r="GP14" i="6"/>
  <c r="GM14" i="6"/>
  <c r="GG14" i="6"/>
  <c r="GG17" i="6" s="1"/>
  <c r="FI14" i="6"/>
  <c r="FC14" i="6"/>
  <c r="FC17" i="6" s="1"/>
  <c r="ET14" i="6"/>
  <c r="EN14" i="6"/>
  <c r="EN17" i="6" s="1"/>
  <c r="EE14" i="6"/>
  <c r="EB14" i="6"/>
  <c r="DY14" i="6"/>
  <c r="DP14" i="6"/>
  <c r="DG14" i="6"/>
  <c r="DD14" i="6"/>
  <c r="CX14" i="6"/>
  <c r="CO14" i="6"/>
  <c r="CO17" i="6" s="1"/>
  <c r="BW14" i="6"/>
  <c r="BT14" i="6"/>
  <c r="BQ14" i="6"/>
  <c r="BN14" i="6"/>
  <c r="BK14" i="6"/>
  <c r="BH14" i="6"/>
  <c r="BE14" i="6"/>
  <c r="BB14" i="6"/>
  <c r="AY14" i="6"/>
  <c r="AV14" i="6"/>
  <c r="AS14" i="6"/>
  <c r="AP14" i="6"/>
  <c r="AM14" i="6"/>
  <c r="AJ14" i="6"/>
  <c r="AG14" i="6"/>
  <c r="AE14" i="6"/>
  <c r="AD14" i="6"/>
  <c r="AC14" i="6"/>
  <c r="Z14" i="6"/>
  <c r="W14" i="6"/>
  <c r="T14" i="6"/>
  <c r="Q14" i="6"/>
  <c r="N14" i="6"/>
  <c r="E14" i="6"/>
  <c r="HE13" i="6"/>
  <c r="HB13" i="6"/>
  <c r="GY13" i="6"/>
  <c r="GV13" i="6"/>
  <c r="GP13" i="6"/>
  <c r="GM13" i="6"/>
  <c r="GJ13" i="6"/>
  <c r="GG13" i="6"/>
  <c r="GA13" i="6"/>
  <c r="FL13" i="6"/>
  <c r="FI13" i="6"/>
  <c r="FF13" i="6"/>
  <c r="FC13" i="6"/>
  <c r="EW13" i="6"/>
  <c r="ET13" i="6"/>
  <c r="EQ13" i="6"/>
  <c r="EN13" i="6"/>
  <c r="EH13" i="6"/>
  <c r="EE13" i="6"/>
  <c r="EB13" i="6"/>
  <c r="DY13" i="6"/>
  <c r="DP13" i="6"/>
  <c r="DG13" i="6"/>
  <c r="DD13" i="6"/>
  <c r="CX13" i="6"/>
  <c r="CU13" i="6"/>
  <c r="CU12" i="6" s="1"/>
  <c r="CU11" i="6" s="1"/>
  <c r="CO13" i="6"/>
  <c r="BT13" i="6"/>
  <c r="BQ13" i="6"/>
  <c r="BN13" i="6"/>
  <c r="BK13" i="6"/>
  <c r="BH13" i="6"/>
  <c r="BE13" i="6"/>
  <c r="BB13" i="6"/>
  <c r="AY13" i="6"/>
  <c r="AV13" i="6"/>
  <c r="AS13" i="6"/>
  <c r="AP13" i="6"/>
  <c r="AM13" i="6"/>
  <c r="AJ13" i="6"/>
  <c r="AG13" i="6"/>
  <c r="AE13" i="6"/>
  <c r="AD13" i="6"/>
  <c r="AC13" i="6"/>
  <c r="Z13" i="6"/>
  <c r="W13" i="6"/>
  <c r="T13" i="6"/>
  <c r="Q13" i="6"/>
  <c r="N13" i="6"/>
  <c r="K13" i="6"/>
  <c r="E13" i="6"/>
  <c r="HB12" i="6"/>
  <c r="GY12" i="6"/>
  <c r="GV12" i="6"/>
  <c r="GP12" i="6"/>
  <c r="GM12" i="6"/>
  <c r="GJ12" i="6"/>
  <c r="GG12" i="6"/>
  <c r="GA12" i="6"/>
  <c r="FL12" i="6"/>
  <c r="FL8" i="6" s="1"/>
  <c r="FL7" i="6" s="1"/>
  <c r="FI12" i="6"/>
  <c r="FF12" i="6"/>
  <c r="FC12" i="6"/>
  <c r="EW12" i="6"/>
  <c r="ET12" i="6"/>
  <c r="EQ12" i="6"/>
  <c r="EN12" i="6"/>
  <c r="EH12" i="6"/>
  <c r="EH8" i="6" s="1"/>
  <c r="EE12" i="6"/>
  <c r="EB12" i="6"/>
  <c r="DY12" i="6"/>
  <c r="DS12" i="6"/>
  <c r="DP12" i="6"/>
  <c r="DG12" i="6"/>
  <c r="DD12" i="6"/>
  <c r="DD11" i="6" s="1"/>
  <c r="DA12" i="6"/>
  <c r="CO12" i="6"/>
  <c r="BT12" i="6"/>
  <c r="BQ12" i="6"/>
  <c r="BN12" i="6"/>
  <c r="BK12" i="6"/>
  <c r="BH12" i="6"/>
  <c r="BE12" i="6"/>
  <c r="BB12" i="6"/>
  <c r="AY12" i="6"/>
  <c r="AV12" i="6"/>
  <c r="AS12" i="6"/>
  <c r="AP12" i="6"/>
  <c r="AM12" i="6"/>
  <c r="AJ12" i="6"/>
  <c r="AG12" i="6"/>
  <c r="AF12" i="6"/>
  <c r="Z12" i="6"/>
  <c r="W12" i="6"/>
  <c r="T12" i="6"/>
  <c r="Q12" i="6"/>
  <c r="N12" i="6"/>
  <c r="K12" i="6"/>
  <c r="E12" i="6"/>
  <c r="HE11" i="6"/>
  <c r="HB11" i="6"/>
  <c r="GY11" i="6"/>
  <c r="GV11" i="6"/>
  <c r="GP11" i="6"/>
  <c r="GM11" i="6"/>
  <c r="GJ11" i="6"/>
  <c r="GG11" i="6"/>
  <c r="GA11" i="6"/>
  <c r="GA8" i="6" s="1"/>
  <c r="GA7" i="6" s="1"/>
  <c r="FL11" i="6"/>
  <c r="FI11" i="6"/>
  <c r="FF11" i="6"/>
  <c r="FC11" i="6"/>
  <c r="EW11" i="6"/>
  <c r="ET11" i="6"/>
  <c r="EQ11" i="6"/>
  <c r="EN11" i="6"/>
  <c r="EH11" i="6"/>
  <c r="DS11" i="6"/>
  <c r="DS8" i="6" s="1"/>
  <c r="DJ11" i="6"/>
  <c r="DA11" i="6"/>
  <c r="DA10" i="6" s="1"/>
  <c r="CX11" i="6"/>
  <c r="CO11" i="6"/>
  <c r="BT11" i="6"/>
  <c r="BT10" i="6" s="1"/>
  <c r="BT20" i="6" s="1"/>
  <c r="BT4" i="6" s="1"/>
  <c r="BQ11" i="6"/>
  <c r="BN11" i="6"/>
  <c r="BK11" i="6"/>
  <c r="BH11" i="6"/>
  <c r="BE11" i="6"/>
  <c r="BB11" i="6"/>
  <c r="AY11" i="6"/>
  <c r="AV11" i="6"/>
  <c r="AS11" i="6"/>
  <c r="AP11" i="6"/>
  <c r="AM11" i="6"/>
  <c r="AJ11" i="6"/>
  <c r="AG11" i="6"/>
  <c r="AF11" i="6"/>
  <c r="Z11" i="6"/>
  <c r="W11" i="6"/>
  <c r="T11" i="6"/>
  <c r="Q11" i="6"/>
  <c r="N11" i="6"/>
  <c r="E11" i="6"/>
  <c r="HE10" i="6"/>
  <c r="HB10" i="6"/>
  <c r="GY10" i="6"/>
  <c r="GV10" i="6"/>
  <c r="GP10" i="6"/>
  <c r="GM10" i="6"/>
  <c r="GJ10" i="6"/>
  <c r="GG10" i="6"/>
  <c r="GA10" i="6"/>
  <c r="FL10" i="6"/>
  <c r="FI10" i="6"/>
  <c r="FF10" i="6"/>
  <c r="FC10" i="6"/>
  <c r="EW10" i="6"/>
  <c r="ET10" i="6"/>
  <c r="EQ10" i="6"/>
  <c r="EN10" i="6"/>
  <c r="EH10" i="6"/>
  <c r="EE10" i="6"/>
  <c r="EE2" i="6" s="1"/>
  <c r="EB10" i="6"/>
  <c r="DY10" i="6"/>
  <c r="DS10" i="6"/>
  <c r="DP10" i="6"/>
  <c r="DJ10" i="6"/>
  <c r="DG10" i="6"/>
  <c r="DD10" i="6"/>
  <c r="CX10" i="6"/>
  <c r="CU10" i="6"/>
  <c r="CO10" i="6"/>
  <c r="BQ10" i="6"/>
  <c r="BQ9" i="6" s="1"/>
  <c r="BN10" i="6"/>
  <c r="BK10" i="6"/>
  <c r="BH10" i="6"/>
  <c r="BH6" i="6" s="1"/>
  <c r="BE10" i="6"/>
  <c r="BE6" i="6" s="1"/>
  <c r="BB10" i="6"/>
  <c r="AY10" i="6"/>
  <c r="AV10" i="6"/>
  <c r="AS10" i="6"/>
  <c r="AP10" i="6"/>
  <c r="AM10" i="6"/>
  <c r="AG10" i="6"/>
  <c r="AF10" i="6"/>
  <c r="Z10" i="6"/>
  <c r="Z6" i="6" s="1"/>
  <c r="W10" i="6"/>
  <c r="T10" i="6"/>
  <c r="Q10" i="6"/>
  <c r="N10" i="6"/>
  <c r="K10" i="6"/>
  <c r="E10" i="6"/>
  <c r="HE9" i="6"/>
  <c r="HB9" i="6"/>
  <c r="GY9" i="6"/>
  <c r="GV9" i="6"/>
  <c r="GP9" i="6"/>
  <c r="GM9" i="6"/>
  <c r="GJ9" i="6"/>
  <c r="GG9" i="6"/>
  <c r="GA9" i="6"/>
  <c r="FR9" i="6"/>
  <c r="FL9" i="6"/>
  <c r="FI9" i="6"/>
  <c r="FF9" i="6"/>
  <c r="FC9" i="6"/>
  <c r="EW9" i="6"/>
  <c r="EW8" i="6" s="1"/>
  <c r="ET9" i="6"/>
  <c r="EQ9" i="6"/>
  <c r="EN9" i="6"/>
  <c r="EH9" i="6"/>
  <c r="EE9" i="6"/>
  <c r="EB9" i="6"/>
  <c r="DY9" i="6"/>
  <c r="DS9" i="6"/>
  <c r="DP9" i="6"/>
  <c r="DP7" i="6" s="1"/>
  <c r="DJ9" i="6"/>
  <c r="DJ12" i="6" s="1"/>
  <c r="DG9" i="6"/>
  <c r="DD9" i="6"/>
  <c r="DA9" i="6"/>
  <c r="CX9" i="6"/>
  <c r="CU9" i="6"/>
  <c r="CO9" i="6"/>
  <c r="BW9" i="6"/>
  <c r="BT9" i="6"/>
  <c r="BN9" i="6"/>
  <c r="BK9" i="6"/>
  <c r="BH9" i="6"/>
  <c r="BE9" i="6"/>
  <c r="BB9" i="6"/>
  <c r="AY9" i="6"/>
  <c r="AV9" i="6"/>
  <c r="AS9" i="6"/>
  <c r="AP9" i="6"/>
  <c r="AM9" i="6"/>
  <c r="AJ9" i="6"/>
  <c r="AG9" i="6"/>
  <c r="AF9" i="6"/>
  <c r="AE9" i="6"/>
  <c r="AD9" i="6"/>
  <c r="AC9" i="6"/>
  <c r="AC23" i="6" s="1"/>
  <c r="AC27" i="6" s="1"/>
  <c r="Z9" i="6"/>
  <c r="W9" i="6"/>
  <c r="W17" i="6" s="1"/>
  <c r="T9" i="6"/>
  <c r="Q9" i="6"/>
  <c r="N9" i="6"/>
  <c r="K9" i="6"/>
  <c r="H9" i="6"/>
  <c r="E9" i="6"/>
  <c r="HB8" i="6"/>
  <c r="HB6" i="6" s="1"/>
  <c r="GY8" i="6"/>
  <c r="GY6" i="6" s="1"/>
  <c r="GV8" i="6"/>
  <c r="GV6" i="6" s="1"/>
  <c r="GP8" i="6"/>
  <c r="GM8" i="6"/>
  <c r="GM6" i="6" s="1"/>
  <c r="GM2" i="6" s="1"/>
  <c r="GJ8" i="6"/>
  <c r="GG8" i="6"/>
  <c r="FR8" i="6"/>
  <c r="FR10" i="6" s="1"/>
  <c r="FI8" i="6"/>
  <c r="FI6" i="6" s="1"/>
  <c r="FF8" i="6"/>
  <c r="FC8" i="6"/>
  <c r="ET8" i="6"/>
  <c r="EQ8" i="6"/>
  <c r="EQ6" i="6" s="1"/>
  <c r="EN8" i="6"/>
  <c r="EN6" i="6" s="1"/>
  <c r="EE8" i="6"/>
  <c r="EB8" i="6"/>
  <c r="DY8" i="6"/>
  <c r="DV8" i="6"/>
  <c r="DP8" i="6"/>
  <c r="DP6" i="6" s="1"/>
  <c r="DM8" i="6"/>
  <c r="DM6" i="6" s="1"/>
  <c r="DJ8" i="6"/>
  <c r="DJ6" i="6" s="1"/>
  <c r="DG8" i="6"/>
  <c r="DA8" i="6"/>
  <c r="CX8" i="6"/>
  <c r="CU8" i="6"/>
  <c r="CO8" i="6"/>
  <c r="CO6" i="6" s="1"/>
  <c r="CL8" i="6"/>
  <c r="BW8" i="6"/>
  <c r="BT8" i="6"/>
  <c r="BQ8" i="6"/>
  <c r="BN8" i="6"/>
  <c r="BK8" i="6"/>
  <c r="BH8" i="6"/>
  <c r="BE8" i="6"/>
  <c r="BB8" i="6"/>
  <c r="AY8" i="6"/>
  <c r="AV8" i="6"/>
  <c r="AS8" i="6"/>
  <c r="AP8" i="6"/>
  <c r="AM8" i="6"/>
  <c r="AJ8" i="6"/>
  <c r="AG8" i="6"/>
  <c r="AF8" i="6"/>
  <c r="AE8" i="6"/>
  <c r="AD8" i="6"/>
  <c r="AC8" i="6"/>
  <c r="Z8" i="6"/>
  <c r="W8" i="6"/>
  <c r="T8" i="6"/>
  <c r="Q8" i="6"/>
  <c r="N8" i="6"/>
  <c r="K8" i="6"/>
  <c r="H8" i="6"/>
  <c r="E8" i="6"/>
  <c r="HE7" i="6"/>
  <c r="HE8" i="6" s="1"/>
  <c r="HB7" i="6"/>
  <c r="GY7" i="6"/>
  <c r="GV7" i="6"/>
  <c r="GM7" i="6"/>
  <c r="GJ7" i="6"/>
  <c r="GG7" i="6"/>
  <c r="FR7" i="6"/>
  <c r="FI7" i="6"/>
  <c r="FF7" i="6"/>
  <c r="FC7" i="6"/>
  <c r="ET7" i="6"/>
  <c r="ET5" i="6" s="1"/>
  <c r="ET2" i="6" s="1"/>
  <c r="EQ7" i="6"/>
  <c r="EQ5" i="6" s="1"/>
  <c r="EN7" i="6"/>
  <c r="EN5" i="6" s="1"/>
  <c r="EE7" i="6"/>
  <c r="EB7" i="6"/>
  <c r="DY7" i="6"/>
  <c r="DM7" i="6"/>
  <c r="DM5" i="6" s="1"/>
  <c r="DJ7" i="6"/>
  <c r="DA7" i="6"/>
  <c r="CX7" i="6"/>
  <c r="CU7" i="6"/>
  <c r="CO7" i="6"/>
  <c r="CL7" i="6"/>
  <c r="BW7" i="6"/>
  <c r="BT7" i="6"/>
  <c r="BQ7" i="6"/>
  <c r="BN7" i="6"/>
  <c r="BK7" i="6"/>
  <c r="BH7" i="6"/>
  <c r="BE7" i="6"/>
  <c r="BB7" i="6"/>
  <c r="AY7" i="6"/>
  <c r="AV7" i="6"/>
  <c r="AS7" i="6"/>
  <c r="AP7" i="6"/>
  <c r="AM7" i="6"/>
  <c r="AJ7" i="6"/>
  <c r="AG7" i="6"/>
  <c r="AE7" i="6"/>
  <c r="AD7" i="6"/>
  <c r="AC7" i="6"/>
  <c r="Z7" i="6"/>
  <c r="W7" i="6"/>
  <c r="T7" i="6"/>
  <c r="Q7" i="6"/>
  <c r="N7" i="6"/>
  <c r="K7" i="6"/>
  <c r="H7" i="6"/>
  <c r="E7" i="6"/>
  <c r="E6" i="6" s="1"/>
  <c r="GS6" i="6"/>
  <c r="GP6" i="6"/>
  <c r="GJ6" i="6"/>
  <c r="GG6" i="6"/>
  <c r="GD6" i="6"/>
  <c r="GA6" i="6"/>
  <c r="FU6" i="6"/>
  <c r="FR6" i="6"/>
  <c r="FL6" i="6"/>
  <c r="FF6" i="6"/>
  <c r="FC6" i="6"/>
  <c r="EZ6" i="6"/>
  <c r="EW6" i="6"/>
  <c r="ET6" i="6"/>
  <c r="EK6" i="6"/>
  <c r="EH6" i="6"/>
  <c r="EE6" i="6"/>
  <c r="EB6" i="6"/>
  <c r="DY6" i="6"/>
  <c r="DV6" i="6"/>
  <c r="DS6" i="6"/>
  <c r="DD6" i="6"/>
  <c r="DA6" i="6"/>
  <c r="CX6" i="6"/>
  <c r="CU6" i="6"/>
  <c r="CR6" i="6"/>
  <c r="CL6" i="6"/>
  <c r="BW6" i="6"/>
  <c r="BT6" i="6"/>
  <c r="BB6" i="6"/>
  <c r="AY6" i="6"/>
  <c r="AY2" i="6" s="1"/>
  <c r="AV6" i="6"/>
  <c r="AS6" i="6"/>
  <c r="AP6" i="6"/>
  <c r="AM6" i="6"/>
  <c r="AJ6" i="6"/>
  <c r="W6" i="6"/>
  <c r="W19" i="6" s="1"/>
  <c r="T6" i="6"/>
  <c r="T2" i="6" s="1"/>
  <c r="Q6" i="6"/>
  <c r="Q2" i="6" s="1"/>
  <c r="N6" i="6"/>
  <c r="N2" i="6" s="1"/>
  <c r="K6" i="6"/>
  <c r="H6" i="6"/>
  <c r="HE5" i="6"/>
  <c r="HE3" i="6" s="1"/>
  <c r="HB5" i="6"/>
  <c r="GY5" i="6"/>
  <c r="GV5" i="6"/>
  <c r="GS5" i="6"/>
  <c r="GP5" i="6"/>
  <c r="GP7" i="6" s="1"/>
  <c r="GM5" i="6"/>
  <c r="GJ5" i="6"/>
  <c r="GG5" i="6"/>
  <c r="GD5" i="6"/>
  <c r="GA5" i="6"/>
  <c r="FX5" i="6"/>
  <c r="FX2" i="6" s="1"/>
  <c r="FU5" i="6"/>
  <c r="FR5" i="6"/>
  <c r="FO5" i="6"/>
  <c r="FL5" i="6"/>
  <c r="FI5" i="6"/>
  <c r="FF5" i="6"/>
  <c r="FC5" i="6"/>
  <c r="EZ5" i="6"/>
  <c r="EW5" i="6"/>
  <c r="EK5" i="6"/>
  <c r="EH5" i="6"/>
  <c r="EH7" i="6" s="1"/>
  <c r="EE5" i="6"/>
  <c r="EB5" i="6"/>
  <c r="DY5" i="6"/>
  <c r="DV5" i="6"/>
  <c r="DS5" i="6"/>
  <c r="DS7" i="6" s="1"/>
  <c r="DJ5" i="6"/>
  <c r="DD5" i="6"/>
  <c r="DA5" i="6"/>
  <c r="CX5" i="6"/>
  <c r="CU5" i="6"/>
  <c r="CU16" i="6" s="1"/>
  <c r="CO5" i="6"/>
  <c r="CR5" i="6" s="1"/>
  <c r="CL5" i="6"/>
  <c r="CL2" i="6" s="1"/>
  <c r="BW5" i="6"/>
  <c r="BT5" i="6"/>
  <c r="BT21" i="6" s="1"/>
  <c r="BQ5" i="6"/>
  <c r="BN5" i="6"/>
  <c r="BK5" i="6"/>
  <c r="BH5" i="6"/>
  <c r="BH2" i="6" s="1"/>
  <c r="BE5" i="6"/>
  <c r="BE2" i="6" s="1"/>
  <c r="BB5" i="6"/>
  <c r="BB2" i="6" s="1"/>
  <c r="AY5" i="6"/>
  <c r="AV5" i="6"/>
  <c r="AS5" i="6"/>
  <c r="AP5" i="6"/>
  <c r="AP2" i="6" s="1"/>
  <c r="AM5" i="6"/>
  <c r="AM2" i="6" s="1"/>
  <c r="AJ5" i="6"/>
  <c r="AJ2" i="6" s="1"/>
  <c r="AG5" i="6"/>
  <c r="AF5" i="6"/>
  <c r="AE5" i="6"/>
  <c r="AD5" i="6"/>
  <c r="AC5" i="6"/>
  <c r="AC30" i="6" s="1"/>
  <c r="Z5" i="6"/>
  <c r="Z16" i="6" s="1"/>
  <c r="W5" i="6"/>
  <c r="W16" i="6" s="1"/>
  <c r="W4" i="6" s="1"/>
  <c r="T5" i="6"/>
  <c r="Q5" i="6"/>
  <c r="N5" i="6"/>
  <c r="K5" i="6"/>
  <c r="H5" i="6"/>
  <c r="H11" i="6" s="1"/>
  <c r="E5" i="6"/>
  <c r="E20" i="6" s="1"/>
  <c r="AV2" i="6"/>
  <c r="AS2" i="6"/>
  <c r="B46" i="27"/>
  <c r="B46" i="26"/>
  <c r="B46" i="25"/>
  <c r="B42" i="27"/>
  <c r="B41" i="27"/>
  <c r="B34" i="27"/>
  <c r="B32" i="27"/>
  <c r="B31" i="27"/>
  <c r="B43" i="26"/>
  <c r="B42" i="26"/>
  <c r="B41" i="26"/>
  <c r="B34" i="26"/>
  <c r="B32" i="26"/>
  <c r="B31" i="26"/>
  <c r="B43" i="25"/>
  <c r="B34" i="25"/>
  <c r="B32" i="25"/>
  <c r="B31" i="25"/>
  <c r="K42" i="9"/>
  <c r="K41" i="9"/>
  <c r="AG17" i="9"/>
  <c r="AF17" i="9"/>
  <c r="AE17" i="9"/>
  <c r="AD17" i="9"/>
  <c r="AC17" i="9"/>
  <c r="AG14" i="9"/>
  <c r="AF14" i="9"/>
  <c r="AE14" i="9"/>
  <c r="AD14" i="9"/>
  <c r="AC14" i="9"/>
  <c r="Z18" i="21" l="1"/>
  <c r="Z16" i="21"/>
  <c r="Z4" i="21"/>
  <c r="W4" i="21"/>
  <c r="AV21" i="21"/>
  <c r="AS2" i="21"/>
  <c r="EW7" i="21"/>
  <c r="BQ2" i="21"/>
  <c r="AV2" i="21"/>
  <c r="CF2" i="21"/>
  <c r="AS21" i="19"/>
  <c r="BE2" i="19"/>
  <c r="W39" i="19"/>
  <c r="AP2" i="19"/>
  <c r="AG29" i="19"/>
  <c r="CF2" i="19"/>
  <c r="E53" i="19"/>
  <c r="E43" i="19" s="1"/>
  <c r="AJ21" i="19"/>
  <c r="GA7" i="19"/>
  <c r="GD2" i="19" s="1"/>
  <c r="DA22" i="19" s="1"/>
  <c r="DS7" i="19"/>
  <c r="EB2" i="19" s="1"/>
  <c r="CF19" i="19"/>
  <c r="W38" i="19"/>
  <c r="W26" i="19" s="1"/>
  <c r="CL20" i="19"/>
  <c r="CR20" i="19" s="1"/>
  <c r="Z38" i="19"/>
  <c r="AV21" i="19"/>
  <c r="BW10" i="7"/>
  <c r="DA13" i="7"/>
  <c r="AE29" i="11"/>
  <c r="AC29" i="26"/>
  <c r="AC29" i="25"/>
  <c r="AD29" i="25"/>
  <c r="AC29" i="19"/>
  <c r="AG29" i="16"/>
  <c r="AD29" i="16"/>
  <c r="AG29" i="6"/>
  <c r="AE29" i="6"/>
  <c r="AF29" i="6"/>
  <c r="HE23" i="6"/>
  <c r="BQ2" i="6"/>
  <c r="BN21" i="7"/>
  <c r="BN21" i="8"/>
  <c r="BN2" i="6"/>
  <c r="BK21" i="7"/>
  <c r="BK21" i="8"/>
  <c r="BK2" i="7"/>
  <c r="BK2" i="8"/>
  <c r="BK2" i="6"/>
  <c r="EN2" i="30"/>
  <c r="CU21" i="30" s="1"/>
  <c r="EK2" i="30"/>
  <c r="DA20" i="30" s="1"/>
  <c r="EH2" i="30"/>
  <c r="EQ2" i="30"/>
  <c r="AF27" i="30"/>
  <c r="AF30" i="30"/>
  <c r="FL2" i="30"/>
  <c r="FU2" i="30"/>
  <c r="FR2" i="30"/>
  <c r="CU24" i="30" s="1"/>
  <c r="FO2" i="30"/>
  <c r="DA23" i="30" s="1"/>
  <c r="N21" i="30"/>
  <c r="DM2" i="30"/>
  <c r="DJ2" i="30"/>
  <c r="CU17" i="30" s="1"/>
  <c r="DG2" i="30"/>
  <c r="DA16" i="30" s="1"/>
  <c r="DD2" i="30"/>
  <c r="H59" i="30"/>
  <c r="H50" i="30" s="1"/>
  <c r="H54" i="30"/>
  <c r="H49" i="30" s="1"/>
  <c r="HB2" i="30"/>
  <c r="GY2" i="30"/>
  <c r="GV2" i="30"/>
  <c r="CU20" i="30" s="1"/>
  <c r="GS2" i="30"/>
  <c r="DA19" i="30" s="1"/>
  <c r="GP2" i="30"/>
  <c r="FF2" i="30"/>
  <c r="FC2" i="30"/>
  <c r="CU19" i="30" s="1"/>
  <c r="EZ2" i="30"/>
  <c r="DA18" i="30" s="1"/>
  <c r="EW2" i="30"/>
  <c r="BT3" i="30"/>
  <c r="EE2" i="30"/>
  <c r="W41" i="30"/>
  <c r="CO2" i="30"/>
  <c r="CR2" i="30"/>
  <c r="GJ2" i="30"/>
  <c r="GG2" i="30"/>
  <c r="CU23" i="30" s="1"/>
  <c r="GD2" i="30"/>
  <c r="DA22" i="30" s="1"/>
  <c r="GA2" i="30"/>
  <c r="E21" i="30"/>
  <c r="K11" i="30"/>
  <c r="K16" i="30" s="1"/>
  <c r="AD2" i="30"/>
  <c r="BT20" i="30"/>
  <c r="BT4" i="30" s="1"/>
  <c r="EB2" i="30"/>
  <c r="DY2" i="30"/>
  <c r="CU22" i="30" s="1"/>
  <c r="DV2" i="30"/>
  <c r="DA21" i="30" s="1"/>
  <c r="DS2" i="30"/>
  <c r="CR20" i="30"/>
  <c r="K14" i="30"/>
  <c r="AV21" i="30"/>
  <c r="HE42" i="30"/>
  <c r="HE23" i="30" s="1"/>
  <c r="AE31" i="30"/>
  <c r="BZ13" i="30"/>
  <c r="BZ2" i="30" s="1"/>
  <c r="AE27" i="30"/>
  <c r="AE30" i="30" s="1"/>
  <c r="Q21" i="30"/>
  <c r="H14" i="30"/>
  <c r="W19" i="30"/>
  <c r="W3" i="30" s="1"/>
  <c r="AF29" i="30"/>
  <c r="AF2" i="30" s="1"/>
  <c r="AD30" i="30"/>
  <c r="W38" i="30"/>
  <c r="W26" i="30" s="1"/>
  <c r="CX12" i="30"/>
  <c r="CX19" i="30" s="1"/>
  <c r="CX3" i="30" s="1"/>
  <c r="DA14" i="30"/>
  <c r="CU15" i="30"/>
  <c r="CU2" i="30" s="1"/>
  <c r="Z19" i="30"/>
  <c r="Z3" i="30" s="1"/>
  <c r="E22" i="30"/>
  <c r="AG29" i="30"/>
  <c r="Z38" i="30"/>
  <c r="AC31" i="30"/>
  <c r="DP5" i="30"/>
  <c r="DP2" i="30" s="1"/>
  <c r="H10" i="30"/>
  <c r="DA15" i="30"/>
  <c r="DA2" i="30" s="1"/>
  <c r="W16" i="30"/>
  <c r="W4" i="30" s="1"/>
  <c r="CO20" i="30"/>
  <c r="BT21" i="30"/>
  <c r="AD31" i="30"/>
  <c r="Z16" i="30"/>
  <c r="W17" i="30"/>
  <c r="W40" i="30"/>
  <c r="W25" i="30" s="1"/>
  <c r="Z17" i="30"/>
  <c r="E19" i="30"/>
  <c r="E3" i="30" s="1"/>
  <c r="E20" i="30"/>
  <c r="AC29" i="30"/>
  <c r="Z40" i="30"/>
  <c r="Z41" i="30"/>
  <c r="BW13" i="30"/>
  <c r="BW10" i="30" s="1"/>
  <c r="BW2" i="30" s="1"/>
  <c r="BT19" i="30"/>
  <c r="CX21" i="30"/>
  <c r="CX4" i="30" s="1"/>
  <c r="AF27" i="29"/>
  <c r="AF30" i="29"/>
  <c r="AF29" i="29"/>
  <c r="AF2" i="29" s="1"/>
  <c r="Z3" i="29"/>
  <c r="CO2" i="29"/>
  <c r="CR2" i="29"/>
  <c r="GJ2" i="29"/>
  <c r="GG2" i="29"/>
  <c r="CU23" i="29" s="1"/>
  <c r="GD2" i="29"/>
  <c r="DA22" i="29" s="1"/>
  <c r="GA2" i="29"/>
  <c r="DG6" i="29"/>
  <c r="DG5" i="29"/>
  <c r="H59" i="29"/>
  <c r="H50" i="29" s="1"/>
  <c r="H13" i="29" s="1"/>
  <c r="H54" i="29"/>
  <c r="H48" i="29" s="1"/>
  <c r="FL2" i="29"/>
  <c r="FU2" i="29"/>
  <c r="FR2" i="29"/>
  <c r="CU24" i="29" s="1"/>
  <c r="FO2" i="29"/>
  <c r="DA23" i="29" s="1"/>
  <c r="EB2" i="29"/>
  <c r="DY2" i="29"/>
  <c r="CU22" i="29" s="1"/>
  <c r="DV2" i="29"/>
  <c r="DA21" i="29" s="1"/>
  <c r="DS2" i="29"/>
  <c r="BZ14" i="29"/>
  <c r="BZ15" i="29"/>
  <c r="H11" i="29"/>
  <c r="AD29" i="29"/>
  <c r="BT20" i="29"/>
  <c r="BT4" i="29" s="1"/>
  <c r="CU14" i="29"/>
  <c r="EN2" i="29"/>
  <c r="CU21" i="29" s="1"/>
  <c r="EK2" i="29"/>
  <c r="DA20" i="29" s="1"/>
  <c r="EH2" i="29"/>
  <c r="EQ2" i="29"/>
  <c r="DP6" i="29"/>
  <c r="FF2" i="29"/>
  <c r="FC2" i="29"/>
  <c r="CU19" i="29" s="1"/>
  <c r="EZ2" i="29"/>
  <c r="DA18" i="29" s="1"/>
  <c r="EW2" i="29"/>
  <c r="CR20" i="29"/>
  <c r="CO34" i="29"/>
  <c r="CO20" i="29" s="1"/>
  <c r="HB2" i="29"/>
  <c r="GY2" i="29"/>
  <c r="GV2" i="29"/>
  <c r="CU20" i="29" s="1"/>
  <c r="GS2" i="29"/>
  <c r="DA19" i="29" s="1"/>
  <c r="GP2" i="29"/>
  <c r="AS21" i="29"/>
  <c r="AF31" i="29"/>
  <c r="BZ13" i="29"/>
  <c r="BZ2" i="29" s="1"/>
  <c r="AV21" i="29"/>
  <c r="AG31" i="29"/>
  <c r="DD7" i="29"/>
  <c r="AD27" i="29"/>
  <c r="AD30" i="29" s="1"/>
  <c r="BB21" i="29"/>
  <c r="H49" i="29"/>
  <c r="AE27" i="29"/>
  <c r="AE30" i="29" s="1"/>
  <c r="N21" i="29"/>
  <c r="W19" i="29"/>
  <c r="W3" i="29" s="1"/>
  <c r="W38" i="29"/>
  <c r="W26" i="29" s="1"/>
  <c r="Z19" i="29"/>
  <c r="AG29" i="29"/>
  <c r="Z38" i="29"/>
  <c r="H15" i="29"/>
  <c r="AC31" i="29"/>
  <c r="DP5" i="29"/>
  <c r="DP2" i="29" s="1"/>
  <c r="H10" i="29"/>
  <c r="K15" i="29"/>
  <c r="K2" i="29" s="1"/>
  <c r="W16" i="29"/>
  <c r="BT21" i="29"/>
  <c r="DA25" i="29"/>
  <c r="DA14" i="29" s="1"/>
  <c r="AD31" i="29"/>
  <c r="H12" i="29"/>
  <c r="Z16" i="29"/>
  <c r="Z4" i="29" s="1"/>
  <c r="W17" i="29"/>
  <c r="AE31" i="29"/>
  <c r="W40" i="29"/>
  <c r="W41" i="29"/>
  <c r="CU16" i="29"/>
  <c r="Z17" i="29"/>
  <c r="E19" i="29"/>
  <c r="CX19" i="29"/>
  <c r="CX3" i="29" s="1"/>
  <c r="E20" i="29"/>
  <c r="AC29" i="29"/>
  <c r="Z40" i="29"/>
  <c r="Z41" i="29"/>
  <c r="BW13" i="29"/>
  <c r="BW10" i="29" s="1"/>
  <c r="BW2" i="29" s="1"/>
  <c r="CX20" i="29"/>
  <c r="BT19" i="29"/>
  <c r="BT3" i="29" s="1"/>
  <c r="CX21" i="29"/>
  <c r="CX4" i="29" s="1"/>
  <c r="AF27" i="28"/>
  <c r="AF30" i="28"/>
  <c r="AF29" i="28"/>
  <c r="AF2" i="28" s="1"/>
  <c r="Z3" i="28"/>
  <c r="CO2" i="28"/>
  <c r="CR2" i="28"/>
  <c r="GJ2" i="28"/>
  <c r="GG2" i="28"/>
  <c r="CU23" i="28" s="1"/>
  <c r="GD2" i="28"/>
  <c r="DA22" i="28" s="1"/>
  <c r="GA2" i="28"/>
  <c r="DG6" i="28"/>
  <c r="DG5" i="28"/>
  <c r="H59" i="28"/>
  <c r="H50" i="28" s="1"/>
  <c r="H13" i="28" s="1"/>
  <c r="H54" i="28"/>
  <c r="H48" i="28" s="1"/>
  <c r="FL2" i="28"/>
  <c r="FU2" i="28"/>
  <c r="FR2" i="28"/>
  <c r="CU24" i="28" s="1"/>
  <c r="FO2" i="28"/>
  <c r="DA23" i="28" s="1"/>
  <c r="EB2" i="28"/>
  <c r="DY2" i="28"/>
  <c r="CU22" i="28" s="1"/>
  <c r="DV2" i="28"/>
  <c r="DA21" i="28" s="1"/>
  <c r="DS2" i="28"/>
  <c r="BZ14" i="28"/>
  <c r="BZ15" i="28"/>
  <c r="H11" i="28"/>
  <c r="AD29" i="28"/>
  <c r="BT20" i="28"/>
  <c r="BT4" i="28" s="1"/>
  <c r="CU14" i="28"/>
  <c r="EN2" i="28"/>
  <c r="CU21" i="28" s="1"/>
  <c r="EK2" i="28"/>
  <c r="DA20" i="28" s="1"/>
  <c r="EH2" i="28"/>
  <c r="EQ2" i="28"/>
  <c r="DP6" i="28"/>
  <c r="FF2" i="28"/>
  <c r="FC2" i="28"/>
  <c r="CU19" i="28" s="1"/>
  <c r="EZ2" i="28"/>
  <c r="DA18" i="28" s="1"/>
  <c r="EW2" i="28"/>
  <c r="CR20" i="28"/>
  <c r="CO34" i="28"/>
  <c r="CO20" i="28" s="1"/>
  <c r="HB2" i="28"/>
  <c r="GY2" i="28"/>
  <c r="GV2" i="28"/>
  <c r="CU20" i="28" s="1"/>
  <c r="GS2" i="28"/>
  <c r="DA19" i="28" s="1"/>
  <c r="GP2" i="28"/>
  <c r="AS21" i="28"/>
  <c r="AF31" i="28"/>
  <c r="BZ13" i="28"/>
  <c r="BZ2" i="28" s="1"/>
  <c r="AV21" i="28"/>
  <c r="AG31" i="28"/>
  <c r="DD7" i="28"/>
  <c r="AD27" i="28"/>
  <c r="AD30" i="28" s="1"/>
  <c r="BB21" i="28"/>
  <c r="H49" i="28"/>
  <c r="AE27" i="28"/>
  <c r="AE30" i="28" s="1"/>
  <c r="N21" i="28"/>
  <c r="W19" i="28"/>
  <c r="W3" i="28" s="1"/>
  <c r="W38" i="28"/>
  <c r="W26" i="28" s="1"/>
  <c r="Z19" i="28"/>
  <c r="AG29" i="28"/>
  <c r="Z38" i="28"/>
  <c r="H15" i="28"/>
  <c r="AC31" i="28"/>
  <c r="DP5" i="28"/>
  <c r="DP2" i="28" s="1"/>
  <c r="H10" i="28"/>
  <c r="K15" i="28"/>
  <c r="K2" i="28" s="1"/>
  <c r="W16" i="28"/>
  <c r="BT21" i="28"/>
  <c r="DA25" i="28"/>
  <c r="DA14" i="28" s="1"/>
  <c r="AD31" i="28"/>
  <c r="H12" i="28"/>
  <c r="Z16" i="28"/>
  <c r="Z4" i="28" s="1"/>
  <c r="W17" i="28"/>
  <c r="AE31" i="28"/>
  <c r="W40" i="28"/>
  <c r="W41" i="28"/>
  <c r="CU16" i="28"/>
  <c r="Z17" i="28"/>
  <c r="E19" i="28"/>
  <c r="CX19" i="28"/>
  <c r="CX3" i="28" s="1"/>
  <c r="E20" i="28"/>
  <c r="AC29" i="28"/>
  <c r="Z40" i="28"/>
  <c r="Z41" i="28"/>
  <c r="BW13" i="28"/>
  <c r="BW10" i="28" s="1"/>
  <c r="BW2" i="28" s="1"/>
  <c r="CX20" i="28"/>
  <c r="BT19" i="28"/>
  <c r="BT3" i="28" s="1"/>
  <c r="CX21" i="28"/>
  <c r="CX4" i="28" s="1"/>
  <c r="E44" i="32"/>
  <c r="HE23" i="24"/>
  <c r="HE3" i="24"/>
  <c r="E38" i="21"/>
  <c r="E31" i="21" s="1"/>
  <c r="AJ2" i="21"/>
  <c r="BH2" i="21"/>
  <c r="AD30" i="21"/>
  <c r="AM2" i="21"/>
  <c r="EH7" i="21"/>
  <c r="EQ2" i="21" s="1"/>
  <c r="CI2" i="21"/>
  <c r="BK2" i="21"/>
  <c r="AM21" i="21"/>
  <c r="E53" i="21"/>
  <c r="E43" i="21" s="1"/>
  <c r="AE30" i="21"/>
  <c r="AY2" i="21"/>
  <c r="GP7" i="21"/>
  <c r="GV2" i="21" s="1"/>
  <c r="CU20" i="21" s="1"/>
  <c r="CL2" i="21"/>
  <c r="CO2" i="21" s="1"/>
  <c r="BN2" i="21"/>
  <c r="BK21" i="21"/>
  <c r="CI2" i="20"/>
  <c r="Z40" i="20"/>
  <c r="CL2" i="20"/>
  <c r="E53" i="20"/>
  <c r="E43" i="20" s="1"/>
  <c r="W4" i="20"/>
  <c r="W19" i="20"/>
  <c r="Z4" i="20"/>
  <c r="AS21" i="20"/>
  <c r="EW7" i="20"/>
  <c r="FC2" i="20" s="1"/>
  <c r="CU19" i="20" s="1"/>
  <c r="Z39" i="20"/>
  <c r="AV2" i="20"/>
  <c r="W18" i="20"/>
  <c r="CL2" i="19"/>
  <c r="CR2" i="19" s="1"/>
  <c r="BK2" i="19"/>
  <c r="E22" i="19"/>
  <c r="AC31" i="19"/>
  <c r="AS2" i="19"/>
  <c r="BQ2" i="19"/>
  <c r="EW7" i="19"/>
  <c r="FF2" i="19" s="1"/>
  <c r="Z4" i="19"/>
  <c r="BE21" i="19"/>
  <c r="Z41" i="19"/>
  <c r="Z25" i="19" s="1"/>
  <c r="AV2" i="19"/>
  <c r="DM2" i="19"/>
  <c r="E38" i="19"/>
  <c r="E31" i="19" s="1"/>
  <c r="CC2" i="19"/>
  <c r="DA17" i="19"/>
  <c r="GS2" i="24"/>
  <c r="DA19" i="24" s="1"/>
  <c r="GP2" i="24"/>
  <c r="HB2" i="24"/>
  <c r="GY2" i="24"/>
  <c r="GV2" i="24"/>
  <c r="CU20" i="24" s="1"/>
  <c r="E4" i="24"/>
  <c r="DM2" i="24"/>
  <c r="DJ2" i="24"/>
  <c r="CU17" i="24" s="1"/>
  <c r="DD2" i="24"/>
  <c r="GJ2" i="24"/>
  <c r="GG2" i="24"/>
  <c r="CU23" i="24" s="1"/>
  <c r="GD2" i="24"/>
  <c r="DA22" i="24" s="1"/>
  <c r="GA2" i="24"/>
  <c r="DP2" i="24"/>
  <c r="DG6" i="24"/>
  <c r="DG2" i="24" s="1"/>
  <c r="DA16" i="24" s="1"/>
  <c r="DA2" i="24" s="1"/>
  <c r="BZ10" i="24"/>
  <c r="AG27" i="24"/>
  <c r="DP7" i="24"/>
  <c r="DG16" i="24"/>
  <c r="DG7" i="24" s="1"/>
  <c r="DG11" i="24"/>
  <c r="CO34" i="24"/>
  <c r="CO20" i="24" s="1"/>
  <c r="K11" i="24"/>
  <c r="EQ2" i="24"/>
  <c r="EN2" i="24"/>
  <c r="CU21" i="24" s="1"/>
  <c r="EK2" i="24"/>
  <c r="DA20" i="24" s="1"/>
  <c r="EH2" i="24"/>
  <c r="EW2" i="24"/>
  <c r="FF2" i="24"/>
  <c r="FC2" i="24"/>
  <c r="CU19" i="24" s="1"/>
  <c r="EZ2" i="24"/>
  <c r="DA18" i="24" s="1"/>
  <c r="CO17" i="24"/>
  <c r="EN17" i="24"/>
  <c r="H59" i="24"/>
  <c r="H54" i="24"/>
  <c r="H48" i="24" s="1"/>
  <c r="ET2" i="24"/>
  <c r="AC23" i="24"/>
  <c r="W26" i="24"/>
  <c r="W4" i="24"/>
  <c r="E3" i="24"/>
  <c r="AC32" i="24"/>
  <c r="CO2" i="24"/>
  <c r="AD32" i="24"/>
  <c r="DG5" i="24"/>
  <c r="H15" i="24"/>
  <c r="CU25" i="24"/>
  <c r="H50" i="24"/>
  <c r="K20" i="24"/>
  <c r="W4" i="27"/>
  <c r="EB2" i="27"/>
  <c r="DY2" i="27"/>
  <c r="CU22" i="27" s="1"/>
  <c r="DV2" i="27"/>
  <c r="DA21" i="27" s="1"/>
  <c r="DS2" i="27"/>
  <c r="AJ21" i="27"/>
  <c r="BT20" i="27"/>
  <c r="BT4" i="27" s="1"/>
  <c r="H11" i="27"/>
  <c r="BT18" i="27"/>
  <c r="BT3" i="27" s="1"/>
  <c r="GY2" i="27"/>
  <c r="GV2" i="27"/>
  <c r="CU20" i="27" s="1"/>
  <c r="GS2" i="27"/>
  <c r="DA19" i="27" s="1"/>
  <c r="GP2" i="27"/>
  <c r="HB2" i="27"/>
  <c r="EQ2" i="27"/>
  <c r="EN2" i="27"/>
  <c r="CU21" i="27" s="1"/>
  <c r="EK2" i="27"/>
  <c r="DA20" i="27" s="1"/>
  <c r="EH2" i="27"/>
  <c r="CC19" i="27"/>
  <c r="CF19" i="27"/>
  <c r="HE23" i="27"/>
  <c r="AF30" i="27"/>
  <c r="BZ15" i="27"/>
  <c r="FU2" i="27"/>
  <c r="FR2" i="27"/>
  <c r="CU24" i="27" s="1"/>
  <c r="FO2" i="27"/>
  <c r="DA23" i="27" s="1"/>
  <c r="FL2" i="27"/>
  <c r="AD30" i="27"/>
  <c r="AD2" i="27" s="1"/>
  <c r="CO20" i="27"/>
  <c r="CR20" i="27"/>
  <c r="DD7" i="27"/>
  <c r="EZ2" i="27"/>
  <c r="DA18" i="27" s="1"/>
  <c r="EW2" i="27"/>
  <c r="FF2" i="27"/>
  <c r="GA7" i="27"/>
  <c r="Z3" i="27"/>
  <c r="BW2" i="27"/>
  <c r="BH2" i="27"/>
  <c r="FC17" i="27"/>
  <c r="FC2" i="27" s="1"/>
  <c r="CU19" i="27" s="1"/>
  <c r="GM2" i="27"/>
  <c r="AC27" i="27"/>
  <c r="AC29" i="27" s="1"/>
  <c r="W40" i="27"/>
  <c r="W25" i="27" s="1"/>
  <c r="H14" i="27"/>
  <c r="H13" i="27" s="1"/>
  <c r="BZ13" i="27"/>
  <c r="BT21" i="27"/>
  <c r="AF31" i="27"/>
  <c r="DA15" i="27"/>
  <c r="E19" i="27"/>
  <c r="CX19" i="27"/>
  <c r="CX3" i="27" s="1"/>
  <c r="AG31" i="27"/>
  <c r="W39" i="27"/>
  <c r="DA14" i="27"/>
  <c r="CX20" i="27"/>
  <c r="AE23" i="27"/>
  <c r="AE27" i="27" s="1"/>
  <c r="AE30" i="27" s="1"/>
  <c r="DG5" i="27"/>
  <c r="BZ14" i="27"/>
  <c r="H15" i="27"/>
  <c r="H10" i="27" s="1"/>
  <c r="E20" i="27"/>
  <c r="AF29" i="27"/>
  <c r="AF2" i="27" s="1"/>
  <c r="H49" i="27"/>
  <c r="H16" i="27"/>
  <c r="W17" i="27"/>
  <c r="W19" i="27"/>
  <c r="W3" i="27" s="1"/>
  <c r="CX21" i="27"/>
  <c r="CX4" i="27" s="1"/>
  <c r="H25" i="27"/>
  <c r="AG29" i="27"/>
  <c r="W38" i="27"/>
  <c r="W26" i="27" s="1"/>
  <c r="BW16" i="27"/>
  <c r="BW12" i="27" s="1"/>
  <c r="Z17" i="27"/>
  <c r="Z4" i="27" s="1"/>
  <c r="K20" i="27"/>
  <c r="K15" i="27" s="1"/>
  <c r="K25" i="27"/>
  <c r="K18" i="27" s="1"/>
  <c r="K17" i="27" s="1"/>
  <c r="K2" i="27" s="1"/>
  <c r="Z38" i="27"/>
  <c r="W41" i="27"/>
  <c r="DP5" i="27"/>
  <c r="DP2" i="27" s="1"/>
  <c r="E21" i="27"/>
  <c r="E4" i="27" s="1"/>
  <c r="Z41" i="27"/>
  <c r="H50" i="27"/>
  <c r="H21" i="27"/>
  <c r="H12" i="27" s="1"/>
  <c r="CR2" i="26"/>
  <c r="EQ2" i="26"/>
  <c r="EN2" i="26"/>
  <c r="CU21" i="26" s="1"/>
  <c r="EK2" i="26"/>
  <c r="DA20" i="26" s="1"/>
  <c r="EH2" i="26"/>
  <c r="GY2" i="26"/>
  <c r="GV2" i="26"/>
  <c r="CU20" i="26" s="1"/>
  <c r="GS2" i="26"/>
  <c r="DA19" i="26" s="1"/>
  <c r="GP2" i="26"/>
  <c r="HB2" i="26"/>
  <c r="CO20" i="26"/>
  <c r="CR20" i="26"/>
  <c r="H11" i="26"/>
  <c r="AD31" i="26"/>
  <c r="FU2" i="26"/>
  <c r="FR2" i="26"/>
  <c r="CU24" i="26" s="1"/>
  <c r="FO2" i="26"/>
  <c r="DA23" i="26" s="1"/>
  <c r="FL2" i="26"/>
  <c r="AC2" i="26"/>
  <c r="BW10" i="26"/>
  <c r="BW2" i="26" s="1"/>
  <c r="Z3" i="26"/>
  <c r="FC17" i="26"/>
  <c r="FC2" i="26" s="1"/>
  <c r="CU19" i="26" s="1"/>
  <c r="AD27" i="26"/>
  <c r="AD29" i="26" s="1"/>
  <c r="BN21" i="26"/>
  <c r="AJ21" i="26"/>
  <c r="BB2" i="26"/>
  <c r="EZ2" i="26"/>
  <c r="DA18" i="26" s="1"/>
  <c r="EW2" i="26"/>
  <c r="FF2" i="26"/>
  <c r="GA7" i="26"/>
  <c r="AM21" i="26"/>
  <c r="BE2" i="26"/>
  <c r="DG11" i="26"/>
  <c r="DG5" i="26" s="1"/>
  <c r="H48" i="26"/>
  <c r="EB2" i="26"/>
  <c r="DY2" i="26"/>
  <c r="CU22" i="26" s="1"/>
  <c r="DV2" i="26"/>
  <c r="DA21" i="26" s="1"/>
  <c r="DS2" i="26"/>
  <c r="CC19" i="26"/>
  <c r="DD2" i="26"/>
  <c r="DM2" i="26"/>
  <c r="DJ2" i="26"/>
  <c r="CU17" i="26" s="1"/>
  <c r="CU2" i="26" s="1"/>
  <c r="BT19" i="26"/>
  <c r="BT3" i="26" s="1"/>
  <c r="BT21" i="26"/>
  <c r="BT4" i="26" s="1"/>
  <c r="W18" i="26"/>
  <c r="EE2" i="26"/>
  <c r="AE30" i="26"/>
  <c r="CF19" i="26"/>
  <c r="W40" i="26"/>
  <c r="BZ13" i="26"/>
  <c r="AF31" i="26"/>
  <c r="HE37" i="26"/>
  <c r="HE42" i="26" s="1"/>
  <c r="HE23" i="26" s="1"/>
  <c r="DA15" i="26"/>
  <c r="CX19" i="26"/>
  <c r="CX3" i="26" s="1"/>
  <c r="AG31" i="26"/>
  <c r="CO2" i="26"/>
  <c r="DA14" i="26"/>
  <c r="CX20" i="26"/>
  <c r="AE23" i="26"/>
  <c r="AE27" i="26" s="1"/>
  <c r="AE29" i="26" s="1"/>
  <c r="BZ14" i="26"/>
  <c r="H15" i="26"/>
  <c r="H10" i="26" s="1"/>
  <c r="E20" i="26"/>
  <c r="E3" i="26" s="1"/>
  <c r="AF29" i="26"/>
  <c r="H49" i="26"/>
  <c r="H16" i="26"/>
  <c r="W17" i="26"/>
  <c r="W4" i="26" s="1"/>
  <c r="W19" i="26"/>
  <c r="CX21" i="26"/>
  <c r="CX4" i="26" s="1"/>
  <c r="H25" i="26"/>
  <c r="H14" i="26" s="1"/>
  <c r="H13" i="26" s="1"/>
  <c r="AG29" i="26"/>
  <c r="W38" i="26"/>
  <c r="W26" i="26" s="1"/>
  <c r="BW16" i="26"/>
  <c r="BW12" i="26" s="1"/>
  <c r="Z17" i="26"/>
  <c r="Z4" i="26" s="1"/>
  <c r="K20" i="26"/>
  <c r="K15" i="26" s="1"/>
  <c r="K25" i="26"/>
  <c r="K18" i="26" s="1"/>
  <c r="K17" i="26" s="1"/>
  <c r="K2" i="26" s="1"/>
  <c r="Z38" i="26"/>
  <c r="W41" i="26"/>
  <c r="DP5" i="26"/>
  <c r="DP2" i="26" s="1"/>
  <c r="E21" i="26"/>
  <c r="E4" i="26" s="1"/>
  <c r="Z41" i="26"/>
  <c r="H50" i="26"/>
  <c r="H21" i="26"/>
  <c r="H12" i="26" s="1"/>
  <c r="GY2" i="25"/>
  <c r="GV2" i="25"/>
  <c r="CU20" i="25" s="1"/>
  <c r="GS2" i="25"/>
  <c r="DA19" i="25" s="1"/>
  <c r="GP2" i="25"/>
  <c r="HB2" i="25"/>
  <c r="CU14" i="25"/>
  <c r="CU2" i="25" s="1"/>
  <c r="AC2" i="25"/>
  <c r="AD2" i="25"/>
  <c r="HE42" i="25"/>
  <c r="AE31" i="25"/>
  <c r="HE3" i="25"/>
  <c r="K18" i="25"/>
  <c r="K17" i="25" s="1"/>
  <c r="AE29" i="25"/>
  <c r="AE2" i="25" s="1"/>
  <c r="AJ21" i="25"/>
  <c r="BB2" i="25"/>
  <c r="EW7" i="25"/>
  <c r="GA2" i="25"/>
  <c r="GJ2" i="25"/>
  <c r="GG2" i="25"/>
  <c r="CU23" i="25" s="1"/>
  <c r="GD2" i="25"/>
  <c r="DA22" i="25" s="1"/>
  <c r="DD2" i="25"/>
  <c r="DM2" i="25"/>
  <c r="DJ2" i="25"/>
  <c r="CU17" i="25" s="1"/>
  <c r="DG11" i="25"/>
  <c r="DG6" i="25" s="1"/>
  <c r="BT20" i="25"/>
  <c r="BT4" i="25" s="1"/>
  <c r="BE2" i="25"/>
  <c r="K14" i="25"/>
  <c r="DV2" i="25"/>
  <c r="DA21" i="25" s="1"/>
  <c r="DS2" i="25"/>
  <c r="EE2" i="25"/>
  <c r="CC19" i="25"/>
  <c r="HE23" i="25"/>
  <c r="EQ2" i="25"/>
  <c r="EN2" i="25"/>
  <c r="CU21" i="25" s="1"/>
  <c r="EK2" i="25"/>
  <c r="DA20" i="25" s="1"/>
  <c r="EH2" i="25"/>
  <c r="AC30" i="25"/>
  <c r="AE30" i="25"/>
  <c r="CF19" i="25"/>
  <c r="W3" i="25"/>
  <c r="FI2" i="25"/>
  <c r="AD30" i="25"/>
  <c r="DY18" i="25"/>
  <c r="DY2" i="25" s="1"/>
  <c r="CU22" i="25" s="1"/>
  <c r="W40" i="25"/>
  <c r="CR2" i="25"/>
  <c r="Z19" i="25"/>
  <c r="Z3" i="25" s="1"/>
  <c r="FR10" i="25"/>
  <c r="FU2" i="25" s="1"/>
  <c r="FO2" i="25"/>
  <c r="DA23" i="25" s="1"/>
  <c r="FL2" i="25"/>
  <c r="CO20" i="25"/>
  <c r="CR20" i="25"/>
  <c r="Z40" i="25"/>
  <c r="BZ13" i="25"/>
  <c r="AF31" i="25"/>
  <c r="HE37" i="25"/>
  <c r="DA15" i="25"/>
  <c r="CX19" i="25"/>
  <c r="CX3" i="25" s="1"/>
  <c r="AG31" i="25"/>
  <c r="CO2" i="25"/>
  <c r="DA14" i="25"/>
  <c r="CX20" i="25"/>
  <c r="AE23" i="25"/>
  <c r="AE27" i="25" s="1"/>
  <c r="BZ14" i="25"/>
  <c r="H15" i="25"/>
  <c r="H10" i="25" s="1"/>
  <c r="E20" i="25"/>
  <c r="E3" i="25" s="1"/>
  <c r="AF29" i="25"/>
  <c r="AF2" i="25" s="1"/>
  <c r="H49" i="25"/>
  <c r="H16" i="25"/>
  <c r="H11" i="25" s="1"/>
  <c r="W17" i="25"/>
  <c r="W4" i="25" s="1"/>
  <c r="W19" i="25"/>
  <c r="CX21" i="25"/>
  <c r="CX4" i="25" s="1"/>
  <c r="H25" i="25"/>
  <c r="H14" i="25" s="1"/>
  <c r="H13" i="25" s="1"/>
  <c r="AG29" i="25"/>
  <c r="W38" i="25"/>
  <c r="W26" i="25" s="1"/>
  <c r="BW16" i="25"/>
  <c r="BW12" i="25" s="1"/>
  <c r="BW2" i="25" s="1"/>
  <c r="Z17" i="25"/>
  <c r="Z4" i="25" s="1"/>
  <c r="K20" i="25"/>
  <c r="K15" i="25" s="1"/>
  <c r="K25" i="25"/>
  <c r="Z38" i="25"/>
  <c r="W41" i="25"/>
  <c r="DP5" i="25"/>
  <c r="DP2" i="25" s="1"/>
  <c r="E21" i="25"/>
  <c r="E4" i="25" s="1"/>
  <c r="Z41" i="25"/>
  <c r="H50" i="25"/>
  <c r="H21" i="25"/>
  <c r="H12" i="25" s="1"/>
  <c r="DV2" i="32"/>
  <c r="DA21" i="32" s="1"/>
  <c r="DS2" i="32"/>
  <c r="Z3" i="32"/>
  <c r="FU2" i="32"/>
  <c r="FR2" i="32"/>
  <c r="CU24" i="32" s="1"/>
  <c r="FO2" i="32"/>
  <c r="DA23" i="32" s="1"/>
  <c r="FL2" i="32"/>
  <c r="CR2" i="32"/>
  <c r="CO2" i="32"/>
  <c r="EZ2" i="32"/>
  <c r="DA18" i="32" s="1"/>
  <c r="EW2" i="32"/>
  <c r="FF2" i="32"/>
  <c r="FC2" i="32"/>
  <c r="CU19" i="32" s="1"/>
  <c r="ET2" i="32"/>
  <c r="DD2" i="32"/>
  <c r="DM2" i="32"/>
  <c r="DJ2" i="32"/>
  <c r="CU17" i="32" s="1"/>
  <c r="W25" i="32"/>
  <c r="EQ2" i="32"/>
  <c r="EN2" i="32"/>
  <c r="CU21" i="32" s="1"/>
  <c r="EK2" i="32"/>
  <c r="DA20" i="32" s="1"/>
  <c r="EH2" i="32"/>
  <c r="CO34" i="32"/>
  <c r="CO20" i="32" s="1"/>
  <c r="HE23" i="32"/>
  <c r="CU11" i="32"/>
  <c r="GS2" i="32"/>
  <c r="DA19" i="32" s="1"/>
  <c r="GP2" i="32"/>
  <c r="HB2" i="32"/>
  <c r="GY2" i="32"/>
  <c r="Z4" i="32"/>
  <c r="W3" i="32"/>
  <c r="H48" i="32"/>
  <c r="GJ2" i="32"/>
  <c r="GG2" i="32"/>
  <c r="CU23" i="32" s="1"/>
  <c r="GD2" i="32"/>
  <c r="DA22" i="32" s="1"/>
  <c r="GA2" i="32"/>
  <c r="GV17" i="32"/>
  <c r="GV2" i="32" s="1"/>
  <c r="CU20" i="32" s="1"/>
  <c r="DY18" i="32"/>
  <c r="EB2" i="32" s="1"/>
  <c r="AF27" i="32"/>
  <c r="AF2" i="32"/>
  <c r="CO17" i="32"/>
  <c r="DP5" i="32"/>
  <c r="DP2" i="32" s="1"/>
  <c r="DG11" i="32"/>
  <c r="DG5" i="32" s="1"/>
  <c r="E4" i="32"/>
  <c r="CU10" i="32"/>
  <c r="W26" i="32"/>
  <c r="H49" i="32"/>
  <c r="BZ9" i="32"/>
  <c r="E3" i="32"/>
  <c r="CX3" i="32"/>
  <c r="AC32" i="32"/>
  <c r="BW2" i="32"/>
  <c r="AD32" i="32"/>
  <c r="H15" i="32"/>
  <c r="H50" i="32"/>
  <c r="DM7" i="32"/>
  <c r="DM5" i="32" s="1"/>
  <c r="H16" i="32"/>
  <c r="W4" i="32"/>
  <c r="HB2" i="12"/>
  <c r="GY2" i="12"/>
  <c r="GV2" i="12"/>
  <c r="CU20" i="12" s="1"/>
  <c r="GS2" i="12"/>
  <c r="DA19" i="12" s="1"/>
  <c r="GP2" i="12"/>
  <c r="CU2" i="12"/>
  <c r="Z3" i="12"/>
  <c r="AC2" i="12"/>
  <c r="HE3" i="12"/>
  <c r="K18" i="12"/>
  <c r="K17" i="12" s="1"/>
  <c r="AE29" i="12"/>
  <c r="AJ21" i="12"/>
  <c r="BB2" i="12"/>
  <c r="EW7" i="12"/>
  <c r="GG2" i="12"/>
  <c r="CU23" i="12" s="1"/>
  <c r="GD2" i="12"/>
  <c r="DA22" i="12" s="1"/>
  <c r="GA2" i="12"/>
  <c r="GJ2" i="12"/>
  <c r="DM2" i="12"/>
  <c r="DJ2" i="12"/>
  <c r="CU17" i="12" s="1"/>
  <c r="DD2" i="12"/>
  <c r="DG11" i="12"/>
  <c r="DG6" i="12" s="1"/>
  <c r="BT20" i="12"/>
  <c r="BT4" i="12" s="1"/>
  <c r="BE2" i="12"/>
  <c r="K14" i="12"/>
  <c r="DV2" i="12"/>
  <c r="DA21" i="12" s="1"/>
  <c r="DS2" i="12"/>
  <c r="EE2" i="12"/>
  <c r="FI2" i="12"/>
  <c r="CC19" i="12"/>
  <c r="BH2" i="12"/>
  <c r="EK2" i="12"/>
  <c r="DA20" i="12" s="1"/>
  <c r="EH2" i="12"/>
  <c r="EQ2" i="12"/>
  <c r="EN2" i="12"/>
  <c r="CU21" i="12" s="1"/>
  <c r="AC30" i="12"/>
  <c r="AE30" i="12"/>
  <c r="CF19" i="12"/>
  <c r="AM2" i="12"/>
  <c r="BK2" i="12"/>
  <c r="AD30" i="12"/>
  <c r="AD2" i="12" s="1"/>
  <c r="DY18" i="12"/>
  <c r="EB2" i="12" s="1"/>
  <c r="W40" i="12"/>
  <c r="Z19" i="12"/>
  <c r="CR2" i="12"/>
  <c r="CO2" i="12"/>
  <c r="FR10" i="12"/>
  <c r="FU2" i="12"/>
  <c r="FR2" i="12"/>
  <c r="CU24" i="12" s="1"/>
  <c r="FO2" i="12"/>
  <c r="DA23" i="12" s="1"/>
  <c r="FL2" i="12"/>
  <c r="CO20" i="12"/>
  <c r="CR20" i="12"/>
  <c r="Z40" i="12"/>
  <c r="BZ13" i="12"/>
  <c r="AF31" i="12"/>
  <c r="HE37" i="12"/>
  <c r="HE42" i="12" s="1"/>
  <c r="HE23" i="12" s="1"/>
  <c r="DA15" i="12"/>
  <c r="CX19" i="12"/>
  <c r="AG31" i="12"/>
  <c r="DA14" i="12"/>
  <c r="CX20" i="12"/>
  <c r="AE23" i="12"/>
  <c r="AE27" i="12" s="1"/>
  <c r="DG5" i="12"/>
  <c r="DG2" i="12" s="1"/>
  <c r="DA16" i="12" s="1"/>
  <c r="BZ14" i="12"/>
  <c r="H15" i="12"/>
  <c r="H10" i="12" s="1"/>
  <c r="E20" i="12"/>
  <c r="E3" i="12" s="1"/>
  <c r="AF29" i="12"/>
  <c r="H49" i="12"/>
  <c r="H16" i="12"/>
  <c r="H11" i="12" s="1"/>
  <c r="W17" i="12"/>
  <c r="W4" i="12" s="1"/>
  <c r="W19" i="12"/>
  <c r="W3" i="12" s="1"/>
  <c r="CX21" i="12"/>
  <c r="CX4" i="12" s="1"/>
  <c r="H25" i="12"/>
  <c r="H14" i="12" s="1"/>
  <c r="H13" i="12" s="1"/>
  <c r="AG29" i="12"/>
  <c r="W38" i="12"/>
  <c r="W26" i="12" s="1"/>
  <c r="BW16" i="12"/>
  <c r="BW12" i="12" s="1"/>
  <c r="BW2" i="12" s="1"/>
  <c r="Z17" i="12"/>
  <c r="Z4" i="12" s="1"/>
  <c r="K20" i="12"/>
  <c r="K15" i="12" s="1"/>
  <c r="K25" i="12"/>
  <c r="Z38" i="12"/>
  <c r="W41" i="12"/>
  <c r="DP5" i="12"/>
  <c r="DP2" i="12" s="1"/>
  <c r="E21" i="12"/>
  <c r="E4" i="12" s="1"/>
  <c r="Z41" i="12"/>
  <c r="H50" i="12"/>
  <c r="H21" i="12"/>
  <c r="H12" i="12" s="1"/>
  <c r="AE2" i="11"/>
  <c r="BN21" i="11"/>
  <c r="H11" i="11"/>
  <c r="DV2" i="11"/>
  <c r="DA21" i="11" s="1"/>
  <c r="EB2" i="11"/>
  <c r="DY2" i="11"/>
  <c r="CU22" i="11" s="1"/>
  <c r="DS2" i="11"/>
  <c r="BT20" i="11"/>
  <c r="K18" i="11"/>
  <c r="K17" i="11" s="1"/>
  <c r="CC19" i="11"/>
  <c r="HE23" i="11"/>
  <c r="BZ15" i="11"/>
  <c r="EK2" i="11"/>
  <c r="DA20" i="11" s="1"/>
  <c r="EH2" i="11"/>
  <c r="EQ2" i="11"/>
  <c r="EN2" i="11"/>
  <c r="CU21" i="11" s="1"/>
  <c r="FU2" i="11"/>
  <c r="FO2" i="11"/>
  <c r="DA23" i="11" s="1"/>
  <c r="FR2" i="11"/>
  <c r="CU24" i="11" s="1"/>
  <c r="FL2" i="11"/>
  <c r="CF19" i="11"/>
  <c r="BE2" i="11"/>
  <c r="HB2" i="11"/>
  <c r="GP2" i="11"/>
  <c r="GY2" i="11"/>
  <c r="GV2" i="11"/>
  <c r="CU20" i="11" s="1"/>
  <c r="GS2" i="11"/>
  <c r="DA19" i="11" s="1"/>
  <c r="HE3" i="11"/>
  <c r="DD7" i="11"/>
  <c r="CO20" i="11"/>
  <c r="CR20" i="11"/>
  <c r="N21" i="11"/>
  <c r="H48" i="11"/>
  <c r="FC17" i="11"/>
  <c r="AC27" i="11"/>
  <c r="AC29" i="11" s="1"/>
  <c r="CR2" i="11"/>
  <c r="CO2" i="11"/>
  <c r="EW7" i="11"/>
  <c r="GA7" i="11"/>
  <c r="DG7" i="11"/>
  <c r="Z3" i="11"/>
  <c r="GM2" i="11"/>
  <c r="DG11" i="11"/>
  <c r="DG6" i="11" s="1"/>
  <c r="K14" i="11"/>
  <c r="K3" i="11" s="1"/>
  <c r="AD27" i="11"/>
  <c r="AD30" i="11" s="1"/>
  <c r="BK21" i="11"/>
  <c r="BZ13" i="11"/>
  <c r="BT21" i="11"/>
  <c r="AF31" i="11"/>
  <c r="DA15" i="11"/>
  <c r="W16" i="11"/>
  <c r="W4" i="11" s="1"/>
  <c r="E19" i="11"/>
  <c r="E3" i="11" s="1"/>
  <c r="CX19" i="11"/>
  <c r="CX3" i="11" s="1"/>
  <c r="AG31" i="11"/>
  <c r="W39" i="11"/>
  <c r="BZ14" i="11"/>
  <c r="H15" i="11"/>
  <c r="H10" i="11" s="1"/>
  <c r="E20" i="11"/>
  <c r="AF29" i="11"/>
  <c r="H49" i="11"/>
  <c r="H16" i="11"/>
  <c r="W17" i="11"/>
  <c r="W19" i="11"/>
  <c r="W3" i="11" s="1"/>
  <c r="CX21" i="11"/>
  <c r="CX4" i="11" s="1"/>
  <c r="H25" i="11"/>
  <c r="H14" i="11" s="1"/>
  <c r="H13" i="11" s="1"/>
  <c r="CU25" i="11"/>
  <c r="CU14" i="11" s="1"/>
  <c r="AG29" i="11"/>
  <c r="W38" i="11"/>
  <c r="DP7" i="11"/>
  <c r="H12" i="11"/>
  <c r="K16" i="11"/>
  <c r="BW16" i="11"/>
  <c r="BW12" i="11" s="1"/>
  <c r="BW2" i="11" s="1"/>
  <c r="Z17" i="11"/>
  <c r="Z4" i="11" s="1"/>
  <c r="K20" i="11"/>
  <c r="K15" i="11" s="1"/>
  <c r="K25" i="11"/>
  <c r="Z38" i="11"/>
  <c r="W41" i="11"/>
  <c r="W25" i="11" s="1"/>
  <c r="DP5" i="11"/>
  <c r="DP2" i="11" s="1"/>
  <c r="E21" i="11"/>
  <c r="E4" i="11" s="1"/>
  <c r="DA25" i="11"/>
  <c r="DA14" i="11" s="1"/>
  <c r="Z41" i="11"/>
  <c r="H50" i="11"/>
  <c r="H21" i="11"/>
  <c r="AE31" i="10"/>
  <c r="CU15" i="10"/>
  <c r="E21" i="10"/>
  <c r="E4" i="10" s="1"/>
  <c r="E22" i="10"/>
  <c r="CX22" i="10"/>
  <c r="FC2" i="10"/>
  <c r="CU19" i="10" s="1"/>
  <c r="EZ2" i="10"/>
  <c r="DA18" i="10" s="1"/>
  <c r="EW2" i="10"/>
  <c r="FF2" i="10"/>
  <c r="DP6" i="10"/>
  <c r="DP5" i="10"/>
  <c r="AS21" i="10"/>
  <c r="EK2" i="10"/>
  <c r="DA20" i="10" s="1"/>
  <c r="EH2" i="10"/>
  <c r="EQ2" i="10"/>
  <c r="EN2" i="10"/>
  <c r="CU21" i="10" s="1"/>
  <c r="DM2" i="10"/>
  <c r="DG2" i="10"/>
  <c r="DA16" i="10" s="1"/>
  <c r="DD2" i="10"/>
  <c r="DJ2" i="10"/>
  <c r="CU17" i="10" s="1"/>
  <c r="FU2" i="10"/>
  <c r="FR2" i="10"/>
  <c r="CU24" i="10" s="1"/>
  <c r="FO2" i="10"/>
  <c r="DA23" i="10" s="1"/>
  <c r="FL2" i="10"/>
  <c r="BB21" i="10"/>
  <c r="CO34" i="10"/>
  <c r="CO20" i="10" s="1"/>
  <c r="CU11" i="10"/>
  <c r="W26" i="10"/>
  <c r="H59" i="10"/>
  <c r="H50" i="10" s="1"/>
  <c r="H54" i="10"/>
  <c r="H48" i="10" s="1"/>
  <c r="AG27" i="10"/>
  <c r="GG2" i="10"/>
  <c r="CU23" i="10" s="1"/>
  <c r="GA2" i="10"/>
  <c r="GD2" i="10"/>
  <c r="DA22" i="10" s="1"/>
  <c r="GJ2" i="10"/>
  <c r="W40" i="10"/>
  <c r="W25" i="10" s="1"/>
  <c r="GP7" i="10"/>
  <c r="Z40" i="10"/>
  <c r="CO2" i="10"/>
  <c r="BZ13" i="10"/>
  <c r="CU16" i="10"/>
  <c r="Z18" i="10"/>
  <c r="Z3" i="10" s="1"/>
  <c r="CR20" i="10"/>
  <c r="BT21" i="10"/>
  <c r="AC29" i="10"/>
  <c r="AF31" i="10"/>
  <c r="DS2" i="10"/>
  <c r="DA15" i="10"/>
  <c r="DA2" i="10" s="1"/>
  <c r="W16" i="10"/>
  <c r="W4" i="10" s="1"/>
  <c r="E19" i="10"/>
  <c r="E3" i="10" s="1"/>
  <c r="CX19" i="10"/>
  <c r="AD29" i="10"/>
  <c r="AG31" i="10"/>
  <c r="DV2" i="10"/>
  <c r="DA21" i="10" s="1"/>
  <c r="BW10" i="10"/>
  <c r="DA14" i="10"/>
  <c r="Z16" i="10"/>
  <c r="CX20" i="10"/>
  <c r="AE29" i="10"/>
  <c r="AC30" i="10"/>
  <c r="DY2" i="10"/>
  <c r="CU22" i="10" s="1"/>
  <c r="DG5" i="10"/>
  <c r="BZ14" i="10"/>
  <c r="H15" i="10"/>
  <c r="H10" i="10" s="1"/>
  <c r="K19" i="10"/>
  <c r="K14" i="10" s="1"/>
  <c r="BT19" i="10"/>
  <c r="BT3" i="10" s="1"/>
  <c r="BT20" i="10"/>
  <c r="AF29" i="10"/>
  <c r="AF2" i="10" s="1"/>
  <c r="AD30" i="10"/>
  <c r="K28" i="10"/>
  <c r="K18" i="10" s="1"/>
  <c r="K17" i="10" s="1"/>
  <c r="K15" i="10"/>
  <c r="H16" i="10"/>
  <c r="H11" i="10" s="1"/>
  <c r="W17" i="10"/>
  <c r="W19" i="10"/>
  <c r="W3" i="10" s="1"/>
  <c r="CX21" i="10"/>
  <c r="H25" i="10"/>
  <c r="H14" i="10" s="1"/>
  <c r="CU25" i="10"/>
  <c r="CU14" i="10" s="1"/>
  <c r="CU2" i="10" s="1"/>
  <c r="AE30" i="10"/>
  <c r="H12" i="10"/>
  <c r="BW16" i="10"/>
  <c r="BW12" i="10" s="1"/>
  <c r="Z17" i="10"/>
  <c r="K20" i="10"/>
  <c r="W41" i="10"/>
  <c r="EW2" i="21"/>
  <c r="FF2" i="21"/>
  <c r="FC2" i="21"/>
  <c r="CU19" i="21" s="1"/>
  <c r="EZ2" i="21"/>
  <c r="DA18" i="21" s="1"/>
  <c r="BE21" i="21"/>
  <c r="CU15" i="21"/>
  <c r="GP2" i="21"/>
  <c r="HB2" i="21"/>
  <c r="GY2" i="21"/>
  <c r="DG16" i="21"/>
  <c r="DG11" i="21"/>
  <c r="DG5" i="21" s="1"/>
  <c r="BZ14" i="21"/>
  <c r="CX22" i="21"/>
  <c r="AC29" i="21"/>
  <c r="AG27" i="21"/>
  <c r="GA7" i="21"/>
  <c r="DY2" i="21"/>
  <c r="CU22" i="21" s="1"/>
  <c r="BZ10" i="21"/>
  <c r="DP2" i="21"/>
  <c r="DD7" i="21"/>
  <c r="ET2" i="21"/>
  <c r="CR20" i="21"/>
  <c r="CO20" i="21"/>
  <c r="W25" i="21"/>
  <c r="Z19" i="21"/>
  <c r="Z3" i="21" s="1"/>
  <c r="EB2" i="21"/>
  <c r="E3" i="21"/>
  <c r="DG7" i="21"/>
  <c r="Z40" i="21"/>
  <c r="Z25" i="21" s="1"/>
  <c r="CU11" i="21"/>
  <c r="AC31" i="21"/>
  <c r="FL7" i="21"/>
  <c r="EE2" i="21"/>
  <c r="E22" i="21"/>
  <c r="E21" i="21"/>
  <c r="AC30" i="21"/>
  <c r="W3" i="21"/>
  <c r="FI2" i="21"/>
  <c r="BB21" i="21"/>
  <c r="BT21" i="21"/>
  <c r="AD31" i="21"/>
  <c r="BT9" i="21"/>
  <c r="BT18" i="21" s="1"/>
  <c r="BT3" i="21" s="1"/>
  <c r="BZ15" i="21"/>
  <c r="AC23" i="21"/>
  <c r="AC27" i="21" s="1"/>
  <c r="AE31" i="21"/>
  <c r="CU16" i="21"/>
  <c r="CX19" i="21"/>
  <c r="AF31" i="21"/>
  <c r="BW13" i="21"/>
  <c r="DA13" i="21"/>
  <c r="CX20" i="21"/>
  <c r="AD29" i="21"/>
  <c r="AG31" i="21"/>
  <c r="BZ13" i="21"/>
  <c r="CU14" i="21"/>
  <c r="BT19" i="21"/>
  <c r="CX21" i="21"/>
  <c r="AE29" i="21"/>
  <c r="DS2" i="21"/>
  <c r="BW10" i="21"/>
  <c r="BW2" i="21" s="1"/>
  <c r="AF29" i="21"/>
  <c r="W38" i="21"/>
  <c r="W26" i="21" s="1"/>
  <c r="DV2" i="21"/>
  <c r="DA21" i="21" s="1"/>
  <c r="GJ2" i="20"/>
  <c r="GG2" i="20"/>
  <c r="CU23" i="20" s="1"/>
  <c r="GD2" i="20"/>
  <c r="DA22" i="20" s="1"/>
  <c r="GA2" i="20"/>
  <c r="AG27" i="20"/>
  <c r="AC29" i="20"/>
  <c r="DG16" i="20"/>
  <c r="DG7" i="20" s="1"/>
  <c r="DG2" i="20" s="1"/>
  <c r="DG11" i="20"/>
  <c r="BK21" i="20"/>
  <c r="DY2" i="20"/>
  <c r="CU22" i="20" s="1"/>
  <c r="DV2" i="20"/>
  <c r="DA21" i="20" s="1"/>
  <c r="DS2" i="20"/>
  <c r="EB2" i="20"/>
  <c r="EW2" i="20"/>
  <c r="FF2" i="20"/>
  <c r="EZ2" i="20"/>
  <c r="DA18" i="20" s="1"/>
  <c r="FU2" i="20"/>
  <c r="FR2" i="20"/>
  <c r="CU24" i="20" s="1"/>
  <c r="FO2" i="20"/>
  <c r="DA23" i="20" s="1"/>
  <c r="FL2" i="20"/>
  <c r="DM2" i="20"/>
  <c r="DJ2" i="20"/>
  <c r="CU17" i="20" s="1"/>
  <c r="DD2" i="20"/>
  <c r="ET2" i="20"/>
  <c r="BT18" i="20"/>
  <c r="E22" i="20"/>
  <c r="E21" i="20"/>
  <c r="E19" i="20"/>
  <c r="E3" i="20" s="1"/>
  <c r="CR20" i="20"/>
  <c r="CO20" i="20"/>
  <c r="BW12" i="20"/>
  <c r="GP7" i="20"/>
  <c r="W3" i="20"/>
  <c r="FI2" i="20"/>
  <c r="W25" i="20"/>
  <c r="BZ14" i="20"/>
  <c r="CX22" i="20"/>
  <c r="DG6" i="20"/>
  <c r="EQ2" i="20"/>
  <c r="EN2" i="20"/>
  <c r="CU21" i="20" s="1"/>
  <c r="EK2" i="20"/>
  <c r="DA20" i="20" s="1"/>
  <c r="EH2" i="20"/>
  <c r="Z3" i="20"/>
  <c r="BK2" i="20"/>
  <c r="BB21" i="20"/>
  <c r="AG29" i="20"/>
  <c r="CR2" i="20"/>
  <c r="CO2" i="20"/>
  <c r="BN2" i="20"/>
  <c r="BE21" i="20"/>
  <c r="BT21" i="20"/>
  <c r="AD31" i="20"/>
  <c r="Z41" i="20"/>
  <c r="AC23" i="20"/>
  <c r="AC27" i="20" s="1"/>
  <c r="AC30" i="20" s="1"/>
  <c r="AE31" i="20"/>
  <c r="CU16" i="20"/>
  <c r="CX19" i="20"/>
  <c r="AF31" i="20"/>
  <c r="BW13" i="20"/>
  <c r="CX20" i="20"/>
  <c r="AD29" i="20"/>
  <c r="AG31" i="20"/>
  <c r="BZ13" i="20"/>
  <c r="CU14" i="20"/>
  <c r="BT19" i="20"/>
  <c r="BT20" i="20"/>
  <c r="CX21" i="20"/>
  <c r="AE29" i="20"/>
  <c r="DG5" i="20"/>
  <c r="BW10" i="20"/>
  <c r="BW2" i="20" s="1"/>
  <c r="AF29" i="20"/>
  <c r="AF2" i="20" s="1"/>
  <c r="W38" i="20"/>
  <c r="W26" i="20" s="1"/>
  <c r="DG16" i="19"/>
  <c r="DG11" i="19"/>
  <c r="DG7" i="19"/>
  <c r="CU11" i="19"/>
  <c r="CU16" i="19" s="1"/>
  <c r="BN2" i="19"/>
  <c r="W3" i="19"/>
  <c r="DG6" i="19"/>
  <c r="BB21" i="19"/>
  <c r="GS2" i="19"/>
  <c r="DA19" i="19" s="1"/>
  <c r="GP2" i="19"/>
  <c r="HB2" i="19"/>
  <c r="GY2" i="19"/>
  <c r="GV2" i="19"/>
  <c r="CU20" i="19" s="1"/>
  <c r="EW2" i="19"/>
  <c r="GM2" i="19"/>
  <c r="AD30" i="19"/>
  <c r="DG5" i="19"/>
  <c r="BK21" i="19"/>
  <c r="AE30" i="19"/>
  <c r="BW12" i="19"/>
  <c r="FL7" i="19"/>
  <c r="BN21" i="19"/>
  <c r="AF30" i="19"/>
  <c r="BZ14" i="19"/>
  <c r="CX22" i="19"/>
  <c r="EH7" i="19"/>
  <c r="DP5" i="19"/>
  <c r="DP2" i="19" s="1"/>
  <c r="E19" i="19"/>
  <c r="E3" i="19" s="1"/>
  <c r="CC19" i="19"/>
  <c r="W16" i="19"/>
  <c r="W4" i="19" s="1"/>
  <c r="BT21" i="19"/>
  <c r="W29" i="19"/>
  <c r="AD31" i="19"/>
  <c r="BT9" i="19"/>
  <c r="BT18" i="19" s="1"/>
  <c r="BZ15" i="19"/>
  <c r="AE31" i="19"/>
  <c r="CX19" i="19"/>
  <c r="AF31" i="19"/>
  <c r="CX20" i="19"/>
  <c r="AD29" i="19"/>
  <c r="AG31" i="19"/>
  <c r="BZ13" i="19"/>
  <c r="Z18" i="19"/>
  <c r="Z3" i="19" s="1"/>
  <c r="BT19" i="19"/>
  <c r="BT20" i="19"/>
  <c r="E21" i="19"/>
  <c r="CX21" i="19"/>
  <c r="AE29" i="19"/>
  <c r="AC30" i="19"/>
  <c r="Z39" i="19"/>
  <c r="BW10" i="19"/>
  <c r="AF29" i="19"/>
  <c r="FU2" i="18"/>
  <c r="FR2" i="18"/>
  <c r="CU24" i="18" s="1"/>
  <c r="FO2" i="18"/>
  <c r="DA23" i="18" s="1"/>
  <c r="FL2" i="18"/>
  <c r="AG27" i="18"/>
  <c r="EQ2" i="18"/>
  <c r="EN2" i="18"/>
  <c r="CU21" i="18" s="1"/>
  <c r="EK2" i="18"/>
  <c r="DA20" i="18" s="1"/>
  <c r="EH2" i="18"/>
  <c r="AG29" i="18"/>
  <c r="DA14" i="18"/>
  <c r="ET2" i="18"/>
  <c r="DM2" i="18"/>
  <c r="DJ2" i="18"/>
  <c r="CU17" i="18" s="1"/>
  <c r="DD2" i="18"/>
  <c r="GA7" i="18"/>
  <c r="E22" i="18"/>
  <c r="E21" i="18"/>
  <c r="E4" i="18" s="1"/>
  <c r="AC29" i="18"/>
  <c r="EW2" i="18"/>
  <c r="FC2" i="18"/>
  <c r="CU19" i="18" s="1"/>
  <c r="EZ2" i="18"/>
  <c r="DA18" i="18" s="1"/>
  <c r="AC31" i="18"/>
  <c r="AC30" i="18"/>
  <c r="BB21" i="18"/>
  <c r="H48" i="18"/>
  <c r="H12" i="18"/>
  <c r="AD30" i="18"/>
  <c r="BT20" i="18"/>
  <c r="EB2" i="18"/>
  <c r="AE27" i="18"/>
  <c r="AE30" i="18" s="1"/>
  <c r="DG16" i="18"/>
  <c r="DG7" i="18" s="1"/>
  <c r="DG11" i="18"/>
  <c r="BE21" i="18"/>
  <c r="W25" i="18"/>
  <c r="GS2" i="18"/>
  <c r="DA19" i="18" s="1"/>
  <c r="GP2" i="18"/>
  <c r="GV2" i="18"/>
  <c r="CU20" i="18" s="1"/>
  <c r="GY2" i="18"/>
  <c r="K16" i="18"/>
  <c r="AY2" i="18"/>
  <c r="BW12" i="18"/>
  <c r="CU16" i="18"/>
  <c r="DG6" i="18"/>
  <c r="DP7" i="18"/>
  <c r="DP2" i="18" s="1"/>
  <c r="BT18" i="18"/>
  <c r="BT3" i="18" s="1"/>
  <c r="DA25" i="18"/>
  <c r="AD31" i="18"/>
  <c r="H11" i="18"/>
  <c r="DA13" i="18"/>
  <c r="CU15" i="18"/>
  <c r="CO20" i="18"/>
  <c r="AE31" i="18"/>
  <c r="BZ13" i="18"/>
  <c r="Z18" i="18"/>
  <c r="Z3" i="18" s="1"/>
  <c r="BT21" i="18"/>
  <c r="AC23" i="18"/>
  <c r="AC27" i="18" s="1"/>
  <c r="AF31" i="18"/>
  <c r="HE37" i="18"/>
  <c r="HE42" i="18" s="1"/>
  <c r="HE23" i="18" s="1"/>
  <c r="H14" i="18"/>
  <c r="H13" i="18" s="1"/>
  <c r="DA15" i="18"/>
  <c r="W16" i="18"/>
  <c r="W4" i="18" s="1"/>
  <c r="E19" i="18"/>
  <c r="CX19" i="18"/>
  <c r="AD29" i="18"/>
  <c r="AG31" i="18"/>
  <c r="W39" i="18"/>
  <c r="CO2" i="18"/>
  <c r="BW10" i="18"/>
  <c r="BW2" i="18" s="1"/>
  <c r="K14" i="18"/>
  <c r="Z16" i="18"/>
  <c r="CX20" i="18"/>
  <c r="DS2" i="18"/>
  <c r="DG5" i="18"/>
  <c r="DG2" i="18" s="1"/>
  <c r="DA16" i="18" s="1"/>
  <c r="BZ14" i="18"/>
  <c r="H15" i="18"/>
  <c r="H10" i="18" s="1"/>
  <c r="BT19" i="18"/>
  <c r="E20" i="18"/>
  <c r="AF29" i="18"/>
  <c r="DV2" i="18"/>
  <c r="DA21" i="18" s="1"/>
  <c r="K15" i="18"/>
  <c r="CX21" i="18"/>
  <c r="CX4" i="18" s="1"/>
  <c r="CU25" i="18"/>
  <c r="CU14" i="18" s="1"/>
  <c r="W38" i="18"/>
  <c r="H50" i="18"/>
  <c r="Z17" i="18"/>
  <c r="K20" i="18"/>
  <c r="Z38" i="18"/>
  <c r="EW2" i="17"/>
  <c r="FC2" i="17"/>
  <c r="CU19" i="17" s="1"/>
  <c r="EZ2" i="17"/>
  <c r="DA18" i="17" s="1"/>
  <c r="W41" i="17"/>
  <c r="W40" i="17"/>
  <c r="W25" i="17" s="1"/>
  <c r="DY2" i="17"/>
  <c r="CU22" i="17" s="1"/>
  <c r="DV2" i="17"/>
  <c r="DA21" i="17" s="1"/>
  <c r="DS2" i="17"/>
  <c r="EB2" i="17"/>
  <c r="GG2" i="17"/>
  <c r="CU23" i="17" s="1"/>
  <c r="GD2" i="17"/>
  <c r="DA22" i="17" s="1"/>
  <c r="GA2" i="17"/>
  <c r="FU2" i="17"/>
  <c r="FR2" i="17"/>
  <c r="CU24" i="17" s="1"/>
  <c r="FO2" i="17"/>
  <c r="DA23" i="17" s="1"/>
  <c r="FL2" i="17"/>
  <c r="Z41" i="17"/>
  <c r="AE30" i="17"/>
  <c r="BW12" i="17"/>
  <c r="EH7" i="17"/>
  <c r="AF30" i="17"/>
  <c r="BZ15" i="17"/>
  <c r="CX22" i="17"/>
  <c r="GP7" i="17"/>
  <c r="DG16" i="17"/>
  <c r="DG11" i="17"/>
  <c r="DG6" i="17" s="1"/>
  <c r="Q21" i="17"/>
  <c r="HE42" i="17"/>
  <c r="HE23" i="17" s="1"/>
  <c r="E22" i="17"/>
  <c r="E21" i="17"/>
  <c r="E4" i="17" s="1"/>
  <c r="AC29" i="17"/>
  <c r="DM2" i="17"/>
  <c r="DJ2" i="17"/>
  <c r="CU17" i="17" s="1"/>
  <c r="DD2" i="17"/>
  <c r="DG7" i="17"/>
  <c r="BB21" i="17"/>
  <c r="BE21" i="17"/>
  <c r="CO20" i="17"/>
  <c r="BT18" i="17"/>
  <c r="K28" i="17"/>
  <c r="K18" i="17" s="1"/>
  <c r="AD31" i="17"/>
  <c r="H11" i="17"/>
  <c r="DA13" i="17"/>
  <c r="CU15" i="17"/>
  <c r="W18" i="17"/>
  <c r="W3" i="17" s="1"/>
  <c r="AE31" i="17"/>
  <c r="BZ13" i="17"/>
  <c r="CU14" i="17"/>
  <c r="Z18" i="17"/>
  <c r="Z3" i="17" s="1"/>
  <c r="BT21" i="17"/>
  <c r="BT4" i="17" s="1"/>
  <c r="AC23" i="17"/>
  <c r="AC27" i="17" s="1"/>
  <c r="AC30" i="17" s="1"/>
  <c r="AF31" i="17"/>
  <c r="HE37" i="17"/>
  <c r="H14" i="17"/>
  <c r="DA15" i="17"/>
  <c r="CX19" i="17"/>
  <c r="CX3" i="17" s="1"/>
  <c r="AD29" i="17"/>
  <c r="AD2" i="17" s="1"/>
  <c r="AG31" i="17"/>
  <c r="CO2" i="17"/>
  <c r="BW10" i="17"/>
  <c r="BW2" i="17" s="1"/>
  <c r="K14" i="17"/>
  <c r="Z16" i="17"/>
  <c r="CX20" i="17"/>
  <c r="AE29" i="17"/>
  <c r="AE2" i="17" s="1"/>
  <c r="BZ14" i="17"/>
  <c r="BT19" i="17"/>
  <c r="AF29" i="17"/>
  <c r="K15" i="17"/>
  <c r="CX21" i="17"/>
  <c r="H50" i="17"/>
  <c r="H10" i="17"/>
  <c r="Z17" i="17"/>
  <c r="K20" i="17"/>
  <c r="Z38" i="17"/>
  <c r="DM2" i="16"/>
  <c r="DJ2" i="16"/>
  <c r="CU17" i="16" s="1"/>
  <c r="DG2" i="16"/>
  <c r="DA16" i="16" s="1"/>
  <c r="DD2" i="16"/>
  <c r="EQ2" i="16"/>
  <c r="EN2" i="16"/>
  <c r="CU21" i="16" s="1"/>
  <c r="EK2" i="16"/>
  <c r="DA20" i="16" s="1"/>
  <c r="EH2" i="16"/>
  <c r="BZ15" i="16"/>
  <c r="BZ14" i="16"/>
  <c r="BZ2" i="16" s="1"/>
  <c r="AD2" i="16"/>
  <c r="GP2" i="16"/>
  <c r="GY2" i="16"/>
  <c r="GV2" i="16"/>
  <c r="CU20" i="16" s="1"/>
  <c r="GS2" i="16"/>
  <c r="DA19" i="16" s="1"/>
  <c r="FC2" i="16"/>
  <c r="CU19" i="16" s="1"/>
  <c r="EZ2" i="16"/>
  <c r="DA18" i="16" s="1"/>
  <c r="EW2" i="16"/>
  <c r="AE29" i="16"/>
  <c r="FR2" i="16"/>
  <c r="CU24" i="16" s="1"/>
  <c r="FU2" i="16"/>
  <c r="AD30" i="16"/>
  <c r="DG6" i="16"/>
  <c r="DG5" i="16"/>
  <c r="CR20" i="16"/>
  <c r="CO20" i="16"/>
  <c r="AJ21" i="16"/>
  <c r="CR2" i="16"/>
  <c r="CO2" i="16"/>
  <c r="DS7" i="16"/>
  <c r="GG2" i="16"/>
  <c r="CU23" i="16" s="1"/>
  <c r="GD2" i="16"/>
  <c r="DA22" i="16" s="1"/>
  <c r="GA2" i="16"/>
  <c r="AE30" i="16"/>
  <c r="AM21" i="16"/>
  <c r="H59" i="16"/>
  <c r="H50" i="16" s="1"/>
  <c r="H54" i="16"/>
  <c r="H48" i="16" s="1"/>
  <c r="AD31" i="16"/>
  <c r="BT18" i="16"/>
  <c r="BT3" i="16" s="1"/>
  <c r="CU15" i="16"/>
  <c r="CU14" i="16"/>
  <c r="W41" i="16"/>
  <c r="K18" i="16"/>
  <c r="AE31" i="16"/>
  <c r="HE3" i="16"/>
  <c r="AE27" i="16"/>
  <c r="Z41" i="16"/>
  <c r="K11" i="16"/>
  <c r="DP5" i="16"/>
  <c r="DP2" i="16" s="1"/>
  <c r="E21" i="16"/>
  <c r="E22" i="16"/>
  <c r="DA25" i="16"/>
  <c r="DA14" i="16" s="1"/>
  <c r="W40" i="16"/>
  <c r="DA13" i="16"/>
  <c r="DA2" i="16" s="1"/>
  <c r="W18" i="16"/>
  <c r="W3" i="16" s="1"/>
  <c r="H21" i="16"/>
  <c r="H12" i="16" s="1"/>
  <c r="Z40" i="16"/>
  <c r="Z18" i="16"/>
  <c r="Z3" i="16" s="1"/>
  <c r="AC29" i="16"/>
  <c r="AF31" i="16"/>
  <c r="W16" i="16"/>
  <c r="E19" i="16"/>
  <c r="E3" i="16" s="1"/>
  <c r="CX19" i="16"/>
  <c r="CX3" i="16" s="1"/>
  <c r="AG31" i="16"/>
  <c r="W39" i="16"/>
  <c r="Z16" i="16"/>
  <c r="CX20" i="16"/>
  <c r="AC30" i="16"/>
  <c r="Z39" i="16"/>
  <c r="AF29" i="16"/>
  <c r="AF2" i="16" s="1"/>
  <c r="W17" i="16"/>
  <c r="CX21" i="16"/>
  <c r="CX4" i="16" s="1"/>
  <c r="W38" i="16"/>
  <c r="W26" i="16" s="1"/>
  <c r="Z17" i="16"/>
  <c r="Z38" i="16"/>
  <c r="GJ2" i="7"/>
  <c r="GG2" i="7"/>
  <c r="CU23" i="7" s="1"/>
  <c r="GD2" i="7"/>
  <c r="DA22" i="7" s="1"/>
  <c r="GA2" i="7"/>
  <c r="EQ2" i="7"/>
  <c r="EN2" i="7"/>
  <c r="CU21" i="7" s="1"/>
  <c r="DA20" i="7"/>
  <c r="EH2" i="7"/>
  <c r="DG16" i="7"/>
  <c r="DG11" i="7"/>
  <c r="Q21" i="7"/>
  <c r="DG6" i="7"/>
  <c r="HE8" i="7"/>
  <c r="HE3" i="7"/>
  <c r="DY2" i="7"/>
  <c r="CU22" i="7" s="1"/>
  <c r="DV2" i="7"/>
  <c r="DA21" i="7" s="1"/>
  <c r="DS2" i="7"/>
  <c r="EB2" i="7"/>
  <c r="AG27" i="7"/>
  <c r="DM2" i="7"/>
  <c r="DJ2" i="7"/>
  <c r="CU17" i="7" s="1"/>
  <c r="DG2" i="7"/>
  <c r="DA16" i="7" s="1"/>
  <c r="DD2" i="7"/>
  <c r="FR2" i="7"/>
  <c r="CU24" i="7" s="1"/>
  <c r="FL2" i="7"/>
  <c r="FO2" i="7"/>
  <c r="DA23" i="7" s="1"/>
  <c r="E19" i="7"/>
  <c r="FC17" i="7"/>
  <c r="FF2" i="7" s="1"/>
  <c r="ET2" i="7"/>
  <c r="DG7" i="7"/>
  <c r="BT20" i="7"/>
  <c r="EW2" i="7"/>
  <c r="EZ2" i="7"/>
  <c r="DA18" i="7" s="1"/>
  <c r="K16" i="7"/>
  <c r="AE30" i="7"/>
  <c r="GS2" i="7"/>
  <c r="DA19" i="7" s="1"/>
  <c r="GP2" i="7"/>
  <c r="HB2" i="7"/>
  <c r="GY2" i="7"/>
  <c r="GV2" i="7"/>
  <c r="CU20" i="7" s="1"/>
  <c r="AF30" i="7"/>
  <c r="CX22" i="7"/>
  <c r="FR10" i="7"/>
  <c r="FU2" i="7" s="1"/>
  <c r="E22" i="7"/>
  <c r="E21" i="7"/>
  <c r="E4" i="7" s="1"/>
  <c r="W3" i="7"/>
  <c r="BB21" i="7"/>
  <c r="W25" i="7"/>
  <c r="DA10" i="7"/>
  <c r="AG29" i="7"/>
  <c r="EE2" i="7"/>
  <c r="Z3" i="7"/>
  <c r="CR20" i="7"/>
  <c r="BE21" i="7"/>
  <c r="N21" i="7"/>
  <c r="Z40" i="7"/>
  <c r="K11" i="7"/>
  <c r="K18" i="7"/>
  <c r="K17" i="7" s="1"/>
  <c r="BT18" i="7"/>
  <c r="BT3" i="7" s="1"/>
  <c r="AD31" i="7"/>
  <c r="H11" i="7"/>
  <c r="CU15" i="7"/>
  <c r="AE31" i="7"/>
  <c r="BT21" i="7"/>
  <c r="AC23" i="7"/>
  <c r="AC27" i="7" s="1"/>
  <c r="AC29" i="7" s="1"/>
  <c r="AF31" i="7"/>
  <c r="HE37" i="7"/>
  <c r="HE42" i="7" s="1"/>
  <c r="HE23" i="7" s="1"/>
  <c r="H14" i="7"/>
  <c r="DA15" i="7"/>
  <c r="CX19" i="7"/>
  <c r="AD29" i="7"/>
  <c r="AG31" i="7"/>
  <c r="H49" i="7"/>
  <c r="K14" i="7"/>
  <c r="CX20" i="7"/>
  <c r="AE29" i="7"/>
  <c r="CR2" i="7"/>
  <c r="DG5" i="7"/>
  <c r="BW12" i="7"/>
  <c r="H15" i="7"/>
  <c r="H10" i="7" s="1"/>
  <c r="BT19" i="7"/>
  <c r="E20" i="7"/>
  <c r="AF29" i="7"/>
  <c r="H16" i="7"/>
  <c r="W17" i="7"/>
  <c r="W4" i="7" s="1"/>
  <c r="CX21" i="7"/>
  <c r="CX4" i="7" s="1"/>
  <c r="CU25" i="7"/>
  <c r="CU14" i="7" s="1"/>
  <c r="W38" i="7"/>
  <c r="W26" i="7" s="1"/>
  <c r="H50" i="7"/>
  <c r="Z17" i="7"/>
  <c r="Z4" i="7" s="1"/>
  <c r="K20" i="7"/>
  <c r="K15" i="7" s="1"/>
  <c r="Z38" i="7"/>
  <c r="GA7" i="8"/>
  <c r="EN2" i="8"/>
  <c r="CU21" i="8" s="1"/>
  <c r="EQ2" i="8"/>
  <c r="DA20" i="8"/>
  <c r="EH2" i="8"/>
  <c r="DG16" i="8"/>
  <c r="DG7" i="8" s="1"/>
  <c r="DG11" i="8"/>
  <c r="DG6" i="8" s="1"/>
  <c r="Q21" i="8"/>
  <c r="DY2" i="8"/>
  <c r="CU22" i="8" s="1"/>
  <c r="DV2" i="8"/>
  <c r="DA21" i="8" s="1"/>
  <c r="DS2" i="8"/>
  <c r="EB2" i="8"/>
  <c r="AG27" i="8"/>
  <c r="DM2" i="8"/>
  <c r="DJ2" i="8"/>
  <c r="CU17" i="8" s="1"/>
  <c r="DD2" i="8"/>
  <c r="AC31" i="8"/>
  <c r="FU2" i="8"/>
  <c r="FL2" i="8"/>
  <c r="FO2" i="8"/>
  <c r="DA23" i="8" s="1"/>
  <c r="E19" i="8"/>
  <c r="FC17" i="8"/>
  <c r="FC2" i="8" s="1"/>
  <c r="CU19" i="8" s="1"/>
  <c r="ET2" i="8"/>
  <c r="BT20" i="8"/>
  <c r="BT4" i="8" s="1"/>
  <c r="EW2" i="8"/>
  <c r="EZ2" i="8"/>
  <c r="DA18" i="8" s="1"/>
  <c r="GS2" i="8"/>
  <c r="DA19" i="8" s="1"/>
  <c r="GY2" i="8"/>
  <c r="GP2" i="8"/>
  <c r="HB2" i="8"/>
  <c r="GV2" i="8"/>
  <c r="CU20" i="8" s="1"/>
  <c r="AE30" i="8"/>
  <c r="AF30" i="8"/>
  <c r="CX22" i="8"/>
  <c r="FR10" i="8"/>
  <c r="FR2" i="8" s="1"/>
  <c r="CU24" i="8" s="1"/>
  <c r="E22" i="8"/>
  <c r="E21" i="8"/>
  <c r="E4" i="8" s="1"/>
  <c r="W3" i="8"/>
  <c r="BB21" i="8"/>
  <c r="W25" i="8"/>
  <c r="DA10" i="8"/>
  <c r="AG29" i="8"/>
  <c r="EE2" i="8"/>
  <c r="Z3" i="8"/>
  <c r="CR20" i="8"/>
  <c r="BE21" i="8"/>
  <c r="N21" i="8"/>
  <c r="Z40" i="8"/>
  <c r="K11" i="8"/>
  <c r="K14" i="8" s="1"/>
  <c r="K18" i="8"/>
  <c r="BT18" i="8"/>
  <c r="AD31" i="8"/>
  <c r="AE31" i="8"/>
  <c r="CU14" i="8"/>
  <c r="CU16" i="8"/>
  <c r="BT21" i="8"/>
  <c r="AC23" i="8"/>
  <c r="AC27" i="8" s="1"/>
  <c r="AC29" i="8" s="1"/>
  <c r="AF31" i="8"/>
  <c r="H14" i="8"/>
  <c r="H13" i="8" s="1"/>
  <c r="DA15" i="8"/>
  <c r="CX19" i="8"/>
  <c r="CX3" i="8" s="1"/>
  <c r="AD29" i="8"/>
  <c r="AD2" i="8" s="1"/>
  <c r="AG31" i="8"/>
  <c r="H49" i="8"/>
  <c r="CX20" i="8"/>
  <c r="AE29" i="8"/>
  <c r="BW10" i="8"/>
  <c r="BW2" i="8" s="1"/>
  <c r="CR2" i="8"/>
  <c r="DG5" i="8"/>
  <c r="H15" i="8"/>
  <c r="BT19" i="8"/>
  <c r="E20" i="8"/>
  <c r="AF29" i="8"/>
  <c r="AF2" i="8" s="1"/>
  <c r="H16" i="8"/>
  <c r="H11" i="8" s="1"/>
  <c r="W17" i="8"/>
  <c r="W4" i="8" s="1"/>
  <c r="CX21" i="8"/>
  <c r="CU25" i="8"/>
  <c r="W38" i="8"/>
  <c r="W26" i="8" s="1"/>
  <c r="H50" i="8"/>
  <c r="H10" i="8"/>
  <c r="Z17" i="8"/>
  <c r="Z4" i="8" s="1"/>
  <c r="K20" i="8"/>
  <c r="K15" i="8" s="1"/>
  <c r="Z38" i="8"/>
  <c r="EW7" i="6"/>
  <c r="AM21" i="6"/>
  <c r="H49" i="6"/>
  <c r="GJ2" i="6"/>
  <c r="GG2" i="6"/>
  <c r="CU23" i="6" s="1"/>
  <c r="GD2" i="6"/>
  <c r="DA22" i="6" s="1"/>
  <c r="GA2" i="6"/>
  <c r="H13" i="6"/>
  <c r="AE31" i="6"/>
  <c r="AE2" i="6" s="1"/>
  <c r="CO34" i="6"/>
  <c r="DS2" i="6"/>
  <c r="DV2" i="6"/>
  <c r="DA21" i="6" s="1"/>
  <c r="EB2" i="6"/>
  <c r="DY2" i="6"/>
  <c r="CU22" i="6" s="1"/>
  <c r="Z4" i="6"/>
  <c r="CR2" i="6"/>
  <c r="CO2" i="6"/>
  <c r="DG5" i="6"/>
  <c r="AE30" i="6"/>
  <c r="AD29" i="6"/>
  <c r="DA15" i="6"/>
  <c r="EQ2" i="6"/>
  <c r="EN2" i="6"/>
  <c r="CU21" i="6" s="1"/>
  <c r="DA20" i="6"/>
  <c r="EH2" i="6"/>
  <c r="FO2" i="6"/>
  <c r="DA23" i="6" s="1"/>
  <c r="FL2" i="6"/>
  <c r="FU2" i="6"/>
  <c r="FR2" i="6"/>
  <c r="CU24" i="6" s="1"/>
  <c r="CX19" i="6"/>
  <c r="CX3" i="6" s="1"/>
  <c r="DD7" i="6"/>
  <c r="HB2" i="6"/>
  <c r="GP2" i="6"/>
  <c r="GY2" i="6"/>
  <c r="GV2" i="6"/>
  <c r="CU20" i="6" s="1"/>
  <c r="GS2" i="6"/>
  <c r="DA19" i="6" s="1"/>
  <c r="CR20" i="6"/>
  <c r="CO20" i="6"/>
  <c r="AJ21" i="6"/>
  <c r="Z19" i="6"/>
  <c r="K25" i="6"/>
  <c r="K18" i="6" s="1"/>
  <c r="K17" i="6" s="1"/>
  <c r="AF30" i="6"/>
  <c r="AF2" i="6" s="1"/>
  <c r="AC31" i="6"/>
  <c r="Z38" i="6"/>
  <c r="DP5" i="6"/>
  <c r="DP2" i="6" s="1"/>
  <c r="BT18" i="6"/>
  <c r="BT3" i="6" s="1"/>
  <c r="E21" i="6"/>
  <c r="E22" i="6"/>
  <c r="AD31" i="6"/>
  <c r="W40" i="6"/>
  <c r="BW16" i="6"/>
  <c r="BW12" i="6" s="1"/>
  <c r="BW2" i="6" s="1"/>
  <c r="K20" i="6"/>
  <c r="K15" i="6" s="1"/>
  <c r="Z41" i="6"/>
  <c r="DA13" i="6"/>
  <c r="CU15" i="6"/>
  <c r="W18" i="6"/>
  <c r="W3" i="6" s="1"/>
  <c r="H21" i="6"/>
  <c r="H12" i="6" s="1"/>
  <c r="H2" i="6" s="1"/>
  <c r="AF27" i="6"/>
  <c r="Z40" i="6"/>
  <c r="Z17" i="6"/>
  <c r="CU14" i="6"/>
  <c r="Z18" i="6"/>
  <c r="AG27" i="6"/>
  <c r="AC29" i="6"/>
  <c r="AC2" i="6" s="1"/>
  <c r="E19" i="6"/>
  <c r="E3" i="6" s="1"/>
  <c r="CU42" i="9"/>
  <c r="CU41" i="9"/>
  <c r="BZ29" i="9"/>
  <c r="BZ28" i="9"/>
  <c r="B32" i="12"/>
  <c r="B31" i="12"/>
  <c r="B32" i="11"/>
  <c r="B31" i="11"/>
  <c r="B32" i="10"/>
  <c r="B31" i="10"/>
  <c r="B32" i="9"/>
  <c r="B31" i="9"/>
  <c r="B42" i="12"/>
  <c r="B41" i="12"/>
  <c r="B34" i="12"/>
  <c r="B30" i="21"/>
  <c r="B29" i="21"/>
  <c r="B22" i="21"/>
  <c r="B20" i="21"/>
  <c r="B19" i="21"/>
  <c r="B30" i="18"/>
  <c r="B29" i="18"/>
  <c r="B22" i="18"/>
  <c r="B20" i="18"/>
  <c r="B19" i="18"/>
  <c r="B43" i="11"/>
  <c r="B42" i="11"/>
  <c r="B41" i="11"/>
  <c r="B34" i="11"/>
  <c r="B31" i="20"/>
  <c r="B30" i="20"/>
  <c r="B29" i="20"/>
  <c r="B22" i="20"/>
  <c r="B20" i="20"/>
  <c r="B19" i="20"/>
  <c r="B31" i="17"/>
  <c r="B30" i="17"/>
  <c r="B29" i="17"/>
  <c r="B22" i="17"/>
  <c r="B20" i="17"/>
  <c r="B19" i="17"/>
  <c r="B43" i="10"/>
  <c r="B34" i="10"/>
  <c r="B31" i="19"/>
  <c r="B22" i="19"/>
  <c r="B20" i="19"/>
  <c r="B19" i="19"/>
  <c r="B31" i="16"/>
  <c r="B22" i="16"/>
  <c r="B20" i="16"/>
  <c r="B19" i="16"/>
  <c r="B43" i="9"/>
  <c r="B34" i="9"/>
  <c r="B31" i="15"/>
  <c r="B22" i="15"/>
  <c r="B20" i="15"/>
  <c r="B19" i="15"/>
  <c r="HE41" i="15"/>
  <c r="HE40" i="15"/>
  <c r="HE39" i="15"/>
  <c r="HE38" i="15"/>
  <c r="HE36" i="15"/>
  <c r="HE35" i="15"/>
  <c r="HE34" i="15"/>
  <c r="HE33" i="15"/>
  <c r="HE31" i="15"/>
  <c r="HE30" i="15"/>
  <c r="HE29" i="15"/>
  <c r="HE27" i="15"/>
  <c r="HE28" i="15" s="1"/>
  <c r="HE13" i="15"/>
  <c r="HE11" i="15"/>
  <c r="HE10" i="15"/>
  <c r="HE9" i="15"/>
  <c r="HE7" i="15" s="1"/>
  <c r="HE8" i="15" s="1"/>
  <c r="HE4" i="15" s="1"/>
  <c r="HE5" i="9"/>
  <c r="HE9" i="9"/>
  <c r="HE7" i="9" s="1"/>
  <c r="HE8" i="9" s="1"/>
  <c r="HE10" i="9"/>
  <c r="HE11" i="9"/>
  <c r="HE13" i="9"/>
  <c r="HE25" i="9"/>
  <c r="HE29" i="9"/>
  <c r="HE27" i="9" s="1"/>
  <c r="HE28" i="9" s="1"/>
  <c r="HE30" i="9"/>
  <c r="HE31" i="9"/>
  <c r="HE33" i="9"/>
  <c r="HE34" i="9"/>
  <c r="HE35" i="9"/>
  <c r="HE36" i="9"/>
  <c r="HE38" i="9"/>
  <c r="HE39" i="9"/>
  <c r="HE40" i="9"/>
  <c r="HE41" i="9"/>
  <c r="HE10" i="1"/>
  <c r="HE23" i="1"/>
  <c r="HE42" i="1"/>
  <c r="HE3" i="1"/>
  <c r="CX3" i="21" l="1"/>
  <c r="DS2" i="19"/>
  <c r="DV2" i="19"/>
  <c r="DA21" i="19" s="1"/>
  <c r="GA2" i="19"/>
  <c r="DY2" i="19"/>
  <c r="CU22" i="19" s="1"/>
  <c r="GG2" i="19"/>
  <c r="CU23" i="19" s="1"/>
  <c r="GJ2" i="19"/>
  <c r="BW2" i="19"/>
  <c r="BT4" i="19"/>
  <c r="CO20" i="19"/>
  <c r="Z26" i="19"/>
  <c r="CO2" i="19"/>
  <c r="AD2" i="19"/>
  <c r="E4" i="19"/>
  <c r="BT3" i="19"/>
  <c r="DA2" i="7"/>
  <c r="Z4" i="30"/>
  <c r="AE29" i="30"/>
  <c r="AE2" i="30" s="1"/>
  <c r="K17" i="30"/>
  <c r="AC2" i="30"/>
  <c r="H48" i="30"/>
  <c r="H13" i="30"/>
  <c r="K2" i="30"/>
  <c r="H2" i="30"/>
  <c r="E4" i="30"/>
  <c r="K15" i="30"/>
  <c r="DA17" i="30"/>
  <c r="CU18" i="30"/>
  <c r="W25" i="29"/>
  <c r="H2" i="29"/>
  <c r="CU2" i="29"/>
  <c r="E3" i="29"/>
  <c r="AD2" i="29"/>
  <c r="AE29" i="29"/>
  <c r="AE2" i="29" s="1"/>
  <c r="AC2" i="29"/>
  <c r="W4" i="29"/>
  <c r="DM2" i="29"/>
  <c r="DJ2" i="29"/>
  <c r="CU17" i="29" s="1"/>
  <c r="DG2" i="29"/>
  <c r="DA16" i="29" s="1"/>
  <c r="DA2" i="29" s="1"/>
  <c r="DD2" i="29"/>
  <c r="E3" i="28"/>
  <c r="W25" i="28"/>
  <c r="H2" i="28"/>
  <c r="CU2" i="28"/>
  <c r="AD2" i="28"/>
  <c r="AE29" i="28"/>
  <c r="AE2" i="28" s="1"/>
  <c r="AC2" i="28"/>
  <c r="W4" i="28"/>
  <c r="DM2" i="28"/>
  <c r="DJ2" i="28"/>
  <c r="CU17" i="28" s="1"/>
  <c r="DG2" i="28"/>
  <c r="DA16" i="28" s="1"/>
  <c r="DA2" i="28" s="1"/>
  <c r="DD2" i="28"/>
  <c r="CU2" i="24"/>
  <c r="CX4" i="24"/>
  <c r="BW2" i="24"/>
  <c r="W25" i="24"/>
  <c r="K2" i="24"/>
  <c r="CR2" i="21"/>
  <c r="EN2" i="21"/>
  <c r="CU21" i="21" s="1"/>
  <c r="GS2" i="21"/>
  <c r="DA19" i="21" s="1"/>
  <c r="CX4" i="21"/>
  <c r="EH2" i="21"/>
  <c r="EK2" i="21"/>
  <c r="DA20" i="21" s="1"/>
  <c r="E4" i="21"/>
  <c r="BT3" i="20"/>
  <c r="CX4" i="20"/>
  <c r="BT4" i="20"/>
  <c r="AD2" i="20"/>
  <c r="AC2" i="19"/>
  <c r="EZ2" i="19"/>
  <c r="DA18" i="19" s="1"/>
  <c r="FC2" i="19"/>
  <c r="CU19" i="19" s="1"/>
  <c r="Z4" i="24"/>
  <c r="AD2" i="24"/>
  <c r="AC27" i="24"/>
  <c r="Z3" i="24"/>
  <c r="H49" i="24"/>
  <c r="BT4" i="24"/>
  <c r="W3" i="24"/>
  <c r="AF2" i="24"/>
  <c r="CU18" i="24"/>
  <c r="DA17" i="24"/>
  <c r="CX3" i="24"/>
  <c r="BT3" i="24"/>
  <c r="FU2" i="24"/>
  <c r="FR2" i="24"/>
  <c r="CU24" i="24" s="1"/>
  <c r="FO2" i="24"/>
  <c r="DA23" i="24" s="1"/>
  <c r="FL2" i="24"/>
  <c r="AE2" i="24"/>
  <c r="H2" i="24"/>
  <c r="DY2" i="24"/>
  <c r="CU22" i="24" s="1"/>
  <c r="DV2" i="24"/>
  <c r="DA21" i="24" s="1"/>
  <c r="DS2" i="24"/>
  <c r="EB2" i="24"/>
  <c r="AE31" i="27"/>
  <c r="DG2" i="27"/>
  <c r="DA16" i="27" s="1"/>
  <c r="DA2" i="27" s="1"/>
  <c r="DD2" i="27"/>
  <c r="DM2" i="27"/>
  <c r="DJ2" i="27"/>
  <c r="CU17" i="27" s="1"/>
  <c r="CU2" i="27" s="1"/>
  <c r="GA2" i="27"/>
  <c r="GJ2" i="27"/>
  <c r="GG2" i="27"/>
  <c r="CU23" i="27" s="1"/>
  <c r="GD2" i="27"/>
  <c r="DA22" i="27" s="1"/>
  <c r="H2" i="27"/>
  <c r="E3" i="27"/>
  <c r="AC30" i="27"/>
  <c r="AC2" i="27" s="1"/>
  <c r="AE29" i="27"/>
  <c r="AE2" i="27" s="1"/>
  <c r="BZ2" i="27"/>
  <c r="DG6" i="26"/>
  <c r="DG2" i="26" s="1"/>
  <c r="DA16" i="26" s="1"/>
  <c r="DA2" i="26" s="1"/>
  <c r="CU18" i="26"/>
  <c r="DA17" i="26"/>
  <c r="GA2" i="26"/>
  <c r="GJ2" i="26"/>
  <c r="GG2" i="26"/>
  <c r="CU23" i="26" s="1"/>
  <c r="GD2" i="26"/>
  <c r="DA22" i="26" s="1"/>
  <c r="H2" i="26"/>
  <c r="W3" i="26"/>
  <c r="AD30" i="26"/>
  <c r="AD2" i="26" s="1"/>
  <c r="BZ2" i="26"/>
  <c r="AE31" i="26"/>
  <c r="AE2" i="26" s="1"/>
  <c r="AF2" i="26"/>
  <c r="W25" i="26"/>
  <c r="H2" i="25"/>
  <c r="W25" i="25"/>
  <c r="FC2" i="25"/>
  <c r="CU19" i="25" s="1"/>
  <c r="EZ2" i="25"/>
  <c r="DA18" i="25" s="1"/>
  <c r="EW2" i="25"/>
  <c r="FF2" i="25"/>
  <c r="DG5" i="25"/>
  <c r="DG2" i="25" s="1"/>
  <c r="DA16" i="25" s="1"/>
  <c r="DA2" i="25" s="1"/>
  <c r="FR2" i="25"/>
  <c r="CU24" i="25" s="1"/>
  <c r="EB2" i="25"/>
  <c r="CU18" i="25"/>
  <c r="DA17" i="25"/>
  <c r="BZ2" i="25"/>
  <c r="K2" i="25"/>
  <c r="K2" i="32"/>
  <c r="H2" i="32"/>
  <c r="DG6" i="32"/>
  <c r="DG2" i="32" s="1"/>
  <c r="DA16" i="32" s="1"/>
  <c r="DA2" i="32" s="1"/>
  <c r="BT3" i="32"/>
  <c r="AE2" i="32"/>
  <c r="CU2" i="32"/>
  <c r="CX4" i="32"/>
  <c r="AD2" i="32"/>
  <c r="AC2" i="32"/>
  <c r="DY2" i="32"/>
  <c r="CU22" i="32" s="1"/>
  <c r="BZ2" i="32"/>
  <c r="BT4" i="32"/>
  <c r="CU18" i="32"/>
  <c r="DA17" i="32"/>
  <c r="DA2" i="12"/>
  <c r="H3" i="12"/>
  <c r="W25" i="12"/>
  <c r="BZ2" i="12"/>
  <c r="CU18" i="12"/>
  <c r="DA17" i="12"/>
  <c r="AE31" i="12"/>
  <c r="AE2" i="12" s="1"/>
  <c r="FF2" i="12"/>
  <c r="FC2" i="12"/>
  <c r="CU19" i="12" s="1"/>
  <c r="EZ2" i="12"/>
  <c r="DA18" i="12" s="1"/>
  <c r="EW2" i="12"/>
  <c r="DY2" i="12"/>
  <c r="CU22" i="12" s="1"/>
  <c r="AF2" i="12"/>
  <c r="CX3" i="12"/>
  <c r="K3" i="12"/>
  <c r="H3" i="11"/>
  <c r="AD29" i="11"/>
  <c r="AD2" i="11" s="1"/>
  <c r="GG2" i="11"/>
  <c r="CU23" i="11" s="1"/>
  <c r="GD2" i="11"/>
  <c r="DA22" i="11" s="1"/>
  <c r="GA2" i="11"/>
  <c r="GJ2" i="11"/>
  <c r="BT4" i="11"/>
  <c r="DM2" i="11"/>
  <c r="DJ2" i="11"/>
  <c r="CU17" i="11" s="1"/>
  <c r="CU2" i="11" s="1"/>
  <c r="DD2" i="11"/>
  <c r="DG5" i="11"/>
  <c r="DG2" i="11" s="1"/>
  <c r="DA16" i="11" s="1"/>
  <c r="DA2" i="11" s="1"/>
  <c r="W26" i="11"/>
  <c r="BZ2" i="11"/>
  <c r="AF2" i="11"/>
  <c r="FF2" i="11"/>
  <c r="FC2" i="11"/>
  <c r="CU19" i="11" s="1"/>
  <c r="EZ2" i="11"/>
  <c r="DA18" i="11" s="1"/>
  <c r="EW2" i="11"/>
  <c r="AC30" i="11"/>
  <c r="AC2" i="11" s="1"/>
  <c r="K3" i="10"/>
  <c r="GY2" i="10"/>
  <c r="GV2" i="10"/>
  <c r="CU20" i="10" s="1"/>
  <c r="GS2" i="10"/>
  <c r="DA19" i="10" s="1"/>
  <c r="HB2" i="10"/>
  <c r="GP2" i="10"/>
  <c r="Z4" i="10"/>
  <c r="CX3" i="10"/>
  <c r="BW2" i="10"/>
  <c r="H49" i="10"/>
  <c r="H13" i="10" s="1"/>
  <c r="H3" i="10" s="1"/>
  <c r="BZ2" i="10"/>
  <c r="CU18" i="10"/>
  <c r="DA17" i="10"/>
  <c r="CX4" i="10"/>
  <c r="BT4" i="10"/>
  <c r="AE2" i="10"/>
  <c r="AD2" i="10"/>
  <c r="AC2" i="10"/>
  <c r="DP2" i="10"/>
  <c r="BT20" i="21"/>
  <c r="BT4" i="21" s="1"/>
  <c r="DG6" i="21"/>
  <c r="DG2" i="21" s="1"/>
  <c r="DM2" i="21"/>
  <c r="DJ2" i="21"/>
  <c r="CU17" i="21" s="1"/>
  <c r="DD2" i="21"/>
  <c r="BZ2" i="21"/>
  <c r="FU2" i="21"/>
  <c r="FR2" i="21"/>
  <c r="CU24" i="21" s="1"/>
  <c r="FO2" i="21"/>
  <c r="DA23" i="21" s="1"/>
  <c r="FL2" i="21"/>
  <c r="GJ2" i="21"/>
  <c r="GG2" i="21"/>
  <c r="CU23" i="21" s="1"/>
  <c r="GD2" i="21"/>
  <c r="DA22" i="21" s="1"/>
  <c r="GA2" i="21"/>
  <c r="DA17" i="20"/>
  <c r="CU18" i="20"/>
  <c r="AC31" i="20"/>
  <c r="AC2" i="20" s="1"/>
  <c r="GS2" i="20"/>
  <c r="DA19" i="20" s="1"/>
  <c r="GP2" i="20"/>
  <c r="HB2" i="20"/>
  <c r="GY2" i="20"/>
  <c r="GV2" i="20"/>
  <c r="CU20" i="20" s="1"/>
  <c r="E4" i="20"/>
  <c r="AE2" i="20"/>
  <c r="BZ2" i="20"/>
  <c r="CX3" i="20"/>
  <c r="AE2" i="19"/>
  <c r="CU14" i="19"/>
  <c r="CX3" i="19"/>
  <c r="FU2" i="19"/>
  <c r="FR2" i="19"/>
  <c r="CU24" i="19" s="1"/>
  <c r="FO2" i="19"/>
  <c r="DA23" i="19" s="1"/>
  <c r="FL2" i="19"/>
  <c r="CX4" i="19"/>
  <c r="CU15" i="19"/>
  <c r="W41" i="19"/>
  <c r="W40" i="19"/>
  <c r="DG2" i="19"/>
  <c r="BZ2" i="19"/>
  <c r="AF2" i="19"/>
  <c r="EQ2" i="19"/>
  <c r="EN2" i="19"/>
  <c r="CU21" i="19" s="1"/>
  <c r="EK2" i="19"/>
  <c r="DA20" i="19" s="1"/>
  <c r="EH2" i="19"/>
  <c r="HE26" i="18"/>
  <c r="HE24" i="18" s="1"/>
  <c r="HE6" i="18"/>
  <c r="HE4" i="18" s="1"/>
  <c r="W26" i="18"/>
  <c r="BZ2" i="18"/>
  <c r="AE29" i="18"/>
  <c r="BT4" i="18"/>
  <c r="GG2" i="18"/>
  <c r="CU23" i="18" s="1"/>
  <c r="GD2" i="18"/>
  <c r="DA22" i="18" s="1"/>
  <c r="GA2" i="18"/>
  <c r="CX3" i="18"/>
  <c r="Z4" i="18"/>
  <c r="E3" i="18"/>
  <c r="CU18" i="18"/>
  <c r="DA17" i="18"/>
  <c r="GS2" i="17"/>
  <c r="DA19" i="17" s="1"/>
  <c r="GP2" i="17"/>
  <c r="GY2" i="17"/>
  <c r="GV2" i="17"/>
  <c r="CU20" i="17" s="1"/>
  <c r="CU18" i="17"/>
  <c r="DA17" i="17"/>
  <c r="Z4" i="17"/>
  <c r="BT3" i="17"/>
  <c r="AF2" i="17"/>
  <c r="BZ2" i="17"/>
  <c r="EQ2" i="17"/>
  <c r="EN2" i="17"/>
  <c r="CU21" i="17" s="1"/>
  <c r="EK2" i="17"/>
  <c r="DA20" i="17" s="1"/>
  <c r="EH2" i="17"/>
  <c r="CX4" i="17"/>
  <c r="K2" i="17"/>
  <c r="AC31" i="17"/>
  <c r="AC2" i="17" s="1"/>
  <c r="DG5" i="17"/>
  <c r="DG2" i="17" s="1"/>
  <c r="DA16" i="17" s="1"/>
  <c r="AE2" i="16"/>
  <c r="Z4" i="16"/>
  <c r="K16" i="16"/>
  <c r="K15" i="16"/>
  <c r="K14" i="16"/>
  <c r="K2" i="16" s="1"/>
  <c r="DV2" i="16"/>
  <c r="DA21" i="16" s="1"/>
  <c r="DS2" i="16"/>
  <c r="EB2" i="16"/>
  <c r="DY2" i="16"/>
  <c r="CU22" i="16" s="1"/>
  <c r="E4" i="16"/>
  <c r="W4" i="16"/>
  <c r="W25" i="16"/>
  <c r="CU18" i="16"/>
  <c r="DA17" i="16"/>
  <c r="AC2" i="16"/>
  <c r="H49" i="16"/>
  <c r="CU18" i="7"/>
  <c r="DA17" i="7"/>
  <c r="AC30" i="7"/>
  <c r="E3" i="7"/>
  <c r="FC2" i="7"/>
  <c r="CU19" i="7" s="1"/>
  <c r="CX3" i="7"/>
  <c r="BT4" i="7"/>
  <c r="H13" i="7"/>
  <c r="AC31" i="7"/>
  <c r="DG2" i="8"/>
  <c r="DA16" i="8" s="1"/>
  <c r="K16" i="8"/>
  <c r="K2" i="8" s="1"/>
  <c r="E3" i="8"/>
  <c r="BT3" i="8"/>
  <c r="AC30" i="8"/>
  <c r="AC2" i="8" s="1"/>
  <c r="FF2" i="8"/>
  <c r="AE2" i="8"/>
  <c r="CU18" i="8"/>
  <c r="DA17" i="8"/>
  <c r="CX4" i="8"/>
  <c r="K17" i="8"/>
  <c r="GJ2" i="8"/>
  <c r="GG2" i="8"/>
  <c r="CU23" i="8" s="1"/>
  <c r="GD2" i="8"/>
  <c r="DA22" i="8" s="1"/>
  <c r="GA2" i="8"/>
  <c r="K2" i="6"/>
  <c r="HE6" i="6"/>
  <c r="HE4" i="6" s="1"/>
  <c r="HE26" i="6"/>
  <c r="HE24" i="6" s="1"/>
  <c r="E4" i="6"/>
  <c r="Z3" i="6"/>
  <c r="DA2" i="6"/>
  <c r="DM2" i="6"/>
  <c r="DJ2" i="6"/>
  <c r="CU17" i="6" s="1"/>
  <c r="DG2" i="6"/>
  <c r="DA16" i="6" s="1"/>
  <c r="DD2" i="6"/>
  <c r="AD2" i="6"/>
  <c r="FF2" i="6"/>
  <c r="EW2" i="6"/>
  <c r="FC2" i="6"/>
  <c r="CU19" i="6" s="1"/>
  <c r="EZ2" i="6"/>
  <c r="DA18" i="6" s="1"/>
  <c r="HE37" i="9"/>
  <c r="HE42" i="9" s="1"/>
  <c r="HE23" i="9" s="1"/>
  <c r="HE3" i="9"/>
  <c r="HE37" i="15"/>
  <c r="HE42" i="15" s="1"/>
  <c r="CC29" i="9"/>
  <c r="CC28" i="9"/>
  <c r="CI12" i="9"/>
  <c r="CI11" i="9"/>
  <c r="CF29" i="9"/>
  <c r="CF28" i="9"/>
  <c r="CF12" i="9"/>
  <c r="CF11" i="9"/>
  <c r="CC12" i="9"/>
  <c r="CC11" i="9"/>
  <c r="BK33" i="9"/>
  <c r="BK32" i="9"/>
  <c r="BQ14" i="9"/>
  <c r="BQ13" i="9"/>
  <c r="BN33" i="9"/>
  <c r="BN32" i="9"/>
  <c r="BN14" i="9"/>
  <c r="BN13" i="9"/>
  <c r="BK14" i="9"/>
  <c r="BB32" i="9"/>
  <c r="BB31" i="9"/>
  <c r="BH13" i="9"/>
  <c r="BH12" i="9"/>
  <c r="BE32" i="9"/>
  <c r="BE31" i="9"/>
  <c r="BE13" i="9"/>
  <c r="BE12" i="9"/>
  <c r="BB13" i="9"/>
  <c r="AJ32" i="9"/>
  <c r="AJ31" i="9"/>
  <c r="AP13" i="9"/>
  <c r="AP12" i="9"/>
  <c r="AM32" i="9"/>
  <c r="AM31" i="9"/>
  <c r="AM13" i="9"/>
  <c r="AM12" i="9"/>
  <c r="AJ13" i="9"/>
  <c r="AJ12" i="9"/>
  <c r="BK13" i="9"/>
  <c r="BB12" i="9"/>
  <c r="AS12" i="9"/>
  <c r="AS32" i="9"/>
  <c r="AS31" i="9"/>
  <c r="AY13" i="9"/>
  <c r="AY12" i="9"/>
  <c r="AV32" i="9"/>
  <c r="AV31" i="9"/>
  <c r="AV13" i="9"/>
  <c r="AV12" i="9"/>
  <c r="AS13" i="9"/>
  <c r="Q32" i="9"/>
  <c r="Q31" i="9"/>
  <c r="N32" i="9"/>
  <c r="N31" i="9"/>
  <c r="T13" i="9"/>
  <c r="T12" i="9"/>
  <c r="Q13" i="9"/>
  <c r="Q12" i="9"/>
  <c r="N13" i="9"/>
  <c r="N12" i="9"/>
  <c r="H69" i="9"/>
  <c r="H68" i="9"/>
  <c r="H66" i="9"/>
  <c r="H65" i="9"/>
  <c r="H64" i="9"/>
  <c r="H62" i="9"/>
  <c r="H61" i="9"/>
  <c r="H60" i="9"/>
  <c r="H57" i="9"/>
  <c r="H56" i="9"/>
  <c r="H55" i="9"/>
  <c r="K52" i="9"/>
  <c r="H52" i="9"/>
  <c r="K51" i="9"/>
  <c r="H51" i="9"/>
  <c r="DA50" i="9"/>
  <c r="K50" i="9"/>
  <c r="K48" i="9" s="1"/>
  <c r="DA49" i="9"/>
  <c r="K49" i="9"/>
  <c r="K47" i="9" s="1"/>
  <c r="E53" i="9"/>
  <c r="CU48" i="9"/>
  <c r="E52" i="9"/>
  <c r="CU47" i="9"/>
  <c r="H47" i="9"/>
  <c r="H45" i="9" s="1"/>
  <c r="H46" i="9"/>
  <c r="H44" i="9" s="1"/>
  <c r="E50" i="9"/>
  <c r="DA45" i="9"/>
  <c r="E49" i="9"/>
  <c r="E48" i="9"/>
  <c r="DA43" i="9"/>
  <c r="E47" i="9"/>
  <c r="DA42" i="9"/>
  <c r="Z43" i="9"/>
  <c r="E46" i="9"/>
  <c r="DA41" i="9"/>
  <c r="Z42" i="9"/>
  <c r="H41" i="9"/>
  <c r="DA40" i="9"/>
  <c r="CU40" i="9"/>
  <c r="DA39" i="9"/>
  <c r="CU39" i="9"/>
  <c r="DA38" i="9"/>
  <c r="CU38" i="9"/>
  <c r="K38" i="9"/>
  <c r="H38" i="9"/>
  <c r="DA37" i="9"/>
  <c r="CU37" i="9"/>
  <c r="K37" i="9"/>
  <c r="H37" i="9"/>
  <c r="DA36" i="9"/>
  <c r="CU36" i="9"/>
  <c r="Z37" i="9"/>
  <c r="W37" i="9"/>
  <c r="K36" i="9"/>
  <c r="H36" i="9"/>
  <c r="DA35" i="9"/>
  <c r="CU35" i="9"/>
  <c r="BZ35" i="9"/>
  <c r="BN35" i="9"/>
  <c r="BK35" i="9"/>
  <c r="BE35" i="9"/>
  <c r="BB35" i="9"/>
  <c r="AV35" i="9"/>
  <c r="AS35" i="9"/>
  <c r="AM35" i="9"/>
  <c r="AJ35" i="9"/>
  <c r="Z36" i="9"/>
  <c r="W36" i="9"/>
  <c r="K35" i="9"/>
  <c r="H35" i="9"/>
  <c r="E37" i="9"/>
  <c r="DA34" i="9"/>
  <c r="CU34" i="9"/>
  <c r="BZ34" i="9"/>
  <c r="BN34" i="9"/>
  <c r="BK34" i="9"/>
  <c r="BE34" i="9"/>
  <c r="BB34" i="9"/>
  <c r="AV34" i="9"/>
  <c r="AS34" i="9"/>
  <c r="AM34" i="9"/>
  <c r="AJ34" i="9"/>
  <c r="Z35" i="9"/>
  <c r="W35" i="9"/>
  <c r="Q35" i="9"/>
  <c r="N35" i="9"/>
  <c r="K34" i="9"/>
  <c r="H34" i="9"/>
  <c r="E36" i="9"/>
  <c r="DA33" i="9"/>
  <c r="CU33" i="9"/>
  <c r="CU43" i="9" s="1"/>
  <c r="CO33" i="9"/>
  <c r="CO32" i="9" s="1"/>
  <c r="BE33" i="9"/>
  <c r="BB33" i="9"/>
  <c r="AV33" i="9"/>
  <c r="AS33" i="9"/>
  <c r="AM33" i="9"/>
  <c r="AJ33" i="9"/>
  <c r="AF33" i="9"/>
  <c r="Z34" i="9"/>
  <c r="W34" i="9"/>
  <c r="Q34" i="9"/>
  <c r="N34" i="9"/>
  <c r="K33" i="9"/>
  <c r="K43" i="9" s="1"/>
  <c r="H33" i="9"/>
  <c r="E35" i="9"/>
  <c r="DA32" i="9"/>
  <c r="CU32" i="9"/>
  <c r="Z33" i="9"/>
  <c r="W33" i="9"/>
  <c r="Q33" i="9"/>
  <c r="N33" i="9"/>
  <c r="K32" i="9"/>
  <c r="H32" i="9"/>
  <c r="E34" i="9"/>
  <c r="DA31" i="9"/>
  <c r="CU31" i="9"/>
  <c r="CO31" i="9"/>
  <c r="BW31" i="9"/>
  <c r="BN31" i="9"/>
  <c r="BK31" i="9"/>
  <c r="Z32" i="9"/>
  <c r="Z28" i="9" s="1"/>
  <c r="W32" i="9"/>
  <c r="W28" i="9" s="1"/>
  <c r="K31" i="9"/>
  <c r="H31" i="9"/>
  <c r="E33" i="9"/>
  <c r="DG10" i="9"/>
  <c r="DA30" i="9"/>
  <c r="CU30" i="9"/>
  <c r="CO30" i="9"/>
  <c r="CF31" i="9"/>
  <c r="CC31" i="9"/>
  <c r="BZ30" i="9"/>
  <c r="BW30" i="9"/>
  <c r="BN30" i="9"/>
  <c r="BK30" i="9"/>
  <c r="BE30" i="9"/>
  <c r="BB30" i="9"/>
  <c r="AS30" i="9"/>
  <c r="AM30" i="9"/>
  <c r="AJ30" i="9"/>
  <c r="Z31" i="9"/>
  <c r="W31" i="9"/>
  <c r="K30" i="9"/>
  <c r="H30" i="9"/>
  <c r="DA29" i="9"/>
  <c r="CU29" i="9"/>
  <c r="CO29" i="9"/>
  <c r="CF30" i="9"/>
  <c r="CC30" i="9"/>
  <c r="BN29" i="9"/>
  <c r="BK29" i="9"/>
  <c r="BE29" i="9"/>
  <c r="BE25" i="9" s="1"/>
  <c r="BB29" i="9"/>
  <c r="BB25" i="9" s="1"/>
  <c r="AV29" i="9"/>
  <c r="AV25" i="9" s="1"/>
  <c r="AS29" i="9"/>
  <c r="AS25" i="9" s="1"/>
  <c r="AM29" i="9"/>
  <c r="AM25" i="9" s="1"/>
  <c r="AJ29" i="9"/>
  <c r="AJ25" i="9" s="1"/>
  <c r="Z30" i="9"/>
  <c r="Z29" i="9" s="1"/>
  <c r="W30" i="9"/>
  <c r="W29" i="9" s="1"/>
  <c r="Q30" i="9"/>
  <c r="N30" i="9"/>
  <c r="K29" i="9"/>
  <c r="H29" i="9"/>
  <c r="DA28" i="9"/>
  <c r="CU28" i="9"/>
  <c r="CO28" i="9"/>
  <c r="BE28" i="9"/>
  <c r="BB28" i="9"/>
  <c r="AV28" i="9"/>
  <c r="AS28" i="9"/>
  <c r="AM28" i="9"/>
  <c r="AJ28" i="9"/>
  <c r="Q29" i="9"/>
  <c r="Q25" i="9" s="1"/>
  <c r="N29" i="9"/>
  <c r="N25" i="9" s="1"/>
  <c r="H28" i="9"/>
  <c r="HB27" i="9"/>
  <c r="GM27" i="9"/>
  <c r="FI27" i="9"/>
  <c r="ET27" i="9"/>
  <c r="EE27" i="9"/>
  <c r="DA27" i="9"/>
  <c r="CU27" i="9"/>
  <c r="CO27" i="9"/>
  <c r="CO25" i="9" s="1"/>
  <c r="BZ27" i="9"/>
  <c r="BN27" i="9"/>
  <c r="BN26" i="9" s="1"/>
  <c r="BK27" i="9"/>
  <c r="BK26" i="9" s="1"/>
  <c r="BE27" i="9"/>
  <c r="BE26" i="9" s="1"/>
  <c r="BB27" i="9"/>
  <c r="BB26" i="9" s="1"/>
  <c r="AV27" i="9"/>
  <c r="AV26" i="9" s="1"/>
  <c r="AS27" i="9"/>
  <c r="AS26" i="9" s="1"/>
  <c r="AM27" i="9"/>
  <c r="AM26" i="9" s="1"/>
  <c r="AJ27" i="9"/>
  <c r="AJ26" i="9" s="1"/>
  <c r="Q28" i="9"/>
  <c r="N28" i="9"/>
  <c r="K27" i="9"/>
  <c r="H27" i="9"/>
  <c r="HB26" i="9"/>
  <c r="HB24" i="9" s="1"/>
  <c r="GM26" i="9"/>
  <c r="GM24" i="9" s="1"/>
  <c r="FI26" i="9"/>
  <c r="ET26" i="9"/>
  <c r="ET24" i="9" s="1"/>
  <c r="EE26" i="9"/>
  <c r="EE24" i="9" s="1"/>
  <c r="DP26" i="9"/>
  <c r="DP24" i="9" s="1"/>
  <c r="CX26" i="9"/>
  <c r="CO26" i="9"/>
  <c r="CO24" i="9" s="1"/>
  <c r="CL26" i="9"/>
  <c r="CF27" i="9"/>
  <c r="CF23" i="9" s="1"/>
  <c r="CC27" i="9"/>
  <c r="CC23" i="9" s="1"/>
  <c r="BZ26" i="9"/>
  <c r="BT26" i="9"/>
  <c r="Z27" i="9"/>
  <c r="W27" i="9"/>
  <c r="Q27" i="9"/>
  <c r="Q26" i="9" s="1"/>
  <c r="N27" i="9"/>
  <c r="N26" i="9" s="1"/>
  <c r="K26" i="9"/>
  <c r="H26" i="9"/>
  <c r="E26" i="9"/>
  <c r="HB25" i="9"/>
  <c r="HB23" i="9" s="1"/>
  <c r="GM25" i="9"/>
  <c r="GM23" i="9" s="1"/>
  <c r="FI25" i="9"/>
  <c r="FI23" i="9" s="1"/>
  <c r="ET25" i="9"/>
  <c r="ET23" i="9" s="1"/>
  <c r="EE25" i="9"/>
  <c r="EE23" i="9" s="1"/>
  <c r="DG25" i="9"/>
  <c r="CX25" i="9"/>
  <c r="CL25" i="9"/>
  <c r="CF26" i="9"/>
  <c r="CC26" i="9"/>
  <c r="BZ25" i="9"/>
  <c r="BW25" i="9"/>
  <c r="BT25" i="9"/>
  <c r="AG25" i="9"/>
  <c r="AG24" i="9" s="1"/>
  <c r="AF25" i="9"/>
  <c r="AF24" i="9" s="1"/>
  <c r="AE25" i="9"/>
  <c r="AE24" i="9" s="1"/>
  <c r="AD25" i="9"/>
  <c r="AD24" i="9" s="1"/>
  <c r="AC25" i="9"/>
  <c r="AC24" i="9" s="1"/>
  <c r="E25" i="9"/>
  <c r="CX24" i="9"/>
  <c r="CR24" i="9"/>
  <c r="CL24" i="9"/>
  <c r="CF25" i="9"/>
  <c r="CF24" i="9" s="1"/>
  <c r="CC25" i="9"/>
  <c r="CC24" i="9" s="1"/>
  <c r="BZ24" i="9"/>
  <c r="BW24" i="9"/>
  <c r="BT24" i="9"/>
  <c r="BN24" i="9"/>
  <c r="BK24" i="9"/>
  <c r="BE24" i="9"/>
  <c r="BB24" i="9"/>
  <c r="AV24" i="9"/>
  <c r="AS24" i="9"/>
  <c r="AM24" i="9"/>
  <c r="AJ24" i="9"/>
  <c r="K24" i="9"/>
  <c r="H24" i="9"/>
  <c r="E24" i="9"/>
  <c r="CX23" i="9"/>
  <c r="CO23" i="9"/>
  <c r="CR23" i="9" s="1"/>
  <c r="CL23" i="9"/>
  <c r="BZ23" i="9"/>
  <c r="BW23" i="9"/>
  <c r="BT23" i="9"/>
  <c r="Q24" i="9"/>
  <c r="N24" i="9"/>
  <c r="K23" i="9"/>
  <c r="H23" i="9"/>
  <c r="E23" i="9"/>
  <c r="HB22" i="9"/>
  <c r="HB16" i="9" s="1"/>
  <c r="GM22" i="9"/>
  <c r="GM16" i="9" s="1"/>
  <c r="FI22" i="9"/>
  <c r="FI16" i="9" s="1"/>
  <c r="ET22" i="9"/>
  <c r="ET16" i="9" s="1"/>
  <c r="EE22" i="9"/>
  <c r="EE16" i="9" s="1"/>
  <c r="DP22" i="9"/>
  <c r="DP16" i="9" s="1"/>
  <c r="DG22" i="9"/>
  <c r="BZ22" i="9"/>
  <c r="BW22" i="9"/>
  <c r="BT22" i="9"/>
  <c r="AG22" i="9"/>
  <c r="AF22" i="9"/>
  <c r="AE22" i="9"/>
  <c r="AD22" i="9"/>
  <c r="AC22" i="9"/>
  <c r="K22" i="9"/>
  <c r="H67" i="9"/>
  <c r="H63" i="9" s="1"/>
  <c r="HB21" i="9"/>
  <c r="GM21" i="9"/>
  <c r="FI21" i="9"/>
  <c r="ET21" i="9"/>
  <c r="EE21" i="9"/>
  <c r="DP21" i="9"/>
  <c r="DG21" i="9"/>
  <c r="DD21" i="9"/>
  <c r="CF22" i="9"/>
  <c r="CC22" i="9"/>
  <c r="BZ21" i="9"/>
  <c r="BW21" i="9"/>
  <c r="AG21" i="9"/>
  <c r="AF21" i="9"/>
  <c r="AE21" i="9"/>
  <c r="AD21" i="9"/>
  <c r="AC21" i="9"/>
  <c r="K21" i="9"/>
  <c r="DD20" i="9"/>
  <c r="BZ20" i="9"/>
  <c r="BW20" i="9"/>
  <c r="AG20" i="9"/>
  <c r="AF20" i="9"/>
  <c r="AE20" i="9"/>
  <c r="AD20" i="9"/>
  <c r="AC20" i="9"/>
  <c r="H20" i="9"/>
  <c r="HB19" i="9"/>
  <c r="GM19" i="9"/>
  <c r="FI19" i="9"/>
  <c r="ET19" i="9"/>
  <c r="EE19" i="9"/>
  <c r="DP19" i="9"/>
  <c r="DP11" i="9" s="1"/>
  <c r="DG19" i="9"/>
  <c r="DD19" i="9"/>
  <c r="BZ19" i="9"/>
  <c r="BW19" i="9"/>
  <c r="AG19" i="9"/>
  <c r="AF19" i="9"/>
  <c r="AE19" i="9"/>
  <c r="AD19" i="9"/>
  <c r="AC19" i="9"/>
  <c r="H19" i="9"/>
  <c r="AE32" i="9"/>
  <c r="HB18" i="9"/>
  <c r="GM18" i="9"/>
  <c r="GA18" i="9"/>
  <c r="FL18" i="9"/>
  <c r="FI18" i="9"/>
  <c r="EW18" i="9"/>
  <c r="ET18" i="9"/>
  <c r="EH18" i="9"/>
  <c r="EE18" i="9"/>
  <c r="DS18" i="9"/>
  <c r="DP18" i="9"/>
  <c r="DG18" i="9"/>
  <c r="CX18" i="9"/>
  <c r="BZ18" i="9"/>
  <c r="BW18" i="9"/>
  <c r="AG18" i="9"/>
  <c r="AF18" i="9"/>
  <c r="AE18" i="9"/>
  <c r="AD18" i="9"/>
  <c r="AC18" i="9"/>
  <c r="H18" i="9"/>
  <c r="E18" i="9"/>
  <c r="HB17" i="9"/>
  <c r="GP17" i="9"/>
  <c r="GM17" i="9"/>
  <c r="GA17" i="9"/>
  <c r="FL17" i="9"/>
  <c r="FI17" i="9"/>
  <c r="EW17" i="9"/>
  <c r="ET17" i="9"/>
  <c r="EH17" i="9"/>
  <c r="EE17" i="9"/>
  <c r="DY17" i="9"/>
  <c r="DY16" i="9" s="1"/>
  <c r="DS17" i="9"/>
  <c r="DP17" i="9"/>
  <c r="DG17" i="9"/>
  <c r="CX17" i="9"/>
  <c r="BW17" i="9"/>
  <c r="BT17" i="9"/>
  <c r="H17" i="9"/>
  <c r="E17" i="9"/>
  <c r="BT16" i="9" s="1"/>
  <c r="GV16" i="9"/>
  <c r="GV15" i="9" s="1"/>
  <c r="GP16" i="9"/>
  <c r="GG16" i="9"/>
  <c r="GG15" i="9" s="1"/>
  <c r="FC16" i="9"/>
  <c r="FC15" i="9" s="1"/>
  <c r="EN16" i="9"/>
  <c r="EN15" i="9" s="1"/>
  <c r="DD16" i="9"/>
  <c r="CX16" i="9"/>
  <c r="CO16" i="9"/>
  <c r="CO15" i="9" s="1"/>
  <c r="BQ16" i="9"/>
  <c r="BN16" i="9"/>
  <c r="BK16" i="9"/>
  <c r="BH16" i="9"/>
  <c r="BE16" i="9"/>
  <c r="BB16" i="9"/>
  <c r="AY16" i="9"/>
  <c r="AV16" i="9"/>
  <c r="AS16" i="9"/>
  <c r="AP16" i="9"/>
  <c r="AM16" i="9"/>
  <c r="AJ16" i="9"/>
  <c r="AG16" i="9"/>
  <c r="AF16" i="9"/>
  <c r="AE16" i="9"/>
  <c r="AD16" i="9"/>
  <c r="AC16" i="9"/>
  <c r="T16" i="9"/>
  <c r="Q16" i="9"/>
  <c r="N16" i="9"/>
  <c r="HB15" i="9"/>
  <c r="GM15" i="9"/>
  <c r="GA15" i="9"/>
  <c r="FL15" i="9"/>
  <c r="FI15" i="9"/>
  <c r="EW15" i="9"/>
  <c r="ET15" i="9"/>
  <c r="EH15" i="9"/>
  <c r="EE15" i="9"/>
  <c r="DY15" i="9"/>
  <c r="DS15" i="9"/>
  <c r="DP15" i="9"/>
  <c r="DG15" i="9"/>
  <c r="DD15" i="9"/>
  <c r="CX15" i="9"/>
  <c r="BW15" i="9"/>
  <c r="BT15" i="9"/>
  <c r="BQ15" i="9"/>
  <c r="BN15" i="9"/>
  <c r="BK15" i="9"/>
  <c r="BH15" i="9"/>
  <c r="BE15" i="9"/>
  <c r="BB15" i="9"/>
  <c r="AY15" i="9"/>
  <c r="AV15" i="9"/>
  <c r="AS15" i="9"/>
  <c r="AP15" i="9"/>
  <c r="AM15" i="9"/>
  <c r="AJ15" i="9"/>
  <c r="AG15" i="9"/>
  <c r="AF15" i="9"/>
  <c r="AE15" i="9"/>
  <c r="AD15" i="9"/>
  <c r="AC15" i="9"/>
  <c r="Z15" i="9"/>
  <c r="W15" i="9"/>
  <c r="T15" i="9"/>
  <c r="Q15" i="9"/>
  <c r="N15" i="9"/>
  <c r="E15" i="9"/>
  <c r="HB14" i="9"/>
  <c r="GV14" i="9"/>
  <c r="GP14" i="9"/>
  <c r="GM14" i="9"/>
  <c r="GG14" i="9"/>
  <c r="FI14" i="9"/>
  <c r="FC14" i="9"/>
  <c r="ET14" i="9"/>
  <c r="EN14" i="9"/>
  <c r="EE14" i="9"/>
  <c r="EB14" i="9"/>
  <c r="DY14" i="9"/>
  <c r="DP14" i="9"/>
  <c r="DG14" i="9"/>
  <c r="DD14" i="9"/>
  <c r="CX14" i="9"/>
  <c r="CO14" i="9"/>
  <c r="CI14" i="9"/>
  <c r="CF14" i="9"/>
  <c r="CC14" i="9"/>
  <c r="BW14" i="9"/>
  <c r="BT14" i="9"/>
  <c r="BH14" i="9"/>
  <c r="BE14" i="9"/>
  <c r="BB14" i="9"/>
  <c r="AY14" i="9"/>
  <c r="AV14" i="9"/>
  <c r="AS14" i="9"/>
  <c r="AP14" i="9"/>
  <c r="AM14" i="9"/>
  <c r="AJ14" i="9"/>
  <c r="Z14" i="9"/>
  <c r="W14" i="9"/>
  <c r="T14" i="9"/>
  <c r="Q14" i="9"/>
  <c r="N14" i="9"/>
  <c r="E14" i="9"/>
  <c r="HB13" i="9"/>
  <c r="GY13" i="9"/>
  <c r="GV13" i="9"/>
  <c r="GP13" i="9"/>
  <c r="GM13" i="9"/>
  <c r="GJ13" i="9"/>
  <c r="GG13" i="9"/>
  <c r="GA13" i="9"/>
  <c r="FL13" i="9"/>
  <c r="FI13" i="9"/>
  <c r="FF13" i="9"/>
  <c r="FC13" i="9"/>
  <c r="EW13" i="9"/>
  <c r="ET13" i="9"/>
  <c r="EQ13" i="9"/>
  <c r="EN13" i="9"/>
  <c r="EH13" i="9"/>
  <c r="EE13" i="9"/>
  <c r="EB13" i="9"/>
  <c r="DY13" i="9"/>
  <c r="DP13" i="9"/>
  <c r="DG13" i="9"/>
  <c r="DD13" i="9"/>
  <c r="CX13" i="9"/>
  <c r="CU13" i="9"/>
  <c r="CO13" i="9"/>
  <c r="CI13" i="9"/>
  <c r="CF13" i="9"/>
  <c r="CC13" i="9"/>
  <c r="BT13" i="9"/>
  <c r="AG13" i="9"/>
  <c r="AF13" i="9"/>
  <c r="AE13" i="9"/>
  <c r="AD13" i="9"/>
  <c r="AC13" i="9"/>
  <c r="Z13" i="9"/>
  <c r="W13" i="9"/>
  <c r="K13" i="9"/>
  <c r="K12" i="9" s="1"/>
  <c r="E13" i="9"/>
  <c r="HB12" i="9"/>
  <c r="GY12" i="9"/>
  <c r="GV12" i="9"/>
  <c r="GP12" i="9"/>
  <c r="GM12" i="9"/>
  <c r="GJ12" i="9"/>
  <c r="GG12" i="9"/>
  <c r="GA12" i="9"/>
  <c r="FL12" i="9"/>
  <c r="FI12" i="9"/>
  <c r="FF12" i="9"/>
  <c r="FC12" i="9"/>
  <c r="EW12" i="9"/>
  <c r="ET12" i="9"/>
  <c r="EQ12" i="9"/>
  <c r="EN12" i="9"/>
  <c r="EH12" i="9"/>
  <c r="EE12" i="9"/>
  <c r="EB12" i="9"/>
  <c r="DY12" i="9"/>
  <c r="DS12" i="9"/>
  <c r="DP12" i="9"/>
  <c r="DG12" i="9"/>
  <c r="DD12" i="9"/>
  <c r="DA12" i="9"/>
  <c r="DA11" i="9" s="1"/>
  <c r="CU12" i="9"/>
  <c r="CO12" i="9"/>
  <c r="BZ12" i="9"/>
  <c r="BZ11" i="9" s="1"/>
  <c r="BT12" i="9"/>
  <c r="BQ12" i="9"/>
  <c r="BN12" i="9"/>
  <c r="BK12" i="9"/>
  <c r="AG12" i="9"/>
  <c r="AF12" i="9"/>
  <c r="Z12" i="9"/>
  <c r="W12" i="9"/>
  <c r="HB11" i="9"/>
  <c r="GY11" i="9"/>
  <c r="GV11" i="9"/>
  <c r="GP11" i="9"/>
  <c r="GM11" i="9"/>
  <c r="GJ11" i="9"/>
  <c r="GG11" i="9"/>
  <c r="GA11" i="9"/>
  <c r="FL11" i="9"/>
  <c r="FI11" i="9"/>
  <c r="FF11" i="9"/>
  <c r="FC11" i="9"/>
  <c r="EW11" i="9"/>
  <c r="ET11" i="9"/>
  <c r="EQ11" i="9"/>
  <c r="EN11" i="9"/>
  <c r="EH11" i="9"/>
  <c r="DS11" i="9"/>
  <c r="DJ11" i="9"/>
  <c r="DJ10" i="9" s="1"/>
  <c r="CX11" i="9"/>
  <c r="CO11" i="9"/>
  <c r="BT11" i="9"/>
  <c r="BQ11" i="9"/>
  <c r="BN11" i="9"/>
  <c r="BK11" i="9"/>
  <c r="BH11" i="9"/>
  <c r="BE11" i="9"/>
  <c r="BB11" i="9"/>
  <c r="AY11" i="9"/>
  <c r="AV11" i="9"/>
  <c r="AS11" i="9"/>
  <c r="AP11" i="9"/>
  <c r="AM11" i="9"/>
  <c r="AJ11" i="9"/>
  <c r="AG11" i="9"/>
  <c r="AF11" i="9"/>
  <c r="Z11" i="9"/>
  <c r="W11" i="9"/>
  <c r="T11" i="9"/>
  <c r="Q11" i="9"/>
  <c r="N11" i="9"/>
  <c r="E11" i="9"/>
  <c r="HB10" i="9"/>
  <c r="GY10" i="9"/>
  <c r="GV10" i="9"/>
  <c r="GP10" i="9"/>
  <c r="GM10" i="9"/>
  <c r="GJ10" i="9"/>
  <c r="GG10" i="9"/>
  <c r="GA10" i="9"/>
  <c r="FL10" i="9"/>
  <c r="FI10" i="9"/>
  <c r="FF10" i="9"/>
  <c r="FC10" i="9"/>
  <c r="EW10" i="9"/>
  <c r="ET10" i="9"/>
  <c r="EQ10" i="9"/>
  <c r="EN10" i="9"/>
  <c r="EH10" i="9"/>
  <c r="EE10" i="9"/>
  <c r="EB10" i="9"/>
  <c r="DY10" i="9"/>
  <c r="DS10" i="9"/>
  <c r="DP10" i="9"/>
  <c r="DD10" i="9"/>
  <c r="CU10" i="9"/>
  <c r="CO10" i="9"/>
  <c r="CI10" i="9"/>
  <c r="CI6" i="9" s="1"/>
  <c r="CF10" i="9"/>
  <c r="CF6" i="9" s="1"/>
  <c r="CC10" i="9"/>
  <c r="CC6" i="9" s="1"/>
  <c r="BQ10" i="9"/>
  <c r="BN10" i="9"/>
  <c r="BN9" i="9" s="1"/>
  <c r="BK10" i="9"/>
  <c r="BH10" i="9"/>
  <c r="BH6" i="9" s="1"/>
  <c r="BE10" i="9"/>
  <c r="BE6" i="9" s="1"/>
  <c r="BB10" i="9"/>
  <c r="BB6" i="9" s="1"/>
  <c r="AY10" i="9"/>
  <c r="AY6" i="9" s="1"/>
  <c r="AV10" i="9"/>
  <c r="AV6" i="9" s="1"/>
  <c r="AS10" i="9"/>
  <c r="AS6" i="9" s="1"/>
  <c r="AP10" i="9"/>
  <c r="AP6" i="9" s="1"/>
  <c r="AM10" i="9"/>
  <c r="AM6" i="9" s="1"/>
  <c r="AG10" i="9"/>
  <c r="AF10" i="9"/>
  <c r="Z10" i="9"/>
  <c r="Z6" i="9" s="1"/>
  <c r="W10" i="9"/>
  <c r="W6" i="9" s="1"/>
  <c r="T10" i="9"/>
  <c r="T6" i="9" s="1"/>
  <c r="Q10" i="9"/>
  <c r="Q6" i="9" s="1"/>
  <c r="N10" i="9"/>
  <c r="N6" i="9" s="1"/>
  <c r="K10" i="9"/>
  <c r="HB9" i="9"/>
  <c r="GY9" i="9"/>
  <c r="GV9" i="9"/>
  <c r="GP9" i="9"/>
  <c r="GM9" i="9"/>
  <c r="GJ9" i="9"/>
  <c r="GG9" i="9"/>
  <c r="GA9" i="9"/>
  <c r="FR9" i="9"/>
  <c r="FR8" i="9" s="1"/>
  <c r="FL9" i="9"/>
  <c r="FI9" i="9"/>
  <c r="FF9" i="9"/>
  <c r="FC9" i="9"/>
  <c r="EW9" i="9"/>
  <c r="ET9" i="9"/>
  <c r="EQ9" i="9"/>
  <c r="EN9" i="9"/>
  <c r="EH9" i="9"/>
  <c r="EE9" i="9"/>
  <c r="EB9" i="9"/>
  <c r="DY9" i="9"/>
  <c r="DS9" i="9"/>
  <c r="DP9" i="9"/>
  <c r="DJ9" i="9"/>
  <c r="DG9" i="9"/>
  <c r="DD9" i="9"/>
  <c r="DA9" i="9"/>
  <c r="CX9" i="9"/>
  <c r="CX10" i="9" s="1"/>
  <c r="CU9" i="9"/>
  <c r="CO9" i="9"/>
  <c r="CI9" i="9"/>
  <c r="CF9" i="9"/>
  <c r="CC9" i="9"/>
  <c r="BZ9" i="9"/>
  <c r="BW9" i="9"/>
  <c r="BH9" i="9"/>
  <c r="BE9" i="9"/>
  <c r="BB9" i="9"/>
  <c r="AY9" i="9"/>
  <c r="AV9" i="9"/>
  <c r="AS9" i="9"/>
  <c r="AP9" i="9"/>
  <c r="AM9" i="9"/>
  <c r="AJ9" i="9"/>
  <c r="AG9" i="9"/>
  <c r="AG23" i="9" s="1"/>
  <c r="AF9" i="9"/>
  <c r="AF23" i="9" s="1"/>
  <c r="AE9" i="9"/>
  <c r="AE23" i="9" s="1"/>
  <c r="AD9" i="9"/>
  <c r="AD23" i="9" s="1"/>
  <c r="AC9" i="9"/>
  <c r="Z9" i="9"/>
  <c r="W9" i="9"/>
  <c r="T9" i="9"/>
  <c r="Q9" i="9"/>
  <c r="N9" i="9"/>
  <c r="K9" i="9"/>
  <c r="H9" i="9"/>
  <c r="E9" i="9"/>
  <c r="E10" i="9" s="1"/>
  <c r="HB8" i="9"/>
  <c r="HB6" i="9" s="1"/>
  <c r="GY8" i="9"/>
  <c r="GY6" i="9" s="1"/>
  <c r="GV8" i="9"/>
  <c r="GV6" i="9" s="1"/>
  <c r="GM8" i="9"/>
  <c r="GJ8" i="9"/>
  <c r="GJ6" i="9" s="1"/>
  <c r="GG8" i="9"/>
  <c r="GG6" i="9" s="1"/>
  <c r="FI8" i="9"/>
  <c r="FI6" i="9" s="1"/>
  <c r="FF8" i="9"/>
  <c r="FF6" i="9" s="1"/>
  <c r="FC8" i="9"/>
  <c r="FC6" i="9" s="1"/>
  <c r="ET8" i="9"/>
  <c r="ET6" i="9" s="1"/>
  <c r="EQ8" i="9"/>
  <c r="EQ6" i="9" s="1"/>
  <c r="EN8" i="9"/>
  <c r="EN6" i="9" s="1"/>
  <c r="EE8" i="9"/>
  <c r="EE6" i="9" s="1"/>
  <c r="EB8" i="9"/>
  <c r="EB6" i="9" s="1"/>
  <c r="DY8" i="9"/>
  <c r="DY6" i="9" s="1"/>
  <c r="DV8" i="9"/>
  <c r="DP8" i="9"/>
  <c r="DM8" i="9"/>
  <c r="DM6" i="9" s="1"/>
  <c r="DJ8" i="9"/>
  <c r="DJ6" i="9" s="1"/>
  <c r="DG8" i="9"/>
  <c r="DA8" i="9"/>
  <c r="CX8" i="9"/>
  <c r="CU8" i="9"/>
  <c r="CO8" i="9"/>
  <c r="CO6" i="9" s="1"/>
  <c r="CL8" i="9"/>
  <c r="CI8" i="9"/>
  <c r="CI7" i="9" s="1"/>
  <c r="CF8" i="9"/>
  <c r="CF7" i="9" s="1"/>
  <c r="CC8" i="9"/>
  <c r="CC7" i="9" s="1"/>
  <c r="BZ8" i="9"/>
  <c r="BW8" i="9"/>
  <c r="BT8" i="9"/>
  <c r="BQ8" i="9"/>
  <c r="BQ7" i="9" s="1"/>
  <c r="BN8" i="9"/>
  <c r="BN7" i="9" s="1"/>
  <c r="BK8" i="9"/>
  <c r="BK7" i="9" s="1"/>
  <c r="BH8" i="9"/>
  <c r="BH7" i="9" s="1"/>
  <c r="BE8" i="9"/>
  <c r="BE7" i="9" s="1"/>
  <c r="BB8" i="9"/>
  <c r="BB7" i="9" s="1"/>
  <c r="AY8" i="9"/>
  <c r="AY7" i="9" s="1"/>
  <c r="AV8" i="9"/>
  <c r="AV7" i="9" s="1"/>
  <c r="AS8" i="9"/>
  <c r="AS7" i="9" s="1"/>
  <c r="AP8" i="9"/>
  <c r="AP7" i="9" s="1"/>
  <c r="AM8" i="9"/>
  <c r="AM7" i="9" s="1"/>
  <c r="AJ8" i="9"/>
  <c r="AJ7" i="9" s="1"/>
  <c r="AG8" i="9"/>
  <c r="AF8" i="9"/>
  <c r="AE8" i="9"/>
  <c r="AD8" i="9"/>
  <c r="AC8" i="9"/>
  <c r="Z8" i="9"/>
  <c r="Z7" i="9" s="1"/>
  <c r="W8" i="9"/>
  <c r="W7" i="9" s="1"/>
  <c r="T8" i="9"/>
  <c r="T7" i="9" s="1"/>
  <c r="Q8" i="9"/>
  <c r="Q7" i="9" s="1"/>
  <c r="N8" i="9"/>
  <c r="N7" i="9" s="1"/>
  <c r="K8" i="9"/>
  <c r="H8" i="9"/>
  <c r="E8" i="9"/>
  <c r="HB7" i="9"/>
  <c r="HB5" i="9" s="1"/>
  <c r="GY7" i="9"/>
  <c r="GY5" i="9" s="1"/>
  <c r="GV7" i="9"/>
  <c r="GV5" i="9" s="1"/>
  <c r="GM7" i="9"/>
  <c r="GM5" i="9" s="1"/>
  <c r="GJ7" i="9"/>
  <c r="GJ5" i="9" s="1"/>
  <c r="GG7" i="9"/>
  <c r="GG5" i="9" s="1"/>
  <c r="FR7" i="9"/>
  <c r="FI7" i="9"/>
  <c r="FI5" i="9" s="1"/>
  <c r="FF7" i="9"/>
  <c r="FF5" i="9" s="1"/>
  <c r="FC7" i="9"/>
  <c r="FC5" i="9" s="1"/>
  <c r="ET7" i="9"/>
  <c r="ET5" i="9" s="1"/>
  <c r="EQ7" i="9"/>
  <c r="EQ5" i="9" s="1"/>
  <c r="EN7" i="9"/>
  <c r="EN5" i="9" s="1"/>
  <c r="EE7" i="9"/>
  <c r="EE5" i="9" s="1"/>
  <c r="EB7" i="9"/>
  <c r="EB5" i="9" s="1"/>
  <c r="DY7" i="9"/>
  <c r="DY5" i="9" s="1"/>
  <c r="DJ7" i="9"/>
  <c r="DJ5" i="9" s="1"/>
  <c r="DA7" i="9"/>
  <c r="CX7" i="9"/>
  <c r="CX6" i="9" s="1"/>
  <c r="CU7" i="9"/>
  <c r="CO7" i="9"/>
  <c r="CL7" i="9"/>
  <c r="BZ7" i="9"/>
  <c r="BW7" i="9"/>
  <c r="BT7" i="9"/>
  <c r="BT6" i="9" s="1"/>
  <c r="AG7" i="9"/>
  <c r="AF7" i="9"/>
  <c r="AE7" i="9"/>
  <c r="AD7" i="9"/>
  <c r="AC7" i="9"/>
  <c r="K7" i="9"/>
  <c r="H7" i="9"/>
  <c r="E7" i="9"/>
  <c r="E6" i="9" s="1"/>
  <c r="GS6" i="9"/>
  <c r="GP6" i="9"/>
  <c r="GM6" i="9"/>
  <c r="GD6" i="9"/>
  <c r="GA6" i="9"/>
  <c r="FU6" i="9"/>
  <c r="FR6" i="9"/>
  <c r="FL6" i="9"/>
  <c r="EZ6" i="9"/>
  <c r="EW6" i="9"/>
  <c r="EK6" i="9"/>
  <c r="EH6" i="9"/>
  <c r="DV6" i="9"/>
  <c r="DS6" i="9"/>
  <c r="DD6" i="9"/>
  <c r="DA6" i="9"/>
  <c r="CU6" i="9"/>
  <c r="CR6" i="9"/>
  <c r="CL6" i="9"/>
  <c r="BZ6" i="9"/>
  <c r="BW6" i="9"/>
  <c r="AJ6" i="9"/>
  <c r="K6" i="9"/>
  <c r="H6" i="9"/>
  <c r="GS5" i="9"/>
  <c r="GP5" i="9"/>
  <c r="GD5" i="9"/>
  <c r="GA5" i="9"/>
  <c r="FX5" i="9"/>
  <c r="FX2" i="9" s="1"/>
  <c r="FU5" i="9"/>
  <c r="FR5" i="9"/>
  <c r="FO5" i="9"/>
  <c r="FL5" i="9"/>
  <c r="EZ5" i="9"/>
  <c r="EW5" i="9"/>
  <c r="EK5" i="9"/>
  <c r="EH5" i="9"/>
  <c r="DV5" i="9"/>
  <c r="DS5" i="9"/>
  <c r="DD5" i="9"/>
  <c r="DA5" i="9"/>
  <c r="CX5" i="9"/>
  <c r="CU5" i="9"/>
  <c r="CO5" i="9"/>
  <c r="CR5" i="9" s="1"/>
  <c r="CL5" i="9"/>
  <c r="CI5" i="9"/>
  <c r="CF5" i="9"/>
  <c r="CC5" i="9"/>
  <c r="BZ5" i="9"/>
  <c r="BW5" i="9"/>
  <c r="BT5" i="9"/>
  <c r="BQ5" i="9"/>
  <c r="BN5" i="9"/>
  <c r="BK5" i="9"/>
  <c r="BH5" i="9"/>
  <c r="BE5" i="9"/>
  <c r="BB5" i="9"/>
  <c r="AY5" i="9"/>
  <c r="AV5" i="9"/>
  <c r="AS5" i="9"/>
  <c r="AP5" i="9"/>
  <c r="AM5" i="9"/>
  <c r="AJ5" i="9"/>
  <c r="AG5" i="9"/>
  <c r="AF5" i="9"/>
  <c r="AE5" i="9"/>
  <c r="AD5" i="9"/>
  <c r="AC5" i="9"/>
  <c r="Z5" i="9"/>
  <c r="W5" i="9"/>
  <c r="T5" i="9"/>
  <c r="Q5" i="9"/>
  <c r="N5" i="9"/>
  <c r="K5" i="9"/>
  <c r="H5" i="9"/>
  <c r="E5" i="9"/>
  <c r="W25" i="19" l="1"/>
  <c r="HE26" i="30"/>
  <c r="HE24" i="30" s="1"/>
  <c r="HE6" i="30"/>
  <c r="HE4" i="30" s="1"/>
  <c r="DA17" i="29"/>
  <c r="CU18" i="29"/>
  <c r="HE26" i="29"/>
  <c r="HE24" i="29" s="1"/>
  <c r="HE6" i="29"/>
  <c r="HE4" i="29" s="1"/>
  <c r="DA17" i="28"/>
  <c r="CU18" i="28"/>
  <c r="HE26" i="28"/>
  <c r="HE24" i="28" s="1"/>
  <c r="HE6" i="28"/>
  <c r="HE4" i="28" s="1"/>
  <c r="BZ2" i="24"/>
  <c r="HE6" i="21"/>
  <c r="HE26" i="21"/>
  <c r="HE24" i="21" s="1"/>
  <c r="HE26" i="24"/>
  <c r="HE24" i="24" s="1"/>
  <c r="HE6" i="24"/>
  <c r="HE4" i="24" s="1"/>
  <c r="AC2" i="24"/>
  <c r="CU18" i="27"/>
  <c r="DA17" i="27"/>
  <c r="HE26" i="27"/>
  <c r="HE24" i="27" s="1"/>
  <c r="HE6" i="27"/>
  <c r="HE4" i="27" s="1"/>
  <c r="HE26" i="26"/>
  <c r="HE24" i="26" s="1"/>
  <c r="HE6" i="26"/>
  <c r="HE4" i="26" s="1"/>
  <c r="HE26" i="25"/>
  <c r="HE24" i="25" s="1"/>
  <c r="HE6" i="25"/>
  <c r="HE4" i="25" s="1"/>
  <c r="HE6" i="32"/>
  <c r="HE4" i="32" s="1"/>
  <c r="HE26" i="32"/>
  <c r="HE24" i="32" s="1"/>
  <c r="HE26" i="12"/>
  <c r="HE24" i="12" s="1"/>
  <c r="HE6" i="12"/>
  <c r="HE4" i="12" s="1"/>
  <c r="CU18" i="11"/>
  <c r="DA17" i="11"/>
  <c r="HE26" i="11"/>
  <c r="HE24" i="11" s="1"/>
  <c r="HE6" i="11"/>
  <c r="HE4" i="11" s="1"/>
  <c r="HE26" i="10"/>
  <c r="HE24" i="10" s="1"/>
  <c r="HE6" i="10"/>
  <c r="HE4" i="10" s="1"/>
  <c r="DA17" i="21"/>
  <c r="CU18" i="21"/>
  <c r="HE26" i="20"/>
  <c r="HE24" i="20" s="1"/>
  <c r="HE6" i="20"/>
  <c r="HE4" i="20" s="1"/>
  <c r="HE26" i="19"/>
  <c r="HE24" i="19" s="1"/>
  <c r="HE6" i="19"/>
  <c r="HE4" i="19" s="1"/>
  <c r="HE26" i="17"/>
  <c r="HE24" i="17" s="1"/>
  <c r="HE6" i="17"/>
  <c r="HE4" i="17" s="1"/>
  <c r="HE26" i="16"/>
  <c r="HE24" i="16" s="1"/>
  <c r="HE6" i="16"/>
  <c r="HE4" i="16" s="1"/>
  <c r="HE26" i="7"/>
  <c r="HE24" i="7" s="1"/>
  <c r="HE6" i="7"/>
  <c r="HE4" i="7" s="1"/>
  <c r="CU18" i="6"/>
  <c r="DA17" i="6"/>
  <c r="K11" i="9"/>
  <c r="DY18" i="9"/>
  <c r="GV17" i="9"/>
  <c r="GM2" i="9"/>
  <c r="AG29" i="9"/>
  <c r="CO17" i="9"/>
  <c r="DJ12" i="9"/>
  <c r="CU11" i="9"/>
  <c r="GG17" i="9"/>
  <c r="BE21" i="9"/>
  <c r="AE27" i="9"/>
  <c r="AE30" i="9" s="1"/>
  <c r="AF27" i="9"/>
  <c r="CU26" i="9"/>
  <c r="CL2" i="9"/>
  <c r="DA25" i="9"/>
  <c r="DA14" i="9" s="1"/>
  <c r="DP6" i="9"/>
  <c r="W16" i="9"/>
  <c r="BZ10" i="9"/>
  <c r="BZ15" i="9" s="1"/>
  <c r="W40" i="9"/>
  <c r="H54" i="9"/>
  <c r="H49" i="9" s="1"/>
  <c r="DP5" i="9"/>
  <c r="EW8" i="9"/>
  <c r="EW7" i="9" s="1"/>
  <c r="BN2" i="9"/>
  <c r="FL8" i="9"/>
  <c r="FL7" i="9" s="1"/>
  <c r="BH2" i="9"/>
  <c r="BK28" i="9"/>
  <c r="BK21" i="9" s="1"/>
  <c r="BB21" i="9"/>
  <c r="AF30" i="9"/>
  <c r="W41" i="9"/>
  <c r="W25" i="9" s="1"/>
  <c r="EH8" i="9"/>
  <c r="EH7" i="9" s="1"/>
  <c r="FI2" i="9"/>
  <c r="DG23" i="9"/>
  <c r="DG20" i="9" s="1"/>
  <c r="DG11" i="9" s="1"/>
  <c r="DG6" i="9" s="1"/>
  <c r="DD8" i="9"/>
  <c r="AD27" i="9"/>
  <c r="AD29" i="9" s="1"/>
  <c r="DP7" i="9"/>
  <c r="H22" i="9"/>
  <c r="BB2" i="9"/>
  <c r="EN17" i="9"/>
  <c r="AV21" i="9"/>
  <c r="Z41" i="9"/>
  <c r="H21" i="9"/>
  <c r="H12" i="9" s="1"/>
  <c r="FR10" i="9"/>
  <c r="E20" i="9"/>
  <c r="AS2" i="9"/>
  <c r="FC17" i="9"/>
  <c r="DA24" i="9"/>
  <c r="DA13" i="9" s="1"/>
  <c r="CC19" i="9"/>
  <c r="AS21" i="9"/>
  <c r="DA26" i="9"/>
  <c r="DA15" i="9" s="1"/>
  <c r="DS8" i="9"/>
  <c r="DS7" i="9" s="1"/>
  <c r="BT10" i="9"/>
  <c r="N21" i="9"/>
  <c r="T2" i="9"/>
  <c r="BQ9" i="9"/>
  <c r="BQ2" i="9" s="1"/>
  <c r="AJ2" i="9"/>
  <c r="CF19" i="9"/>
  <c r="CL20" i="9"/>
  <c r="CR20" i="9" s="1"/>
  <c r="E38" i="9"/>
  <c r="E31" i="9" s="1"/>
  <c r="CO34" i="9"/>
  <c r="DA10" i="9"/>
  <c r="Z17" i="9"/>
  <c r="Z16" i="9"/>
  <c r="Z19" i="9"/>
  <c r="AP2" i="9"/>
  <c r="K25" i="9"/>
  <c r="K19" i="9"/>
  <c r="K15" i="9"/>
  <c r="W19" i="9"/>
  <c r="W18" i="9"/>
  <c r="AV2" i="9"/>
  <c r="E22" i="9"/>
  <c r="AC23" i="9"/>
  <c r="AM2" i="9"/>
  <c r="CI2" i="9"/>
  <c r="BW16" i="9"/>
  <c r="BW12" i="9" s="1"/>
  <c r="AD31" i="9"/>
  <c r="BT21" i="9"/>
  <c r="BT19" i="9"/>
  <c r="Z18" i="9"/>
  <c r="BZ16" i="9"/>
  <c r="K16" i="9"/>
  <c r="AE31" i="9"/>
  <c r="AY2" i="9"/>
  <c r="GA8" i="9"/>
  <c r="GA7" i="9" s="1"/>
  <c r="BW13" i="9"/>
  <c r="BW10" i="9" s="1"/>
  <c r="N2" i="9"/>
  <c r="BZ17" i="9"/>
  <c r="AF29" i="9"/>
  <c r="Q2" i="9"/>
  <c r="CC2" i="9"/>
  <c r="BT9" i="9"/>
  <c r="GP8" i="9"/>
  <c r="ET2" i="9"/>
  <c r="CX12" i="9"/>
  <c r="CX21" i="9" s="1"/>
  <c r="Q21" i="9"/>
  <c r="CU25" i="9"/>
  <c r="BN28" i="9"/>
  <c r="BN21" i="9" s="1"/>
  <c r="H15" i="9"/>
  <c r="H10" i="9" s="1"/>
  <c r="H25" i="9"/>
  <c r="GP7" i="9"/>
  <c r="K28" i="9"/>
  <c r="AJ21" i="9"/>
  <c r="AG31" i="9"/>
  <c r="AM21" i="9"/>
  <c r="CX22" i="9"/>
  <c r="AF31" i="9"/>
  <c r="BE2" i="9"/>
  <c r="BK9" i="9"/>
  <c r="BK2" i="9" s="1"/>
  <c r="CF2" i="9"/>
  <c r="EE2" i="9"/>
  <c r="CX20" i="9"/>
  <c r="AG27" i="9"/>
  <c r="W38" i="9"/>
  <c r="W39" i="9"/>
  <c r="H59" i="9"/>
  <c r="H50" i="9" s="1"/>
  <c r="H16" i="9"/>
  <c r="H11" i="9" s="1"/>
  <c r="W17" i="9"/>
  <c r="DD11" i="9"/>
  <c r="E12" i="9"/>
  <c r="E21" i="9" s="1"/>
  <c r="Z38" i="9"/>
  <c r="Z39" i="9"/>
  <c r="Z40" i="9"/>
  <c r="E54" i="9"/>
  <c r="E44" i="9" s="1"/>
  <c r="DP25" i="9"/>
  <c r="DP23" i="9" s="1"/>
  <c r="AC32" i="9"/>
  <c r="H53" i="9"/>
  <c r="AD32" i="9"/>
  <c r="DM7" i="9"/>
  <c r="DM5" i="9" s="1"/>
  <c r="B34" i="21"/>
  <c r="B34" i="20"/>
  <c r="B34" i="15"/>
  <c r="B34" i="18"/>
  <c r="B34" i="17"/>
  <c r="B34" i="16"/>
  <c r="B34" i="19"/>
  <c r="B303" i="20"/>
  <c r="CX22" i="15"/>
  <c r="DS19" i="15"/>
  <c r="GP19" i="15"/>
  <c r="GA20" i="15"/>
  <c r="FL20" i="15"/>
  <c r="EW20" i="15"/>
  <c r="EH20" i="15"/>
  <c r="DS20" i="15"/>
  <c r="DS7" i="15" s="1"/>
  <c r="DD23" i="15"/>
  <c r="DA52" i="15"/>
  <c r="CX28" i="15"/>
  <c r="GP18" i="15"/>
  <c r="GA19" i="15"/>
  <c r="FL19" i="15"/>
  <c r="EW19" i="15"/>
  <c r="EH19" i="15"/>
  <c r="DD22" i="15"/>
  <c r="DA51" i="15"/>
  <c r="CX27" i="15"/>
  <c r="CU49" i="15"/>
  <c r="CU50" i="15"/>
  <c r="CL28" i="15"/>
  <c r="CL27" i="15"/>
  <c r="CL20" i="15"/>
  <c r="CL10" i="15"/>
  <c r="CL2" i="15" s="1"/>
  <c r="CL9" i="15"/>
  <c r="BW34" i="15"/>
  <c r="CC33" i="15"/>
  <c r="CF33" i="15"/>
  <c r="CI16" i="15"/>
  <c r="CF16" i="15"/>
  <c r="CC16" i="15"/>
  <c r="CF32" i="15"/>
  <c r="CC32" i="15"/>
  <c r="CI15" i="15"/>
  <c r="CF15" i="15"/>
  <c r="CC15" i="15"/>
  <c r="BZ37" i="15"/>
  <c r="BZ36" i="15"/>
  <c r="BW32" i="15"/>
  <c r="BT27" i="15"/>
  <c r="BQ9" i="14"/>
  <c r="BQ9" i="15"/>
  <c r="AM37" i="15"/>
  <c r="AV37" i="15"/>
  <c r="BE37" i="15"/>
  <c r="BN37" i="15"/>
  <c r="BQ18" i="15"/>
  <c r="BN18" i="15"/>
  <c r="BK18" i="15"/>
  <c r="BH18" i="15"/>
  <c r="BE18" i="15"/>
  <c r="BB18" i="15"/>
  <c r="AY18" i="15"/>
  <c r="AS18" i="15"/>
  <c r="AV18" i="15"/>
  <c r="AP18" i="15"/>
  <c r="AM18" i="15"/>
  <c r="AJ18" i="15"/>
  <c r="AJ36" i="15"/>
  <c r="AM36" i="15"/>
  <c r="AS36" i="15"/>
  <c r="AV36" i="15"/>
  <c r="BB36" i="15"/>
  <c r="BE36" i="15"/>
  <c r="BK36" i="15"/>
  <c r="BN36" i="15"/>
  <c r="BQ17" i="15"/>
  <c r="BN17" i="15"/>
  <c r="BK17" i="15"/>
  <c r="BH17" i="15"/>
  <c r="BE17" i="15"/>
  <c r="BB17" i="15"/>
  <c r="AY17" i="15"/>
  <c r="AV17" i="15"/>
  <c r="AS17" i="15"/>
  <c r="AP17" i="15"/>
  <c r="AM17" i="15"/>
  <c r="AJ17" i="15"/>
  <c r="AG36" i="15"/>
  <c r="AF36" i="15"/>
  <c r="AE36" i="15"/>
  <c r="AD36" i="15"/>
  <c r="AC36" i="15"/>
  <c r="AG35" i="15"/>
  <c r="AF35" i="15"/>
  <c r="AE35" i="15"/>
  <c r="AD35" i="15"/>
  <c r="AC35" i="15"/>
  <c r="Z45" i="15"/>
  <c r="W42" i="15"/>
  <c r="Z20" i="15"/>
  <c r="W20" i="15"/>
  <c r="H73" i="15"/>
  <c r="Q37" i="15"/>
  <c r="T18" i="15"/>
  <c r="Q18" i="15"/>
  <c r="N18" i="15"/>
  <c r="N2" i="15" s="1"/>
  <c r="K54" i="15"/>
  <c r="Q36" i="15"/>
  <c r="T17" i="15"/>
  <c r="Q17" i="15"/>
  <c r="N17" i="15"/>
  <c r="K53" i="15"/>
  <c r="H70" i="15"/>
  <c r="E40" i="15"/>
  <c r="E38" i="15" s="1"/>
  <c r="E54" i="15"/>
  <c r="E39" i="15"/>
  <c r="E27" i="15"/>
  <c r="H69" i="15"/>
  <c r="H68" i="15"/>
  <c r="H66" i="15"/>
  <c r="H65" i="15"/>
  <c r="H64" i="15"/>
  <c r="H62" i="15"/>
  <c r="H61" i="15"/>
  <c r="H60" i="15"/>
  <c r="H57" i="15"/>
  <c r="H56" i="15"/>
  <c r="H55" i="15"/>
  <c r="K52" i="15"/>
  <c r="H52" i="15"/>
  <c r="K51" i="15"/>
  <c r="H51" i="15"/>
  <c r="E52" i="15"/>
  <c r="DA50" i="15"/>
  <c r="K50" i="15"/>
  <c r="K48" i="15" s="1"/>
  <c r="E51" i="15"/>
  <c r="DA49" i="15"/>
  <c r="CU48" i="15"/>
  <c r="E49" i="15"/>
  <c r="CU47" i="15"/>
  <c r="H47" i="15"/>
  <c r="H45" i="15" s="1"/>
  <c r="E48" i="15"/>
  <c r="E47" i="15"/>
  <c r="DA45" i="15"/>
  <c r="E46" i="15"/>
  <c r="E45" i="15"/>
  <c r="DA43" i="15"/>
  <c r="CU43" i="15"/>
  <c r="DA42" i="15"/>
  <c r="CU42" i="15"/>
  <c r="Z43" i="15"/>
  <c r="DA41" i="15"/>
  <c r="CU41" i="15"/>
  <c r="Z42" i="15"/>
  <c r="H41" i="15"/>
  <c r="DA40" i="15"/>
  <c r="CU40" i="15"/>
  <c r="DA39" i="15"/>
  <c r="CU39" i="15"/>
  <c r="DA38" i="15"/>
  <c r="CU38" i="15"/>
  <c r="K38" i="15"/>
  <c r="H38" i="15"/>
  <c r="DA37" i="15"/>
  <c r="CU37" i="15"/>
  <c r="K37" i="15"/>
  <c r="H37" i="15"/>
  <c r="DA36" i="15"/>
  <c r="CU36" i="15"/>
  <c r="Z37" i="15"/>
  <c r="W37" i="15"/>
  <c r="K36" i="15"/>
  <c r="H36" i="15"/>
  <c r="E37" i="15"/>
  <c r="DA35" i="15"/>
  <c r="CU35" i="15"/>
  <c r="BZ35" i="15"/>
  <c r="BN35" i="15"/>
  <c r="BK35" i="15"/>
  <c r="BE35" i="15"/>
  <c r="BB35" i="15"/>
  <c r="AV35" i="15"/>
  <c r="AS35" i="15"/>
  <c r="AM35" i="15"/>
  <c r="AJ35" i="15"/>
  <c r="Z36" i="15"/>
  <c r="W36" i="15"/>
  <c r="K35" i="15"/>
  <c r="H35" i="15"/>
  <c r="E36" i="15"/>
  <c r="DA34" i="15"/>
  <c r="CU34" i="15"/>
  <c r="BZ34" i="15"/>
  <c r="BN34" i="15"/>
  <c r="BK34" i="15"/>
  <c r="BE34" i="15"/>
  <c r="BB34" i="15"/>
  <c r="AV34" i="15"/>
  <c r="AS34" i="15"/>
  <c r="AM34" i="15"/>
  <c r="AJ34" i="15"/>
  <c r="Z35" i="15"/>
  <c r="W35" i="15"/>
  <c r="Q35" i="15"/>
  <c r="N35" i="15"/>
  <c r="K34" i="15"/>
  <c r="H34" i="15"/>
  <c r="E35" i="15"/>
  <c r="DA33" i="15"/>
  <c r="CU33" i="15"/>
  <c r="CO33" i="15"/>
  <c r="CO32" i="15" s="1"/>
  <c r="BN33" i="15"/>
  <c r="BK33" i="15"/>
  <c r="BE33" i="15"/>
  <c r="BB33" i="15"/>
  <c r="AV33" i="15"/>
  <c r="AS33" i="15"/>
  <c r="AM33" i="15"/>
  <c r="AJ33" i="15"/>
  <c r="Z34" i="15"/>
  <c r="W34" i="15"/>
  <c r="Q34" i="15"/>
  <c r="N34" i="15"/>
  <c r="K33" i="15"/>
  <c r="K43" i="15" s="1"/>
  <c r="H33" i="15"/>
  <c r="E34" i="15"/>
  <c r="DA32" i="15"/>
  <c r="CU32" i="15"/>
  <c r="BN32" i="15"/>
  <c r="BK32" i="15"/>
  <c r="BE32" i="15"/>
  <c r="BB32" i="15"/>
  <c r="AV32" i="15"/>
  <c r="AS32" i="15"/>
  <c r="AM32" i="15"/>
  <c r="AJ32" i="15"/>
  <c r="Z33" i="15"/>
  <c r="W33" i="15"/>
  <c r="Q33" i="15"/>
  <c r="N33" i="15"/>
  <c r="K32" i="15"/>
  <c r="H32" i="15"/>
  <c r="E33" i="15"/>
  <c r="DA31" i="15"/>
  <c r="CU31" i="15"/>
  <c r="CO31" i="15"/>
  <c r="BW31" i="15"/>
  <c r="BN31" i="15"/>
  <c r="BK31" i="15"/>
  <c r="BE31" i="15"/>
  <c r="BB31" i="15"/>
  <c r="AV31" i="15"/>
  <c r="AS31" i="15"/>
  <c r="AM31" i="15"/>
  <c r="AJ31" i="15"/>
  <c r="Z32" i="15"/>
  <c r="Z28" i="15" s="1"/>
  <c r="W32" i="15"/>
  <c r="W28" i="15" s="1"/>
  <c r="Q32" i="15"/>
  <c r="N32" i="15"/>
  <c r="K31" i="15"/>
  <c r="H31" i="15"/>
  <c r="DA30" i="15"/>
  <c r="CU30" i="15"/>
  <c r="CO30" i="15"/>
  <c r="CF31" i="15"/>
  <c r="CC31" i="15"/>
  <c r="BZ30" i="15"/>
  <c r="BW30" i="15"/>
  <c r="BN30" i="15"/>
  <c r="BK30" i="15"/>
  <c r="BE30" i="15"/>
  <c r="BB30" i="15"/>
  <c r="AS30" i="15"/>
  <c r="AM30" i="15"/>
  <c r="AJ30" i="15"/>
  <c r="Z31" i="15"/>
  <c r="W31" i="15"/>
  <c r="Q31" i="15"/>
  <c r="N31" i="15"/>
  <c r="K30" i="15"/>
  <c r="H30" i="15"/>
  <c r="DA29" i="15"/>
  <c r="CU29" i="15"/>
  <c r="CO29" i="15"/>
  <c r="CF30" i="15"/>
  <c r="CC30" i="15"/>
  <c r="BZ29" i="15"/>
  <c r="BN29" i="15"/>
  <c r="BK29" i="15"/>
  <c r="BE29" i="15"/>
  <c r="BE25" i="15" s="1"/>
  <c r="BB29" i="15"/>
  <c r="BB25" i="15" s="1"/>
  <c r="AV29" i="15"/>
  <c r="AV25" i="15" s="1"/>
  <c r="AS29" i="15"/>
  <c r="AS25" i="15" s="1"/>
  <c r="AM29" i="15"/>
  <c r="AM25" i="15" s="1"/>
  <c r="AJ29" i="15"/>
  <c r="AJ25" i="15" s="1"/>
  <c r="Z30" i="15"/>
  <c r="Z29" i="15" s="1"/>
  <c r="W30" i="15"/>
  <c r="W29" i="15" s="1"/>
  <c r="Q30" i="15"/>
  <c r="N30" i="15"/>
  <c r="K29" i="15"/>
  <c r="H29" i="15"/>
  <c r="DA28" i="15"/>
  <c r="CU28" i="15"/>
  <c r="CO28" i="15"/>
  <c r="CF29" i="15"/>
  <c r="CC29" i="15"/>
  <c r="BZ28" i="15"/>
  <c r="BE28" i="15"/>
  <c r="BB28" i="15"/>
  <c r="AV28" i="15"/>
  <c r="AS28" i="15"/>
  <c r="AM28" i="15"/>
  <c r="AJ28" i="15"/>
  <c r="Q29" i="15"/>
  <c r="Q25" i="15" s="1"/>
  <c r="N29" i="15"/>
  <c r="N25" i="15" s="1"/>
  <c r="H28" i="15"/>
  <c r="HB27" i="15"/>
  <c r="GM27" i="15"/>
  <c r="FI27" i="15"/>
  <c r="ET27" i="15"/>
  <c r="EE27" i="15"/>
  <c r="DA27" i="15"/>
  <c r="CU27" i="15"/>
  <c r="CO27" i="15"/>
  <c r="CO25" i="15" s="1"/>
  <c r="CF28" i="15"/>
  <c r="CC28" i="15"/>
  <c r="BZ27" i="15"/>
  <c r="BN27" i="15"/>
  <c r="BN26" i="15" s="1"/>
  <c r="BK27" i="15"/>
  <c r="BK26" i="15" s="1"/>
  <c r="BE27" i="15"/>
  <c r="BE26" i="15" s="1"/>
  <c r="BB27" i="15"/>
  <c r="BB26" i="15" s="1"/>
  <c r="AV27" i="15"/>
  <c r="AV26" i="15" s="1"/>
  <c r="AS27" i="15"/>
  <c r="AS26" i="15" s="1"/>
  <c r="AM27" i="15"/>
  <c r="AM26" i="15" s="1"/>
  <c r="AJ27" i="15"/>
  <c r="AJ26" i="15" s="1"/>
  <c r="Q28" i="15"/>
  <c r="N28" i="15"/>
  <c r="K27" i="15"/>
  <c r="H27" i="15"/>
  <c r="HB26" i="15"/>
  <c r="HB24" i="15" s="1"/>
  <c r="GM26" i="15"/>
  <c r="GM24" i="15" s="1"/>
  <c r="FI26" i="15"/>
  <c r="ET26" i="15"/>
  <c r="ET24" i="15" s="1"/>
  <c r="EE26" i="15"/>
  <c r="EE24" i="15" s="1"/>
  <c r="DP26" i="15"/>
  <c r="DP24" i="15" s="1"/>
  <c r="CX26" i="15"/>
  <c r="CO26" i="15"/>
  <c r="CO24" i="15" s="1"/>
  <c r="CL26" i="15"/>
  <c r="CF27" i="15"/>
  <c r="CF23" i="15" s="1"/>
  <c r="CC27" i="15"/>
  <c r="CC23" i="15" s="1"/>
  <c r="BZ26" i="15"/>
  <c r="BT26" i="15"/>
  <c r="Z27" i="15"/>
  <c r="W27" i="15"/>
  <c r="Q27" i="15"/>
  <c r="Q26" i="15" s="1"/>
  <c r="N27" i="15"/>
  <c r="N26" i="15" s="1"/>
  <c r="K26" i="15"/>
  <c r="H26" i="15"/>
  <c r="E26" i="15"/>
  <c r="HB25" i="15"/>
  <c r="HB23" i="15" s="1"/>
  <c r="GM25" i="15"/>
  <c r="GM23" i="15" s="1"/>
  <c r="FI25" i="15"/>
  <c r="FI23" i="15" s="1"/>
  <c r="ET25" i="15"/>
  <c r="ET23" i="15" s="1"/>
  <c r="EE25" i="15"/>
  <c r="EE23" i="15" s="1"/>
  <c r="DG25" i="15"/>
  <c r="CX25" i="15"/>
  <c r="CL25" i="15"/>
  <c r="CF26" i="15"/>
  <c r="CC26" i="15"/>
  <c r="BZ25" i="15"/>
  <c r="BW25" i="15"/>
  <c r="BT25" i="15"/>
  <c r="AG25" i="15"/>
  <c r="AG24" i="15" s="1"/>
  <c r="AF25" i="15"/>
  <c r="AF24" i="15" s="1"/>
  <c r="AE25" i="15"/>
  <c r="AE24" i="15" s="1"/>
  <c r="AD25" i="15"/>
  <c r="AD24" i="15" s="1"/>
  <c r="AC25" i="15"/>
  <c r="AC24" i="15" s="1"/>
  <c r="E25" i="15"/>
  <c r="CX24" i="15"/>
  <c r="CR24" i="15"/>
  <c r="CL24" i="15"/>
  <c r="CF25" i="15"/>
  <c r="CF24" i="15" s="1"/>
  <c r="CC25" i="15"/>
  <c r="CC24" i="15" s="1"/>
  <c r="BZ24" i="15"/>
  <c r="BW24" i="15"/>
  <c r="BT24" i="15"/>
  <c r="BN24" i="15"/>
  <c r="BK24" i="15"/>
  <c r="BE24" i="15"/>
  <c r="BB24" i="15"/>
  <c r="AV24" i="15"/>
  <c r="AS24" i="15"/>
  <c r="AM24" i="15"/>
  <c r="AJ24" i="15"/>
  <c r="K24" i="15"/>
  <c r="H24" i="15"/>
  <c r="E24" i="15"/>
  <c r="CX23" i="15"/>
  <c r="CO23" i="15"/>
  <c r="CR23" i="15" s="1"/>
  <c r="CL23" i="15"/>
  <c r="BZ23" i="15"/>
  <c r="BW23" i="15"/>
  <c r="BT23" i="15"/>
  <c r="Q24" i="15"/>
  <c r="N24" i="15"/>
  <c r="K23" i="15"/>
  <c r="H23" i="15"/>
  <c r="E23" i="15"/>
  <c r="HB22" i="15"/>
  <c r="GM22" i="15"/>
  <c r="GM16" i="15" s="1"/>
  <c r="FI22" i="15"/>
  <c r="ET22" i="15"/>
  <c r="EE22" i="15"/>
  <c r="EE16" i="15" s="1"/>
  <c r="DP22" i="15"/>
  <c r="DP16" i="15" s="1"/>
  <c r="DG22" i="15"/>
  <c r="BZ22" i="15"/>
  <c r="BW22" i="15"/>
  <c r="BT22" i="15"/>
  <c r="AG22" i="15"/>
  <c r="AF22" i="15"/>
  <c r="AE22" i="15"/>
  <c r="AD22" i="15"/>
  <c r="AC22" i="15"/>
  <c r="K22" i="15"/>
  <c r="HB21" i="15"/>
  <c r="GM21" i="15"/>
  <c r="FI21" i="15"/>
  <c r="ET21" i="15"/>
  <c r="EE21" i="15"/>
  <c r="DP21" i="15"/>
  <c r="DG21" i="15"/>
  <c r="DD21" i="15"/>
  <c r="CF22" i="15"/>
  <c r="CC22" i="15"/>
  <c r="BZ21" i="15"/>
  <c r="BW21" i="15"/>
  <c r="AG21" i="15"/>
  <c r="AF21" i="15"/>
  <c r="AE21" i="15"/>
  <c r="AD21" i="15"/>
  <c r="AC21" i="15"/>
  <c r="K21" i="15"/>
  <c r="DD20" i="15"/>
  <c r="BZ20" i="15"/>
  <c r="BW20" i="15"/>
  <c r="AG20" i="15"/>
  <c r="AF20" i="15"/>
  <c r="AE20" i="15"/>
  <c r="AD20" i="15"/>
  <c r="AC20" i="15"/>
  <c r="H20" i="15"/>
  <c r="HB19" i="15"/>
  <c r="GM19" i="15"/>
  <c r="FI19" i="15"/>
  <c r="ET19" i="15"/>
  <c r="EE19" i="15"/>
  <c r="DP19" i="15"/>
  <c r="DG19" i="15"/>
  <c r="DD19" i="15"/>
  <c r="BZ19" i="15"/>
  <c r="BW19" i="15"/>
  <c r="AG19" i="15"/>
  <c r="AF19" i="15"/>
  <c r="AE19" i="15"/>
  <c r="AD19" i="15"/>
  <c r="AC19" i="15"/>
  <c r="H19" i="15"/>
  <c r="HB18" i="15"/>
  <c r="GM18" i="15"/>
  <c r="GA18" i="15"/>
  <c r="FL18" i="15"/>
  <c r="FI18" i="15"/>
  <c r="EW18" i="15"/>
  <c r="ET18" i="15"/>
  <c r="EH18" i="15"/>
  <c r="EE18" i="15"/>
  <c r="DS18" i="15"/>
  <c r="DP18" i="15"/>
  <c r="DG18" i="15"/>
  <c r="CX18" i="15"/>
  <c r="BZ18" i="15"/>
  <c r="BW18" i="15"/>
  <c r="AG18" i="15"/>
  <c r="AF18" i="15"/>
  <c r="AE18" i="15"/>
  <c r="AD18" i="15"/>
  <c r="AC18" i="15"/>
  <c r="H18" i="15"/>
  <c r="E18" i="15"/>
  <c r="HB17" i="15"/>
  <c r="GP17" i="15"/>
  <c r="GM17" i="15"/>
  <c r="GA17" i="15"/>
  <c r="FL17" i="15"/>
  <c r="FI17" i="15"/>
  <c r="EW17" i="15"/>
  <c r="ET17" i="15"/>
  <c r="EH17" i="15"/>
  <c r="EE17" i="15"/>
  <c r="DY17" i="15"/>
  <c r="DY16" i="15" s="1"/>
  <c r="DS17" i="15"/>
  <c r="DP17" i="15"/>
  <c r="DG17" i="15"/>
  <c r="CX17" i="15"/>
  <c r="CX20" i="15" s="1"/>
  <c r="BW17" i="15"/>
  <c r="BT17" i="15"/>
  <c r="AG17" i="15"/>
  <c r="AF17" i="15"/>
  <c r="AE17" i="15"/>
  <c r="AD17" i="15"/>
  <c r="AC17" i="15"/>
  <c r="H17" i="15"/>
  <c r="E17" i="15"/>
  <c r="BT16" i="15" s="1"/>
  <c r="HB16" i="15"/>
  <c r="GV16" i="15"/>
  <c r="GV15" i="15" s="1"/>
  <c r="GP16" i="15"/>
  <c r="GG16" i="15"/>
  <c r="GG15" i="15" s="1"/>
  <c r="FI16" i="15"/>
  <c r="FC16" i="15"/>
  <c r="FC15" i="15" s="1"/>
  <c r="ET16" i="15"/>
  <c r="EN16" i="15"/>
  <c r="EN15" i="15" s="1"/>
  <c r="DD16" i="15"/>
  <c r="CX16" i="15"/>
  <c r="CO16" i="15"/>
  <c r="CO15" i="15" s="1"/>
  <c r="BQ16" i="15"/>
  <c r="BN16" i="15"/>
  <c r="BK16" i="15"/>
  <c r="BH16" i="15"/>
  <c r="BE16" i="15"/>
  <c r="BB16" i="15"/>
  <c r="AY16" i="15"/>
  <c r="AV16" i="15"/>
  <c r="AS16" i="15"/>
  <c r="AP16" i="15"/>
  <c r="AM16" i="15"/>
  <c r="AJ16" i="15"/>
  <c r="AG16" i="15"/>
  <c r="AF16" i="15"/>
  <c r="AE16" i="15"/>
  <c r="AD16" i="15"/>
  <c r="AC16" i="15"/>
  <c r="T16" i="15"/>
  <c r="Q16" i="15"/>
  <c r="N16" i="15"/>
  <c r="HB15" i="15"/>
  <c r="GM15" i="15"/>
  <c r="GA15" i="15"/>
  <c r="FL15" i="15"/>
  <c r="FI15" i="15"/>
  <c r="EW15" i="15"/>
  <c r="ET15" i="15"/>
  <c r="EH15" i="15"/>
  <c r="EE15" i="15"/>
  <c r="DY15" i="15"/>
  <c r="DS15" i="15"/>
  <c r="DP15" i="15"/>
  <c r="DG15" i="15"/>
  <c r="DD15" i="15"/>
  <c r="CX15" i="15"/>
  <c r="BW15" i="15"/>
  <c r="BT15" i="15"/>
  <c r="BQ15" i="15"/>
  <c r="BN15" i="15"/>
  <c r="BK15" i="15"/>
  <c r="BH15" i="15"/>
  <c r="BE15" i="15"/>
  <c r="BB15" i="15"/>
  <c r="AY15" i="15"/>
  <c r="AV15" i="15"/>
  <c r="AS15" i="15"/>
  <c r="AP15" i="15"/>
  <c r="AM15" i="15"/>
  <c r="AJ15" i="15"/>
  <c r="AG15" i="15"/>
  <c r="AF15" i="15"/>
  <c r="AE15" i="15"/>
  <c r="AD15" i="15"/>
  <c r="AC15" i="15"/>
  <c r="Z15" i="15"/>
  <c r="W15" i="15"/>
  <c r="T15" i="15"/>
  <c r="Q15" i="15"/>
  <c r="N15" i="15"/>
  <c r="E15" i="15"/>
  <c r="HB14" i="15"/>
  <c r="GV14" i="15"/>
  <c r="GP14" i="15"/>
  <c r="GM14" i="15"/>
  <c r="GG14" i="15"/>
  <c r="FI14" i="15"/>
  <c r="FC14" i="15"/>
  <c r="ET14" i="15"/>
  <c r="EN14" i="15"/>
  <c r="EE14" i="15"/>
  <c r="EB14" i="15"/>
  <c r="DY14" i="15"/>
  <c r="DP14" i="15"/>
  <c r="DG14" i="15"/>
  <c r="DD14" i="15"/>
  <c r="CX14" i="15"/>
  <c r="CO14" i="15"/>
  <c r="CI14" i="15"/>
  <c r="CF14" i="15"/>
  <c r="CC14" i="15"/>
  <c r="BW14" i="15"/>
  <c r="BT14" i="15"/>
  <c r="BQ14" i="15"/>
  <c r="BN14" i="15"/>
  <c r="BK14" i="15"/>
  <c r="BH14" i="15"/>
  <c r="BE14" i="15"/>
  <c r="BB14" i="15"/>
  <c r="AY14" i="15"/>
  <c r="AV14" i="15"/>
  <c r="AS14" i="15"/>
  <c r="AP14" i="15"/>
  <c r="AM14" i="15"/>
  <c r="AJ14" i="15"/>
  <c r="AG14" i="15"/>
  <c r="AF14" i="15"/>
  <c r="AE14" i="15"/>
  <c r="AD14" i="15"/>
  <c r="AC14" i="15"/>
  <c r="Z14" i="15"/>
  <c r="W14" i="15"/>
  <c r="T14" i="15"/>
  <c r="Q14" i="15"/>
  <c r="N14" i="15"/>
  <c r="E14" i="15"/>
  <c r="HB13" i="15"/>
  <c r="GY13" i="15"/>
  <c r="GV13" i="15"/>
  <c r="GP13" i="15"/>
  <c r="GM13" i="15"/>
  <c r="GJ13" i="15"/>
  <c r="GG13" i="15"/>
  <c r="GA13" i="15"/>
  <c r="FL13" i="15"/>
  <c r="FI13" i="15"/>
  <c r="FF13" i="15"/>
  <c r="FC13" i="15"/>
  <c r="EW13" i="15"/>
  <c r="ET13" i="15"/>
  <c r="EQ13" i="15"/>
  <c r="EN13" i="15"/>
  <c r="EH13" i="15"/>
  <c r="EE13" i="15"/>
  <c r="EB13" i="15"/>
  <c r="DY13" i="15"/>
  <c r="DP13" i="15"/>
  <c r="DG13" i="15"/>
  <c r="DD13" i="15"/>
  <c r="CX13" i="15"/>
  <c r="CU13" i="15"/>
  <c r="CU12" i="15" s="1"/>
  <c r="CO13" i="15"/>
  <c r="CI13" i="15"/>
  <c r="CF13" i="15"/>
  <c r="CC13" i="15"/>
  <c r="BT13" i="15"/>
  <c r="BQ13" i="15"/>
  <c r="BN13" i="15"/>
  <c r="BK13" i="15"/>
  <c r="BH13" i="15"/>
  <c r="BE13" i="15"/>
  <c r="BB13" i="15"/>
  <c r="AY13" i="15"/>
  <c r="AV13" i="15"/>
  <c r="AS13" i="15"/>
  <c r="AP13" i="15"/>
  <c r="AM13" i="15"/>
  <c r="AJ13" i="15"/>
  <c r="AG13" i="15"/>
  <c r="AF13" i="15"/>
  <c r="AE13" i="15"/>
  <c r="AD13" i="15"/>
  <c r="AC13" i="15"/>
  <c r="Z13" i="15"/>
  <c r="W13" i="15"/>
  <c r="T13" i="15"/>
  <c r="Q13" i="15"/>
  <c r="N13" i="15"/>
  <c r="K13" i="15"/>
  <c r="K12" i="15" s="1"/>
  <c r="E13" i="15"/>
  <c r="HB12" i="15"/>
  <c r="GY12" i="15"/>
  <c r="GV12" i="15"/>
  <c r="GP12" i="15"/>
  <c r="GM12" i="15"/>
  <c r="GJ12" i="15"/>
  <c r="GG12" i="15"/>
  <c r="GA12" i="15"/>
  <c r="FL12" i="15"/>
  <c r="FI12" i="15"/>
  <c r="FF12" i="15"/>
  <c r="FC12" i="15"/>
  <c r="EW12" i="15"/>
  <c r="ET12" i="15"/>
  <c r="EQ12" i="15"/>
  <c r="EN12" i="15"/>
  <c r="EH12" i="15"/>
  <c r="EE12" i="15"/>
  <c r="EB12" i="15"/>
  <c r="DY12" i="15"/>
  <c r="DS12" i="15"/>
  <c r="DP12" i="15"/>
  <c r="DG12" i="15"/>
  <c r="DD12" i="15"/>
  <c r="DA12" i="15"/>
  <c r="DA11" i="15" s="1"/>
  <c r="DA10" i="15" s="1"/>
  <c r="CO12" i="15"/>
  <c r="CI12" i="15"/>
  <c r="CF12" i="15"/>
  <c r="CC12" i="15"/>
  <c r="BZ12" i="15"/>
  <c r="BZ11" i="15" s="1"/>
  <c r="BT12" i="15"/>
  <c r="BQ12" i="15"/>
  <c r="BN12" i="15"/>
  <c r="BK12" i="15"/>
  <c r="BH12" i="15"/>
  <c r="BE12" i="15"/>
  <c r="BB12" i="15"/>
  <c r="AY12" i="15"/>
  <c r="AV12" i="15"/>
  <c r="AS12" i="15"/>
  <c r="AP12" i="15"/>
  <c r="AM12" i="15"/>
  <c r="AJ12" i="15"/>
  <c r="AG12" i="15"/>
  <c r="AF12" i="15"/>
  <c r="Z12" i="15"/>
  <c r="W12" i="15"/>
  <c r="T12" i="15"/>
  <c r="Q12" i="15"/>
  <c r="N12" i="15"/>
  <c r="HB11" i="15"/>
  <c r="GY11" i="15"/>
  <c r="GV11" i="15"/>
  <c r="GP11" i="15"/>
  <c r="GM11" i="15"/>
  <c r="GJ11" i="15"/>
  <c r="GG11" i="15"/>
  <c r="GA11" i="15"/>
  <c r="FL11" i="15"/>
  <c r="FI11" i="15"/>
  <c r="FF11" i="15"/>
  <c r="FC11" i="15"/>
  <c r="EW11" i="15"/>
  <c r="ET11" i="15"/>
  <c r="EQ11" i="15"/>
  <c r="EN11" i="15"/>
  <c r="EH11" i="15"/>
  <c r="DS11" i="15"/>
  <c r="DP11" i="15"/>
  <c r="DJ11" i="15"/>
  <c r="DJ10" i="15" s="1"/>
  <c r="CX11" i="15"/>
  <c r="CX19" i="15" s="1"/>
  <c r="CO11" i="15"/>
  <c r="CI11" i="15"/>
  <c r="CF11" i="15"/>
  <c r="CC11" i="15"/>
  <c r="BT11" i="15"/>
  <c r="BQ11" i="15"/>
  <c r="BN11" i="15"/>
  <c r="BK11" i="15"/>
  <c r="BH11" i="15"/>
  <c r="BE11" i="15"/>
  <c r="BB11" i="15"/>
  <c r="AY11" i="15"/>
  <c r="AV11" i="15"/>
  <c r="AS11" i="15"/>
  <c r="AP11" i="15"/>
  <c r="AM11" i="15"/>
  <c r="AJ11" i="15"/>
  <c r="AG11" i="15"/>
  <c r="AF11" i="15"/>
  <c r="Z11" i="15"/>
  <c r="W11" i="15"/>
  <c r="T11" i="15"/>
  <c r="Q11" i="15"/>
  <c r="N11" i="15"/>
  <c r="E11" i="15"/>
  <c r="BT9" i="15" s="1"/>
  <c r="HB10" i="15"/>
  <c r="GY10" i="15"/>
  <c r="GV10" i="15"/>
  <c r="GP10" i="15"/>
  <c r="GM10" i="15"/>
  <c r="GJ10" i="15"/>
  <c r="GG10" i="15"/>
  <c r="GA10" i="15"/>
  <c r="FL10" i="15"/>
  <c r="FI10" i="15"/>
  <c r="FF10" i="15"/>
  <c r="FC10" i="15"/>
  <c r="EW10" i="15"/>
  <c r="ET10" i="15"/>
  <c r="EQ10" i="15"/>
  <c r="EN10" i="15"/>
  <c r="EH10" i="15"/>
  <c r="EE10" i="15"/>
  <c r="EB10" i="15"/>
  <c r="DY10" i="15"/>
  <c r="DS10" i="15"/>
  <c r="DD10" i="15"/>
  <c r="CO10" i="15"/>
  <c r="CI10" i="15"/>
  <c r="CI6" i="15" s="1"/>
  <c r="CF10" i="15"/>
  <c r="CF6" i="15" s="1"/>
  <c r="CC10" i="15"/>
  <c r="CC6" i="15" s="1"/>
  <c r="BQ10" i="15"/>
  <c r="BN10" i="15"/>
  <c r="BN9" i="15" s="1"/>
  <c r="BK10" i="15"/>
  <c r="BH10" i="15"/>
  <c r="BE10" i="15"/>
  <c r="BE6" i="15" s="1"/>
  <c r="BB10" i="15"/>
  <c r="BB6" i="15" s="1"/>
  <c r="AY10" i="15"/>
  <c r="AY6" i="15" s="1"/>
  <c r="AV10" i="15"/>
  <c r="AV6" i="15" s="1"/>
  <c r="AS10" i="15"/>
  <c r="AS6" i="15" s="1"/>
  <c r="AS2" i="15" s="1"/>
  <c r="AP10" i="15"/>
  <c r="AP6" i="15" s="1"/>
  <c r="AM10" i="15"/>
  <c r="AM6" i="15" s="1"/>
  <c r="AG10" i="15"/>
  <c r="AF10" i="15"/>
  <c r="Z10" i="15"/>
  <c r="Z6" i="15" s="1"/>
  <c r="W10" i="15"/>
  <c r="W6" i="15" s="1"/>
  <c r="T10" i="15"/>
  <c r="T6" i="15" s="1"/>
  <c r="Q10" i="15"/>
  <c r="Q6" i="15" s="1"/>
  <c r="N10" i="15"/>
  <c r="N6" i="15" s="1"/>
  <c r="HB9" i="15"/>
  <c r="GY9" i="15"/>
  <c r="GV9" i="15"/>
  <c r="GP9" i="15"/>
  <c r="GM9" i="15"/>
  <c r="GJ9" i="15"/>
  <c r="GG9" i="15"/>
  <c r="GA9" i="15"/>
  <c r="FR9" i="15"/>
  <c r="FR8" i="15" s="1"/>
  <c r="FL9" i="15"/>
  <c r="FI9" i="15"/>
  <c r="FF9" i="15"/>
  <c r="FC9" i="15"/>
  <c r="EW9" i="15"/>
  <c r="ET9" i="15"/>
  <c r="EQ9" i="15"/>
  <c r="EN9" i="15"/>
  <c r="EH9" i="15"/>
  <c r="EE9" i="15"/>
  <c r="EB9" i="15"/>
  <c r="DY9" i="15"/>
  <c r="DS9" i="15"/>
  <c r="DP9" i="15"/>
  <c r="DJ9" i="15"/>
  <c r="DG9" i="15"/>
  <c r="DD9" i="15"/>
  <c r="DA9" i="15"/>
  <c r="CX9" i="15"/>
  <c r="CX10" i="15" s="1"/>
  <c r="CU9" i="15"/>
  <c r="CO9" i="15"/>
  <c r="CO7" i="15" s="1"/>
  <c r="CI9" i="15"/>
  <c r="CF9" i="15"/>
  <c r="CC9" i="15"/>
  <c r="BW9" i="15"/>
  <c r="BH9" i="15"/>
  <c r="BE9" i="15"/>
  <c r="BB9" i="15"/>
  <c r="AY9" i="15"/>
  <c r="AV9" i="15"/>
  <c r="AS9" i="15"/>
  <c r="AP9" i="15"/>
  <c r="AM9" i="15"/>
  <c r="AJ9" i="15"/>
  <c r="AG9" i="15"/>
  <c r="AG23" i="15" s="1"/>
  <c r="AF9" i="15"/>
  <c r="AF23" i="15" s="1"/>
  <c r="AE9" i="15"/>
  <c r="AE23" i="15" s="1"/>
  <c r="AD9" i="15"/>
  <c r="AD23" i="15" s="1"/>
  <c r="AC9" i="15"/>
  <c r="AC23" i="15" s="1"/>
  <c r="Z9" i="15"/>
  <c r="W9" i="15"/>
  <c r="T9" i="15"/>
  <c r="Q9" i="15"/>
  <c r="N9" i="15"/>
  <c r="K9" i="15"/>
  <c r="H9" i="15"/>
  <c r="E9" i="15"/>
  <c r="E10" i="15" s="1"/>
  <c r="HB8" i="15"/>
  <c r="HB6" i="15" s="1"/>
  <c r="GY8" i="15"/>
  <c r="GY6" i="15" s="1"/>
  <c r="GV8" i="15"/>
  <c r="GV6" i="15" s="1"/>
  <c r="GM8" i="15"/>
  <c r="GM6" i="15" s="1"/>
  <c r="GJ8" i="15"/>
  <c r="GJ6" i="15" s="1"/>
  <c r="GG8" i="15"/>
  <c r="GG6" i="15" s="1"/>
  <c r="FI8" i="15"/>
  <c r="FI6" i="15" s="1"/>
  <c r="FF8" i="15"/>
  <c r="FF6" i="15" s="1"/>
  <c r="FC8" i="15"/>
  <c r="FC6" i="15" s="1"/>
  <c r="ET8" i="15"/>
  <c r="ET6" i="15" s="1"/>
  <c r="EQ8" i="15"/>
  <c r="EQ6" i="15" s="1"/>
  <c r="EN8" i="15"/>
  <c r="EN6" i="15" s="1"/>
  <c r="EE8" i="15"/>
  <c r="EE6" i="15" s="1"/>
  <c r="EB8" i="15"/>
  <c r="EB6" i="15" s="1"/>
  <c r="DY8" i="15"/>
  <c r="DY6" i="15" s="1"/>
  <c r="DV8" i="15"/>
  <c r="DP8" i="15"/>
  <c r="DM8" i="15"/>
  <c r="DM6" i="15" s="1"/>
  <c r="DJ8" i="15"/>
  <c r="DJ6" i="15" s="1"/>
  <c r="DG8" i="15"/>
  <c r="DA8" i="15"/>
  <c r="CX8" i="15"/>
  <c r="CU8" i="15"/>
  <c r="CO8" i="15"/>
  <c r="CO6" i="15" s="1"/>
  <c r="CL8" i="15"/>
  <c r="CI8" i="15"/>
  <c r="CI7" i="15" s="1"/>
  <c r="CF8" i="15"/>
  <c r="CF7" i="15" s="1"/>
  <c r="CC8" i="15"/>
  <c r="CC7" i="15" s="1"/>
  <c r="BZ8" i="15"/>
  <c r="BW8" i="15"/>
  <c r="BT8" i="15"/>
  <c r="BQ8" i="15"/>
  <c r="BQ7" i="15" s="1"/>
  <c r="BN8" i="15"/>
  <c r="BN7" i="15" s="1"/>
  <c r="BK8" i="15"/>
  <c r="BK7" i="15" s="1"/>
  <c r="BH8" i="15"/>
  <c r="BH7" i="15" s="1"/>
  <c r="BE8" i="15"/>
  <c r="BE7" i="15" s="1"/>
  <c r="BB8" i="15"/>
  <c r="BB7" i="15" s="1"/>
  <c r="AY8" i="15"/>
  <c r="AY7" i="15" s="1"/>
  <c r="AV8" i="15"/>
  <c r="AV7" i="15" s="1"/>
  <c r="AS8" i="15"/>
  <c r="AS7" i="15" s="1"/>
  <c r="AP8" i="15"/>
  <c r="AP7" i="15" s="1"/>
  <c r="AM8" i="15"/>
  <c r="AM7" i="15" s="1"/>
  <c r="AJ8" i="15"/>
  <c r="AJ7" i="15" s="1"/>
  <c r="AG8" i="15"/>
  <c r="AF8" i="15"/>
  <c r="AE8" i="15"/>
  <c r="AD8" i="15"/>
  <c r="AC8" i="15"/>
  <c r="Z8" i="15"/>
  <c r="Z7" i="15" s="1"/>
  <c r="W8" i="15"/>
  <c r="W7" i="15" s="1"/>
  <c r="T8" i="15"/>
  <c r="T7" i="15" s="1"/>
  <c r="Q8" i="15"/>
  <c r="Q7" i="15" s="1"/>
  <c r="N8" i="15"/>
  <c r="N7" i="15" s="1"/>
  <c r="K8" i="15"/>
  <c r="H8" i="15"/>
  <c r="E8" i="15"/>
  <c r="HB7" i="15"/>
  <c r="HB5" i="15" s="1"/>
  <c r="GY7" i="15"/>
  <c r="GY5" i="15" s="1"/>
  <c r="GV7" i="15"/>
  <c r="GV5" i="15" s="1"/>
  <c r="GM7" i="15"/>
  <c r="GM5" i="15" s="1"/>
  <c r="GJ7" i="15"/>
  <c r="GJ5" i="15" s="1"/>
  <c r="GG7" i="15"/>
  <c r="GG5" i="15" s="1"/>
  <c r="FR7" i="15"/>
  <c r="FI7" i="15"/>
  <c r="FI5" i="15" s="1"/>
  <c r="FF7" i="15"/>
  <c r="FF5" i="15" s="1"/>
  <c r="FC7" i="15"/>
  <c r="FC5" i="15" s="1"/>
  <c r="ET7" i="15"/>
  <c r="ET5" i="15" s="1"/>
  <c r="EQ7" i="15"/>
  <c r="EQ5" i="15" s="1"/>
  <c r="EN7" i="15"/>
  <c r="EN5" i="15" s="1"/>
  <c r="EE7" i="15"/>
  <c r="EE5" i="15" s="1"/>
  <c r="EB7" i="15"/>
  <c r="EB5" i="15" s="1"/>
  <c r="DY7" i="15"/>
  <c r="DY5" i="15" s="1"/>
  <c r="DA7" i="15"/>
  <c r="CX7" i="15"/>
  <c r="CX6" i="15" s="1"/>
  <c r="CU7" i="15"/>
  <c r="CL7" i="15"/>
  <c r="BZ7" i="15"/>
  <c r="BW7" i="15"/>
  <c r="BT7" i="15"/>
  <c r="BT6" i="15" s="1"/>
  <c r="AG7" i="15"/>
  <c r="AF7" i="15"/>
  <c r="AE7" i="15"/>
  <c r="AD7" i="15"/>
  <c r="AC7" i="15"/>
  <c r="K7" i="15"/>
  <c r="H7" i="15"/>
  <c r="E7" i="15"/>
  <c r="E6" i="15" s="1"/>
  <c r="GS6" i="15"/>
  <c r="GP6" i="15"/>
  <c r="GD6" i="15"/>
  <c r="GA6" i="15"/>
  <c r="FU6" i="15"/>
  <c r="FR6" i="15"/>
  <c r="FL6" i="15"/>
  <c r="EZ6" i="15"/>
  <c r="EW6" i="15"/>
  <c r="EW7" i="15" s="1"/>
  <c r="EK6" i="15"/>
  <c r="EH6" i="15"/>
  <c r="DV6" i="15"/>
  <c r="DS6" i="15"/>
  <c r="DD6" i="15"/>
  <c r="DA6" i="15"/>
  <c r="CU6" i="15"/>
  <c r="CR6" i="15"/>
  <c r="CL6" i="15"/>
  <c r="BZ6" i="15"/>
  <c r="BW6" i="15"/>
  <c r="BH6" i="15"/>
  <c r="AJ6" i="15"/>
  <c r="K6" i="15"/>
  <c r="H6" i="15"/>
  <c r="GS5" i="15"/>
  <c r="GP5" i="15"/>
  <c r="GD5" i="15"/>
  <c r="GA5" i="15"/>
  <c r="FX5" i="15"/>
  <c r="FX2" i="15" s="1"/>
  <c r="FU5" i="15"/>
  <c r="FR5" i="15"/>
  <c r="FO5" i="15"/>
  <c r="FL5" i="15"/>
  <c r="EZ5" i="15"/>
  <c r="EW5" i="15"/>
  <c r="EK5" i="15"/>
  <c r="EH5" i="15"/>
  <c r="DV5" i="15"/>
  <c r="DS5" i="15"/>
  <c r="DD5" i="15"/>
  <c r="DA5" i="15"/>
  <c r="CX5" i="15"/>
  <c r="CU5" i="15"/>
  <c r="CO5" i="15"/>
  <c r="CR5" i="15" s="1"/>
  <c r="CL5" i="15"/>
  <c r="CI5" i="15"/>
  <c r="CF5" i="15"/>
  <c r="CC5" i="15"/>
  <c r="BZ5" i="15"/>
  <c r="BW5" i="15"/>
  <c r="BT5" i="15"/>
  <c r="BQ5" i="15"/>
  <c r="BN5" i="15"/>
  <c r="BK5" i="15"/>
  <c r="BH5" i="15"/>
  <c r="BE5" i="15"/>
  <c r="BB5" i="15"/>
  <c r="AY5" i="15"/>
  <c r="AV5" i="15"/>
  <c r="AS5" i="15"/>
  <c r="AP5" i="15"/>
  <c r="AM5" i="15"/>
  <c r="AJ5" i="15"/>
  <c r="AG5" i="15"/>
  <c r="AF5" i="15"/>
  <c r="AE5" i="15"/>
  <c r="AD5" i="15"/>
  <c r="AC5" i="15"/>
  <c r="Z5" i="15"/>
  <c r="W5" i="15"/>
  <c r="T5" i="15"/>
  <c r="Q5" i="15"/>
  <c r="N5" i="15"/>
  <c r="K5" i="15"/>
  <c r="H5" i="15"/>
  <c r="E5" i="15"/>
  <c r="CC19" i="15" l="1"/>
  <c r="K2" i="15"/>
  <c r="CX21" i="15"/>
  <c r="GA7" i="15"/>
  <c r="GD2" i="15" s="1"/>
  <c r="CF19" i="15"/>
  <c r="FL7" i="15"/>
  <c r="DD7" i="15"/>
  <c r="DM2" i="15" s="1"/>
  <c r="CC2" i="15"/>
  <c r="CF2" i="15"/>
  <c r="CI2" i="15"/>
  <c r="EH7" i="15"/>
  <c r="HE25" i="21"/>
  <c r="HE23" i="21" s="1"/>
  <c r="HE5" i="21"/>
  <c r="HE3" i="21" s="1"/>
  <c r="HE5" i="20"/>
  <c r="HE3" i="20" s="1"/>
  <c r="HE25" i="20"/>
  <c r="HE23" i="20" s="1"/>
  <c r="HE25" i="19"/>
  <c r="HE23" i="19" s="1"/>
  <c r="HE5" i="19"/>
  <c r="HE3" i="19" s="1"/>
  <c r="W3" i="9"/>
  <c r="CO2" i="9"/>
  <c r="CR2" i="9"/>
  <c r="CU14" i="9"/>
  <c r="CU15" i="9"/>
  <c r="CX4" i="9"/>
  <c r="CU16" i="9"/>
  <c r="Z4" i="9"/>
  <c r="BZ14" i="9"/>
  <c r="AE29" i="9"/>
  <c r="AE2" i="9" s="1"/>
  <c r="DG16" i="9"/>
  <c r="DG7" i="9" s="1"/>
  <c r="DP2" i="9"/>
  <c r="BQ2" i="15"/>
  <c r="HE5" i="15"/>
  <c r="HE3" i="15" s="1"/>
  <c r="HE25" i="15"/>
  <c r="HE23" i="15" s="1"/>
  <c r="AV2" i="15"/>
  <c r="AD31" i="15"/>
  <c r="AM2" i="15"/>
  <c r="GP7" i="15"/>
  <c r="GS2" i="15" s="1"/>
  <c r="AV21" i="15"/>
  <c r="AF31" i="15"/>
  <c r="AG31" i="15"/>
  <c r="BE2" i="15"/>
  <c r="BE21" i="15"/>
  <c r="AJ2" i="15"/>
  <c r="BH2" i="15"/>
  <c r="AY2" i="15"/>
  <c r="BB2" i="15"/>
  <c r="AP2" i="15"/>
  <c r="BN2" i="15"/>
  <c r="AM21" i="15"/>
  <c r="AC31" i="15"/>
  <c r="EW2" i="9"/>
  <c r="EZ2" i="9"/>
  <c r="DA18" i="9" s="1"/>
  <c r="W26" i="9"/>
  <c r="H48" i="9"/>
  <c r="H14" i="9"/>
  <c r="BT18" i="9"/>
  <c r="BT3" i="9" s="1"/>
  <c r="BZ13" i="9"/>
  <c r="FC2" i="9"/>
  <c r="CU19" i="9" s="1"/>
  <c r="W4" i="9"/>
  <c r="DD7" i="9"/>
  <c r="DM2" i="9" s="1"/>
  <c r="FF2" i="9"/>
  <c r="CO20" i="9"/>
  <c r="AD30" i="9"/>
  <c r="AD2" i="9" s="1"/>
  <c r="E4" i="9"/>
  <c r="AF2" i="9"/>
  <c r="GA2" i="9"/>
  <c r="GD2" i="9"/>
  <c r="DA22" i="9" s="1"/>
  <c r="GJ2" i="9"/>
  <c r="GG2" i="9"/>
  <c r="CU23" i="9" s="1"/>
  <c r="GY2" i="9"/>
  <c r="GP2" i="9"/>
  <c r="HB2" i="9"/>
  <c r="GV2" i="9"/>
  <c r="CU20" i="9" s="1"/>
  <c r="GS2" i="9"/>
  <c r="DA19" i="9" s="1"/>
  <c r="AC31" i="9"/>
  <c r="AC27" i="9"/>
  <c r="AC29" i="9" s="1"/>
  <c r="BW2" i="9"/>
  <c r="FR2" i="9"/>
  <c r="CU24" i="9" s="1"/>
  <c r="FU2" i="9"/>
  <c r="FO2" i="9"/>
  <c r="DA23" i="9" s="1"/>
  <c r="FL2" i="9"/>
  <c r="E19" i="9"/>
  <c r="E3" i="9" s="1"/>
  <c r="Z3" i="9"/>
  <c r="DV2" i="9"/>
  <c r="DA21" i="9" s="1"/>
  <c r="EB2" i="9"/>
  <c r="DY2" i="9"/>
  <c r="CU22" i="9" s="1"/>
  <c r="DS2" i="9"/>
  <c r="EQ2" i="9"/>
  <c r="EN2" i="9"/>
  <c r="CU21" i="9" s="1"/>
  <c r="EK2" i="9"/>
  <c r="DA20" i="9" s="1"/>
  <c r="EH2" i="9"/>
  <c r="CX19" i="9"/>
  <c r="CX3" i="9" s="1"/>
  <c r="BT20" i="9"/>
  <c r="BT4" i="9" s="1"/>
  <c r="K18" i="9"/>
  <c r="K17" i="9" s="1"/>
  <c r="K2" i="9" s="1"/>
  <c r="DG5" i="9"/>
  <c r="BK2" i="15"/>
  <c r="H22" i="15"/>
  <c r="AE31" i="15"/>
  <c r="AF29" i="15"/>
  <c r="Q2" i="15"/>
  <c r="T2" i="15"/>
  <c r="AG29" i="15"/>
  <c r="Q21" i="15"/>
  <c r="GP8" i="15"/>
  <c r="FR10" i="15"/>
  <c r="AF27" i="15"/>
  <c r="GG17" i="15"/>
  <c r="AD27" i="15"/>
  <c r="AD29" i="15" s="1"/>
  <c r="BK28" i="15"/>
  <c r="DJ12" i="15"/>
  <c r="CU26" i="15"/>
  <c r="DS8" i="15"/>
  <c r="DS2" i="15" s="1"/>
  <c r="BW16" i="15"/>
  <c r="BN28" i="15"/>
  <c r="BN21" i="15" s="1"/>
  <c r="CO34" i="15"/>
  <c r="CO20" i="15" s="1"/>
  <c r="BZ16" i="15"/>
  <c r="K11" i="15"/>
  <c r="DD11" i="15"/>
  <c r="CR2" i="15"/>
  <c r="DD8" i="15"/>
  <c r="FL8" i="15"/>
  <c r="K20" i="15"/>
  <c r="EW8" i="15"/>
  <c r="EN17" i="15"/>
  <c r="AG27" i="15"/>
  <c r="EE2" i="15"/>
  <c r="BW13" i="15"/>
  <c r="BZ10" i="15"/>
  <c r="BZ15" i="15" s="1"/>
  <c r="CU25" i="15"/>
  <c r="E31" i="15"/>
  <c r="E53" i="15"/>
  <c r="E43" i="15" s="1"/>
  <c r="DA24" i="15"/>
  <c r="GM2" i="15"/>
  <c r="DP6" i="15"/>
  <c r="GA8" i="15"/>
  <c r="BT10" i="15"/>
  <c r="DY18" i="15"/>
  <c r="BZ17" i="15"/>
  <c r="DA26" i="15"/>
  <c r="FI2" i="15"/>
  <c r="ET2" i="15"/>
  <c r="AE27" i="15"/>
  <c r="AE29" i="15" s="1"/>
  <c r="CO17" i="15"/>
  <c r="CU11" i="15"/>
  <c r="CR20" i="15"/>
  <c r="DP7" i="15"/>
  <c r="EH8" i="15"/>
  <c r="E12" i="15"/>
  <c r="GV17" i="15"/>
  <c r="BK9" i="15"/>
  <c r="CX12" i="15"/>
  <c r="FC17" i="15"/>
  <c r="H16" i="15"/>
  <c r="H15" i="15"/>
  <c r="H25" i="15"/>
  <c r="AC27" i="15"/>
  <c r="AC29" i="15" s="1"/>
  <c r="H21" i="15"/>
  <c r="K28" i="15"/>
  <c r="K25" i="15"/>
  <c r="K19" i="15"/>
  <c r="DA25" i="15"/>
  <c r="DG2" i="9" l="1"/>
  <c r="DA16" i="9" s="1"/>
  <c r="DA2" i="9" s="1"/>
  <c r="DD2" i="9"/>
  <c r="CU18" i="9" s="1"/>
  <c r="H13" i="9"/>
  <c r="H2" i="9" s="1"/>
  <c r="HE26" i="9" s="1"/>
  <c r="HE24" i="9" s="1"/>
  <c r="DJ2" i="9"/>
  <c r="CU17" i="9" s="1"/>
  <c r="CU2" i="9" s="1"/>
  <c r="BZ2" i="9"/>
  <c r="BZ13" i="15"/>
  <c r="DA17" i="9"/>
  <c r="AC30" i="9"/>
  <c r="AC2" i="9" s="1"/>
  <c r="CO2" i="15"/>
  <c r="DA19" i="15"/>
  <c r="GP2" i="15"/>
  <c r="HB2" i="15"/>
  <c r="DY2" i="15"/>
  <c r="EB2" i="15"/>
  <c r="GY2" i="15"/>
  <c r="DV2" i="15"/>
  <c r="DA21" i="15" s="1"/>
  <c r="FL2" i="15"/>
  <c r="FU2" i="15"/>
  <c r="FR2" i="15"/>
  <c r="FO2" i="15"/>
  <c r="DA23" i="15" s="1"/>
  <c r="EZ2" i="15"/>
  <c r="DA18" i="15" s="1"/>
  <c r="EW2" i="15"/>
  <c r="FF2" i="15"/>
  <c r="CX3" i="15"/>
  <c r="GV2" i="15"/>
  <c r="EH2" i="15"/>
  <c r="EQ2" i="15"/>
  <c r="EN2" i="15"/>
  <c r="EK2" i="15"/>
  <c r="DA20" i="15" s="1"/>
  <c r="DA22" i="15"/>
  <c r="GJ2" i="15"/>
  <c r="GG2" i="15"/>
  <c r="GA2" i="15"/>
  <c r="CX4" i="15"/>
  <c r="DD2" i="15"/>
  <c r="FC2" i="15"/>
  <c r="CL20" i="1"/>
  <c r="CR20" i="1" s="1"/>
  <c r="CO23" i="1"/>
  <c r="CR23" i="1"/>
  <c r="CR24" i="1"/>
  <c r="AJ21" i="1"/>
  <c r="T2" i="14"/>
  <c r="Q2" i="14"/>
  <c r="N2" i="14"/>
  <c r="E22" i="14"/>
  <c r="E20" i="14"/>
  <c r="E38" i="14"/>
  <c r="E31" i="14" s="1"/>
  <c r="E53" i="14"/>
  <c r="E43" i="14" s="1"/>
  <c r="H14" i="14"/>
  <c r="E45" i="1"/>
  <c r="E53" i="1"/>
  <c r="Z39" i="14"/>
  <c r="W39" i="14"/>
  <c r="Z19" i="14"/>
  <c r="Z17" i="14"/>
  <c r="W19" i="14"/>
  <c r="W17" i="14"/>
  <c r="AM21" i="14"/>
  <c r="AJ21" i="14"/>
  <c r="AP2" i="14"/>
  <c r="AM2" i="14"/>
  <c r="AV21" i="14"/>
  <c r="AS21" i="14"/>
  <c r="AY2" i="14"/>
  <c r="AV2" i="14"/>
  <c r="BE21" i="14"/>
  <c r="BB21" i="14"/>
  <c r="BH2" i="14"/>
  <c r="BE2" i="14"/>
  <c r="BN21" i="14"/>
  <c r="BK21" i="14"/>
  <c r="BQ2" i="14"/>
  <c r="BN2" i="14"/>
  <c r="BT21" i="14"/>
  <c r="BT19" i="14"/>
  <c r="BW12" i="14"/>
  <c r="CI2" i="14"/>
  <c r="CF2" i="14"/>
  <c r="CL20" i="14"/>
  <c r="CL2" i="14"/>
  <c r="CX22" i="14"/>
  <c r="CX20" i="14"/>
  <c r="DA15" i="14"/>
  <c r="DD7" i="14"/>
  <c r="DS7" i="14"/>
  <c r="EH7" i="14"/>
  <c r="EW7" i="14"/>
  <c r="FL7" i="14"/>
  <c r="GA7" i="14"/>
  <c r="GP7" i="14"/>
  <c r="CL6" i="14"/>
  <c r="H69" i="14"/>
  <c r="H68" i="14"/>
  <c r="H25" i="14" s="1"/>
  <c r="H67" i="14"/>
  <c r="H63" i="14" s="1"/>
  <c r="H66" i="14"/>
  <c r="H65" i="14"/>
  <c r="H64" i="14"/>
  <c r="H62" i="14"/>
  <c r="H61" i="14"/>
  <c r="H60" i="14"/>
  <c r="H57" i="14"/>
  <c r="H56" i="14"/>
  <c r="H55" i="14"/>
  <c r="H53" i="14"/>
  <c r="K52" i="14"/>
  <c r="H52" i="14"/>
  <c r="K51" i="14"/>
  <c r="K20" i="14" s="1"/>
  <c r="H51" i="14"/>
  <c r="E52" i="14"/>
  <c r="DA50" i="14"/>
  <c r="K50" i="14"/>
  <c r="E51" i="14"/>
  <c r="DA49" i="14"/>
  <c r="K49" i="14"/>
  <c r="K47" i="14" s="1"/>
  <c r="K17" i="14" s="1"/>
  <c r="CU48" i="14"/>
  <c r="K48" i="14"/>
  <c r="E49" i="14"/>
  <c r="CU47" i="14"/>
  <c r="CU26" i="14" s="1"/>
  <c r="H47" i="14"/>
  <c r="H45" i="14" s="1"/>
  <c r="E48" i="14"/>
  <c r="H46" i="14"/>
  <c r="H44" i="14" s="1"/>
  <c r="E47" i="14"/>
  <c r="DA45" i="14"/>
  <c r="E46" i="14"/>
  <c r="E45" i="14"/>
  <c r="DA43" i="14"/>
  <c r="DA42" i="14"/>
  <c r="CU42" i="14"/>
  <c r="Z43" i="14"/>
  <c r="DA41" i="14"/>
  <c r="CU41" i="14"/>
  <c r="Z42" i="14"/>
  <c r="H41" i="14"/>
  <c r="DA40" i="14"/>
  <c r="CU40" i="14"/>
  <c r="DA39" i="14"/>
  <c r="CU39" i="14"/>
  <c r="DA38" i="14"/>
  <c r="CU38" i="14"/>
  <c r="K38" i="14"/>
  <c r="H38" i="14"/>
  <c r="DA37" i="14"/>
  <c r="CU37" i="14"/>
  <c r="K37" i="14"/>
  <c r="H37" i="14"/>
  <c r="DA36" i="14"/>
  <c r="CU36" i="14"/>
  <c r="Z37" i="14"/>
  <c r="W37" i="14"/>
  <c r="K36" i="14"/>
  <c r="H36" i="14"/>
  <c r="E37" i="14"/>
  <c r="DA35" i="14"/>
  <c r="DA24" i="14" s="1"/>
  <c r="CU35" i="14"/>
  <c r="BZ35" i="14"/>
  <c r="BN35" i="14"/>
  <c r="BK35" i="14"/>
  <c r="BE35" i="14"/>
  <c r="BB35" i="14"/>
  <c r="AV35" i="14"/>
  <c r="AS35" i="14"/>
  <c r="AM35" i="14"/>
  <c r="AJ35" i="14"/>
  <c r="Z36" i="14"/>
  <c r="W36" i="14"/>
  <c r="K35" i="14"/>
  <c r="H35" i="14"/>
  <c r="E36" i="14"/>
  <c r="DA34" i="14"/>
  <c r="CU34" i="14"/>
  <c r="BZ34" i="14"/>
  <c r="BN34" i="14"/>
  <c r="BK34" i="14"/>
  <c r="BE34" i="14"/>
  <c r="BB34" i="14"/>
  <c r="AV34" i="14"/>
  <c r="AS34" i="14"/>
  <c r="AM34" i="14"/>
  <c r="AJ34" i="14"/>
  <c r="Z35" i="14"/>
  <c r="W35" i="14"/>
  <c r="Q35" i="14"/>
  <c r="N35" i="14"/>
  <c r="K34" i="14"/>
  <c r="H34" i="14"/>
  <c r="E35" i="14"/>
  <c r="DA33" i="14"/>
  <c r="CU33" i="14"/>
  <c r="CU43" i="14" s="1"/>
  <c r="CU11" i="14" s="1"/>
  <c r="CO33" i="14"/>
  <c r="CO32" i="14" s="1"/>
  <c r="BN33" i="14"/>
  <c r="BK33" i="14"/>
  <c r="BE33" i="14"/>
  <c r="BB33" i="14"/>
  <c r="AV33" i="14"/>
  <c r="AS33" i="14"/>
  <c r="AM33" i="14"/>
  <c r="AJ33" i="14"/>
  <c r="AF33" i="14"/>
  <c r="Z34" i="14"/>
  <c r="W34" i="14"/>
  <c r="Q34" i="14"/>
  <c r="N34" i="14"/>
  <c r="K33" i="14"/>
  <c r="K43" i="14" s="1"/>
  <c r="K11" i="14" s="1"/>
  <c r="H33" i="14"/>
  <c r="E34" i="14"/>
  <c r="DA32" i="14"/>
  <c r="CU32" i="14"/>
  <c r="BN32" i="14"/>
  <c r="BK32" i="14"/>
  <c r="BE32" i="14"/>
  <c r="BB32" i="14"/>
  <c r="AV32" i="14"/>
  <c r="AS32" i="14"/>
  <c r="AM32" i="14"/>
  <c r="AJ32" i="14"/>
  <c r="AE32" i="14"/>
  <c r="AD32" i="14"/>
  <c r="AC32" i="14"/>
  <c r="Z33" i="14"/>
  <c r="Z38" i="14" s="1"/>
  <c r="Z26" i="14" s="1"/>
  <c r="W33" i="14"/>
  <c r="W38" i="14" s="1"/>
  <c r="W26" i="14" s="1"/>
  <c r="Q33" i="14"/>
  <c r="N33" i="14"/>
  <c r="K32" i="14"/>
  <c r="H32" i="14"/>
  <c r="E33" i="14"/>
  <c r="DA31" i="14"/>
  <c r="CU31" i="14"/>
  <c r="CO31" i="14"/>
  <c r="CO34" i="14" s="1"/>
  <c r="BW31" i="14"/>
  <c r="BN31" i="14"/>
  <c r="BK31" i="14"/>
  <c r="BE31" i="14"/>
  <c r="BB31" i="14"/>
  <c r="AV31" i="14"/>
  <c r="AS31" i="14"/>
  <c r="AM31" i="14"/>
  <c r="AJ31" i="14"/>
  <c r="Z32" i="14"/>
  <c r="Z28" i="14" s="1"/>
  <c r="W32" i="14"/>
  <c r="W28" i="14" s="1"/>
  <c r="Q32" i="14"/>
  <c r="N32" i="14"/>
  <c r="K31" i="14"/>
  <c r="H31" i="14"/>
  <c r="DA30" i="14"/>
  <c r="CU30" i="14"/>
  <c r="CO30" i="14"/>
  <c r="CF31" i="14"/>
  <c r="CC31" i="14"/>
  <c r="BZ30" i="14"/>
  <c r="BW30" i="14"/>
  <c r="BN30" i="14"/>
  <c r="BK30" i="14"/>
  <c r="BE30" i="14"/>
  <c r="BB30" i="14"/>
  <c r="AS30" i="14"/>
  <c r="AM30" i="14"/>
  <c r="AJ30" i="14"/>
  <c r="Z31" i="14"/>
  <c r="W31" i="14"/>
  <c r="Q31" i="14"/>
  <c r="N31" i="14"/>
  <c r="K30" i="14"/>
  <c r="H30" i="14"/>
  <c r="H16" i="14" s="1"/>
  <c r="DA29" i="14"/>
  <c r="CU29" i="14"/>
  <c r="CO29" i="14"/>
  <c r="CF30" i="14"/>
  <c r="CC30" i="14"/>
  <c r="BZ29" i="14"/>
  <c r="BN29" i="14"/>
  <c r="BN28" i="14" s="1"/>
  <c r="BK29" i="14"/>
  <c r="BK28" i="14" s="1"/>
  <c r="BE29" i="14"/>
  <c r="BB29" i="14"/>
  <c r="AV29" i="14"/>
  <c r="AS29" i="14"/>
  <c r="AS25" i="14" s="1"/>
  <c r="AM29" i="14"/>
  <c r="AM25" i="14" s="1"/>
  <c r="AJ29" i="14"/>
  <c r="AJ25" i="14" s="1"/>
  <c r="Z30" i="14"/>
  <c r="Z29" i="14" s="1"/>
  <c r="W30" i="14"/>
  <c r="W29" i="14" s="1"/>
  <c r="Q30" i="14"/>
  <c r="N30" i="14"/>
  <c r="K29" i="14"/>
  <c r="H29" i="14"/>
  <c r="DA28" i="14"/>
  <c r="CU28" i="14"/>
  <c r="CO28" i="14"/>
  <c r="CF29" i="14"/>
  <c r="CC29" i="14"/>
  <c r="BZ28" i="14"/>
  <c r="BE28" i="14"/>
  <c r="BB28" i="14"/>
  <c r="AV28" i="14"/>
  <c r="AS28" i="14"/>
  <c r="AM28" i="14"/>
  <c r="AJ28" i="14"/>
  <c r="Q29" i="14"/>
  <c r="N29" i="14"/>
  <c r="N25" i="14" s="1"/>
  <c r="K28" i="14"/>
  <c r="H28" i="14"/>
  <c r="HB27" i="14"/>
  <c r="GM27" i="14"/>
  <c r="FI27" i="14"/>
  <c r="ET27" i="14"/>
  <c r="EE27" i="14"/>
  <c r="DA27" i="14"/>
  <c r="CU27" i="14"/>
  <c r="CU25" i="14" s="1"/>
  <c r="CO27" i="14"/>
  <c r="CO25" i="14" s="1"/>
  <c r="CF28" i="14"/>
  <c r="CC28" i="14"/>
  <c r="BZ27" i="14"/>
  <c r="BN27" i="14"/>
  <c r="BK27" i="14"/>
  <c r="BE27" i="14"/>
  <c r="BE26" i="14" s="1"/>
  <c r="BB27" i="14"/>
  <c r="BB26" i="14" s="1"/>
  <c r="AV27" i="14"/>
  <c r="AV26" i="14" s="1"/>
  <c r="AS27" i="14"/>
  <c r="AS26" i="14" s="1"/>
  <c r="AM27" i="14"/>
  <c r="AJ27" i="14"/>
  <c r="AD27" i="14"/>
  <c r="Q28" i="14"/>
  <c r="N28" i="14"/>
  <c r="K27" i="14"/>
  <c r="H27" i="14"/>
  <c r="HB26" i="14"/>
  <c r="HB24" i="14" s="1"/>
  <c r="GM26" i="14"/>
  <c r="GM24" i="14" s="1"/>
  <c r="FI26" i="14"/>
  <c r="ET26" i="14"/>
  <c r="ET24" i="14" s="1"/>
  <c r="EE26" i="14"/>
  <c r="EE24" i="14" s="1"/>
  <c r="CX26" i="14"/>
  <c r="CO26" i="14"/>
  <c r="CO24" i="14" s="1"/>
  <c r="CL26" i="14"/>
  <c r="CF27" i="14"/>
  <c r="CC27" i="14"/>
  <c r="BZ26" i="14"/>
  <c r="BT26" i="14"/>
  <c r="BN26" i="14"/>
  <c r="BK26" i="14"/>
  <c r="AM26" i="14"/>
  <c r="AJ26" i="14"/>
  <c r="Z27" i="14"/>
  <c r="W27" i="14"/>
  <c r="Q27" i="14"/>
  <c r="N27" i="14"/>
  <c r="K26" i="14"/>
  <c r="H26" i="14"/>
  <c r="E26" i="14"/>
  <c r="HB25" i="14"/>
  <c r="HB23" i="14" s="1"/>
  <c r="GM25" i="14"/>
  <c r="GM23" i="14" s="1"/>
  <c r="FI25" i="14"/>
  <c r="FI23" i="14" s="1"/>
  <c r="ET25" i="14"/>
  <c r="EE25" i="14"/>
  <c r="DP25" i="14"/>
  <c r="DP23" i="14" s="1"/>
  <c r="DG25" i="14"/>
  <c r="CX25" i="14"/>
  <c r="CX12" i="14" s="1"/>
  <c r="CL25" i="14"/>
  <c r="CF26" i="14"/>
  <c r="CC26" i="14"/>
  <c r="BZ25" i="14"/>
  <c r="BW25" i="14"/>
  <c r="BT25" i="14"/>
  <c r="BE25" i="14"/>
  <c r="BB25" i="14"/>
  <c r="AV25" i="14"/>
  <c r="AG25" i="14"/>
  <c r="AG24" i="14" s="1"/>
  <c r="AF25" i="14"/>
  <c r="AF24" i="14" s="1"/>
  <c r="AE25" i="14"/>
  <c r="AE24" i="14" s="1"/>
  <c r="AD25" i="14"/>
  <c r="AC25" i="14"/>
  <c r="Q26" i="14"/>
  <c r="N26" i="14"/>
  <c r="K25" i="14"/>
  <c r="E25" i="14"/>
  <c r="DP24" i="14"/>
  <c r="CX24" i="14"/>
  <c r="CR24" i="14"/>
  <c r="CL24" i="14"/>
  <c r="CF25" i="14"/>
  <c r="CF24" i="14" s="1"/>
  <c r="CC25" i="14"/>
  <c r="CC24" i="14" s="1"/>
  <c r="BZ24" i="14"/>
  <c r="BZ17" i="14" s="1"/>
  <c r="BW24" i="14"/>
  <c r="BT24" i="14"/>
  <c r="BN24" i="14"/>
  <c r="BK24" i="14"/>
  <c r="BE24" i="14"/>
  <c r="BB24" i="14"/>
  <c r="AV24" i="14"/>
  <c r="AS24" i="14"/>
  <c r="AM24" i="14"/>
  <c r="AJ24" i="14"/>
  <c r="AD24" i="14"/>
  <c r="AC24" i="14"/>
  <c r="Q25" i="14"/>
  <c r="Q21" i="14" s="1"/>
  <c r="K24" i="14"/>
  <c r="H24" i="14"/>
  <c r="E24" i="14"/>
  <c r="ET23" i="14"/>
  <c r="EE23" i="14"/>
  <c r="DG23" i="14"/>
  <c r="DG20" i="14" s="1"/>
  <c r="DG16" i="14" s="1"/>
  <c r="CX23" i="14"/>
  <c r="CO23" i="14"/>
  <c r="CR23" i="14" s="1"/>
  <c r="CR20" i="14" s="1"/>
  <c r="CL23" i="14"/>
  <c r="BZ23" i="14"/>
  <c r="BW23" i="14"/>
  <c r="BT23" i="14"/>
  <c r="AD23" i="14"/>
  <c r="AC23" i="14"/>
  <c r="AC27" i="14" s="1"/>
  <c r="Q24" i="14"/>
  <c r="N24" i="14"/>
  <c r="K23" i="14"/>
  <c r="H23" i="14"/>
  <c r="E23" i="14"/>
  <c r="HB22" i="14"/>
  <c r="GM22" i="14"/>
  <c r="FI22" i="14"/>
  <c r="ET22" i="14"/>
  <c r="ET16" i="14" s="1"/>
  <c r="EE22" i="14"/>
  <c r="EE16" i="14" s="1"/>
  <c r="DG22" i="14"/>
  <c r="CF23" i="14"/>
  <c r="CC23" i="14"/>
  <c r="BZ22" i="14"/>
  <c r="BW22" i="14"/>
  <c r="BT22" i="14"/>
  <c r="AG22" i="14"/>
  <c r="AF22" i="14"/>
  <c r="AE22" i="14"/>
  <c r="AD22" i="14"/>
  <c r="AC22" i="14"/>
  <c r="K22" i="14"/>
  <c r="HB21" i="14"/>
  <c r="GM21" i="14"/>
  <c r="FI21" i="14"/>
  <c r="ET21" i="14"/>
  <c r="EE21" i="14"/>
  <c r="DP21" i="14"/>
  <c r="DG21" i="14"/>
  <c r="DD21" i="14"/>
  <c r="CF22" i="14"/>
  <c r="CC22" i="14"/>
  <c r="BZ21" i="14"/>
  <c r="BW21" i="14"/>
  <c r="AG21" i="14"/>
  <c r="AF21" i="14"/>
  <c r="AE21" i="14"/>
  <c r="AD21" i="14"/>
  <c r="AC21" i="14"/>
  <c r="K21" i="14"/>
  <c r="DD20" i="14"/>
  <c r="BZ20" i="14"/>
  <c r="BW20" i="14"/>
  <c r="BW13" i="14" s="1"/>
  <c r="AG20" i="14"/>
  <c r="AF20" i="14"/>
  <c r="AE20" i="14"/>
  <c r="AD20" i="14"/>
  <c r="AC20" i="14"/>
  <c r="H20" i="14"/>
  <c r="HB19" i="14"/>
  <c r="GM19" i="14"/>
  <c r="FI19" i="14"/>
  <c r="ET19" i="14"/>
  <c r="EE19" i="14"/>
  <c r="DG19" i="14"/>
  <c r="DG11" i="14" s="1"/>
  <c r="DD19" i="14"/>
  <c r="BZ19" i="14"/>
  <c r="BW19" i="14"/>
  <c r="AG19" i="14"/>
  <c r="AF19" i="14"/>
  <c r="AF30" i="14" s="1"/>
  <c r="AE19" i="14"/>
  <c r="AE30" i="14" s="1"/>
  <c r="AD19" i="14"/>
  <c r="AD30" i="14" s="1"/>
  <c r="AC19" i="14"/>
  <c r="AC30" i="14" s="1"/>
  <c r="K19" i="14"/>
  <c r="H19" i="14"/>
  <c r="HB18" i="14"/>
  <c r="GM18" i="14"/>
  <c r="GA18" i="14"/>
  <c r="FL18" i="14"/>
  <c r="FI18" i="14"/>
  <c r="EW18" i="14"/>
  <c r="ET18" i="14"/>
  <c r="EH18" i="14"/>
  <c r="EE18" i="14"/>
  <c r="DS18" i="14"/>
  <c r="DP18" i="14"/>
  <c r="DG18" i="14"/>
  <c r="CX18" i="14"/>
  <c r="BZ18" i="14"/>
  <c r="BW18" i="14"/>
  <c r="AG18" i="14"/>
  <c r="AG31" i="14" s="1"/>
  <c r="AF18" i="14"/>
  <c r="AF31" i="14" s="1"/>
  <c r="AE18" i="14"/>
  <c r="AE31" i="14" s="1"/>
  <c r="AD18" i="14"/>
  <c r="AD31" i="14" s="1"/>
  <c r="AC18" i="14"/>
  <c r="AC31" i="14" s="1"/>
  <c r="H18" i="14"/>
  <c r="E18" i="14"/>
  <c r="HB17" i="14"/>
  <c r="GP17" i="14"/>
  <c r="GM17" i="14"/>
  <c r="GA17" i="14"/>
  <c r="FL17" i="14"/>
  <c r="FI17" i="14"/>
  <c r="EW17" i="14"/>
  <c r="ET17" i="14"/>
  <c r="EH17" i="14"/>
  <c r="EE17" i="14"/>
  <c r="DY17" i="14"/>
  <c r="DY16" i="14" s="1"/>
  <c r="DS17" i="14"/>
  <c r="DP17" i="14"/>
  <c r="DG17" i="14"/>
  <c r="CX17" i="14"/>
  <c r="BW17" i="14"/>
  <c r="BT17" i="14"/>
  <c r="AG17" i="14"/>
  <c r="AF17" i="14"/>
  <c r="AE17" i="14"/>
  <c r="AD17" i="14"/>
  <c r="AC17" i="14"/>
  <c r="H17" i="14"/>
  <c r="E17" i="14"/>
  <c r="HB16" i="14"/>
  <c r="GV16" i="14"/>
  <c r="GP16" i="14"/>
  <c r="GM16" i="14"/>
  <c r="GG16" i="14"/>
  <c r="GG15" i="14" s="1"/>
  <c r="FI16" i="14"/>
  <c r="FC16" i="14"/>
  <c r="EN16" i="14"/>
  <c r="DD16" i="14"/>
  <c r="CX16" i="14"/>
  <c r="CO16" i="14"/>
  <c r="BT16" i="14"/>
  <c r="BQ16" i="14"/>
  <c r="BN16" i="14"/>
  <c r="BK16" i="14"/>
  <c r="BK2" i="14" s="1"/>
  <c r="BH16" i="14"/>
  <c r="BE16" i="14"/>
  <c r="BB16" i="14"/>
  <c r="AY16" i="14"/>
  <c r="AV16" i="14"/>
  <c r="AS16" i="14"/>
  <c r="AP16" i="14"/>
  <c r="AM16" i="14"/>
  <c r="AJ16" i="14"/>
  <c r="AG16" i="14"/>
  <c r="AF16" i="14"/>
  <c r="AE16" i="14"/>
  <c r="AD16" i="14"/>
  <c r="AC16" i="14"/>
  <c r="T16" i="14"/>
  <c r="Q16" i="14"/>
  <c r="N16" i="14"/>
  <c r="HB15" i="14"/>
  <c r="GV15" i="14"/>
  <c r="GV17" i="14" s="1"/>
  <c r="GM15" i="14"/>
  <c r="GA15" i="14"/>
  <c r="FL15" i="14"/>
  <c r="FI15" i="14"/>
  <c r="FC15" i="14"/>
  <c r="EW15" i="14"/>
  <c r="ET15" i="14"/>
  <c r="EN15" i="14"/>
  <c r="EH15" i="14"/>
  <c r="EE15" i="14"/>
  <c r="DY15" i="14"/>
  <c r="DS15" i="14"/>
  <c r="DP15" i="14"/>
  <c r="DG15" i="14"/>
  <c r="DG7" i="14" s="1"/>
  <c r="DD15" i="14"/>
  <c r="DD8" i="14" s="1"/>
  <c r="CX15" i="14"/>
  <c r="CO15" i="14"/>
  <c r="BW15" i="14"/>
  <c r="BT15" i="14"/>
  <c r="BQ15" i="14"/>
  <c r="BN15" i="14"/>
  <c r="BK15" i="14"/>
  <c r="BH15" i="14"/>
  <c r="BE15" i="14"/>
  <c r="BB15" i="14"/>
  <c r="BB2" i="14" s="1"/>
  <c r="AY15" i="14"/>
  <c r="AV15" i="14"/>
  <c r="AS15" i="14"/>
  <c r="AS2" i="14" s="1"/>
  <c r="AP15" i="14"/>
  <c r="AM15" i="14"/>
  <c r="AJ15" i="14"/>
  <c r="AJ2" i="14" s="1"/>
  <c r="AG15" i="14"/>
  <c r="AF15" i="14"/>
  <c r="AE15" i="14"/>
  <c r="AD15" i="14"/>
  <c r="AC15" i="14"/>
  <c r="Z15" i="14"/>
  <c r="W15" i="14"/>
  <c r="T15" i="14"/>
  <c r="Q15" i="14"/>
  <c r="N15" i="14"/>
  <c r="H15" i="14"/>
  <c r="E15" i="14"/>
  <c r="HB14" i="14"/>
  <c r="GV14" i="14"/>
  <c r="GP14" i="14"/>
  <c r="GM14" i="14"/>
  <c r="GG14" i="14"/>
  <c r="GG17" i="14" s="1"/>
  <c r="FI14" i="14"/>
  <c r="FC14" i="14"/>
  <c r="FC17" i="14" s="1"/>
  <c r="ET14" i="14"/>
  <c r="EN14" i="14"/>
  <c r="EN17" i="14" s="1"/>
  <c r="EE14" i="14"/>
  <c r="EB14" i="14"/>
  <c r="DY14" i="14"/>
  <c r="DP14" i="14"/>
  <c r="DG14" i="14"/>
  <c r="DD14" i="14"/>
  <c r="CX14" i="14"/>
  <c r="CO14" i="14"/>
  <c r="CO17" i="14" s="1"/>
  <c r="CI14" i="14"/>
  <c r="CF14" i="14"/>
  <c r="CC14" i="14"/>
  <c r="CC2" i="14" s="1"/>
  <c r="BW14" i="14"/>
  <c r="BT14" i="14"/>
  <c r="BQ14" i="14"/>
  <c r="BN14" i="14"/>
  <c r="BK14" i="14"/>
  <c r="BH14" i="14"/>
  <c r="BE14" i="14"/>
  <c r="BB14" i="14"/>
  <c r="AY14" i="14"/>
  <c r="AV14" i="14"/>
  <c r="AS14" i="14"/>
  <c r="AP14" i="14"/>
  <c r="AM14" i="14"/>
  <c r="AJ14" i="14"/>
  <c r="AG14" i="14"/>
  <c r="AF14" i="14"/>
  <c r="AE14" i="14"/>
  <c r="AD14" i="14"/>
  <c r="AC14" i="14"/>
  <c r="Z14" i="14"/>
  <c r="W14" i="14"/>
  <c r="T14" i="14"/>
  <c r="Q14" i="14"/>
  <c r="N14" i="14"/>
  <c r="E14" i="14"/>
  <c r="HB13" i="14"/>
  <c r="GY13" i="14"/>
  <c r="GV13" i="14"/>
  <c r="GP13" i="14"/>
  <c r="GM13" i="14"/>
  <c r="GJ13" i="14"/>
  <c r="GG13" i="14"/>
  <c r="GA13" i="14"/>
  <c r="FL13" i="14"/>
  <c r="FI13" i="14"/>
  <c r="FF13" i="14"/>
  <c r="FC13" i="14"/>
  <c r="EW13" i="14"/>
  <c r="ET13" i="14"/>
  <c r="EQ13" i="14"/>
  <c r="EN13" i="14"/>
  <c r="EH13" i="14"/>
  <c r="EE13" i="14"/>
  <c r="EB13" i="14"/>
  <c r="DY13" i="14"/>
  <c r="DP13" i="14"/>
  <c r="DG13" i="14"/>
  <c r="DD13" i="14"/>
  <c r="CX13" i="14"/>
  <c r="CU13" i="14"/>
  <c r="CO13" i="14"/>
  <c r="CI13" i="14"/>
  <c r="CF13" i="14"/>
  <c r="CC13" i="14"/>
  <c r="BT13" i="14"/>
  <c r="BQ13" i="14"/>
  <c r="BN13" i="14"/>
  <c r="BK13" i="14"/>
  <c r="BH13" i="14"/>
  <c r="BE13" i="14"/>
  <c r="BB13" i="14"/>
  <c r="AY13" i="14"/>
  <c r="AV13" i="14"/>
  <c r="AS13" i="14"/>
  <c r="AP13" i="14"/>
  <c r="AM13" i="14"/>
  <c r="AJ13" i="14"/>
  <c r="AG13" i="14"/>
  <c r="AF13" i="14"/>
  <c r="AE13" i="14"/>
  <c r="AD13" i="14"/>
  <c r="AC13" i="14"/>
  <c r="Z13" i="14"/>
  <c r="W13" i="14"/>
  <c r="T13" i="14"/>
  <c r="Q13" i="14"/>
  <c r="N13" i="14"/>
  <c r="K13" i="14"/>
  <c r="E13" i="14"/>
  <c r="HB12" i="14"/>
  <c r="GY12" i="14"/>
  <c r="GV12" i="14"/>
  <c r="GP12" i="14"/>
  <c r="GM12" i="14"/>
  <c r="GJ12" i="14"/>
  <c r="GG12" i="14"/>
  <c r="GA12" i="14"/>
  <c r="FL12" i="14"/>
  <c r="FI12" i="14"/>
  <c r="FF12" i="14"/>
  <c r="FC12" i="14"/>
  <c r="EW12" i="14"/>
  <c r="ET12" i="14"/>
  <c r="EQ12" i="14"/>
  <c r="EN12" i="14"/>
  <c r="EH12" i="14"/>
  <c r="EE12" i="14"/>
  <c r="EB12" i="14"/>
  <c r="DY12" i="14"/>
  <c r="DS12" i="14"/>
  <c r="DG12" i="14"/>
  <c r="DD12" i="14"/>
  <c r="DD11" i="14" s="1"/>
  <c r="DA12" i="14"/>
  <c r="DA11" i="14" s="1"/>
  <c r="CU12" i="14"/>
  <c r="CO12" i="14"/>
  <c r="CI12" i="14"/>
  <c r="CF12" i="14"/>
  <c r="CC12" i="14"/>
  <c r="BZ12" i="14"/>
  <c r="BZ11" i="14" s="1"/>
  <c r="BZ10" i="14" s="1"/>
  <c r="BT12" i="14"/>
  <c r="BQ12" i="14"/>
  <c r="BN12" i="14"/>
  <c r="BK12" i="14"/>
  <c r="BH12" i="14"/>
  <c r="BE12" i="14"/>
  <c r="BB12" i="14"/>
  <c r="AY12" i="14"/>
  <c r="AV12" i="14"/>
  <c r="AS12" i="14"/>
  <c r="AP12" i="14"/>
  <c r="AM12" i="14"/>
  <c r="AJ12" i="14"/>
  <c r="AG12" i="14"/>
  <c r="AF12" i="14"/>
  <c r="Z12" i="14"/>
  <c r="W12" i="14"/>
  <c r="T12" i="14"/>
  <c r="Q12" i="14"/>
  <c r="N12" i="14"/>
  <c r="K12" i="14"/>
  <c r="E12" i="14"/>
  <c r="HB11" i="14"/>
  <c r="GY11" i="14"/>
  <c r="GV11" i="14"/>
  <c r="GP11" i="14"/>
  <c r="GM11" i="14"/>
  <c r="GJ11" i="14"/>
  <c r="GG11" i="14"/>
  <c r="GA11" i="14"/>
  <c r="GA8" i="14" s="1"/>
  <c r="FL11" i="14"/>
  <c r="FI11" i="14"/>
  <c r="FF11" i="14"/>
  <c r="FC11" i="14"/>
  <c r="EW11" i="14"/>
  <c r="ET11" i="14"/>
  <c r="EQ11" i="14"/>
  <c r="EN11" i="14"/>
  <c r="EH11" i="14"/>
  <c r="DS11" i="14"/>
  <c r="DS8" i="14" s="1"/>
  <c r="DJ11" i="14"/>
  <c r="CX11" i="14"/>
  <c r="CX21" i="14" s="1"/>
  <c r="CX4" i="14" s="1"/>
  <c r="CO11" i="14"/>
  <c r="CI11" i="14"/>
  <c r="CF11" i="14"/>
  <c r="CC11" i="14"/>
  <c r="BT11" i="14"/>
  <c r="BT10" i="14" s="1"/>
  <c r="BQ11" i="14"/>
  <c r="BN11" i="14"/>
  <c r="BN9" i="14" s="1"/>
  <c r="BK11" i="14"/>
  <c r="BH11" i="14"/>
  <c r="BE11" i="14"/>
  <c r="BB11" i="14"/>
  <c r="AY11" i="14"/>
  <c r="AV11" i="14"/>
  <c r="AS11" i="14"/>
  <c r="AP11" i="14"/>
  <c r="AM11" i="14"/>
  <c r="AJ11" i="14"/>
  <c r="AG11" i="14"/>
  <c r="AF11" i="14"/>
  <c r="Z11" i="14"/>
  <c r="Z16" i="14" s="1"/>
  <c r="Z4" i="14" s="1"/>
  <c r="W11" i="14"/>
  <c r="W18" i="14" s="1"/>
  <c r="T11" i="14"/>
  <c r="Q11" i="14"/>
  <c r="N11" i="14"/>
  <c r="E11" i="14"/>
  <c r="E21" i="14" s="1"/>
  <c r="E4" i="14" s="1"/>
  <c r="HB10" i="14"/>
  <c r="GY10" i="14"/>
  <c r="GV10" i="14"/>
  <c r="GP10" i="14"/>
  <c r="GM10" i="14"/>
  <c r="GJ10" i="14"/>
  <c r="GG10" i="14"/>
  <c r="GA10" i="14"/>
  <c r="FL10" i="14"/>
  <c r="FI10" i="14"/>
  <c r="FF10" i="14"/>
  <c r="FC10" i="14"/>
  <c r="EW10" i="14"/>
  <c r="ET10" i="14"/>
  <c r="EQ10" i="14"/>
  <c r="EN10" i="14"/>
  <c r="EH10" i="14"/>
  <c r="EE10" i="14"/>
  <c r="EB10" i="14"/>
  <c r="DY10" i="14"/>
  <c r="DS10" i="14"/>
  <c r="DP10" i="14"/>
  <c r="DP5" i="14" s="1"/>
  <c r="DJ10" i="14"/>
  <c r="DG10" i="14"/>
  <c r="DD10" i="14"/>
  <c r="CX10" i="14"/>
  <c r="CU10" i="14"/>
  <c r="CO10" i="14"/>
  <c r="CI10" i="14"/>
  <c r="CF10" i="14"/>
  <c r="CC10" i="14"/>
  <c r="BQ10" i="14"/>
  <c r="BN10" i="14"/>
  <c r="BK10" i="14"/>
  <c r="BH10" i="14"/>
  <c r="BH6" i="14" s="1"/>
  <c r="BE10" i="14"/>
  <c r="BE6" i="14" s="1"/>
  <c r="BB10" i="14"/>
  <c r="BB6" i="14" s="1"/>
  <c r="AY10" i="14"/>
  <c r="AV10" i="14"/>
  <c r="AS10" i="14"/>
  <c r="AP10" i="14"/>
  <c r="AM10" i="14"/>
  <c r="AG10" i="14"/>
  <c r="AF10" i="14"/>
  <c r="Z10" i="14"/>
  <c r="Z6" i="14" s="1"/>
  <c r="W10" i="14"/>
  <c r="W6" i="14" s="1"/>
  <c r="T10" i="14"/>
  <c r="Q10" i="14"/>
  <c r="N10" i="14"/>
  <c r="K10" i="14"/>
  <c r="E10" i="14"/>
  <c r="HB9" i="14"/>
  <c r="GY9" i="14"/>
  <c r="GV9" i="14"/>
  <c r="GP9" i="14"/>
  <c r="GM9" i="14"/>
  <c r="GJ9" i="14"/>
  <c r="GG9" i="14"/>
  <c r="GA9" i="14"/>
  <c r="FR9" i="14"/>
  <c r="FR8" i="14" s="1"/>
  <c r="FL9" i="14"/>
  <c r="FI9" i="14"/>
  <c r="FF9" i="14"/>
  <c r="FC9" i="14"/>
  <c r="EW9" i="14"/>
  <c r="EW8" i="14" s="1"/>
  <c r="ET9" i="14"/>
  <c r="EQ9" i="14"/>
  <c r="EN9" i="14"/>
  <c r="EH9" i="14"/>
  <c r="EE9" i="14"/>
  <c r="EB9" i="14"/>
  <c r="DY9" i="14"/>
  <c r="DS9" i="14"/>
  <c r="DP9" i="14"/>
  <c r="DJ9" i="14"/>
  <c r="DJ12" i="14" s="1"/>
  <c r="DG9" i="14"/>
  <c r="DD9" i="14"/>
  <c r="DA9" i="14"/>
  <c r="CX9" i="14"/>
  <c r="CU9" i="14"/>
  <c r="CO9" i="14"/>
  <c r="CO7" i="14" s="1"/>
  <c r="CI9" i="14"/>
  <c r="CF9" i="14"/>
  <c r="CC9" i="14"/>
  <c r="BZ9" i="14"/>
  <c r="BW9" i="14"/>
  <c r="BT9" i="14"/>
  <c r="BT20" i="14" s="1"/>
  <c r="BT4" i="14" s="1"/>
  <c r="BK9" i="14"/>
  <c r="BH9" i="14"/>
  <c r="BE9" i="14"/>
  <c r="BB9" i="14"/>
  <c r="AY9" i="14"/>
  <c r="AV9" i="14"/>
  <c r="AS9" i="14"/>
  <c r="AP9" i="14"/>
  <c r="AM9" i="14"/>
  <c r="AJ9" i="14"/>
  <c r="AG9" i="14"/>
  <c r="AG23" i="14" s="1"/>
  <c r="AG27" i="14" s="1"/>
  <c r="AF9" i="14"/>
  <c r="AF23" i="14" s="1"/>
  <c r="AE9" i="14"/>
  <c r="AE23" i="14" s="1"/>
  <c r="AD9" i="14"/>
  <c r="AC9" i="14"/>
  <c r="Z9" i="14"/>
  <c r="W9" i="14"/>
  <c r="T9" i="14"/>
  <c r="Q9" i="14"/>
  <c r="N9" i="14"/>
  <c r="K9" i="14"/>
  <c r="H9" i="14"/>
  <c r="E9" i="14"/>
  <c r="HB8" i="14"/>
  <c r="GY8" i="14"/>
  <c r="GY6" i="14" s="1"/>
  <c r="GV8" i="14"/>
  <c r="GV6" i="14" s="1"/>
  <c r="GP8" i="14"/>
  <c r="GM8" i="14"/>
  <c r="GJ8" i="14"/>
  <c r="GJ6" i="14" s="1"/>
  <c r="GG8" i="14"/>
  <c r="GG6" i="14" s="1"/>
  <c r="FL8" i="14"/>
  <c r="FI8" i="14"/>
  <c r="FI6" i="14" s="1"/>
  <c r="FF8" i="14"/>
  <c r="FF6" i="14" s="1"/>
  <c r="FC8" i="14"/>
  <c r="ET8" i="14"/>
  <c r="EQ8" i="14"/>
  <c r="EQ6" i="14" s="1"/>
  <c r="EN8" i="14"/>
  <c r="EN6" i="14" s="1"/>
  <c r="EH8" i="14"/>
  <c r="EE8" i="14"/>
  <c r="EE6" i="14" s="1"/>
  <c r="EE2" i="14" s="1"/>
  <c r="EB8" i="14"/>
  <c r="EB6" i="14" s="1"/>
  <c r="DY8" i="14"/>
  <c r="DY6" i="14" s="1"/>
  <c r="DV8" i="14"/>
  <c r="DP8" i="14"/>
  <c r="DM8" i="14"/>
  <c r="DM6" i="14" s="1"/>
  <c r="DJ8" i="14"/>
  <c r="DJ6" i="14" s="1"/>
  <c r="DG8" i="14"/>
  <c r="DA8" i="14"/>
  <c r="CX8" i="14"/>
  <c r="CU8" i="14"/>
  <c r="CU16" i="14" s="1"/>
  <c r="CO8" i="14"/>
  <c r="CO6" i="14" s="1"/>
  <c r="CL8" i="14"/>
  <c r="CI8" i="14"/>
  <c r="CF8" i="14"/>
  <c r="CC8" i="14"/>
  <c r="BZ8" i="14"/>
  <c r="BZ15" i="14" s="1"/>
  <c r="BW8" i="14"/>
  <c r="BT8" i="14"/>
  <c r="BQ8" i="14"/>
  <c r="BN8" i="14"/>
  <c r="BK8" i="14"/>
  <c r="BH8" i="14"/>
  <c r="BE8" i="14"/>
  <c r="BB8" i="14"/>
  <c r="AY8" i="14"/>
  <c r="AV8" i="14"/>
  <c r="AS8" i="14"/>
  <c r="AP8" i="14"/>
  <c r="AM8" i="14"/>
  <c r="AJ8" i="14"/>
  <c r="AG8" i="14"/>
  <c r="AG29" i="14" s="1"/>
  <c r="AF8" i="14"/>
  <c r="AF29" i="14" s="1"/>
  <c r="AE8" i="14"/>
  <c r="AE29" i="14" s="1"/>
  <c r="AD8" i="14"/>
  <c r="AD29" i="14" s="1"/>
  <c r="AC8" i="14"/>
  <c r="AC29" i="14" s="1"/>
  <c r="Z8" i="14"/>
  <c r="W8" i="14"/>
  <c r="T8" i="14"/>
  <c r="Q8" i="14"/>
  <c r="N8" i="14"/>
  <c r="K8" i="14"/>
  <c r="K16" i="14" s="1"/>
  <c r="E8" i="14"/>
  <c r="HB7" i="14"/>
  <c r="HB5" i="14" s="1"/>
  <c r="GY7" i="14"/>
  <c r="GV7" i="14"/>
  <c r="GM7" i="14"/>
  <c r="GJ7" i="14"/>
  <c r="GG7" i="14"/>
  <c r="FR7" i="14"/>
  <c r="FI7" i="14"/>
  <c r="FF7" i="14"/>
  <c r="FC7" i="14"/>
  <c r="ET7" i="14"/>
  <c r="ET5" i="14" s="1"/>
  <c r="EQ7" i="14"/>
  <c r="EQ5" i="14" s="1"/>
  <c r="EN7" i="14"/>
  <c r="EN5" i="14" s="1"/>
  <c r="EE7" i="14"/>
  <c r="EB7" i="14"/>
  <c r="DY7" i="14"/>
  <c r="DM7" i="14"/>
  <c r="DM5" i="14" s="1"/>
  <c r="DJ7" i="14"/>
  <c r="DJ5" i="14" s="1"/>
  <c r="DA7" i="14"/>
  <c r="DA14" i="14" s="1"/>
  <c r="CX7" i="14"/>
  <c r="CU7" i="14"/>
  <c r="CU15" i="14" s="1"/>
  <c r="CL7" i="14"/>
  <c r="CI7" i="14"/>
  <c r="CF7" i="14"/>
  <c r="CC7" i="14"/>
  <c r="BZ7" i="14"/>
  <c r="BZ14" i="14" s="1"/>
  <c r="BW7" i="14"/>
  <c r="BT7" i="14"/>
  <c r="BQ7" i="14"/>
  <c r="BN7" i="14"/>
  <c r="BK7" i="14"/>
  <c r="BH7" i="14"/>
  <c r="BE7" i="14"/>
  <c r="BB7" i="14"/>
  <c r="AY7" i="14"/>
  <c r="AV7" i="14"/>
  <c r="AS7" i="14"/>
  <c r="AP7" i="14"/>
  <c r="AM7" i="14"/>
  <c r="AJ7" i="14"/>
  <c r="AG7" i="14"/>
  <c r="AF7" i="14"/>
  <c r="AE7" i="14"/>
  <c r="AD7" i="14"/>
  <c r="AC7" i="14"/>
  <c r="Z7" i="14"/>
  <c r="W7" i="14"/>
  <c r="T7" i="14"/>
  <c r="Q7" i="14"/>
  <c r="N7" i="14"/>
  <c r="K7" i="14"/>
  <c r="K15" i="14" s="1"/>
  <c r="H7" i="14"/>
  <c r="H11" i="14" s="1"/>
  <c r="E7" i="14"/>
  <c r="E6" i="14" s="1"/>
  <c r="HB6" i="14"/>
  <c r="GS6" i="14"/>
  <c r="GP6" i="14"/>
  <c r="GM6" i="14"/>
  <c r="GD6" i="14"/>
  <c r="GA6" i="14"/>
  <c r="FU6" i="14"/>
  <c r="FR6" i="14"/>
  <c r="FL6" i="14"/>
  <c r="FC6" i="14"/>
  <c r="EZ6" i="14"/>
  <c r="EW6" i="14"/>
  <c r="ET6" i="14"/>
  <c r="ET2" i="14" s="1"/>
  <c r="EK6" i="14"/>
  <c r="EH6" i="14"/>
  <c r="DV6" i="14"/>
  <c r="DS6" i="14"/>
  <c r="DD6" i="14"/>
  <c r="DA6" i="14"/>
  <c r="CX6" i="14"/>
  <c r="CU6" i="14"/>
  <c r="CU14" i="14" s="1"/>
  <c r="CR6" i="14"/>
  <c r="CI6" i="14"/>
  <c r="CF6" i="14"/>
  <c r="CC6" i="14"/>
  <c r="BZ6" i="14"/>
  <c r="BZ13" i="14" s="1"/>
  <c r="BW6" i="14"/>
  <c r="BW10" i="14" s="1"/>
  <c r="BW2" i="14" s="1"/>
  <c r="BT6" i="14"/>
  <c r="AY6" i="14"/>
  <c r="AV6" i="14"/>
  <c r="AS6" i="14"/>
  <c r="AP6" i="14"/>
  <c r="AM6" i="14"/>
  <c r="AJ6" i="14"/>
  <c r="T6" i="14"/>
  <c r="Q6" i="14"/>
  <c r="N6" i="14"/>
  <c r="H6" i="14"/>
  <c r="GY5" i="14"/>
  <c r="GV5" i="14"/>
  <c r="GS5" i="14"/>
  <c r="GP5" i="14"/>
  <c r="GM5" i="14"/>
  <c r="GJ5" i="14"/>
  <c r="GG5" i="14"/>
  <c r="GD5" i="14"/>
  <c r="GA5" i="14"/>
  <c r="FX5" i="14"/>
  <c r="FX2" i="14" s="1"/>
  <c r="FU5" i="14"/>
  <c r="FR5" i="14"/>
  <c r="FO5" i="14"/>
  <c r="FL5" i="14"/>
  <c r="FF5" i="14"/>
  <c r="FC5" i="14"/>
  <c r="EZ5" i="14"/>
  <c r="EW5" i="14"/>
  <c r="EK5" i="14"/>
  <c r="EH5" i="14"/>
  <c r="EE5" i="14"/>
  <c r="EB5" i="14"/>
  <c r="DY5" i="14"/>
  <c r="DV5" i="14"/>
  <c r="DS5" i="14"/>
  <c r="DD5" i="14"/>
  <c r="DA5" i="14"/>
  <c r="CX5" i="14"/>
  <c r="CU5" i="14"/>
  <c r="CO5" i="14"/>
  <c r="CR5" i="14" s="1"/>
  <c r="CL5" i="14"/>
  <c r="CI5" i="14"/>
  <c r="CF5" i="14"/>
  <c r="CC5" i="14"/>
  <c r="BZ5" i="14"/>
  <c r="BW5" i="14"/>
  <c r="BT5" i="14"/>
  <c r="BQ5" i="14"/>
  <c r="BN5" i="14"/>
  <c r="BK5" i="14"/>
  <c r="BH5" i="14"/>
  <c r="BE5" i="14"/>
  <c r="BB5" i="14"/>
  <c r="AY5" i="14"/>
  <c r="AV5" i="14"/>
  <c r="AS5" i="14"/>
  <c r="AP5" i="14"/>
  <c r="AM5" i="14"/>
  <c r="AJ5" i="14"/>
  <c r="AG5" i="14"/>
  <c r="AF5" i="14"/>
  <c r="AE5" i="14"/>
  <c r="AD5" i="14"/>
  <c r="AC5" i="14"/>
  <c r="Z5" i="14"/>
  <c r="W5" i="14"/>
  <c r="T5" i="14"/>
  <c r="Q5" i="14"/>
  <c r="N5" i="14"/>
  <c r="K5" i="14"/>
  <c r="H5" i="14"/>
  <c r="E5" i="14"/>
  <c r="DP2" i="14" l="1"/>
  <c r="DP30" i="14"/>
  <c r="DQ30" i="14" s="1"/>
  <c r="DG5" i="14"/>
  <c r="DG2" i="14" s="1"/>
  <c r="DA16" i="14" s="1"/>
  <c r="DA2" i="14" s="1"/>
  <c r="K2" i="14"/>
  <c r="AF2" i="14"/>
  <c r="AC2" i="14"/>
  <c r="AD2" i="14"/>
  <c r="AE2" i="14"/>
  <c r="Z18" i="14"/>
  <c r="Z3" i="14" s="1"/>
  <c r="W16" i="14"/>
  <c r="W4" i="14" s="1"/>
  <c r="E19" i="14"/>
  <c r="E3" i="14" s="1"/>
  <c r="CX19" i="14"/>
  <c r="CX3" i="14" s="1"/>
  <c r="BT18" i="14"/>
  <c r="BT3" i="14" s="1"/>
  <c r="BZ2" i="14"/>
  <c r="HE6" i="9"/>
  <c r="HE4" i="9" s="1"/>
  <c r="EK2" i="14"/>
  <c r="DA20" i="14" s="1"/>
  <c r="EH2" i="14"/>
  <c r="EQ2" i="14"/>
  <c r="EN2" i="14"/>
  <c r="CU21" i="14" s="1"/>
  <c r="EB2" i="14"/>
  <c r="DY2" i="14"/>
  <c r="CU22" i="14" s="1"/>
  <c r="DV2" i="14"/>
  <c r="DA21" i="14" s="1"/>
  <c r="DS2" i="14"/>
  <c r="GS2" i="14"/>
  <c r="DA19" i="14" s="1"/>
  <c r="GY2" i="14"/>
  <c r="GV2" i="14"/>
  <c r="CU20" i="14" s="1"/>
  <c r="GP2" i="14"/>
  <c r="GG2" i="14"/>
  <c r="CU23" i="14" s="1"/>
  <c r="GD2" i="14"/>
  <c r="DA22" i="14" s="1"/>
  <c r="GA2" i="14"/>
  <c r="GJ2" i="14"/>
  <c r="FO2" i="14"/>
  <c r="DA23" i="14" s="1"/>
  <c r="FL2" i="14"/>
  <c r="FU2" i="14"/>
  <c r="FR2" i="14"/>
  <c r="CU24" i="14" s="1"/>
  <c r="FC2" i="14"/>
  <c r="CU19" i="14" s="1"/>
  <c r="CU2" i="14" s="1"/>
  <c r="EZ2" i="14"/>
  <c r="DA18" i="14" s="1"/>
  <c r="EW2" i="14"/>
  <c r="DM2" i="14"/>
  <c r="DJ2" i="14"/>
  <c r="CU17" i="14" s="1"/>
  <c r="DD2" i="14"/>
  <c r="W3" i="14"/>
  <c r="CC19" i="14"/>
  <c r="CF19" i="14"/>
  <c r="W41" i="14"/>
  <c r="Z41" i="14"/>
  <c r="W40" i="14"/>
  <c r="W25" i="14" s="1"/>
  <c r="Z40" i="14"/>
  <c r="Z25" i="14" s="1"/>
  <c r="N21" i="14"/>
  <c r="DA17" i="15"/>
  <c r="CO20" i="1"/>
  <c r="AF27" i="14"/>
  <c r="CR2" i="14"/>
  <c r="CO2" i="14"/>
  <c r="DY18" i="14"/>
  <c r="AE27" i="14"/>
  <c r="FR10" i="14"/>
  <c r="DA10" i="14"/>
  <c r="H59" i="14"/>
  <c r="H54" i="14"/>
  <c r="H49" i="14" s="1"/>
  <c r="H48" i="14"/>
  <c r="H13" i="14" s="1"/>
  <c r="H2" i="14" s="1"/>
  <c r="DG6" i="14"/>
  <c r="CO20" i="14"/>
  <c r="DA25" i="14"/>
  <c r="BZ16" i="14"/>
  <c r="H21" i="14"/>
  <c r="DA26" i="14"/>
  <c r="BW16" i="14"/>
  <c r="H50" i="14"/>
  <c r="H22" i="14"/>
  <c r="H69" i="1"/>
  <c r="H68" i="1"/>
  <c r="H66" i="1"/>
  <c r="H65" i="1"/>
  <c r="H64" i="1"/>
  <c r="H62" i="1"/>
  <c r="H61" i="1"/>
  <c r="H60" i="1"/>
  <c r="H57" i="1"/>
  <c r="H56" i="1"/>
  <c r="H55" i="1"/>
  <c r="H53" i="1"/>
  <c r="K52" i="1"/>
  <c r="H52" i="1"/>
  <c r="K51" i="1"/>
  <c r="H51" i="1"/>
  <c r="E52" i="1"/>
  <c r="DA50" i="1"/>
  <c r="K50" i="1"/>
  <c r="E51" i="1"/>
  <c r="DA49" i="1"/>
  <c r="K49" i="1"/>
  <c r="CU48" i="1"/>
  <c r="E49" i="1"/>
  <c r="CU47" i="1"/>
  <c r="H47" i="1"/>
  <c r="E48" i="1"/>
  <c r="H46" i="1"/>
  <c r="E47" i="1"/>
  <c r="DA45" i="1"/>
  <c r="E46" i="1"/>
  <c r="DA43" i="1"/>
  <c r="DA42" i="1"/>
  <c r="CU42" i="1"/>
  <c r="Z43" i="1"/>
  <c r="HE41" i="1"/>
  <c r="DA41" i="1"/>
  <c r="CU41" i="1"/>
  <c r="Z42" i="1"/>
  <c r="H41" i="1"/>
  <c r="HE40" i="1"/>
  <c r="DA40" i="1"/>
  <c r="CU40" i="1"/>
  <c r="HE39" i="1"/>
  <c r="DA39" i="1"/>
  <c r="CU39" i="1"/>
  <c r="HE38" i="1"/>
  <c r="DA38" i="1"/>
  <c r="CU38" i="1"/>
  <c r="K38" i="1"/>
  <c r="DA37" i="1"/>
  <c r="CU37" i="1"/>
  <c r="K37" i="1"/>
  <c r="H37" i="1"/>
  <c r="HE36" i="1"/>
  <c r="DA36" i="1"/>
  <c r="CU36" i="1"/>
  <c r="Z37" i="1"/>
  <c r="W37" i="1"/>
  <c r="K36" i="1"/>
  <c r="H36" i="1"/>
  <c r="E37" i="1"/>
  <c r="HE35" i="1"/>
  <c r="DA35" i="1"/>
  <c r="CU35" i="1"/>
  <c r="BZ35" i="1"/>
  <c r="BN35" i="1"/>
  <c r="BK35" i="1"/>
  <c r="BE35" i="1"/>
  <c r="BB35" i="1"/>
  <c r="AV35" i="1"/>
  <c r="AS35" i="1"/>
  <c r="AM35" i="1"/>
  <c r="AJ35" i="1"/>
  <c r="Z36" i="1"/>
  <c r="W36" i="1"/>
  <c r="K35" i="1"/>
  <c r="H35" i="1"/>
  <c r="E36" i="1"/>
  <c r="HE34" i="1"/>
  <c r="DA34" i="1"/>
  <c r="CU34" i="1"/>
  <c r="BZ34" i="1"/>
  <c r="BN34" i="1"/>
  <c r="BK34" i="1"/>
  <c r="BE34" i="1"/>
  <c r="BB34" i="1"/>
  <c r="AV34" i="1"/>
  <c r="AS34" i="1"/>
  <c r="AM34" i="1"/>
  <c r="AJ34" i="1"/>
  <c r="Z35" i="1"/>
  <c r="W35" i="1"/>
  <c r="Q35" i="1"/>
  <c r="N35" i="1"/>
  <c r="K34" i="1"/>
  <c r="H34" i="1"/>
  <c r="E35" i="1"/>
  <c r="HE33" i="1"/>
  <c r="DA33" i="1"/>
  <c r="CU33" i="1"/>
  <c r="CO33" i="1"/>
  <c r="BN33" i="1"/>
  <c r="BK33" i="1"/>
  <c r="BE33" i="1"/>
  <c r="BB33" i="1"/>
  <c r="AV33" i="1"/>
  <c r="AS33" i="1"/>
  <c r="AM33" i="1"/>
  <c r="AJ33" i="1"/>
  <c r="AF33" i="1"/>
  <c r="Z34" i="1"/>
  <c r="W34" i="1"/>
  <c r="Q34" i="1"/>
  <c r="N34" i="1"/>
  <c r="K33" i="1"/>
  <c r="H33" i="1"/>
  <c r="E34" i="1"/>
  <c r="DA32" i="1"/>
  <c r="CU32" i="1"/>
  <c r="BN32" i="1"/>
  <c r="BK32" i="1"/>
  <c r="BE32" i="1"/>
  <c r="BB32" i="1"/>
  <c r="AV32" i="1"/>
  <c r="AS32" i="1"/>
  <c r="AM32" i="1"/>
  <c r="AJ32" i="1"/>
  <c r="AE32" i="1"/>
  <c r="AD32" i="1"/>
  <c r="AC32" i="1"/>
  <c r="Z33" i="1"/>
  <c r="W33" i="1"/>
  <c r="Q33" i="1"/>
  <c r="N33" i="1"/>
  <c r="K32" i="1"/>
  <c r="H32" i="1"/>
  <c r="E33" i="1"/>
  <c r="HE31" i="1"/>
  <c r="DA31" i="1"/>
  <c r="CU31" i="1"/>
  <c r="CO31" i="1"/>
  <c r="BW31" i="1"/>
  <c r="BN31" i="1"/>
  <c r="BK31" i="1"/>
  <c r="BE31" i="1"/>
  <c r="BB31" i="1"/>
  <c r="AV31" i="1"/>
  <c r="AS31" i="1"/>
  <c r="AM31" i="1"/>
  <c r="AJ31" i="1"/>
  <c r="Z32" i="1"/>
  <c r="W32" i="1"/>
  <c r="Q32" i="1"/>
  <c r="N32" i="1"/>
  <c r="K31" i="1"/>
  <c r="H31" i="1"/>
  <c r="HE30" i="1"/>
  <c r="DA30" i="1"/>
  <c r="CU30" i="1"/>
  <c r="CO30" i="1"/>
  <c r="CF31" i="1"/>
  <c r="CC31" i="1"/>
  <c r="BZ30" i="1"/>
  <c r="BZ10" i="1" s="1"/>
  <c r="BW30" i="1"/>
  <c r="BW16" i="1" s="1"/>
  <c r="BN30" i="1"/>
  <c r="BK30" i="1"/>
  <c r="BE30" i="1"/>
  <c r="BB30" i="1"/>
  <c r="AS30" i="1"/>
  <c r="AM30" i="1"/>
  <c r="AJ30" i="1"/>
  <c r="Z31" i="1"/>
  <c r="W31" i="1"/>
  <c r="Q31" i="1"/>
  <c r="N31" i="1"/>
  <c r="K30" i="1"/>
  <c r="H30" i="1"/>
  <c r="HE29" i="1"/>
  <c r="DA29" i="1"/>
  <c r="CU29" i="1"/>
  <c r="CO29" i="1"/>
  <c r="CF30" i="1"/>
  <c r="CC30" i="1"/>
  <c r="BZ29" i="1"/>
  <c r="BN29" i="1"/>
  <c r="BN28" i="1" s="1"/>
  <c r="BK29" i="1"/>
  <c r="BK28" i="1" s="1"/>
  <c r="BE29" i="1"/>
  <c r="BE25" i="1" s="1"/>
  <c r="BB29" i="1"/>
  <c r="BB25" i="1" s="1"/>
  <c r="BB21" i="1" s="1"/>
  <c r="AV29" i="1"/>
  <c r="AS29" i="1"/>
  <c r="AM29" i="1"/>
  <c r="AJ29" i="1"/>
  <c r="Z30" i="1"/>
  <c r="W30" i="1"/>
  <c r="Q30" i="1"/>
  <c r="N30" i="1"/>
  <c r="K29" i="1"/>
  <c r="H29" i="1"/>
  <c r="DA28" i="1"/>
  <c r="CU28" i="1"/>
  <c r="CO28" i="1"/>
  <c r="CF29" i="1"/>
  <c r="CC29" i="1"/>
  <c r="BZ28" i="1"/>
  <c r="BE28" i="1"/>
  <c r="BB28" i="1"/>
  <c r="AV28" i="1"/>
  <c r="AS28" i="1"/>
  <c r="AM28" i="1"/>
  <c r="AJ28" i="1"/>
  <c r="Q29" i="1"/>
  <c r="N29" i="1"/>
  <c r="H28" i="1"/>
  <c r="HB27" i="1"/>
  <c r="GM27" i="1"/>
  <c r="FI27" i="1"/>
  <c r="ET27" i="1"/>
  <c r="EE27" i="1"/>
  <c r="DA27" i="1"/>
  <c r="CU27" i="1"/>
  <c r="CO27" i="1"/>
  <c r="CF28" i="1"/>
  <c r="CC28" i="1"/>
  <c r="BZ27" i="1"/>
  <c r="BN27" i="1"/>
  <c r="BK27" i="1"/>
  <c r="BK26" i="1" s="1"/>
  <c r="BE27" i="1"/>
  <c r="BE26" i="1" s="1"/>
  <c r="BB27" i="1"/>
  <c r="AV27" i="1"/>
  <c r="AS27" i="1"/>
  <c r="AM27" i="1"/>
  <c r="AJ27" i="1"/>
  <c r="Q28" i="1"/>
  <c r="N28" i="1"/>
  <c r="K27" i="1"/>
  <c r="H27" i="1"/>
  <c r="HB26" i="1"/>
  <c r="GM26" i="1"/>
  <c r="FI26" i="1"/>
  <c r="ET26" i="1"/>
  <c r="EE26" i="1"/>
  <c r="DP26" i="1"/>
  <c r="CX26" i="1"/>
  <c r="CO26" i="1"/>
  <c r="CL26" i="1"/>
  <c r="CF27" i="1"/>
  <c r="CC27" i="1"/>
  <c r="BZ26" i="1"/>
  <c r="BT26" i="1"/>
  <c r="BN26" i="1"/>
  <c r="BN21" i="1" s="1"/>
  <c r="BB26" i="1"/>
  <c r="Z27" i="1"/>
  <c r="W27" i="1"/>
  <c r="Q27" i="1"/>
  <c r="N27" i="1"/>
  <c r="K26" i="1"/>
  <c r="H26" i="1"/>
  <c r="E26" i="1"/>
  <c r="HE25" i="1"/>
  <c r="HB25" i="1"/>
  <c r="GM25" i="1"/>
  <c r="FI25" i="1"/>
  <c r="ET25" i="1"/>
  <c r="EE25" i="1"/>
  <c r="DP25" i="1"/>
  <c r="DG25" i="1"/>
  <c r="CX25" i="1"/>
  <c r="CL25" i="1"/>
  <c r="CF26" i="1"/>
  <c r="CC26" i="1"/>
  <c r="BZ25" i="1"/>
  <c r="BT25" i="1"/>
  <c r="BT10" i="1" s="1"/>
  <c r="AG25" i="1"/>
  <c r="AF25" i="1"/>
  <c r="AE25" i="1"/>
  <c r="AD25" i="1"/>
  <c r="AC25" i="1"/>
  <c r="E25" i="1"/>
  <c r="HB24" i="1"/>
  <c r="CX24" i="1"/>
  <c r="CL24" i="1"/>
  <c r="CF25" i="1"/>
  <c r="CC25" i="1"/>
  <c r="BZ24" i="1"/>
  <c r="BZ17" i="1" s="1"/>
  <c r="BW24" i="1"/>
  <c r="BT24" i="1"/>
  <c r="BN24" i="1"/>
  <c r="BK24" i="1"/>
  <c r="BE24" i="1"/>
  <c r="BB24" i="1"/>
  <c r="AV24" i="1"/>
  <c r="AS24" i="1"/>
  <c r="AM24" i="1"/>
  <c r="AJ24" i="1"/>
  <c r="K24" i="1"/>
  <c r="H24" i="1"/>
  <c r="E24" i="1"/>
  <c r="HB23" i="1"/>
  <c r="CX23" i="1"/>
  <c r="CL23" i="1"/>
  <c r="BZ23" i="1"/>
  <c r="BW23" i="1"/>
  <c r="BT23" i="1"/>
  <c r="Q24" i="1"/>
  <c r="N24" i="1"/>
  <c r="K23" i="1"/>
  <c r="H23" i="1"/>
  <c r="E23" i="1"/>
  <c r="HB22" i="1"/>
  <c r="GM22" i="1"/>
  <c r="FI22" i="1"/>
  <c r="ET22" i="1"/>
  <c r="EE22" i="1"/>
  <c r="DP22" i="1"/>
  <c r="DG22" i="1"/>
  <c r="BZ22" i="1"/>
  <c r="BW22" i="1"/>
  <c r="BT22" i="1"/>
  <c r="AG22" i="1"/>
  <c r="AF22" i="1"/>
  <c r="AE22" i="1"/>
  <c r="AD22" i="1"/>
  <c r="AC22" i="1"/>
  <c r="K22" i="1"/>
  <c r="B22" i="1"/>
  <c r="DG23" i="1" s="1"/>
  <c r="HB21" i="1"/>
  <c r="GM21" i="1"/>
  <c r="FI21" i="1"/>
  <c r="ET21" i="1"/>
  <c r="EE21" i="1"/>
  <c r="DP21" i="1"/>
  <c r="DG21" i="1"/>
  <c r="DD21" i="1"/>
  <c r="CF22" i="1"/>
  <c r="CC22" i="1"/>
  <c r="BZ21" i="1"/>
  <c r="BW21" i="1"/>
  <c r="AG21" i="1"/>
  <c r="AF21" i="1"/>
  <c r="AE21" i="1"/>
  <c r="AD21" i="1"/>
  <c r="AC21" i="1"/>
  <c r="K21" i="1"/>
  <c r="DD20" i="1"/>
  <c r="BZ20" i="1"/>
  <c r="BW20" i="1"/>
  <c r="AG20" i="1"/>
  <c r="AF20" i="1"/>
  <c r="AE20" i="1"/>
  <c r="AD20" i="1"/>
  <c r="AC20" i="1"/>
  <c r="H20" i="1"/>
  <c r="HB19" i="1"/>
  <c r="GM19" i="1"/>
  <c r="FI19" i="1"/>
  <c r="ET19" i="1"/>
  <c r="EE19" i="1"/>
  <c r="DP19" i="1"/>
  <c r="DG19" i="1"/>
  <c r="DD19" i="1"/>
  <c r="BZ19" i="1"/>
  <c r="BW19" i="1"/>
  <c r="AG19" i="1"/>
  <c r="AF19" i="1"/>
  <c r="AE19" i="1"/>
  <c r="AD19" i="1"/>
  <c r="AC19" i="1"/>
  <c r="H19" i="1"/>
  <c r="HB18" i="1"/>
  <c r="GM18" i="1"/>
  <c r="GA18" i="1"/>
  <c r="FL18" i="1"/>
  <c r="FI18" i="1"/>
  <c r="EW18" i="1"/>
  <c r="ET18" i="1"/>
  <c r="EH18" i="1"/>
  <c r="EE18" i="1"/>
  <c r="DS18" i="1"/>
  <c r="DP18" i="1"/>
  <c r="DG18" i="1"/>
  <c r="CX18" i="1"/>
  <c r="BZ18" i="1"/>
  <c r="BW18" i="1"/>
  <c r="BW13" i="1" s="1"/>
  <c r="AG18" i="1"/>
  <c r="AF18" i="1"/>
  <c r="AE18" i="1"/>
  <c r="AD18" i="1"/>
  <c r="AC18" i="1"/>
  <c r="H18" i="1"/>
  <c r="E18" i="1"/>
  <c r="HB17" i="1"/>
  <c r="GP17" i="1"/>
  <c r="GM17" i="1"/>
  <c r="GA17" i="1"/>
  <c r="FL17" i="1"/>
  <c r="FI17" i="1"/>
  <c r="EW17" i="1"/>
  <c r="ET17" i="1"/>
  <c r="EH17" i="1"/>
  <c r="EE17" i="1"/>
  <c r="DY17" i="1"/>
  <c r="DS17" i="1"/>
  <c r="DP17" i="1"/>
  <c r="DG17" i="1"/>
  <c r="CX17" i="1"/>
  <c r="BW17" i="1"/>
  <c r="BT17" i="1"/>
  <c r="AG17" i="1"/>
  <c r="AF17" i="1"/>
  <c r="AE17" i="1"/>
  <c r="AD17" i="1"/>
  <c r="AC17" i="1"/>
  <c r="H17" i="1"/>
  <c r="E17" i="1"/>
  <c r="HB16" i="1"/>
  <c r="GV16" i="1"/>
  <c r="GP16" i="1"/>
  <c r="GG16" i="1"/>
  <c r="FC16" i="1"/>
  <c r="EN16" i="1"/>
  <c r="DD16" i="1"/>
  <c r="CX16" i="1"/>
  <c r="CO16" i="1"/>
  <c r="BZ16" i="1"/>
  <c r="BQ16" i="1"/>
  <c r="BN16" i="1"/>
  <c r="BK16" i="1"/>
  <c r="BH16" i="1"/>
  <c r="BE16" i="1"/>
  <c r="BB16" i="1"/>
  <c r="AY16" i="1"/>
  <c r="AV16" i="1"/>
  <c r="AS16" i="1"/>
  <c r="AP16" i="1"/>
  <c r="AM16" i="1"/>
  <c r="AJ16" i="1"/>
  <c r="AG16" i="1"/>
  <c r="AF16" i="1"/>
  <c r="AE16" i="1"/>
  <c r="AD16" i="1"/>
  <c r="AC16" i="1"/>
  <c r="T16" i="1"/>
  <c r="Q16" i="1"/>
  <c r="N16" i="1"/>
  <c r="HB15" i="1"/>
  <c r="GM15" i="1"/>
  <c r="GA15" i="1"/>
  <c r="FL15" i="1"/>
  <c r="FI15" i="1"/>
  <c r="EW15" i="1"/>
  <c r="ET15" i="1"/>
  <c r="EH15" i="1"/>
  <c r="EE15" i="1"/>
  <c r="DY15" i="1"/>
  <c r="DS15" i="1"/>
  <c r="DP15" i="1"/>
  <c r="DG15" i="1"/>
  <c r="DD15" i="1"/>
  <c r="CX15" i="1"/>
  <c r="BW15" i="1"/>
  <c r="BT15" i="1"/>
  <c r="BQ15" i="1"/>
  <c r="BN15" i="1"/>
  <c r="BK15" i="1"/>
  <c r="BH15" i="1"/>
  <c r="BE15" i="1"/>
  <c r="BB15" i="1"/>
  <c r="AY15" i="1"/>
  <c r="AV15" i="1"/>
  <c r="AS15" i="1"/>
  <c r="AP15" i="1"/>
  <c r="AM15" i="1"/>
  <c r="AJ15" i="1"/>
  <c r="AG15" i="1"/>
  <c r="AF15" i="1"/>
  <c r="AE15" i="1"/>
  <c r="AD15" i="1"/>
  <c r="AC15" i="1"/>
  <c r="Z15" i="1"/>
  <c r="W15" i="1"/>
  <c r="T15" i="1"/>
  <c r="Q15" i="1"/>
  <c r="N15" i="1"/>
  <c r="E15" i="1"/>
  <c r="HB14" i="1"/>
  <c r="GV14" i="1"/>
  <c r="GP14" i="1"/>
  <c r="GM14" i="1"/>
  <c r="GG14" i="1"/>
  <c r="FI14" i="1"/>
  <c r="FC14" i="1"/>
  <c r="ET14" i="1"/>
  <c r="EN14" i="1"/>
  <c r="EE14" i="1"/>
  <c r="EB14" i="1"/>
  <c r="DY14" i="1"/>
  <c r="DP14" i="1"/>
  <c r="DG14" i="1"/>
  <c r="DD14" i="1"/>
  <c r="CX14" i="1"/>
  <c r="CO14" i="1"/>
  <c r="CI14" i="1"/>
  <c r="CF14" i="1"/>
  <c r="CC14" i="1"/>
  <c r="BW14" i="1"/>
  <c r="BT14" i="1"/>
  <c r="BQ14" i="1"/>
  <c r="BN14" i="1"/>
  <c r="BK14" i="1"/>
  <c r="BH14" i="1"/>
  <c r="BE14" i="1"/>
  <c r="BB14" i="1"/>
  <c r="AY14" i="1"/>
  <c r="AV14" i="1"/>
  <c r="AS14" i="1"/>
  <c r="AP14" i="1"/>
  <c r="AM14" i="1"/>
  <c r="AJ14" i="1"/>
  <c r="AG14" i="1"/>
  <c r="AF14" i="1"/>
  <c r="AE14" i="1"/>
  <c r="AD14" i="1"/>
  <c r="AC14" i="1"/>
  <c r="Z14" i="1"/>
  <c r="W14" i="1"/>
  <c r="T14" i="1"/>
  <c r="Q14" i="1"/>
  <c r="N14" i="1"/>
  <c r="E14" i="1"/>
  <c r="HE13" i="1"/>
  <c r="HB13" i="1"/>
  <c r="GY13" i="1"/>
  <c r="GV13" i="1"/>
  <c r="GP13" i="1"/>
  <c r="GM13" i="1"/>
  <c r="GJ13" i="1"/>
  <c r="GG13" i="1"/>
  <c r="GA13" i="1"/>
  <c r="FL13" i="1"/>
  <c r="FI13" i="1"/>
  <c r="FF13" i="1"/>
  <c r="FC13" i="1"/>
  <c r="EW13" i="1"/>
  <c r="ET13" i="1"/>
  <c r="EQ13" i="1"/>
  <c r="EN13" i="1"/>
  <c r="EH13" i="1"/>
  <c r="EE13" i="1"/>
  <c r="EB13" i="1"/>
  <c r="DY13" i="1"/>
  <c r="DP13" i="1"/>
  <c r="DG13" i="1"/>
  <c r="DD13" i="1"/>
  <c r="CX13" i="1"/>
  <c r="CU13" i="1"/>
  <c r="CO13" i="1"/>
  <c r="CI13" i="1"/>
  <c r="CF13" i="1"/>
  <c r="CC13" i="1"/>
  <c r="BT13" i="1"/>
  <c r="BQ13" i="1"/>
  <c r="BN13" i="1"/>
  <c r="BK13" i="1"/>
  <c r="BH13" i="1"/>
  <c r="BE13" i="1"/>
  <c r="BB13" i="1"/>
  <c r="AY13" i="1"/>
  <c r="AV13" i="1"/>
  <c r="AS13" i="1"/>
  <c r="AP13" i="1"/>
  <c r="AM13" i="1"/>
  <c r="AJ13" i="1"/>
  <c r="AG13" i="1"/>
  <c r="AF13" i="1"/>
  <c r="AE13" i="1"/>
  <c r="AD13" i="1"/>
  <c r="AC13" i="1"/>
  <c r="Z13" i="1"/>
  <c r="W13" i="1"/>
  <c r="T13" i="1"/>
  <c r="Q13" i="1"/>
  <c r="N13" i="1"/>
  <c r="K13" i="1"/>
  <c r="E13" i="1"/>
  <c r="HB12" i="1"/>
  <c r="GY12" i="1"/>
  <c r="GV12" i="1"/>
  <c r="GP12" i="1"/>
  <c r="GM12" i="1"/>
  <c r="GJ12" i="1"/>
  <c r="GG12" i="1"/>
  <c r="GA12" i="1"/>
  <c r="FL12" i="1"/>
  <c r="FI12" i="1"/>
  <c r="FF12" i="1"/>
  <c r="FC12" i="1"/>
  <c r="EW12" i="1"/>
  <c r="ET12" i="1"/>
  <c r="EQ12" i="1"/>
  <c r="EN12" i="1"/>
  <c r="EH12" i="1"/>
  <c r="EE12" i="1"/>
  <c r="EB12" i="1"/>
  <c r="DY12" i="1"/>
  <c r="DS12" i="1"/>
  <c r="DP12" i="1"/>
  <c r="DG12" i="1"/>
  <c r="DD12" i="1"/>
  <c r="DA12" i="1"/>
  <c r="CO12" i="1"/>
  <c r="CI12" i="1"/>
  <c r="CF12" i="1"/>
  <c r="CC12" i="1"/>
  <c r="BZ12" i="1"/>
  <c r="BT12" i="1"/>
  <c r="BQ12" i="1"/>
  <c r="BN12" i="1"/>
  <c r="BK12" i="1"/>
  <c r="BH12" i="1"/>
  <c r="BE12" i="1"/>
  <c r="BB12" i="1"/>
  <c r="AY12" i="1"/>
  <c r="AV12" i="1"/>
  <c r="AS12" i="1"/>
  <c r="AP12" i="1"/>
  <c r="AM12" i="1"/>
  <c r="AJ12" i="1"/>
  <c r="AG12" i="1"/>
  <c r="AF12" i="1"/>
  <c r="Z12" i="1"/>
  <c r="W12" i="1"/>
  <c r="T12" i="1"/>
  <c r="Q12" i="1"/>
  <c r="N12" i="1"/>
  <c r="HE11" i="1"/>
  <c r="HB11" i="1"/>
  <c r="GY11" i="1"/>
  <c r="GV11" i="1"/>
  <c r="GP11" i="1"/>
  <c r="GM11" i="1"/>
  <c r="GJ11" i="1"/>
  <c r="GG11" i="1"/>
  <c r="GA11" i="1"/>
  <c r="FL11" i="1"/>
  <c r="FI11" i="1"/>
  <c r="FF11" i="1"/>
  <c r="FC11" i="1"/>
  <c r="EW11" i="1"/>
  <c r="ET11" i="1"/>
  <c r="EQ11" i="1"/>
  <c r="EN11" i="1"/>
  <c r="EH11" i="1"/>
  <c r="DS11" i="1"/>
  <c r="DJ11" i="1"/>
  <c r="CX11" i="1"/>
  <c r="CO11" i="1"/>
  <c r="CI11" i="1"/>
  <c r="CF11" i="1"/>
  <c r="CC11" i="1"/>
  <c r="BZ11" i="1"/>
  <c r="BT11" i="1"/>
  <c r="BQ11" i="1"/>
  <c r="BN11" i="1"/>
  <c r="BK11" i="1"/>
  <c r="BH11" i="1"/>
  <c r="BE11" i="1"/>
  <c r="BB11" i="1"/>
  <c r="AY11" i="1"/>
  <c r="AV11" i="1"/>
  <c r="AS11" i="1"/>
  <c r="AP11" i="1"/>
  <c r="AM11" i="1"/>
  <c r="AJ11" i="1"/>
  <c r="AG11" i="1"/>
  <c r="AF11" i="1"/>
  <c r="Z11" i="1"/>
  <c r="W11" i="1"/>
  <c r="T11" i="1"/>
  <c r="Q11" i="1"/>
  <c r="N11" i="1"/>
  <c r="E11" i="1"/>
  <c r="HB10" i="1"/>
  <c r="GY10" i="1"/>
  <c r="GV10" i="1"/>
  <c r="GP10" i="1"/>
  <c r="GM10" i="1"/>
  <c r="GJ10" i="1"/>
  <c r="GG10" i="1"/>
  <c r="GA10" i="1"/>
  <c r="FL10" i="1"/>
  <c r="FI10" i="1"/>
  <c r="FF10" i="1"/>
  <c r="FC10" i="1"/>
  <c r="EW10" i="1"/>
  <c r="ET10" i="1"/>
  <c r="EQ10" i="1"/>
  <c r="EN10" i="1"/>
  <c r="EH10" i="1"/>
  <c r="EE10" i="1"/>
  <c r="EB10" i="1"/>
  <c r="DY10" i="1"/>
  <c r="DS10" i="1"/>
  <c r="DP10" i="1"/>
  <c r="DG10" i="1"/>
  <c r="DD10" i="1"/>
  <c r="CU10" i="1"/>
  <c r="CO10" i="1"/>
  <c r="CI10" i="1"/>
  <c r="CF10" i="1"/>
  <c r="CC10" i="1"/>
  <c r="BQ10" i="1"/>
  <c r="BQ9" i="1" s="1"/>
  <c r="BN10" i="1"/>
  <c r="BN9" i="1" s="1"/>
  <c r="BK10" i="1"/>
  <c r="BH10" i="1"/>
  <c r="BE10" i="1"/>
  <c r="BB10" i="1"/>
  <c r="AY10" i="1"/>
  <c r="AV10" i="1"/>
  <c r="AS10" i="1"/>
  <c r="AP10" i="1"/>
  <c r="AM10" i="1"/>
  <c r="AG10" i="1"/>
  <c r="AF10" i="1"/>
  <c r="Z10" i="1"/>
  <c r="W10" i="1"/>
  <c r="T10" i="1"/>
  <c r="Q10" i="1"/>
  <c r="N10" i="1"/>
  <c r="K10" i="1"/>
  <c r="HE9" i="1"/>
  <c r="HB9" i="1"/>
  <c r="GY9" i="1"/>
  <c r="GV9" i="1"/>
  <c r="GP9" i="1"/>
  <c r="GM9" i="1"/>
  <c r="GJ9" i="1"/>
  <c r="GG9" i="1"/>
  <c r="GA9" i="1"/>
  <c r="FR9" i="1"/>
  <c r="FL9" i="1"/>
  <c r="FI9" i="1"/>
  <c r="FF9" i="1"/>
  <c r="FC9" i="1"/>
  <c r="EW9" i="1"/>
  <c r="ET9" i="1"/>
  <c r="EQ9" i="1"/>
  <c r="EN9" i="1"/>
  <c r="EH9" i="1"/>
  <c r="EE9" i="1"/>
  <c r="EB9" i="1"/>
  <c r="DY9" i="1"/>
  <c r="DS9" i="1"/>
  <c r="DP9" i="1"/>
  <c r="DJ9" i="1"/>
  <c r="DG9" i="1"/>
  <c r="DD9" i="1"/>
  <c r="DA9" i="1"/>
  <c r="CX9" i="1"/>
  <c r="CU9" i="1"/>
  <c r="CO9" i="1"/>
  <c r="CI9" i="1"/>
  <c r="CF9" i="1"/>
  <c r="CC9" i="1"/>
  <c r="BZ9" i="1"/>
  <c r="BW9" i="1"/>
  <c r="BK9" i="1"/>
  <c r="BH9" i="1"/>
  <c r="BE9" i="1"/>
  <c r="BB9" i="1"/>
  <c r="AY9" i="1"/>
  <c r="AV9" i="1"/>
  <c r="AS9" i="1"/>
  <c r="AP9" i="1"/>
  <c r="AM9" i="1"/>
  <c r="AJ9" i="1"/>
  <c r="AG9" i="1"/>
  <c r="AF9" i="1"/>
  <c r="AE9" i="1"/>
  <c r="AD9" i="1"/>
  <c r="AC9" i="1"/>
  <c r="Z9" i="1"/>
  <c r="W9" i="1"/>
  <c r="T9" i="1"/>
  <c r="Q9" i="1"/>
  <c r="N9" i="1"/>
  <c r="K9" i="1"/>
  <c r="H9" i="1"/>
  <c r="E9" i="1"/>
  <c r="HB8" i="1"/>
  <c r="HB6" i="1" s="1"/>
  <c r="GY8" i="1"/>
  <c r="GV8" i="1"/>
  <c r="GM8" i="1"/>
  <c r="GJ8" i="1"/>
  <c r="GG8" i="1"/>
  <c r="FI8" i="1"/>
  <c r="FF8" i="1"/>
  <c r="FC8" i="1"/>
  <c r="ET8" i="1"/>
  <c r="EQ8" i="1"/>
  <c r="EN8" i="1"/>
  <c r="EE8" i="1"/>
  <c r="EB8" i="1"/>
  <c r="EB6" i="1" s="1"/>
  <c r="DY8" i="1"/>
  <c r="DV8" i="1"/>
  <c r="DP8" i="1"/>
  <c r="DM8" i="1"/>
  <c r="DJ8" i="1"/>
  <c r="DG8" i="1"/>
  <c r="DA8" i="1"/>
  <c r="CX8" i="1"/>
  <c r="CU8" i="1"/>
  <c r="CO8" i="1"/>
  <c r="CL8" i="1"/>
  <c r="CI8" i="1"/>
  <c r="CF8" i="1"/>
  <c r="CC8" i="1"/>
  <c r="BZ8" i="1"/>
  <c r="BW8" i="1"/>
  <c r="BT8" i="1"/>
  <c r="BQ8" i="1"/>
  <c r="BN8" i="1"/>
  <c r="BN7" i="1" s="1"/>
  <c r="BK8" i="1"/>
  <c r="BK7" i="1" s="1"/>
  <c r="BH8" i="1"/>
  <c r="BH7" i="1" s="1"/>
  <c r="BE8" i="1"/>
  <c r="BB8" i="1"/>
  <c r="AY8" i="1"/>
  <c r="AV8" i="1"/>
  <c r="AS8" i="1"/>
  <c r="AP8" i="1"/>
  <c r="AM8" i="1"/>
  <c r="AJ8" i="1"/>
  <c r="AG8" i="1"/>
  <c r="AF8" i="1"/>
  <c r="AE8" i="1"/>
  <c r="AD8" i="1"/>
  <c r="AC8" i="1"/>
  <c r="Z8" i="1"/>
  <c r="W8" i="1"/>
  <c r="T8" i="1"/>
  <c r="Q8" i="1"/>
  <c r="N8" i="1"/>
  <c r="K8" i="1"/>
  <c r="H8" i="1"/>
  <c r="E8" i="1"/>
  <c r="HB7" i="1"/>
  <c r="HB5" i="1" s="1"/>
  <c r="GY7" i="1"/>
  <c r="GV7" i="1"/>
  <c r="GM7" i="1"/>
  <c r="GJ7" i="1"/>
  <c r="GG7" i="1"/>
  <c r="FR7" i="1"/>
  <c r="FI7" i="1"/>
  <c r="FF7" i="1"/>
  <c r="FC7" i="1"/>
  <c r="ET7" i="1"/>
  <c r="EQ7" i="1"/>
  <c r="EN7" i="1"/>
  <c r="EE7" i="1"/>
  <c r="EB7" i="1"/>
  <c r="EB5" i="1" s="1"/>
  <c r="DY7" i="1"/>
  <c r="DM7" i="1"/>
  <c r="DJ7" i="1"/>
  <c r="DA7" i="1"/>
  <c r="CX7" i="1"/>
  <c r="CU7" i="1"/>
  <c r="CL7" i="1"/>
  <c r="BZ7" i="1"/>
  <c r="BW7" i="1"/>
  <c r="BT7" i="1"/>
  <c r="BT6" i="1" s="1"/>
  <c r="BQ7" i="1"/>
  <c r="BE7" i="1"/>
  <c r="BB7" i="1"/>
  <c r="AG7" i="1"/>
  <c r="AF7" i="1"/>
  <c r="AE7" i="1"/>
  <c r="AD7" i="1"/>
  <c r="AC7" i="1"/>
  <c r="K7" i="1"/>
  <c r="H7" i="1"/>
  <c r="E7" i="1"/>
  <c r="GS6" i="1"/>
  <c r="GP6" i="1"/>
  <c r="GD6" i="1"/>
  <c r="GA6" i="1"/>
  <c r="FU6" i="1"/>
  <c r="FR6" i="1"/>
  <c r="FL6" i="1"/>
  <c r="EZ6" i="1"/>
  <c r="EW6" i="1"/>
  <c r="EK6" i="1"/>
  <c r="EH6" i="1"/>
  <c r="DV6" i="1"/>
  <c r="DS6" i="1"/>
  <c r="DD6" i="1"/>
  <c r="DA6" i="1"/>
  <c r="CU6" i="1"/>
  <c r="CR6" i="1"/>
  <c r="CL6" i="1"/>
  <c r="BZ6" i="1"/>
  <c r="BW6" i="1"/>
  <c r="BH6" i="1"/>
  <c r="BE6" i="1"/>
  <c r="BB6" i="1"/>
  <c r="K6" i="1"/>
  <c r="H6" i="1"/>
  <c r="HE5" i="1"/>
  <c r="GS5" i="1"/>
  <c r="GP5" i="1"/>
  <c r="GD5" i="1"/>
  <c r="GA5" i="1"/>
  <c r="FX5" i="1"/>
  <c r="FU5" i="1"/>
  <c r="FR5" i="1"/>
  <c r="FO5" i="1"/>
  <c r="FL5" i="1"/>
  <c r="EZ5" i="1"/>
  <c r="EW5" i="1"/>
  <c r="EK5" i="1"/>
  <c r="EH5" i="1"/>
  <c r="DV5" i="1"/>
  <c r="DS5" i="1"/>
  <c r="DD5" i="1"/>
  <c r="DA5" i="1"/>
  <c r="CX5" i="1"/>
  <c r="CU5" i="1"/>
  <c r="CO5" i="1"/>
  <c r="CL5" i="1"/>
  <c r="CI5" i="1"/>
  <c r="CF5" i="1"/>
  <c r="CC5" i="1"/>
  <c r="BZ5" i="1"/>
  <c r="BZ14" i="1" s="1"/>
  <c r="BW5" i="1"/>
  <c r="BT5" i="1"/>
  <c r="BQ5" i="1"/>
  <c r="BN5" i="1"/>
  <c r="BK5" i="1"/>
  <c r="BH5" i="1"/>
  <c r="BH2" i="1" s="1"/>
  <c r="BE5" i="1"/>
  <c r="BE2" i="1" s="1"/>
  <c r="BB5" i="1"/>
  <c r="BB2" i="1" s="1"/>
  <c r="AY5" i="1"/>
  <c r="AV5" i="1"/>
  <c r="AS5" i="1"/>
  <c r="AP5" i="1"/>
  <c r="AM5" i="1"/>
  <c r="AJ5" i="1"/>
  <c r="AG5" i="1"/>
  <c r="AF5" i="1"/>
  <c r="AE5" i="1"/>
  <c r="AD5" i="1"/>
  <c r="AC5" i="1"/>
  <c r="Z5" i="1"/>
  <c r="W5" i="1"/>
  <c r="T5" i="1"/>
  <c r="Q5" i="1"/>
  <c r="N5" i="1"/>
  <c r="K5" i="1"/>
  <c r="H5" i="1"/>
  <c r="E5" i="1"/>
  <c r="B22" i="14"/>
  <c r="B20" i="14"/>
  <c r="B19" i="14"/>
  <c r="B30" i="8"/>
  <c r="BK2" i="1" l="1"/>
  <c r="DA17" i="14"/>
  <c r="CU18" i="14"/>
  <c r="BQ2" i="1"/>
  <c r="BE21" i="1"/>
  <c r="BN2" i="1"/>
  <c r="BW12" i="1"/>
  <c r="BZ15" i="1"/>
  <c r="H67" i="1"/>
  <c r="H63" i="1" s="1"/>
  <c r="H54" i="1" s="1"/>
  <c r="H49" i="1" s="1"/>
  <c r="BW10" i="1"/>
  <c r="BZ13" i="1"/>
  <c r="B31" i="1"/>
  <c r="DY16" i="1"/>
  <c r="EN15" i="1"/>
  <c r="FC15" i="1"/>
  <c r="FR8" i="1"/>
  <c r="GG15" i="1"/>
  <c r="GV15" i="1"/>
  <c r="DJ10" i="1"/>
  <c r="CO32" i="1"/>
  <c r="CO15" i="1"/>
  <c r="CU12" i="1"/>
  <c r="BZ2" i="1" l="1"/>
  <c r="BW2" i="1"/>
  <c r="FC17" i="1"/>
  <c r="DY18" i="1"/>
  <c r="FR10" i="1"/>
  <c r="EN17" i="1"/>
  <c r="CO17" i="1"/>
  <c r="DJ12" i="1"/>
  <c r="GG17" i="1"/>
  <c r="GV17" i="1"/>
  <c r="B31" i="6" l="1"/>
  <c r="B29" i="8"/>
  <c r="N6" i="1" l="1"/>
  <c r="CX10" i="1" l="1"/>
  <c r="E10" i="1"/>
  <c r="K48" i="1"/>
  <c r="AF33" i="15" l="1"/>
  <c r="AF30" i="15" l="1"/>
  <c r="AF2" i="15" s="1"/>
  <c r="BK37" i="15"/>
  <c r="BK21" i="15" s="1"/>
  <c r="BW33" i="15"/>
  <c r="BB37" i="15"/>
  <c r="BB21" i="15" s="1"/>
  <c r="AS37" i="15"/>
  <c r="AS21" i="15" s="1"/>
  <c r="AJ37" i="15"/>
  <c r="AJ21" i="15" s="1"/>
  <c r="BT28" i="15"/>
  <c r="H71" i="15"/>
  <c r="H2" i="15" s="1"/>
  <c r="E55" i="15"/>
  <c r="Z21" i="15"/>
  <c r="Z46" i="15"/>
  <c r="E28" i="15"/>
  <c r="W21" i="15"/>
  <c r="W43" i="15"/>
  <c r="N37" i="15"/>
  <c r="N21" i="15" s="1"/>
  <c r="DG23" i="15"/>
  <c r="DG20" i="15" s="1"/>
  <c r="H67" i="15"/>
  <c r="H63" i="15" s="1"/>
  <c r="H53" i="15"/>
  <c r="H46" i="15"/>
  <c r="H44" i="15" s="1"/>
  <c r="DG10" i="15"/>
  <c r="DM7" i="15"/>
  <c r="DM5" i="15" s="1"/>
  <c r="K49" i="15"/>
  <c r="K47" i="15" s="1"/>
  <c r="DP10" i="15"/>
  <c r="DP5" i="15" s="1"/>
  <c r="DJ7" i="15"/>
  <c r="DJ5" i="15" s="1"/>
  <c r="DJ2" i="15" s="1"/>
  <c r="DP25" i="15"/>
  <c r="DP23" i="15" s="1"/>
  <c r="AE32" i="15"/>
  <c r="K10" i="15"/>
  <c r="AC32" i="15"/>
  <c r="AD32" i="15"/>
  <c r="CU10" i="15"/>
  <c r="BZ9" i="15"/>
  <c r="J40" i="5"/>
  <c r="BT19" i="15" l="1"/>
  <c r="BT21" i="15"/>
  <c r="BT18" i="15"/>
  <c r="BT3" i="15" s="1"/>
  <c r="BT20" i="15"/>
  <c r="BT4" i="15" s="1"/>
  <c r="BW10" i="15"/>
  <c r="BW12" i="15"/>
  <c r="BZ14" i="15"/>
  <c r="BZ2" i="15" s="1"/>
  <c r="AC30" i="15"/>
  <c r="AC2" i="15" s="1"/>
  <c r="AE30" i="15"/>
  <c r="AE2" i="15" s="1"/>
  <c r="AD30" i="15"/>
  <c r="AD2" i="15" s="1"/>
  <c r="E20" i="15"/>
  <c r="E19" i="15"/>
  <c r="E22" i="15"/>
  <c r="E21" i="15"/>
  <c r="Z17" i="15"/>
  <c r="Z19" i="15"/>
  <c r="Z16" i="15"/>
  <c r="Z18" i="15"/>
  <c r="Z3" i="15" s="1"/>
  <c r="W41" i="15"/>
  <c r="W39" i="15"/>
  <c r="W38" i="15"/>
  <c r="W26" i="15" s="1"/>
  <c r="W40" i="15"/>
  <c r="W25" i="15" s="1"/>
  <c r="W18" i="15"/>
  <c r="W19" i="15"/>
  <c r="W16" i="15"/>
  <c r="W17" i="15"/>
  <c r="Z39" i="15"/>
  <c r="Z38" i="15"/>
  <c r="Z26" i="15" s="1"/>
  <c r="Z41" i="15"/>
  <c r="Z40" i="15"/>
  <c r="DP2" i="15"/>
  <c r="H59" i="15"/>
  <c r="H50" i="15" s="1"/>
  <c r="H54" i="15"/>
  <c r="H49" i="15" s="1"/>
  <c r="DG16" i="15"/>
  <c r="DG7" i="15" s="1"/>
  <c r="DG11" i="15"/>
  <c r="DG6" i="15" s="1"/>
  <c r="Z25" i="15" l="1"/>
  <c r="BW2" i="15"/>
  <c r="Z4" i="15"/>
  <c r="E3" i="15"/>
  <c r="W4" i="15"/>
  <c r="E4" i="15"/>
  <c r="W3" i="15"/>
  <c r="H48" i="15"/>
  <c r="DG5" i="15"/>
  <c r="DG2" i="15" s="1"/>
  <c r="HE37" i="1"/>
  <c r="FI16" i="1"/>
  <c r="DP16" i="1"/>
  <c r="CU43" i="1"/>
  <c r="CU11" i="1" s="1"/>
  <c r="CO34" i="1"/>
  <c r="CC23" i="1"/>
  <c r="CL2" i="1" l="1"/>
  <c r="K43" i="1"/>
  <c r="HE26" i="15" l="1"/>
  <c r="HE24" i="15" s="1"/>
  <c r="HE6" i="15"/>
  <c r="E20" i="1"/>
  <c r="AS25" i="1" l="1"/>
  <c r="AV25" i="1"/>
  <c r="AY6" i="1"/>
  <c r="AV6" i="1"/>
  <c r="AS6" i="1"/>
  <c r="AC23" i="1" l="1"/>
  <c r="AG23" i="1"/>
  <c r="AF23" i="1"/>
  <c r="AE23" i="1"/>
  <c r="AD23" i="1"/>
  <c r="DY5" i="1"/>
  <c r="EE5" i="1"/>
  <c r="EE23" i="1"/>
  <c r="EN5" i="1"/>
  <c r="EQ5" i="1"/>
  <c r="ET5" i="1"/>
  <c r="ET23" i="1"/>
  <c r="FC5" i="1"/>
  <c r="FF5" i="1"/>
  <c r="FI5" i="1"/>
  <c r="FI23" i="1"/>
  <c r="GG5" i="1"/>
  <c r="GJ5" i="1"/>
  <c r="GM23" i="1"/>
  <c r="GM5" i="1"/>
  <c r="GV5" i="1"/>
  <c r="GY5" i="1"/>
  <c r="K28" i="1"/>
  <c r="K25" i="1"/>
  <c r="B31" i="8" l="1"/>
  <c r="DJ5" i="1" l="1"/>
  <c r="DP23" i="1"/>
  <c r="DM5" i="1"/>
  <c r="CO6" i="1"/>
  <c r="CO25" i="1"/>
  <c r="CO7" i="1"/>
  <c r="CF23" i="1"/>
  <c r="CI6" i="1"/>
  <c r="CF6" i="1"/>
  <c r="CC6" i="1"/>
  <c r="AJ25" i="1"/>
  <c r="AM25" i="1"/>
  <c r="AM6" i="1"/>
  <c r="AP6" i="1"/>
  <c r="AJ6" i="1"/>
  <c r="W17" i="1"/>
  <c r="W28" i="1"/>
  <c r="Z28" i="1"/>
  <c r="Z6" i="1"/>
  <c r="W6" i="1"/>
  <c r="N25" i="1"/>
  <c r="Q25" i="1"/>
  <c r="T6" i="1"/>
  <c r="Q6" i="1"/>
  <c r="K47" i="1"/>
  <c r="B22" i="7"/>
  <c r="B22" i="8"/>
  <c r="B22" i="6"/>
  <c r="H44" i="1"/>
  <c r="CX12" i="1" l="1"/>
  <c r="CU26" i="1"/>
  <c r="FX2" i="1" l="1"/>
  <c r="K18" i="1" l="1"/>
  <c r="E6" i="1"/>
  <c r="EW8" i="1" l="1"/>
  <c r="EH8" i="1"/>
  <c r="FL8" i="1"/>
  <c r="H21" i="1"/>
  <c r="B29" i="7"/>
  <c r="B30" i="7"/>
  <c r="CO24" i="1"/>
  <c r="CO2" i="1"/>
  <c r="DA26" i="1" l="1"/>
  <c r="DA25" i="1"/>
  <c r="GP8" i="1"/>
  <c r="DD11" i="1"/>
  <c r="DD8" i="1"/>
  <c r="GA8" i="1"/>
  <c r="H45" i="1" l="1"/>
  <c r="E43" i="1"/>
  <c r="H38" i="1"/>
  <c r="AG24" i="1"/>
  <c r="AG27" i="1" s="1"/>
  <c r="AF24" i="1"/>
  <c r="AE24" i="1"/>
  <c r="AD24" i="1"/>
  <c r="AC24" i="1"/>
  <c r="W38" i="1"/>
  <c r="HE27" i="1"/>
  <c r="BW25" i="1"/>
  <c r="Z29" i="1"/>
  <c r="Z40" i="1" s="1"/>
  <c r="W29" i="1"/>
  <c r="DA24" i="1"/>
  <c r="CU25" i="1"/>
  <c r="H25" i="1"/>
  <c r="AV26" i="1"/>
  <c r="AV21" i="1" s="1"/>
  <c r="AS26" i="1"/>
  <c r="AS21" i="1" s="1"/>
  <c r="AM26" i="1"/>
  <c r="AM21" i="1" s="1"/>
  <c r="AJ26" i="1"/>
  <c r="Q26" i="1"/>
  <c r="Q21" i="1" s="1"/>
  <c r="N26" i="1"/>
  <c r="N21" i="1" s="1"/>
  <c r="GM24" i="1"/>
  <c r="ET24" i="1"/>
  <c r="EE24" i="1"/>
  <c r="DP24" i="1"/>
  <c r="DG20" i="1"/>
  <c r="CF24" i="1"/>
  <c r="CC24" i="1"/>
  <c r="CC19" i="1" s="1"/>
  <c r="AG31" i="1"/>
  <c r="H22" i="1"/>
  <c r="GM16" i="1"/>
  <c r="ET16" i="1"/>
  <c r="EE16" i="1"/>
  <c r="DP7" i="1"/>
  <c r="K12" i="1"/>
  <c r="K11" i="1" s="1"/>
  <c r="DA11" i="1"/>
  <c r="DA10" i="1" s="1"/>
  <c r="DP11" i="1"/>
  <c r="DP6" i="1" s="1"/>
  <c r="DS8" i="1"/>
  <c r="Z16" i="1"/>
  <c r="BT9" i="1"/>
  <c r="HE7" i="1"/>
  <c r="CI7" i="1"/>
  <c r="CI2" i="1" s="1"/>
  <c r="CF7" i="1"/>
  <c r="CC7" i="1"/>
  <c r="CC2" i="1" s="1"/>
  <c r="AY7" i="1"/>
  <c r="AY2" i="1" s="1"/>
  <c r="AV7" i="1"/>
  <c r="AV2" i="1" s="1"/>
  <c r="AS7" i="1"/>
  <c r="AP7" i="1"/>
  <c r="AP2" i="1" s="1"/>
  <c r="AM7" i="1"/>
  <c r="AM2" i="1" s="1"/>
  <c r="AJ7" i="1"/>
  <c r="AJ2" i="1" s="1"/>
  <c r="T7" i="1"/>
  <c r="T2" i="1" s="1"/>
  <c r="Q7" i="1"/>
  <c r="Q2" i="1" s="1"/>
  <c r="N7" i="1"/>
  <c r="N2" i="1" s="1"/>
  <c r="H12" i="1"/>
  <c r="DA14" i="1"/>
  <c r="CX6" i="1"/>
  <c r="Z7" i="1"/>
  <c r="W7" i="1"/>
  <c r="GY6" i="1"/>
  <c r="GV6" i="1"/>
  <c r="GM6" i="1"/>
  <c r="GJ6" i="1"/>
  <c r="GG6" i="1"/>
  <c r="FL7" i="1"/>
  <c r="FI6" i="1"/>
  <c r="FI2" i="1" s="1"/>
  <c r="FF6" i="1"/>
  <c r="FC6" i="1"/>
  <c r="ET6" i="1"/>
  <c r="EQ6" i="1"/>
  <c r="EN6" i="1"/>
  <c r="EE6" i="1"/>
  <c r="DY6" i="1"/>
  <c r="DM6" i="1"/>
  <c r="DJ6" i="1"/>
  <c r="J4" i="5"/>
  <c r="G4" i="5"/>
  <c r="G7" i="5"/>
  <c r="D8" i="5"/>
  <c r="D3" i="5" s="1"/>
  <c r="J10" i="5"/>
  <c r="G11" i="5"/>
  <c r="G6" i="5"/>
  <c r="J13" i="5"/>
  <c r="J14" i="5"/>
  <c r="J15" i="5"/>
  <c r="J11" i="5" s="1"/>
  <c r="J16" i="5"/>
  <c r="J12" i="5" s="1"/>
  <c r="J39" i="5"/>
  <c r="J9" i="5" s="1"/>
  <c r="J41" i="5"/>
  <c r="J42" i="5"/>
  <c r="J17" i="5"/>
  <c r="G12" i="5"/>
  <c r="BT18" i="1" l="1"/>
  <c r="BT20" i="1"/>
  <c r="HE28" i="1"/>
  <c r="HE8" i="1"/>
  <c r="FU2" i="1"/>
  <c r="FR2" i="1"/>
  <c r="H16" i="1"/>
  <c r="H11" i="1" s="1"/>
  <c r="Z18" i="1"/>
  <c r="AD27" i="1"/>
  <c r="AD29" i="1" s="1"/>
  <c r="AD31" i="1"/>
  <c r="AE27" i="1"/>
  <c r="AE29" i="1" s="1"/>
  <c r="AE31" i="1"/>
  <c r="AF27" i="1"/>
  <c r="AF31" i="1"/>
  <c r="K16" i="1"/>
  <c r="K17" i="1"/>
  <c r="CX21" i="1"/>
  <c r="CU16" i="1"/>
  <c r="AF29" i="1"/>
  <c r="E38" i="1"/>
  <c r="E31" i="1" s="1"/>
  <c r="AG29" i="1"/>
  <c r="DD7" i="1"/>
  <c r="W18" i="1"/>
  <c r="W19" i="1"/>
  <c r="W40" i="1"/>
  <c r="AC27" i="1"/>
  <c r="AC29" i="1" s="1"/>
  <c r="AC31" i="1"/>
  <c r="E22" i="1"/>
  <c r="Z19" i="1"/>
  <c r="Z17" i="1"/>
  <c r="Z4" i="1" s="1"/>
  <c r="W41" i="1"/>
  <c r="W39" i="1"/>
  <c r="Z41" i="1"/>
  <c r="Z39" i="1"/>
  <c r="W16" i="1"/>
  <c r="W4" i="1" s="1"/>
  <c r="CX22" i="1"/>
  <c r="CX20" i="1"/>
  <c r="AS2" i="1"/>
  <c r="CU14" i="1"/>
  <c r="K19" i="1"/>
  <c r="K14" i="1" s="1"/>
  <c r="E12" i="1"/>
  <c r="DP5" i="1"/>
  <c r="DP2" i="1" s="1"/>
  <c r="K20" i="1"/>
  <c r="H15" i="1"/>
  <c r="H48" i="1"/>
  <c r="B19" i="7"/>
  <c r="B19" i="6"/>
  <c r="B19" i="8"/>
  <c r="B19" i="1"/>
  <c r="GM2" i="1"/>
  <c r="DS7" i="1"/>
  <c r="EB2" i="1" s="1"/>
  <c r="EE2" i="1"/>
  <c r="G10" i="5"/>
  <c r="G9" i="5" s="1"/>
  <c r="GP7" i="1"/>
  <c r="HB2" i="1" s="1"/>
  <c r="ET2" i="1"/>
  <c r="CX19" i="1"/>
  <c r="G5" i="5"/>
  <c r="J5" i="5"/>
  <c r="J8" i="5" s="1"/>
  <c r="FL2" i="1"/>
  <c r="EW7" i="1"/>
  <c r="DA15" i="1"/>
  <c r="GA7" i="1"/>
  <c r="DG16" i="1"/>
  <c r="DG7" i="1" s="1"/>
  <c r="DG11" i="1"/>
  <c r="J6" i="5"/>
  <c r="J7" i="5" s="1"/>
  <c r="G8" i="5"/>
  <c r="CF19" i="1"/>
  <c r="CF2" i="1"/>
  <c r="BT16" i="1"/>
  <c r="CR5" i="1"/>
  <c r="CR2" i="1" s="1"/>
  <c r="H59" i="1"/>
  <c r="H50" i="1" s="1"/>
  <c r="BT19" i="1" l="1"/>
  <c r="BT21" i="1"/>
  <c r="BT4" i="1"/>
  <c r="BT3" i="1"/>
  <c r="DY2" i="1"/>
  <c r="CU22" i="1" s="1"/>
  <c r="DV2" i="1"/>
  <c r="DA21" i="1" s="1"/>
  <c r="DM2" i="1"/>
  <c r="DJ2" i="1"/>
  <c r="CU17" i="1" s="1"/>
  <c r="FF2" i="1"/>
  <c r="FC2" i="1"/>
  <c r="CU19" i="1" s="1"/>
  <c r="EQ2" i="1"/>
  <c r="EN2" i="1"/>
  <c r="GG2" i="1"/>
  <c r="CU23" i="1" s="1"/>
  <c r="GJ2" i="1"/>
  <c r="GV2" i="1"/>
  <c r="CU20" i="1" s="1"/>
  <c r="GY2" i="1"/>
  <c r="GD2" i="1"/>
  <c r="DA22" i="1" s="1"/>
  <c r="E19" i="1"/>
  <c r="E3" i="1" s="1"/>
  <c r="E21" i="1"/>
  <c r="E4" i="1" s="1"/>
  <c r="DD2" i="1"/>
  <c r="CX3" i="1"/>
  <c r="W26" i="1"/>
  <c r="Z3" i="1"/>
  <c r="J3" i="5"/>
  <c r="W25" i="1"/>
  <c r="CX4" i="1"/>
  <c r="EW2" i="1"/>
  <c r="GS2" i="1"/>
  <c r="DA19" i="1" s="1"/>
  <c r="EZ2" i="1"/>
  <c r="DA18" i="1" s="1"/>
  <c r="GA2" i="1"/>
  <c r="FO2" i="1"/>
  <c r="DA23" i="1" s="1"/>
  <c r="CU24" i="1"/>
  <c r="K15" i="1"/>
  <c r="G3" i="5"/>
  <c r="AD30" i="1"/>
  <c r="AD2" i="1" s="1"/>
  <c r="AE30" i="1"/>
  <c r="AE2" i="1" s="1"/>
  <c r="CU15" i="1"/>
  <c r="DA20" i="1"/>
  <c r="GP2" i="1"/>
  <c r="DS2" i="1"/>
  <c r="W3" i="1"/>
  <c r="DG5" i="1"/>
  <c r="DG6" i="1"/>
  <c r="H14" i="1"/>
  <c r="H13" i="1" s="1"/>
  <c r="B33" i="25" l="1"/>
  <c r="AG34" i="25" s="1"/>
  <c r="AG30" i="25" s="1"/>
  <c r="AG2" i="25" s="1"/>
  <c r="B33" i="28"/>
  <c r="AG34" i="28" s="1"/>
  <c r="AG30" i="28" s="1"/>
  <c r="AG2" i="28" s="1"/>
  <c r="B33" i="26"/>
  <c r="AG34" i="26" s="1"/>
  <c r="AG30" i="26" s="1"/>
  <c r="AG2" i="26" s="1"/>
  <c r="B33" i="27"/>
  <c r="AG34" i="27" s="1"/>
  <c r="AG30" i="27" s="1"/>
  <c r="AG2" i="27" s="1"/>
  <c r="B33" i="24"/>
  <c r="AG34" i="24" s="1"/>
  <c r="AG30" i="24" s="1"/>
  <c r="AG2" i="24" s="1"/>
  <c r="B33" i="32"/>
  <c r="AG34" i="32" s="1"/>
  <c r="AG30" i="32" s="1"/>
  <c r="AG2" i="32" s="1"/>
  <c r="B33" i="29"/>
  <c r="AG34" i="29" s="1"/>
  <c r="AG30" i="29" s="1"/>
  <c r="AG2" i="29" s="1"/>
  <c r="B33" i="30"/>
  <c r="AG34" i="30" s="1"/>
  <c r="AG30" i="30" s="1"/>
  <c r="AG2" i="30" s="1"/>
  <c r="B33" i="12"/>
  <c r="AG34" i="12" s="1"/>
  <c r="AG30" i="12" s="1"/>
  <c r="AG2" i="12" s="1"/>
  <c r="B21" i="18"/>
  <c r="AG34" i="18" s="1"/>
  <c r="AG30" i="18" s="1"/>
  <c r="B33" i="9"/>
  <c r="AG34" i="9" s="1"/>
  <c r="AG30" i="9" s="1"/>
  <c r="AG2" i="9" s="1"/>
  <c r="B21" i="19"/>
  <c r="AG34" i="19" s="1"/>
  <c r="AG30" i="19" s="1"/>
  <c r="AG2" i="19" s="1"/>
  <c r="B21" i="20"/>
  <c r="AG34" i="20" s="1"/>
  <c r="AG30" i="20" s="1"/>
  <c r="AG2" i="20" s="1"/>
  <c r="B21" i="21"/>
  <c r="AG34" i="21" s="1"/>
  <c r="AG30" i="21" s="1"/>
  <c r="B21" i="17"/>
  <c r="AG34" i="17" s="1"/>
  <c r="AG30" i="17" s="1"/>
  <c r="AG2" i="17" s="1"/>
  <c r="B33" i="11"/>
  <c r="AG34" i="11" s="1"/>
  <c r="AG30" i="11" s="1"/>
  <c r="AG2" i="11" s="1"/>
  <c r="B21" i="15"/>
  <c r="B21" i="16"/>
  <c r="AG34" i="16" s="1"/>
  <c r="AG30" i="16" s="1"/>
  <c r="AG2" i="16" s="1"/>
  <c r="B33" i="10"/>
  <c r="AG34" i="10" s="1"/>
  <c r="AG30" i="10" s="1"/>
  <c r="AG2" i="10" s="1"/>
  <c r="B21" i="14"/>
  <c r="AG34" i="14" s="1"/>
  <c r="AG30" i="14" s="1"/>
  <c r="AG2" i="14" s="1"/>
  <c r="DG2" i="1"/>
  <c r="DA16" i="1" s="1"/>
  <c r="HE6" i="1"/>
  <c r="HE4" i="1" s="1"/>
  <c r="AG34" i="15"/>
  <c r="AC30" i="1"/>
  <c r="AC2" i="1" s="1"/>
  <c r="B21" i="7"/>
  <c r="AG34" i="7" s="1"/>
  <c r="AG30" i="7" s="1"/>
  <c r="B21" i="8"/>
  <c r="AG34" i="8" s="1"/>
  <c r="AG30" i="8" s="1"/>
  <c r="AG2" i="8" s="1"/>
  <c r="B21" i="6"/>
  <c r="AG34" i="6" s="1"/>
  <c r="AG30" i="6" s="1"/>
  <c r="AG2" i="6" s="1"/>
  <c r="B21" i="1"/>
  <c r="AG34" i="1" s="1"/>
  <c r="B20" i="8"/>
  <c r="B20" i="7"/>
  <c r="B20" i="1"/>
  <c r="AF30" i="1" s="1"/>
  <c r="B20" i="6"/>
  <c r="HE26" i="1"/>
  <c r="HE24" i="1" s="1"/>
  <c r="DA17" i="1"/>
  <c r="AG30" i="15" l="1"/>
  <c r="AG2" i="15" s="1"/>
  <c r="AG30" i="1"/>
  <c r="AG2" i="1" s="1"/>
  <c r="AF2" i="1"/>
</calcChain>
</file>

<file path=xl/sharedStrings.xml><?xml version="1.0" encoding="utf-8"?>
<sst xmlns="http://schemas.openxmlformats.org/spreadsheetml/2006/main" count="71061" uniqueCount="603">
  <si>
    <t>Am-241</t>
  </si>
  <si>
    <t>outdoor</t>
  </si>
  <si>
    <t>Resident</t>
  </si>
  <si>
    <t>composite</t>
  </si>
  <si>
    <t>indoor</t>
  </si>
  <si>
    <t>Recreator</t>
  </si>
  <si>
    <t>water</t>
  </si>
  <si>
    <t>soil</t>
  </si>
  <si>
    <t>Cs-137+D</t>
  </si>
  <si>
    <t>pCi/m^3</t>
  </si>
  <si>
    <t>pCi/g</t>
  </si>
  <si>
    <t>pCi/L</t>
  </si>
  <si>
    <t>mg/kg</t>
  </si>
  <si>
    <t>mg/L</t>
  </si>
  <si>
    <t>resident</t>
  </si>
  <si>
    <t>no decay</t>
  </si>
  <si>
    <t>decay</t>
  </si>
  <si>
    <t>Irr rup</t>
  </si>
  <si>
    <t>L/kg</t>
  </si>
  <si>
    <t>R upv</t>
  </si>
  <si>
    <t>R upp</t>
  </si>
  <si>
    <t>MCL</t>
  </si>
  <si>
    <t>lambda</t>
  </si>
  <si>
    <t>g/mg</t>
  </si>
  <si>
    <t>days/year</t>
  </si>
  <si>
    <t>Irr res</t>
  </si>
  <si>
    <t>R es</t>
  </si>
  <si>
    <t>Q w dairy</t>
  </si>
  <si>
    <t>L/day</t>
  </si>
  <si>
    <t>Q w beef</t>
  </si>
  <si>
    <t>t</t>
  </si>
  <si>
    <t>Irr dep</t>
  </si>
  <si>
    <t>Bv wet</t>
  </si>
  <si>
    <t>Bv dry</t>
  </si>
  <si>
    <t>ED</t>
  </si>
  <si>
    <t>EF iw</t>
  </si>
  <si>
    <t>Ir</t>
  </si>
  <si>
    <t>L/m^2-day</t>
  </si>
  <si>
    <t xml:space="preserve">θw = </t>
  </si>
  <si>
    <t>(mg/m^3)^-1</t>
  </si>
  <si>
    <t>F</t>
  </si>
  <si>
    <t>unitless</t>
  </si>
  <si>
    <t xml:space="preserve">ρb = </t>
  </si>
  <si>
    <t>IFA adj</t>
  </si>
  <si>
    <t>ET wa</t>
  </si>
  <si>
    <t>IFW adj</t>
  </si>
  <si>
    <t>IFS adj</t>
  </si>
  <si>
    <t xml:space="preserve">t = </t>
  </si>
  <si>
    <t>mg/day</t>
  </si>
  <si>
    <t>lambda B</t>
  </si>
  <si>
    <t>IRA ow</t>
  </si>
  <si>
    <t>ED rec</t>
  </si>
  <si>
    <t>t b</t>
  </si>
  <si>
    <t>day</t>
  </si>
  <si>
    <t>ACF</t>
  </si>
  <si>
    <t>P</t>
  </si>
  <si>
    <t>kg/m^2</t>
  </si>
  <si>
    <t>ET o</t>
  </si>
  <si>
    <t>ET</t>
  </si>
  <si>
    <t xml:space="preserve">Kd = </t>
  </si>
  <si>
    <t>years</t>
  </si>
  <si>
    <t>I f</t>
  </si>
  <si>
    <t>IR iw</t>
  </si>
  <si>
    <t>lambda E</t>
  </si>
  <si>
    <t>1/day</t>
  </si>
  <si>
    <t>K</t>
  </si>
  <si>
    <t>L/m^3</t>
  </si>
  <si>
    <t>t v</t>
  </si>
  <si>
    <t>Y v</t>
  </si>
  <si>
    <t>ET i</t>
  </si>
  <si>
    <t>lambda HL</t>
  </si>
  <si>
    <t>lambda i</t>
  </si>
  <si>
    <t>CF p</t>
  </si>
  <si>
    <t>T</t>
  </si>
  <si>
    <t>t w</t>
  </si>
  <si>
    <t>days</t>
  </si>
  <si>
    <t>pCi/cm^2</t>
  </si>
  <si>
    <t>PEF</t>
  </si>
  <si>
    <t>m^3/kg</t>
  </si>
  <si>
    <t>EV c</t>
  </si>
  <si>
    <t>events/day</t>
  </si>
  <si>
    <t>EV a</t>
  </si>
  <si>
    <r>
      <t>L/cm</t>
    </r>
    <r>
      <rPr>
        <vertAlign val="superscript"/>
        <sz val="10"/>
        <rFont val="Arial"/>
        <family val="2"/>
      </rPr>
      <t>3</t>
    </r>
  </si>
  <si>
    <t>ETO</t>
  </si>
  <si>
    <t>θw</t>
  </si>
  <si>
    <t>ETI</t>
  </si>
  <si>
    <t>ρb</t>
  </si>
  <si>
    <t>(mg/kg-day)^-1</t>
  </si>
  <si>
    <t>DF i</t>
  </si>
  <si>
    <t>hours/event</t>
  </si>
  <si>
    <t>ET rec</t>
  </si>
  <si>
    <t>Kd</t>
  </si>
  <si>
    <t>t res</t>
  </si>
  <si>
    <t>i</t>
  </si>
  <si>
    <t>m/m</t>
  </si>
  <si>
    <t>t rec</t>
  </si>
  <si>
    <t>d</t>
  </si>
  <si>
    <t>m</t>
  </si>
  <si>
    <t>I</t>
  </si>
  <si>
    <t>g/kg</t>
  </si>
  <si>
    <t>L</t>
  </si>
  <si>
    <t>d a</t>
  </si>
  <si>
    <t>d s</t>
  </si>
  <si>
    <t>PEFsc</t>
  </si>
  <si>
    <t>PEF'sc</t>
  </si>
  <si>
    <t>BCF</t>
  </si>
  <si>
    <t>ft</t>
  </si>
  <si>
    <t xml:space="preserve">FI </t>
  </si>
  <si>
    <t>fraction contaminated</t>
  </si>
  <si>
    <t>acres</t>
  </si>
  <si>
    <t>tons/car</t>
  </si>
  <si>
    <t>tons/truck</t>
  </si>
  <si>
    <t>days/week</t>
  </si>
  <si>
    <t>weeks/year</t>
  </si>
  <si>
    <t>As</t>
  </si>
  <si>
    <t>p</t>
  </si>
  <si>
    <t>s</t>
  </si>
  <si>
    <t>A</t>
  </si>
  <si>
    <t>Ac</t>
  </si>
  <si>
    <t>B</t>
  </si>
  <si>
    <t>A surf</t>
  </si>
  <si>
    <t>C</t>
  </si>
  <si>
    <t>km</t>
  </si>
  <si>
    <t>s doz</t>
  </si>
  <si>
    <t>W</t>
  </si>
  <si>
    <t>tons</t>
  </si>
  <si>
    <t>s till</t>
  </si>
  <si>
    <t>distance</t>
  </si>
  <si>
    <t>km/day</t>
  </si>
  <si>
    <t>V</t>
  </si>
  <si>
    <t>J' T</t>
  </si>
  <si>
    <t>M doz</t>
  </si>
  <si>
    <t>g</t>
  </si>
  <si>
    <t>M excav</t>
  </si>
  <si>
    <t>M till</t>
  </si>
  <si>
    <t>M grade</t>
  </si>
  <si>
    <t>F(x)</t>
  </si>
  <si>
    <t>Um</t>
  </si>
  <si>
    <t>m/s</t>
  </si>
  <si>
    <t>Ut</t>
  </si>
  <si>
    <t>EF rec</t>
  </si>
  <si>
    <t>hours</t>
  </si>
  <si>
    <t>DFA adj</t>
  </si>
  <si>
    <r>
      <t>mg</t>
    </r>
    <r>
      <rPr>
        <sz val="12"/>
        <rFont val="Arial"/>
        <family val="2"/>
      </rPr>
      <t>³</t>
    </r>
    <r>
      <rPr>
        <sz val="10"/>
        <rFont val="Arial"/>
        <family val="2"/>
      </rPr>
      <t>/day</t>
    </r>
  </si>
  <si>
    <t>event/day</t>
  </si>
  <si>
    <r>
      <t>L/mg</t>
    </r>
    <r>
      <rPr>
        <sz val="12"/>
        <rFont val="Arial"/>
        <family val="2"/>
      </rPr>
      <t>³</t>
    </r>
  </si>
  <si>
    <t>year</t>
  </si>
  <si>
    <t>IFD adj</t>
  </si>
  <si>
    <t>Q w egg</t>
  </si>
  <si>
    <t>Q w po</t>
  </si>
  <si>
    <t>Q w swine</t>
  </si>
  <si>
    <t>Q s-egg</t>
  </si>
  <si>
    <t>Q p-egg</t>
  </si>
  <si>
    <t>f p-egg</t>
  </si>
  <si>
    <t>f s-egg</t>
  </si>
  <si>
    <t>Farmer</t>
  </si>
  <si>
    <t>kd</t>
  </si>
  <si>
    <t>day/week</t>
  </si>
  <si>
    <t>ED cw</t>
  </si>
  <si>
    <t>IRGF rec</t>
  </si>
  <si>
    <t>IRGL rec</t>
  </si>
  <si>
    <t>Q s-fowl</t>
  </si>
  <si>
    <t>f p-fowl</t>
  </si>
  <si>
    <t>f s-fowl</t>
  </si>
  <si>
    <t>Q p-fowl</t>
  </si>
  <si>
    <t>Q p-game</t>
  </si>
  <si>
    <t>Q s-game</t>
  </si>
  <si>
    <t>f p-game</t>
  </si>
  <si>
    <t>f s-game</t>
  </si>
  <si>
    <t>Q w-fowl</t>
  </si>
  <si>
    <t>Q w-game</t>
  </si>
  <si>
    <t>TF egg</t>
  </si>
  <si>
    <t>PEF - wind</t>
  </si>
  <si>
    <t>m³ air / kg soil</t>
  </si>
  <si>
    <t>Soil</t>
  </si>
  <si>
    <t>s/hour</t>
  </si>
  <si>
    <t>Q/C</t>
  </si>
  <si>
    <t>A R</t>
  </si>
  <si>
    <t>m²</t>
  </si>
  <si>
    <t>Σ VKT</t>
  </si>
  <si>
    <t>F D</t>
  </si>
  <si>
    <t>t c</t>
  </si>
  <si>
    <t>L R</t>
  </si>
  <si>
    <t>W R</t>
  </si>
  <si>
    <t>m² / ft²</t>
  </si>
  <si>
    <t>N cars</t>
  </si>
  <si>
    <t>N trucks</t>
  </si>
  <si>
    <t>seconds</t>
  </si>
  <si>
    <t>hour</t>
  </si>
  <si>
    <t>EW cw</t>
  </si>
  <si>
    <t>DW cw</t>
  </si>
  <si>
    <t>EF cw</t>
  </si>
  <si>
    <t>ET cw</t>
  </si>
  <si>
    <t>sec/hour</t>
  </si>
  <si>
    <t>hours/day</t>
  </si>
  <si>
    <t>M dry</t>
  </si>
  <si>
    <t>M pc wind</t>
  </si>
  <si>
    <t>ρ soil</t>
  </si>
  <si>
    <t>mg/m³</t>
  </si>
  <si>
    <t>A excav</t>
  </si>
  <si>
    <t>d excav</t>
  </si>
  <si>
    <t>N A-dump</t>
  </si>
  <si>
    <t>M m-excav</t>
  </si>
  <si>
    <t>percent</t>
  </si>
  <si>
    <t>Σ VKT doz</t>
  </si>
  <si>
    <t>M m-doz</t>
  </si>
  <si>
    <t>S doz</t>
  </si>
  <si>
    <t>km/hour</t>
  </si>
  <si>
    <t>S grade</t>
  </si>
  <si>
    <t>Σ VKT grade</t>
  </si>
  <si>
    <t>A till</t>
  </si>
  <si>
    <t>N A-till</t>
  </si>
  <si>
    <t>Ac-grade</t>
  </si>
  <si>
    <t>Bg</t>
  </si>
  <si>
    <t>N A-doz</t>
  </si>
  <si>
    <t>Ac-doz</t>
  </si>
  <si>
    <t>*Calculated Cell*</t>
  </si>
  <si>
    <t>Any changes made to PEF's will change other sheets.</t>
  </si>
  <si>
    <t>kg/g</t>
  </si>
  <si>
    <t>DW</t>
  </si>
  <si>
    <t>EW</t>
  </si>
  <si>
    <t>g/day</t>
  </si>
  <si>
    <t>half life in days</t>
  </si>
  <si>
    <t>PEF sc mech</t>
  </si>
  <si>
    <t>PEF'sc mech</t>
  </si>
  <si>
    <t>DAF</t>
  </si>
  <si>
    <t>For construction worker soil, do 200 m2 slab size and 20 cm soil cover for QA since landuse is site-specific.</t>
  </si>
  <si>
    <t xml:space="preserve">For recreator, do 200 m2 slab size and 20 cm soil cover for QA since landuse is site-specific. </t>
  </si>
  <si>
    <t>TF fowl</t>
  </si>
  <si>
    <t>TF game</t>
  </si>
  <si>
    <t xml:space="preserve">For construction worker, do 200 m2 slab size and 20 cm soil cover for QA since landuse is site-specific. </t>
  </si>
  <si>
    <t>HL (TR)</t>
  </si>
  <si>
    <t xml:space="preserve">IRA </t>
  </si>
  <si>
    <t>When the following variables, hi-lighted in green below, are changed, each value in the rest of the sheet will also change.</t>
  </si>
  <si>
    <t>(HL) TR</t>
  </si>
  <si>
    <t>half life in years</t>
  </si>
  <si>
    <t>TF beef</t>
  </si>
  <si>
    <t>TF poultry</t>
  </si>
  <si>
    <t>TF swine</t>
  </si>
  <si>
    <t>TF dairy</t>
  </si>
  <si>
    <t>Soil Volume (used for non-2D default)</t>
  </si>
  <si>
    <t>Site Specific</t>
  </si>
  <si>
    <t>1 cm ACF</t>
  </si>
  <si>
    <t>5 cm ACF</t>
  </si>
  <si>
    <t>15 cm ACF</t>
  </si>
  <si>
    <t>gp cm ACF</t>
  </si>
  <si>
    <t>kg/day</t>
  </si>
  <si>
    <t>DCF inh</t>
  </si>
  <si>
    <t>DCF water</t>
  </si>
  <si>
    <t>DCF soil</t>
  </si>
  <si>
    <t>DCF soil work</t>
  </si>
  <si>
    <t>DCF ext sv</t>
  </si>
  <si>
    <t>DCF ext gp</t>
  </si>
  <si>
    <t>DCF ext 1cm</t>
  </si>
  <si>
    <t>DCF ext 5cm</t>
  </si>
  <si>
    <t>DCF ext 15 cm</t>
  </si>
  <si>
    <t>DCF sub</t>
  </si>
  <si>
    <t>DCF-imm</t>
  </si>
  <si>
    <t>DCF food</t>
  </si>
  <si>
    <t>mrem/pCi</t>
  </si>
  <si>
    <t>DCC-ing</t>
  </si>
  <si>
    <t>DCC-inh</t>
  </si>
  <si>
    <t>DCC-ext</t>
  </si>
  <si>
    <t>DCC-sping</t>
  </si>
  <si>
    <t>DCC-ping</t>
  </si>
  <si>
    <t>DCC</t>
  </si>
  <si>
    <t>DCC-imm</t>
  </si>
  <si>
    <t>DL</t>
  </si>
  <si>
    <t>(mrem)</t>
  </si>
  <si>
    <t>DCF ext</t>
  </si>
  <si>
    <t>DCF imm</t>
  </si>
  <si>
    <t>DCC-sub</t>
  </si>
  <si>
    <t>DCC-egg</t>
  </si>
  <si>
    <t>DCC-swine</t>
  </si>
  <si>
    <t>DCC-beef</t>
  </si>
  <si>
    <t>DCC-milk</t>
  </si>
  <si>
    <t>DCC-po</t>
  </si>
  <si>
    <t>DCC-fish</t>
  </si>
  <si>
    <t>Cell Color</t>
  </si>
  <si>
    <t>Meaning</t>
  </si>
  <si>
    <t>If the cell is maroon, then a default value is not available and the value listed is for QA purposes only.</t>
  </si>
  <si>
    <t>If the cell is yellow, then it is a calculated value using the cells within that column.</t>
  </si>
  <si>
    <t>If the cell is green, then it is a default or fixed value.</t>
  </si>
  <si>
    <t>If the cell is blue, then this value is based on a 200 m2 slab size and 20 cm soil cover.</t>
  </si>
  <si>
    <t>*Please Note that all of the landuses have also been assigned a respective color.</t>
  </si>
  <si>
    <t>density</t>
  </si>
  <si>
    <t>kg/L</t>
  </si>
  <si>
    <t>1 bq =</t>
  </si>
  <si>
    <t>mrem</t>
  </si>
  <si>
    <t>bq/m^3</t>
  </si>
  <si>
    <t>bq/g</t>
  </si>
  <si>
    <t>bq/L</t>
  </si>
  <si>
    <t>bq/cm^2</t>
  </si>
  <si>
    <t>SSL</t>
  </si>
  <si>
    <t>mg/m^3</t>
  </si>
  <si>
    <t>Mass</t>
  </si>
  <si>
    <t>g/mol</t>
  </si>
  <si>
    <t>mg/g</t>
  </si>
  <si>
    <t>mg/cm^2</t>
  </si>
  <si>
    <t>GSFi</t>
  </si>
  <si>
    <t>GSFo</t>
  </si>
  <si>
    <t>GSFa</t>
  </si>
  <si>
    <t>GSF o</t>
  </si>
  <si>
    <t>GSF i</t>
  </si>
  <si>
    <t>IRA iw</t>
  </si>
  <si>
    <t>t ow</t>
  </si>
  <si>
    <t>t iw</t>
  </si>
  <si>
    <t>t cw</t>
  </si>
  <si>
    <t>AAF rec-c</t>
  </si>
  <si>
    <t>AAF rec-a</t>
  </si>
  <si>
    <t>IRF res-a</t>
  </si>
  <si>
    <t>Composite Worker</t>
  </si>
  <si>
    <t>Indoor Worker</t>
  </si>
  <si>
    <t>Outdoor Worker</t>
  </si>
  <si>
    <t>Construction Worker (st)</t>
  </si>
  <si>
    <t>Construction Worker (non-st)</t>
  </si>
  <si>
    <t>EF w</t>
  </si>
  <si>
    <t>IR w</t>
  </si>
  <si>
    <t>GSF a</t>
  </si>
  <si>
    <t>GSF-sv</t>
  </si>
  <si>
    <t>ACF-sv</t>
  </si>
  <si>
    <t>GSF-gp</t>
  </si>
  <si>
    <t>ACF-gp</t>
  </si>
  <si>
    <t>GSF-1cm</t>
  </si>
  <si>
    <t>ACF-1cm</t>
  </si>
  <si>
    <t>GSF-5cm</t>
  </si>
  <si>
    <t>ACF-5cm</t>
  </si>
  <si>
    <t>GSF-15cm</t>
  </si>
  <si>
    <t>ACF-15cm</t>
  </si>
  <si>
    <t>GSFo - sv</t>
  </si>
  <si>
    <t>ACF - sv</t>
  </si>
  <si>
    <t>GSFo - 1cm</t>
  </si>
  <si>
    <t>ACF - 1cm</t>
  </si>
  <si>
    <t>GSFo - 5cm</t>
  </si>
  <si>
    <t>ACF - 5cm</t>
  </si>
  <si>
    <t>GSFo - 15cm</t>
  </si>
  <si>
    <t>ACF - 15cm</t>
  </si>
  <si>
    <t>GSFo - gp</t>
  </si>
  <si>
    <t>ACF - gp</t>
  </si>
  <si>
    <t>1 cm GSF o</t>
  </si>
  <si>
    <t>5 cm GSF o</t>
  </si>
  <si>
    <t>15 cm GSF o</t>
  </si>
  <si>
    <t>gp cm GSF o</t>
  </si>
  <si>
    <t>mrem/yer per pCi/m3</t>
  </si>
  <si>
    <t>(mrem/year)</t>
  </si>
  <si>
    <t>L/year</t>
  </si>
  <si>
    <t>mg/year</t>
  </si>
  <si>
    <t>g/year</t>
  </si>
  <si>
    <t>IRA cw</t>
  </si>
  <si>
    <t xml:space="preserve">IRS </t>
  </si>
  <si>
    <t>t far</t>
  </si>
  <si>
    <t>mrem/year per pCi/g</t>
  </si>
  <si>
    <t>mrem/year per pCi/cm2</t>
  </si>
  <si>
    <t>(mrem/year per pCi/g)</t>
  </si>
  <si>
    <t>(mrem/year per pCi/cm2)</t>
  </si>
  <si>
    <t>m/year</t>
  </si>
  <si>
    <t>hours/year</t>
  </si>
  <si>
    <t>L/hour</t>
  </si>
  <si>
    <t>hour/event</t>
  </si>
  <si>
    <t>Ra-226+D</t>
  </si>
  <si>
    <t>Rn-222+D</t>
  </si>
  <si>
    <t>CF far-produce</t>
  </si>
  <si>
    <t>EF far</t>
  </si>
  <si>
    <t>ED far</t>
  </si>
  <si>
    <t>ET far-c</t>
  </si>
  <si>
    <t>ET far-a</t>
  </si>
  <si>
    <t>IRA res-c</t>
  </si>
  <si>
    <t>IRA res-a</t>
  </si>
  <si>
    <t>IRS res-c</t>
  </si>
  <si>
    <t>IRS res-a</t>
  </si>
  <si>
    <t>IRW res-c</t>
  </si>
  <si>
    <t>IRW res-a</t>
  </si>
  <si>
    <t xml:space="preserve">IRF res-c </t>
  </si>
  <si>
    <t xml:space="preserve">IRF res-a </t>
  </si>
  <si>
    <t xml:space="preserve">IRV res-c </t>
  </si>
  <si>
    <t xml:space="preserve">IRV res-a </t>
  </si>
  <si>
    <t>AAF res-c</t>
  </si>
  <si>
    <t>AAF res-a</t>
  </si>
  <si>
    <t>ED res-c</t>
  </si>
  <si>
    <t>ED res</t>
  </si>
  <si>
    <t>EF res-c</t>
  </si>
  <si>
    <t>EF res-a</t>
  </si>
  <si>
    <t>EF res</t>
  </si>
  <si>
    <t>ET res-c</t>
  </si>
  <si>
    <t>ET res-a</t>
  </si>
  <si>
    <t>ET res</t>
  </si>
  <si>
    <t>ACF (default)</t>
  </si>
  <si>
    <t>Soil to Groundwater</t>
  </si>
  <si>
    <t>day/kg</t>
  </si>
  <si>
    <t>CF res-fish</t>
  </si>
  <si>
    <t>CF res-produce</t>
  </si>
  <si>
    <t>L water / L soil</t>
  </si>
  <si>
    <t>MLF pasture</t>
  </si>
  <si>
    <t>MLF produce</t>
  </si>
  <si>
    <t>IRF res</t>
  </si>
  <si>
    <t>IFW res-adj</t>
  </si>
  <si>
    <t>IFA res-adj</t>
  </si>
  <si>
    <t>DFA res-adj</t>
  </si>
  <si>
    <t>IFF res-adj</t>
  </si>
  <si>
    <t>IRF res-c</t>
  </si>
  <si>
    <t>IFV res-adj</t>
  </si>
  <si>
    <t>IRV res-c</t>
  </si>
  <si>
    <t>IRV res-a</t>
  </si>
  <si>
    <t>ET event-res-c</t>
  </si>
  <si>
    <t>ET event-res-a</t>
  </si>
  <si>
    <t>EV res-c</t>
  </si>
  <si>
    <t>EV res-a</t>
  </si>
  <si>
    <t>m^3/day</t>
  </si>
  <si>
    <t>ET res-o</t>
  </si>
  <si>
    <t>ET res-i</t>
  </si>
  <si>
    <t>DCF ext-gp</t>
  </si>
  <si>
    <t>ACF ext-gp</t>
  </si>
  <si>
    <t>DCF ext-sv</t>
  </si>
  <si>
    <t>ACF ext-sv</t>
  </si>
  <si>
    <t>ACF ext-1cm</t>
  </si>
  <si>
    <t>DCF ext-1cm</t>
  </si>
  <si>
    <t>ACF ext-15cm</t>
  </si>
  <si>
    <t>DCF ext-15cm</t>
  </si>
  <si>
    <t>ACF ext-5cm</t>
  </si>
  <si>
    <t>DCF ext-5cm</t>
  </si>
  <si>
    <t>ED iw</t>
  </si>
  <si>
    <t>ET iw</t>
  </si>
  <si>
    <t>ED w</t>
  </si>
  <si>
    <t>EF ow</t>
  </si>
  <si>
    <t>ED ow</t>
  </si>
  <si>
    <t xml:space="preserve">EF </t>
  </si>
  <si>
    <t>m^3/year</t>
  </si>
  <si>
    <t>cm^3/L</t>
  </si>
  <si>
    <t>IFA rec-adj</t>
  </si>
  <si>
    <t>IRA rec-c</t>
  </si>
  <si>
    <t>IRA rec-a</t>
  </si>
  <si>
    <t>ET rec-c</t>
  </si>
  <si>
    <t>ET rec-a</t>
  </si>
  <si>
    <t>EF rec-c</t>
  </si>
  <si>
    <t>EF rec-a</t>
  </si>
  <si>
    <t>EV rec-c</t>
  </si>
  <si>
    <t>EV rec-a</t>
  </si>
  <si>
    <t>DFA rec-adj</t>
  </si>
  <si>
    <t>IRW rec-a</t>
  </si>
  <si>
    <t>IRW rec-c</t>
  </si>
  <si>
    <t>IFW rec-adj</t>
  </si>
  <si>
    <t>IRS rec-c</t>
  </si>
  <si>
    <t>IRS rec-a</t>
  </si>
  <si>
    <t>ET event-rec-c</t>
  </si>
  <si>
    <t>ET event-rec-a</t>
  </si>
  <si>
    <t>IFS res-adj</t>
  </si>
  <si>
    <t>IFF res adj</t>
  </si>
  <si>
    <t>IFV res adj</t>
  </si>
  <si>
    <t>ED res-a</t>
  </si>
  <si>
    <t>IRS far-c</t>
  </si>
  <si>
    <t>IRA far-c</t>
  </si>
  <si>
    <t>IRW far-c</t>
  </si>
  <si>
    <t>IRD far-c</t>
  </si>
  <si>
    <t>IRB far-c</t>
  </si>
  <si>
    <t>IRE far-c</t>
  </si>
  <si>
    <t>IRSW far-c</t>
  </si>
  <si>
    <t>EF far-c</t>
  </si>
  <si>
    <t>EV far-c</t>
  </si>
  <si>
    <t>IRS far-a</t>
  </si>
  <si>
    <t>IRA far-a</t>
  </si>
  <si>
    <t>IRW far-a</t>
  </si>
  <si>
    <t>IRD far-a</t>
  </si>
  <si>
    <t>IRB far-a</t>
  </si>
  <si>
    <t>IRE far-a</t>
  </si>
  <si>
    <t>IRSW far-a</t>
  </si>
  <si>
    <t>EF far-a</t>
  </si>
  <si>
    <t>EV far-a</t>
  </si>
  <si>
    <t>IRF far-c</t>
  </si>
  <si>
    <t>IRF far-a</t>
  </si>
  <si>
    <t xml:space="preserve">IRV far-c </t>
  </si>
  <si>
    <t xml:space="preserve">IRV far-a </t>
  </si>
  <si>
    <t>IRFI far-c</t>
  </si>
  <si>
    <t>IRFI far-a</t>
  </si>
  <si>
    <t>IRP far-c</t>
  </si>
  <si>
    <t>IRP far-a</t>
  </si>
  <si>
    <t>AAF far-c</t>
  </si>
  <si>
    <t>AAF far-a</t>
  </si>
  <si>
    <t>ET event-far-c</t>
  </si>
  <si>
    <t>ET event-far-a</t>
  </si>
  <si>
    <t>CF far-dairy</t>
  </si>
  <si>
    <t>CF far-beef</t>
  </si>
  <si>
    <t>CF far-egg</t>
  </si>
  <si>
    <t>CF far-fish</t>
  </si>
  <si>
    <t>CF far-poultry</t>
  </si>
  <si>
    <t>CF far-swine</t>
  </si>
  <si>
    <t>Q w poultry</t>
  </si>
  <si>
    <t>Q p-poultry</t>
  </si>
  <si>
    <t>Q s-poultry</t>
  </si>
  <si>
    <t>f p-poultry</t>
  </si>
  <si>
    <t>f s-poultry</t>
  </si>
  <si>
    <t>Q p-swine</t>
  </si>
  <si>
    <t>Q s-swine</t>
  </si>
  <si>
    <t>f p-swine</t>
  </si>
  <si>
    <t>f s-swine</t>
  </si>
  <si>
    <t>Q p-beef</t>
  </si>
  <si>
    <t>Q s-beef</t>
  </si>
  <si>
    <t>f p-beef</t>
  </si>
  <si>
    <t>f s-beef</t>
  </si>
  <si>
    <t>Q p-dairy</t>
  </si>
  <si>
    <t>Q s-dairy</t>
  </si>
  <si>
    <t>f p-dairy</t>
  </si>
  <si>
    <t>f s-dairy</t>
  </si>
  <si>
    <t>IR cw</t>
  </si>
  <si>
    <t>IR ow</t>
  </si>
  <si>
    <t>IRA  w</t>
  </si>
  <si>
    <t>IFS far-adj</t>
  </si>
  <si>
    <t>IFA far-adj</t>
  </si>
  <si>
    <t>ET far-o</t>
  </si>
  <si>
    <t>ET far-i</t>
  </si>
  <si>
    <t>DCC-dairy</t>
  </si>
  <si>
    <t>DCC-poultry</t>
  </si>
  <si>
    <t>DCC-produce</t>
  </si>
  <si>
    <t>DCC-wproduce</t>
  </si>
  <si>
    <t>IRV far-c</t>
  </si>
  <si>
    <t>IRV far-a</t>
  </si>
  <si>
    <t>IFF far-adj</t>
  </si>
  <si>
    <t>IFV far-adj</t>
  </si>
  <si>
    <t>TFdairy</t>
  </si>
  <si>
    <t>milk density</t>
  </si>
  <si>
    <t>IFB far-adj</t>
  </si>
  <si>
    <t>IFE far-adj</t>
  </si>
  <si>
    <t>IRFI far-adj</t>
  </si>
  <si>
    <t>IFP far-adj</t>
  </si>
  <si>
    <t>IFSW far-adj</t>
  </si>
  <si>
    <t>m^3 air / kg soil</t>
  </si>
  <si>
    <t>Resident Air</t>
  </si>
  <si>
    <t>Resident Tapwater</t>
  </si>
  <si>
    <t>Resident Soil</t>
  </si>
  <si>
    <t>Resident Fish</t>
  </si>
  <si>
    <t>Resident Surface Water Fish</t>
  </si>
  <si>
    <t>ing</t>
  </si>
  <si>
    <t>total</t>
  </si>
  <si>
    <t>Resident 2-D : Soil Volume</t>
  </si>
  <si>
    <t>Resident 2-D : Ground Plane</t>
  </si>
  <si>
    <t xml:space="preserve">Resident 2-D : 1cm </t>
  </si>
  <si>
    <t xml:space="preserve">Resident 2-D : 15cm </t>
  </si>
  <si>
    <t xml:space="preserve">Resident 2-D : 5cm </t>
  </si>
  <si>
    <t>ext</t>
  </si>
  <si>
    <t>Outdoor Worker Air</t>
  </si>
  <si>
    <t>Composite Worker Air</t>
  </si>
  <si>
    <t>Indoor Worker Air</t>
  </si>
  <si>
    <t>Construction Worker Air</t>
  </si>
  <si>
    <t>Worker Soil</t>
  </si>
  <si>
    <t>Const. (non-st)</t>
  </si>
  <si>
    <t>Const. (st)</t>
  </si>
  <si>
    <t xml:space="preserve">Indoor Worker 2-D : 5cm </t>
  </si>
  <si>
    <t xml:space="preserve">Indoor Worker 2-D : 1cm </t>
  </si>
  <si>
    <t xml:space="preserve">Indoor Worker 2-D : 15cm </t>
  </si>
  <si>
    <t xml:space="preserve">Outdoor Worker 2-D : 1cm </t>
  </si>
  <si>
    <t xml:space="preserve">Outdoor Worker 2-D : 15cm </t>
  </si>
  <si>
    <t xml:space="preserve">Outdoor Worker 2-D : 5cm </t>
  </si>
  <si>
    <t xml:space="preserve">Composite Worker 2-D : 1cm </t>
  </si>
  <si>
    <t xml:space="preserve">Composite Worker 2-D : 15cm </t>
  </si>
  <si>
    <t xml:space="preserve">Composite Worker 2-D : 5cm </t>
  </si>
  <si>
    <t xml:space="preserve">Construction Worker 2-D : 1cm </t>
  </si>
  <si>
    <t xml:space="preserve">Construction Worker 2-D : 15cm </t>
  </si>
  <si>
    <t xml:space="preserve">Construction Worker 2-D : 5cm </t>
  </si>
  <si>
    <t>Indoor Worker 2-D : SV</t>
  </si>
  <si>
    <t>Indoor Worker 2-D : GP</t>
  </si>
  <si>
    <t>Outdoor Worker 2-D : SV</t>
  </si>
  <si>
    <t>Outdoor Worker 2-D : GP</t>
  </si>
  <si>
    <t>Composite Worker 2-D : SV</t>
  </si>
  <si>
    <t>Composite Worker 2-D : GP</t>
  </si>
  <si>
    <t>Construction Worker 2-D : GP</t>
  </si>
  <si>
    <t>Construction Worker 2-D : SV</t>
  </si>
  <si>
    <t>Resident 2-D : SV</t>
  </si>
  <si>
    <t>Resident 2-D : GP</t>
  </si>
  <si>
    <t>Recreator Air</t>
  </si>
  <si>
    <t>Recreator Soil</t>
  </si>
  <si>
    <t>Recreator 2-D : SV</t>
  </si>
  <si>
    <t xml:space="preserve">Recreator 2-D : 1cm </t>
  </si>
  <si>
    <t xml:space="preserve">Recreator 2-D : 15cm </t>
  </si>
  <si>
    <t>Recreator 2-D : GP</t>
  </si>
  <si>
    <t>Recreator 2-D : 5cm</t>
  </si>
  <si>
    <t>Recreator Surface Water</t>
  </si>
  <si>
    <t>Recreator Fowl</t>
  </si>
  <si>
    <t>Recreator Game</t>
  </si>
  <si>
    <t>Farmer Soil</t>
  </si>
  <si>
    <t>Farmer Air</t>
  </si>
  <si>
    <t>Farmer Tapwater</t>
  </si>
  <si>
    <t>Farmer Produce</t>
  </si>
  <si>
    <t>intercept</t>
  </si>
  <si>
    <t>slope</t>
  </si>
  <si>
    <t>Water</t>
  </si>
  <si>
    <t>Soil &amp; Water</t>
  </si>
  <si>
    <t>Farmer Swine</t>
  </si>
  <si>
    <t>Farmer Poultry</t>
  </si>
  <si>
    <t>Farmer Fish</t>
  </si>
  <si>
    <t>Farmer Egg</t>
  </si>
  <si>
    <t>Farmer Beef</t>
  </si>
  <si>
    <t>Farmer Dairy</t>
  </si>
  <si>
    <t>Soil 2 GW Partitioning</t>
  </si>
  <si>
    <t>mcl based (pCi/g)</t>
  </si>
  <si>
    <t>mrem based (pCi/g)</t>
  </si>
  <si>
    <t>Soil 2 GW Mass Balance</t>
  </si>
  <si>
    <t>mcl based (bq/g)</t>
  </si>
  <si>
    <t>mrem based (bq/g)</t>
  </si>
  <si>
    <t>mcl based (mg/kg)</t>
  </si>
  <si>
    <t>mrem based (mg/kg)</t>
  </si>
  <si>
    <t xml:space="preserve">TF swine </t>
  </si>
  <si>
    <t>L/mg^3</t>
  </si>
  <si>
    <t>day/L milk</t>
  </si>
  <si>
    <t>pCi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</si>
</sst>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0.0000E+00"/>
    <numFmt numFmtId="165" formatCode="0.000E+00"/>
    <numFmt numFmtId="166" formatCode="0.0E+00"/>
    <numFmt numFmtId="167" formatCode="0.00000"/>
    <numFmt numFmtId="168" formatCode="0.0"/>
    <numFmt numFmtId="169" formatCode="_(* #,##0_);_(* \(#,##0\);_(* &quot;-&quot;??_);_(@_)"/>
    <numFmt numFmtId="170" formatCode="0.000"/>
    <numFmt numFmtId="171" formatCode="0.0000"/>
  </numFmts>
  <fonts count="3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name val="Arial"/>
      <family val="2"/>
      <charset val="1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sz val="10"/>
      <color rgb="FF008080"/>
      <name val="Arial"/>
      <family val="2"/>
    </font>
    <font>
      <sz val="10"/>
      <color theme="1"/>
      <name val="Arial"/>
      <family val="2"/>
    </font>
    <font>
      <i/>
      <sz val="10"/>
      <name val="Arial"/>
      <family val="2"/>
    </font>
    <font>
      <b/>
      <sz val="16"/>
      <color theme="0"/>
      <name val="Arial"/>
      <family val="2"/>
    </font>
    <font>
      <b/>
      <sz val="14"/>
      <name val="Arial"/>
      <family val="2"/>
    </font>
    <font>
      <b/>
      <sz val="10"/>
      <color theme="0"/>
      <name val="Arial"/>
      <family val="2"/>
    </font>
  </fonts>
  <fills count="88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11"/>
        <bgColor indexed="49"/>
      </patternFill>
    </fill>
    <fill>
      <patternFill patternType="solid">
        <fgColor indexed="15"/>
        <bgColor indexed="3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FFFF"/>
        <bgColor indexed="41"/>
      </patternFill>
    </fill>
    <fill>
      <patternFill patternType="solid">
        <fgColor rgb="FFFFDDFF"/>
        <bgColor indexed="41"/>
      </patternFill>
    </fill>
    <fill>
      <patternFill patternType="solid">
        <fgColor rgb="FFDCB9FF"/>
        <bgColor indexed="24"/>
      </patternFill>
    </fill>
    <fill>
      <patternFill patternType="solid">
        <fgColor rgb="FFBF3F7F"/>
        <bgColor indexed="61"/>
      </patternFill>
    </fill>
    <fill>
      <patternFill patternType="solid">
        <fgColor rgb="FFFFFFCC"/>
        <bgColor indexed="64"/>
      </patternFill>
    </fill>
    <fill>
      <patternFill patternType="solid">
        <fgColor rgb="FFD0DEEC"/>
        <bgColor indexed="41"/>
      </patternFill>
    </fill>
    <fill>
      <patternFill patternType="solid">
        <fgColor rgb="FFFFDBB7"/>
        <bgColor indexed="41"/>
      </patternFill>
    </fill>
    <fill>
      <patternFill patternType="solid">
        <fgColor rgb="FFFFCC00"/>
        <bgColor indexed="49"/>
      </patternFill>
    </fill>
    <fill>
      <patternFill patternType="solid">
        <fgColor rgb="FF00FF00"/>
        <bgColor indexed="24"/>
      </patternFill>
    </fill>
    <fill>
      <patternFill patternType="solid">
        <fgColor rgb="FF00FF00"/>
        <bgColor indexed="31"/>
      </patternFill>
    </fill>
    <fill>
      <patternFill patternType="solid">
        <fgColor rgb="FF00FF00"/>
        <bgColor indexed="34"/>
      </patternFill>
    </fill>
    <fill>
      <patternFill patternType="solid">
        <fgColor theme="7" tint="0.59999389629810485"/>
        <bgColor indexed="51"/>
      </patternFill>
    </fill>
    <fill>
      <patternFill patternType="solid">
        <fgColor theme="7" tint="0.59999389629810485"/>
        <bgColor indexed="35"/>
      </patternFill>
    </fill>
    <fill>
      <patternFill patternType="solid">
        <fgColor theme="7" tint="0.59999389629810485"/>
        <bgColor indexed="13"/>
      </patternFill>
    </fill>
    <fill>
      <patternFill patternType="solid">
        <fgColor theme="7" tint="0.59999389629810485"/>
        <bgColor indexed="49"/>
      </patternFill>
    </fill>
    <fill>
      <patternFill patternType="solid">
        <fgColor rgb="FF00FF00"/>
        <bgColor indexed="49"/>
      </patternFill>
    </fill>
    <fill>
      <patternFill patternType="solid">
        <fgColor rgb="FF9FC1A2"/>
        <bgColor indexed="64"/>
      </patternFill>
    </fill>
    <fill>
      <patternFill patternType="solid">
        <fgColor rgb="FF9FC1A2"/>
        <bgColor indexed="35"/>
      </patternFill>
    </fill>
    <fill>
      <patternFill patternType="solid">
        <fgColor rgb="FFFFFF99"/>
        <bgColor indexed="41"/>
      </patternFill>
    </fill>
    <fill>
      <patternFill patternType="solid">
        <fgColor rgb="FFB5CAE1"/>
        <bgColor indexed="41"/>
      </patternFill>
    </fill>
    <fill>
      <patternFill patternType="solid">
        <fgColor rgb="FFFFCC99"/>
        <bgColor indexed="41"/>
      </patternFill>
    </fill>
    <fill>
      <patternFill patternType="solid">
        <fgColor rgb="FFFFCCFF"/>
        <bgColor indexed="41"/>
      </patternFill>
    </fill>
    <fill>
      <patternFill patternType="solid">
        <fgColor rgb="FFD06E9F"/>
        <bgColor indexed="61"/>
      </patternFill>
    </fill>
    <fill>
      <patternFill patternType="solid">
        <fgColor rgb="FFCC99FF"/>
        <bgColor indexed="24"/>
      </patternFill>
    </fill>
    <fill>
      <patternFill patternType="solid">
        <fgColor rgb="FFCCFFFF"/>
        <bgColor indexed="41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indexed="35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4D7A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FFFF"/>
        <bgColor indexed="35"/>
      </patternFill>
    </fill>
    <fill>
      <patternFill patternType="solid">
        <fgColor rgb="FFFF0000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C00"/>
        <bgColor indexed="51"/>
      </patternFill>
    </fill>
    <fill>
      <patternFill patternType="solid">
        <fgColor rgb="FFFFCC00"/>
        <bgColor indexed="13"/>
      </patternFill>
    </fill>
    <fill>
      <patternFill patternType="solid">
        <fgColor rgb="FFFFCC00"/>
        <bgColor indexed="35"/>
      </patternFill>
    </fill>
    <fill>
      <patternFill patternType="solid">
        <fgColor rgb="FFFFCC99"/>
        <bgColor indexed="35"/>
      </patternFill>
    </fill>
  </fills>
  <borders count="64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</borders>
  <cellStyleXfs count="403">
    <xf numFmtId="0" fontId="0" fillId="0" borderId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1" fillId="29" borderId="0" applyNumberFormat="0" applyBorder="0" applyAlignment="0" applyProtection="0"/>
    <xf numFmtId="0" fontId="12" fillId="30" borderId="16" applyNumberFormat="0" applyAlignment="0" applyProtection="0"/>
    <xf numFmtId="0" fontId="13" fillId="31" borderId="17" applyNumberFormat="0" applyAlignment="0" applyProtection="0"/>
    <xf numFmtId="43" fontId="2" fillId="0" borderId="0" applyFill="0" applyBorder="0" applyAlignment="0" applyProtection="0"/>
    <xf numFmtId="0" fontId="5" fillId="0" borderId="0"/>
    <xf numFmtId="0" fontId="6" fillId="0" borderId="0"/>
    <xf numFmtId="0" fontId="14" fillId="0" borderId="0" applyNumberFormat="0" applyFill="0" applyBorder="0" applyAlignment="0" applyProtection="0"/>
    <xf numFmtId="0" fontId="15" fillId="32" borderId="0" applyNumberFormat="0" applyBorder="0" applyAlignment="0" applyProtection="0"/>
    <xf numFmtId="0" fontId="16" fillId="0" borderId="18" applyNumberFormat="0" applyFill="0" applyAlignment="0" applyProtection="0"/>
    <xf numFmtId="0" fontId="17" fillId="0" borderId="19" applyNumberFormat="0" applyFill="0" applyAlignment="0" applyProtection="0"/>
    <xf numFmtId="0" fontId="18" fillId="0" borderId="20" applyNumberFormat="0" applyFill="0" applyAlignment="0" applyProtection="0"/>
    <xf numFmtId="0" fontId="18" fillId="0" borderId="0" applyNumberFormat="0" applyFill="0" applyBorder="0" applyAlignment="0" applyProtection="0"/>
    <xf numFmtId="0" fontId="19" fillId="33" borderId="16" applyNumberFormat="0" applyAlignment="0" applyProtection="0"/>
    <xf numFmtId="0" fontId="20" fillId="0" borderId="21" applyNumberFormat="0" applyFill="0" applyAlignment="0" applyProtection="0"/>
    <xf numFmtId="0" fontId="21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35" borderId="22" applyNumberFormat="0" applyFont="0" applyAlignment="0" applyProtection="0"/>
    <xf numFmtId="0" fontId="22" fillId="30" borderId="23" applyNumberFormat="0" applyAlignment="0" applyProtection="0"/>
    <xf numFmtId="0" fontId="23" fillId="0" borderId="0" applyNumberFormat="0" applyFill="0" applyBorder="0" applyAlignment="0" applyProtection="0"/>
    <xf numFmtId="0" fontId="24" fillId="0" borderId="24" applyNumberFormat="0" applyFill="0" applyAlignment="0" applyProtection="0"/>
    <xf numFmtId="0" fontId="25" fillId="0" borderId="0" applyNumberForma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43" fontId="2" fillId="0" borderId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</cellStyleXfs>
  <cellXfs count="691">
    <xf numFmtId="0" fontId="0" fillId="0" borderId="0" xfId="0"/>
    <xf numFmtId="11" fontId="0" fillId="0" borderId="0" xfId="0" applyNumberFormat="1"/>
    <xf numFmtId="0" fontId="0" fillId="0" borderId="0" xfId="0" applyNumberFormat="1" applyFont="1" applyFill="1"/>
    <xf numFmtId="0" fontId="0" fillId="0" borderId="0" xfId="0" applyFill="1" applyBorder="1"/>
    <xf numFmtId="0" fontId="5" fillId="0" borderId="0" xfId="185" applyFill="1"/>
    <xf numFmtId="0" fontId="0" fillId="64" borderId="4" xfId="0" applyFill="1" applyBorder="1"/>
    <xf numFmtId="0" fontId="0" fillId="0" borderId="1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2" xfId="0" applyBorder="1"/>
    <xf numFmtId="0" fontId="0" fillId="65" borderId="4" xfId="0" applyFill="1" applyBorder="1"/>
    <xf numFmtId="0" fontId="0" fillId="65" borderId="1" xfId="0" applyFill="1" applyBorder="1"/>
    <xf numFmtId="0" fontId="0" fillId="65" borderId="5" xfId="0" applyFill="1" applyBorder="1"/>
    <xf numFmtId="0" fontId="0" fillId="65" borderId="7" xfId="0" applyFill="1" applyBorder="1"/>
    <xf numFmtId="11" fontId="0" fillId="65" borderId="2" xfId="0" applyNumberFormat="1" applyFill="1" applyBorder="1"/>
    <xf numFmtId="0" fontId="0" fillId="65" borderId="8" xfId="0" applyFill="1" applyBorder="1"/>
    <xf numFmtId="0" fontId="0" fillId="66" borderId="4" xfId="0" applyFill="1" applyBorder="1"/>
    <xf numFmtId="0" fontId="0" fillId="66" borderId="1" xfId="0" applyFill="1" applyBorder="1"/>
    <xf numFmtId="0" fontId="0" fillId="66" borderId="5" xfId="0" applyFill="1" applyBorder="1"/>
    <xf numFmtId="0" fontId="0" fillId="66" borderId="7" xfId="0" applyFill="1" applyBorder="1"/>
    <xf numFmtId="11" fontId="0" fillId="66" borderId="2" xfId="0" applyNumberFormat="1" applyFill="1" applyBorder="1"/>
    <xf numFmtId="0" fontId="0" fillId="66" borderId="8" xfId="0" applyFill="1" applyBorder="1"/>
    <xf numFmtId="0" fontId="0" fillId="64" borderId="1" xfId="0" applyFill="1" applyBorder="1"/>
    <xf numFmtId="0" fontId="0" fillId="64" borderId="5" xfId="0" applyFill="1" applyBorder="1"/>
    <xf numFmtId="0" fontId="0" fillId="64" borderId="7" xfId="0" applyFill="1" applyBorder="1"/>
    <xf numFmtId="0" fontId="0" fillId="64" borderId="8" xfId="0" applyFill="1" applyBorder="1"/>
    <xf numFmtId="0" fontId="5" fillId="0" borderId="4" xfId="185" applyBorder="1"/>
    <xf numFmtId="0" fontId="0" fillId="0" borderId="0" xfId="0" applyBorder="1"/>
    <xf numFmtId="0" fontId="0" fillId="0" borderId="6" xfId="0" applyBorder="1"/>
    <xf numFmtId="0" fontId="0" fillId="0" borderId="3" xfId="0" applyFill="1" applyBorder="1"/>
    <xf numFmtId="0" fontId="0" fillId="0" borderId="3" xfId="0" applyBorder="1"/>
    <xf numFmtId="167" fontId="0" fillId="0" borderId="0" xfId="0" applyNumberFormat="1" applyFill="1" applyBorder="1"/>
    <xf numFmtId="0" fontId="0" fillId="0" borderId="0" xfId="0" applyNumberFormat="1" applyFill="1" applyBorder="1"/>
    <xf numFmtId="0" fontId="5" fillId="67" borderId="4" xfId="185" applyFill="1" applyBorder="1"/>
    <xf numFmtId="0" fontId="5" fillId="0" borderId="3" xfId="185" applyBorder="1"/>
    <xf numFmtId="0" fontId="0" fillId="0" borderId="0" xfId="0" applyAlignment="1"/>
    <xf numFmtId="11" fontId="0" fillId="0" borderId="0" xfId="0" applyNumberFormat="1" applyBorder="1"/>
    <xf numFmtId="0" fontId="0" fillId="0" borderId="6" xfId="0" applyBorder="1" applyAlignment="1"/>
    <xf numFmtId="0" fontId="5" fillId="0" borderId="3" xfId="185" applyFill="1" applyBorder="1"/>
    <xf numFmtId="0" fontId="5" fillId="67" borderId="3" xfId="185" applyFill="1" applyBorder="1"/>
    <xf numFmtId="0" fontId="6" fillId="0" borderId="0" xfId="186" applyBorder="1" applyAlignment="1">
      <alignment horizontal="center"/>
    </xf>
    <xf numFmtId="0" fontId="0" fillId="0" borderId="3" xfId="186" applyFont="1" applyBorder="1"/>
    <xf numFmtId="0" fontId="6" fillId="0" borderId="0" xfId="186" applyBorder="1"/>
    <xf numFmtId="0" fontId="0" fillId="67" borderId="3" xfId="0" applyFill="1" applyBorder="1"/>
    <xf numFmtId="0" fontId="3" fillId="0" borderId="28" xfId="0" applyFont="1" applyBorder="1"/>
    <xf numFmtId="0" fontId="0" fillId="73" borderId="28" xfId="0" applyFill="1" applyBorder="1"/>
    <xf numFmtId="0" fontId="0" fillId="36" borderId="28" xfId="0" applyFill="1" applyBorder="1"/>
    <xf numFmtId="0" fontId="0" fillId="71" borderId="28" xfId="0" applyFill="1" applyBorder="1"/>
    <xf numFmtId="0" fontId="0" fillId="74" borderId="28" xfId="0" applyFill="1" applyBorder="1"/>
    <xf numFmtId="0" fontId="0" fillId="47" borderId="5" xfId="0" applyFont="1" applyFill="1" applyBorder="1" applyAlignment="1">
      <alignment vertical="center"/>
    </xf>
    <xf numFmtId="0" fontId="0" fillId="58" borderId="5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46" borderId="0" xfId="0" applyFont="1" applyFill="1" applyBorder="1" applyAlignment="1">
      <alignment vertical="center"/>
    </xf>
    <xf numFmtId="0" fontId="0" fillId="4" borderId="3" xfId="0" applyFont="1" applyFill="1" applyBorder="1" applyAlignment="1">
      <alignment vertical="center"/>
    </xf>
    <xf numFmtId="0" fontId="0" fillId="4" borderId="0" xfId="0" applyFont="1" applyFill="1" applyBorder="1" applyAlignment="1">
      <alignment vertical="center"/>
    </xf>
    <xf numFmtId="0" fontId="0" fillId="4" borderId="6" xfId="0" applyFont="1" applyFill="1" applyBorder="1" applyAlignment="1">
      <alignment vertical="center"/>
    </xf>
    <xf numFmtId="11" fontId="3" fillId="70" borderId="0" xfId="0" applyNumberFormat="1" applyFont="1" applyFill="1" applyBorder="1" applyAlignment="1">
      <alignment vertical="center"/>
    </xf>
    <xf numFmtId="0" fontId="3" fillId="50" borderId="0" xfId="0" applyFont="1" applyFill="1" applyBorder="1" applyAlignment="1">
      <alignment vertical="center"/>
    </xf>
    <xf numFmtId="0" fontId="3" fillId="52" borderId="0" xfId="0" applyFont="1" applyFill="1" applyBorder="1" applyAlignment="1">
      <alignment vertical="center"/>
    </xf>
    <xf numFmtId="0" fontId="3" fillId="51" borderId="6" xfId="0" applyFont="1" applyFill="1" applyBorder="1" applyAlignment="1">
      <alignment vertical="center"/>
    </xf>
    <xf numFmtId="11" fontId="3" fillId="3" borderId="0" xfId="0" applyNumberFormat="1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11" fontId="3" fillId="46" borderId="0" xfId="0" applyNumberFormat="1" applyFont="1" applyFill="1" applyBorder="1" applyAlignment="1">
      <alignment vertical="center"/>
    </xf>
    <xf numFmtId="11" fontId="3" fillId="55" borderId="0" xfId="0" applyNumberFormat="1" applyFont="1" applyFill="1" applyBorder="1" applyAlignment="1">
      <alignment vertical="center"/>
    </xf>
    <xf numFmtId="0" fontId="3" fillId="55" borderId="0" xfId="0" applyFont="1" applyFill="1" applyBorder="1" applyAlignment="1">
      <alignment vertical="center"/>
    </xf>
    <xf numFmtId="11" fontId="3" fillId="4" borderId="3" xfId="0" applyNumberFormat="1" applyFont="1" applyFill="1" applyBorder="1" applyAlignment="1">
      <alignment vertical="center"/>
    </xf>
    <xf numFmtId="0" fontId="3" fillId="50" borderId="2" xfId="0" applyFont="1" applyFill="1" applyBorder="1" applyAlignment="1">
      <alignment vertical="center"/>
    </xf>
    <xf numFmtId="0" fontId="0" fillId="52" borderId="11" xfId="0" applyFont="1" applyFill="1" applyBorder="1" applyAlignment="1">
      <alignment vertical="center"/>
    </xf>
    <xf numFmtId="11" fontId="3" fillId="52" borderId="2" xfId="0" applyNumberFormat="1" applyFont="1" applyFill="1" applyBorder="1" applyAlignment="1">
      <alignment vertical="center"/>
    </xf>
    <xf numFmtId="0" fontId="3" fillId="52" borderId="2" xfId="0" applyFont="1" applyFill="1" applyBorder="1" applyAlignment="1">
      <alignment vertical="center"/>
    </xf>
    <xf numFmtId="0" fontId="0" fillId="51" borderId="11" xfId="0" applyFont="1" applyFill="1" applyBorder="1" applyAlignment="1">
      <alignment vertical="center"/>
    </xf>
    <xf numFmtId="11" fontId="3" fillId="51" borderId="2" xfId="0" applyNumberFormat="1" applyFont="1" applyFill="1" applyBorder="1" applyAlignment="1">
      <alignment vertical="center"/>
    </xf>
    <xf numFmtId="0" fontId="3" fillId="51" borderId="8" xfId="0" applyFont="1" applyFill="1" applyBorder="1" applyAlignment="1">
      <alignment vertical="center"/>
    </xf>
    <xf numFmtId="11" fontId="3" fillId="3" borderId="2" xfId="0" applyNumberFormat="1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11" fontId="3" fillId="46" borderId="2" xfId="0" applyNumberFormat="1" applyFont="1" applyFill="1" applyBorder="1" applyAlignment="1">
      <alignment vertical="center"/>
    </xf>
    <xf numFmtId="0" fontId="3" fillId="46" borderId="2" xfId="0" applyFont="1" applyFill="1" applyBorder="1" applyAlignment="1">
      <alignment vertical="center"/>
    </xf>
    <xf numFmtId="11" fontId="3" fillId="55" borderId="2" xfId="0" applyNumberFormat="1" applyFont="1" applyFill="1" applyBorder="1" applyAlignment="1">
      <alignment vertical="center"/>
    </xf>
    <xf numFmtId="0" fontId="3" fillId="55" borderId="2" xfId="0" applyFont="1" applyFill="1" applyBorder="1" applyAlignment="1">
      <alignment vertical="center"/>
    </xf>
    <xf numFmtId="11" fontId="3" fillId="4" borderId="7" xfId="0" applyNumberFormat="1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11" fontId="0" fillId="0" borderId="0" xfId="0" applyNumberFormat="1" applyAlignment="1">
      <alignment vertical="center"/>
    </xf>
    <xf numFmtId="11" fontId="0" fillId="0" borderId="0" xfId="0" applyNumberFormat="1" applyFill="1" applyAlignment="1">
      <alignment vertical="center"/>
    </xf>
    <xf numFmtId="11" fontId="0" fillId="0" borderId="0" xfId="0" applyNumberFormat="1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NumberFormat="1" applyFont="1" applyFill="1" applyAlignment="1">
      <alignment vertical="center"/>
    </xf>
    <xf numFmtId="0" fontId="0" fillId="0" borderId="0" xfId="0" applyNumberFormat="1" applyFill="1" applyAlignment="1">
      <alignment vertical="center"/>
    </xf>
    <xf numFmtId="0" fontId="0" fillId="0" borderId="0" xfId="0" applyNumberFormat="1" applyFont="1" applyAlignment="1">
      <alignment vertical="center"/>
    </xf>
    <xf numFmtId="0" fontId="0" fillId="0" borderId="0" xfId="0" applyFont="1" applyAlignment="1">
      <alignment horizontal="left" vertical="center"/>
    </xf>
    <xf numFmtId="11" fontId="0" fillId="0" borderId="0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7" fillId="0" borderId="0" xfId="0" applyNumberFormat="1" applyFont="1" applyFill="1" applyAlignment="1">
      <alignment vertical="center"/>
    </xf>
    <xf numFmtId="11" fontId="0" fillId="0" borderId="0" xfId="0" applyNumberFormat="1" applyFill="1" applyBorder="1" applyAlignment="1">
      <alignment vertical="center"/>
    </xf>
    <xf numFmtId="1" fontId="27" fillId="0" borderId="0" xfId="0" applyNumberFormat="1" applyFont="1" applyFill="1" applyAlignment="1">
      <alignment vertical="center"/>
    </xf>
    <xf numFmtId="0" fontId="5" fillId="0" borderId="0" xfId="185" applyFont="1" applyFill="1" applyAlignment="1">
      <alignment vertical="center"/>
    </xf>
    <xf numFmtId="0" fontId="5" fillId="0" borderId="0" xfId="185" applyNumberFormat="1" applyFont="1" applyAlignment="1">
      <alignment vertical="center"/>
    </xf>
    <xf numFmtId="0" fontId="5" fillId="0" borderId="0" xfId="185" applyFont="1" applyAlignment="1">
      <alignment vertical="center"/>
    </xf>
    <xf numFmtId="11" fontId="5" fillId="0" borderId="0" xfId="185" applyNumberFormat="1" applyAlignment="1">
      <alignment vertical="center"/>
    </xf>
    <xf numFmtId="0" fontId="5" fillId="0" borderId="0" xfId="185" applyAlignment="1">
      <alignment vertical="center"/>
    </xf>
    <xf numFmtId="0" fontId="5" fillId="0" borderId="0" xfId="185" applyAlignment="1">
      <alignment horizontal="center" vertical="center"/>
    </xf>
    <xf numFmtId="164" fontId="5" fillId="0" borderId="0" xfId="185" applyNumberFormat="1" applyAlignment="1">
      <alignment vertical="center"/>
    </xf>
    <xf numFmtId="165" fontId="5" fillId="0" borderId="0" xfId="185" applyNumberFormat="1" applyAlignment="1">
      <alignment vertical="center"/>
    </xf>
    <xf numFmtId="2" fontId="5" fillId="0" borderId="0" xfId="185" applyNumberFormat="1" applyAlignment="1">
      <alignment horizontal="center" vertical="center"/>
    </xf>
    <xf numFmtId="11" fontId="5" fillId="0" borderId="0" xfId="185" applyNumberFormat="1" applyAlignment="1">
      <alignment horizontal="center" vertical="center"/>
    </xf>
    <xf numFmtId="0" fontId="0" fillId="72" borderId="4" xfId="0" applyFill="1" applyBorder="1" applyAlignment="1">
      <alignment vertical="center"/>
    </xf>
    <xf numFmtId="0" fontId="0" fillId="72" borderId="5" xfId="0" applyFill="1" applyBorder="1" applyAlignment="1">
      <alignment vertical="center"/>
    </xf>
    <xf numFmtId="0" fontId="0" fillId="72" borderId="3" xfId="0" applyFill="1" applyBorder="1" applyAlignment="1">
      <alignment vertical="center"/>
    </xf>
    <xf numFmtId="0" fontId="0" fillId="72" borderId="6" xfId="0" applyFill="1" applyBorder="1" applyAlignment="1">
      <alignment vertical="center"/>
    </xf>
    <xf numFmtId="0" fontId="0" fillId="72" borderId="7" xfId="0" applyFill="1" applyBorder="1" applyAlignment="1">
      <alignment vertical="center"/>
    </xf>
    <xf numFmtId="0" fontId="0" fillId="72" borderId="8" xfId="0" applyFill="1" applyBorder="1" applyAlignment="1">
      <alignment vertical="center"/>
    </xf>
    <xf numFmtId="0" fontId="0" fillId="46" borderId="15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11" fontId="3" fillId="0" borderId="0" xfId="0" applyNumberFormat="1" applyFont="1" applyFill="1" applyBorder="1" applyAlignment="1">
      <alignment vertical="center"/>
    </xf>
    <xf numFmtId="11" fontId="0" fillId="36" borderId="0" xfId="0" applyNumberFormat="1" applyFill="1" applyAlignment="1">
      <alignment vertical="center"/>
    </xf>
    <xf numFmtId="0" fontId="0" fillId="64" borderId="2" xfId="0" applyNumberFormat="1" applyFill="1" applyBorder="1"/>
    <xf numFmtId="0" fontId="0" fillId="0" borderId="0" xfId="0" applyNumberFormat="1" applyBorder="1"/>
    <xf numFmtId="11" fontId="3" fillId="4" borderId="0" xfId="0" applyNumberFormat="1" applyFont="1" applyFill="1" applyBorder="1" applyAlignment="1">
      <alignment vertical="center"/>
    </xf>
    <xf numFmtId="11" fontId="3" fillId="78" borderId="2" xfId="0" applyNumberFormat="1" applyFont="1" applyFill="1" applyBorder="1" applyAlignment="1">
      <alignment vertical="center"/>
    </xf>
    <xf numFmtId="11" fontId="3" fillId="4" borderId="2" xfId="0" applyNumberFormat="1" applyFont="1" applyFill="1" applyBorder="1" applyAlignment="1">
      <alignment vertical="center"/>
    </xf>
    <xf numFmtId="11" fontId="27" fillId="71" borderId="0" xfId="0" applyNumberFormat="1" applyFont="1" applyFill="1" applyAlignment="1">
      <alignment horizontal="center" vertical="center"/>
    </xf>
    <xf numFmtId="0" fontId="27" fillId="71" borderId="0" xfId="0" applyNumberFormat="1" applyFont="1" applyFill="1" applyAlignment="1">
      <alignment horizontal="center" vertical="center"/>
    </xf>
    <xf numFmtId="0" fontId="27" fillId="71" borderId="0" xfId="0" applyFont="1" applyFill="1" applyAlignment="1">
      <alignment horizontal="center" vertical="center"/>
    </xf>
    <xf numFmtId="168" fontId="27" fillId="71" borderId="0" xfId="0" applyNumberFormat="1" applyFont="1" applyFill="1" applyAlignment="1">
      <alignment horizontal="center" vertical="center"/>
    </xf>
    <xf numFmtId="2" fontId="27" fillId="71" borderId="0" xfId="0" applyNumberFormat="1" applyFont="1" applyFill="1" applyAlignment="1">
      <alignment horizontal="center" vertical="center"/>
    </xf>
    <xf numFmtId="11" fontId="3" fillId="70" borderId="0" xfId="0" applyNumberFormat="1" applyFont="1" applyFill="1" applyBorder="1" applyAlignment="1">
      <alignment horizontal="center" vertical="center"/>
    </xf>
    <xf numFmtId="11" fontId="3" fillId="70" borderId="2" xfId="0" applyNumberFormat="1" applyFont="1" applyFill="1" applyBorder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1" fontId="0" fillId="36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11" fontId="0" fillId="0" borderId="0" xfId="0" applyNumberFormat="1" applyFont="1" applyAlignment="1">
      <alignment horizontal="center" vertical="center"/>
    </xf>
    <xf numFmtId="0" fontId="2" fillId="36" borderId="0" xfId="184" applyNumberForma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1" fontId="0" fillId="36" borderId="39" xfId="0" applyNumberFormat="1" applyFill="1" applyBorder="1" applyAlignment="1">
      <alignment horizontal="center" vertical="center"/>
    </xf>
    <xf numFmtId="11" fontId="0" fillId="36" borderId="13" xfId="0" applyNumberFormat="1" applyFill="1" applyBorder="1" applyAlignment="1">
      <alignment horizontal="center" vertical="center"/>
    </xf>
    <xf numFmtId="11" fontId="0" fillId="36" borderId="40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" fontId="0" fillId="36" borderId="0" xfId="0" applyNumberFormat="1" applyFill="1" applyAlignment="1">
      <alignment horizontal="center" vertical="center"/>
    </xf>
    <xf numFmtId="1" fontId="2" fillId="36" borderId="0" xfId="184" applyNumberFormat="1" applyFill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11" fontId="0" fillId="36" borderId="0" xfId="0" applyNumberFormat="1" applyFont="1" applyFill="1" applyAlignment="1">
      <alignment horizontal="center" vertical="center"/>
    </xf>
    <xf numFmtId="11" fontId="0" fillId="36" borderId="38" xfId="0" applyNumberFormat="1" applyFill="1" applyBorder="1" applyAlignment="1">
      <alignment horizontal="center" vertical="center"/>
    </xf>
    <xf numFmtId="11" fontId="0" fillId="36" borderId="13" xfId="0" applyNumberFormat="1" applyFont="1" applyFill="1" applyBorder="1" applyAlignment="1">
      <alignment horizontal="center" vertical="center"/>
    </xf>
    <xf numFmtId="11" fontId="0" fillId="36" borderId="40" xfId="0" applyNumberFormat="1" applyFont="1" applyFill="1" applyBorder="1" applyAlignment="1">
      <alignment horizontal="center" vertical="center"/>
    </xf>
    <xf numFmtId="0" fontId="2" fillId="2" borderId="0" xfId="184" applyNumberFormat="1" applyFill="1" applyAlignment="1">
      <alignment horizontal="center" vertical="center"/>
    </xf>
    <xf numFmtId="0" fontId="0" fillId="36" borderId="0" xfId="0" applyFill="1" applyAlignment="1">
      <alignment horizontal="center" vertical="center"/>
    </xf>
    <xf numFmtId="11" fontId="5" fillId="0" borderId="0" xfId="185" applyNumberFormat="1" applyFont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1" fontId="0" fillId="0" borderId="13" xfId="0" applyNumberFormat="1" applyFill="1" applyBorder="1" applyAlignment="1">
      <alignment horizontal="center" vertical="center"/>
    </xf>
    <xf numFmtId="0" fontId="0" fillId="36" borderId="0" xfId="0" applyNumberFormat="1" applyFill="1" applyAlignment="1">
      <alignment horizontal="center" vertical="center"/>
    </xf>
    <xf numFmtId="11" fontId="0" fillId="0" borderId="0" xfId="0" applyNumberFormat="1" applyFont="1" applyFill="1" applyAlignment="1">
      <alignment horizontal="center" vertical="center"/>
    </xf>
    <xf numFmtId="0" fontId="0" fillId="38" borderId="0" xfId="0" applyNumberForma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11" fontId="26" fillId="0" borderId="0" xfId="0" applyNumberFormat="1" applyFont="1" applyAlignment="1">
      <alignment horizontal="center" vertical="center"/>
    </xf>
    <xf numFmtId="11" fontId="0" fillId="37" borderId="0" xfId="0" applyNumberFormat="1" applyFont="1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11" fontId="0" fillId="37" borderId="0" xfId="0" applyNumberFormat="1" applyFill="1" applyAlignment="1">
      <alignment horizontal="center" vertical="center"/>
    </xf>
    <xf numFmtId="11" fontId="0" fillId="0" borderId="0" xfId="0" applyNumberFormat="1" applyFill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9" fontId="2" fillId="36" borderId="0" xfId="184" applyNumberFormat="1" applyFill="1" applyAlignment="1">
      <alignment horizontal="center" vertical="center"/>
    </xf>
    <xf numFmtId="168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/>
    </xf>
    <xf numFmtId="170" fontId="0" fillId="0" borderId="0" xfId="0" applyNumberFormat="1" applyFont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11" fontId="27" fillId="71" borderId="13" xfId="0" applyNumberFormat="1" applyFont="1" applyFill="1" applyBorder="1" applyAlignment="1">
      <alignment horizontal="center" vertical="center" wrapText="1"/>
    </xf>
    <xf numFmtId="11" fontId="27" fillId="71" borderId="39" xfId="0" applyNumberFormat="1" applyFont="1" applyFill="1" applyBorder="1" applyAlignment="1">
      <alignment horizontal="center" vertical="center" wrapText="1"/>
    </xf>
    <xf numFmtId="0" fontId="27" fillId="71" borderId="40" xfId="0" applyFont="1" applyFill="1" applyBorder="1" applyAlignment="1">
      <alignment horizontal="center" vertical="center"/>
    </xf>
    <xf numFmtId="0" fontId="27" fillId="71" borderId="13" xfId="0" applyNumberFormat="1" applyFont="1" applyFill="1" applyBorder="1" applyAlignment="1">
      <alignment horizontal="center" vertical="center"/>
    </xf>
    <xf numFmtId="11" fontId="27" fillId="71" borderId="13" xfId="0" applyNumberFormat="1" applyFont="1" applyFill="1" applyBorder="1" applyAlignment="1">
      <alignment horizontal="center" vertical="center"/>
    </xf>
    <xf numFmtId="11" fontId="27" fillId="71" borderId="39" xfId="0" applyNumberFormat="1" applyFont="1" applyFill="1" applyBorder="1" applyAlignment="1">
      <alignment horizontal="center" vertical="center"/>
    </xf>
    <xf numFmtId="11" fontId="3" fillId="54" borderId="2" xfId="0" applyNumberFormat="1" applyFont="1" applyFill="1" applyBorder="1" applyAlignment="1">
      <alignment horizontal="center" vertical="center"/>
    </xf>
    <xf numFmtId="11" fontId="3" fillId="3" borderId="2" xfId="0" applyNumberFormat="1" applyFont="1" applyFill="1" applyBorder="1" applyAlignment="1">
      <alignment horizontal="center" vertical="center"/>
    </xf>
    <xf numFmtId="11" fontId="3" fillId="3" borderId="0" xfId="0" applyNumberFormat="1" applyFont="1" applyFill="1" applyBorder="1" applyAlignment="1">
      <alignment horizontal="center" vertical="center"/>
    </xf>
    <xf numFmtId="11" fontId="27" fillId="71" borderId="40" xfId="0" applyNumberFormat="1" applyFont="1" applyFill="1" applyBorder="1" applyAlignment="1">
      <alignment horizontal="center" vertical="center"/>
    </xf>
    <xf numFmtId="0" fontId="3" fillId="50" borderId="3" xfId="0" applyFont="1" applyFill="1" applyBorder="1" applyAlignment="1">
      <alignment horizontal="right" vertical="center"/>
    </xf>
    <xf numFmtId="0" fontId="3" fillId="50" borderId="7" xfId="0" applyFont="1" applyFill="1" applyBorder="1" applyAlignment="1">
      <alignment horizontal="right" vertical="center"/>
    </xf>
    <xf numFmtId="0" fontId="3" fillId="52" borderId="10" xfId="0" applyFont="1" applyFill="1" applyBorder="1" applyAlignment="1">
      <alignment horizontal="right" vertical="center"/>
    </xf>
    <xf numFmtId="0" fontId="3" fillId="51" borderId="10" xfId="0" applyFont="1" applyFill="1" applyBorder="1" applyAlignment="1">
      <alignment horizontal="right" vertical="center"/>
    </xf>
    <xf numFmtId="0" fontId="0" fillId="50" borderId="45" xfId="0" applyFont="1" applyFill="1" applyBorder="1" applyAlignment="1">
      <alignment vertical="center"/>
    </xf>
    <xf numFmtId="0" fontId="0" fillId="50" borderId="15" xfId="0" applyFont="1" applyFill="1" applyBorder="1" applyAlignment="1">
      <alignment vertical="center"/>
    </xf>
    <xf numFmtId="0" fontId="0" fillId="52" borderId="46" xfId="0" applyFont="1" applyFill="1" applyBorder="1" applyAlignment="1">
      <alignment vertical="center"/>
    </xf>
    <xf numFmtId="0" fontId="0" fillId="52" borderId="15" xfId="0" applyFont="1" applyFill="1" applyBorder="1" applyAlignment="1">
      <alignment vertical="center"/>
    </xf>
    <xf numFmtId="0" fontId="0" fillId="51" borderId="46" xfId="0" applyFont="1" applyFill="1" applyBorder="1" applyAlignment="1">
      <alignment vertical="center"/>
    </xf>
    <xf numFmtId="0" fontId="0" fillId="51" borderId="15" xfId="0" applyFont="1" applyFill="1" applyBorder="1" applyAlignment="1">
      <alignment vertical="center"/>
    </xf>
    <xf numFmtId="0" fontId="0" fillId="51" borderId="47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0" fontId="3" fillId="3" borderId="10" xfId="0" applyFont="1" applyFill="1" applyBorder="1" applyAlignment="1">
      <alignment horizontal="right" vertical="center"/>
    </xf>
    <xf numFmtId="0" fontId="3" fillId="3" borderId="11" xfId="0" applyFont="1" applyFill="1" applyBorder="1" applyAlignment="1">
      <alignment horizontal="right" vertical="center"/>
    </xf>
    <xf numFmtId="0" fontId="0" fillId="3" borderId="45" xfId="0" applyFont="1" applyFill="1" applyBorder="1" applyAlignment="1">
      <alignment vertical="center"/>
    </xf>
    <xf numFmtId="0" fontId="0" fillId="3" borderId="15" xfId="0" applyFont="1" applyFill="1" applyBorder="1" applyAlignment="1">
      <alignment vertical="center"/>
    </xf>
    <xf numFmtId="0" fontId="0" fillId="3" borderId="46" xfId="0" applyFont="1" applyFill="1" applyBorder="1" applyAlignment="1">
      <alignment vertical="center"/>
    </xf>
    <xf numFmtId="0" fontId="0" fillId="3" borderId="47" xfId="0" applyFont="1" applyFill="1" applyBorder="1" applyAlignment="1">
      <alignment vertical="center"/>
    </xf>
    <xf numFmtId="0" fontId="3" fillId="47" borderId="50" xfId="0" applyFont="1" applyFill="1" applyBorder="1" applyAlignment="1">
      <alignment horizontal="center" vertical="center"/>
    </xf>
    <xf numFmtId="0" fontId="3" fillId="47" borderId="1" xfId="0" applyFont="1" applyFill="1" applyBorder="1" applyAlignment="1">
      <alignment horizontal="center" vertical="center"/>
    </xf>
    <xf numFmtId="0" fontId="3" fillId="47" borderId="12" xfId="0" applyFont="1" applyFill="1" applyBorder="1" applyAlignment="1">
      <alignment horizontal="center" vertical="center"/>
    </xf>
    <xf numFmtId="0" fontId="3" fillId="47" borderId="58" xfId="0" applyFont="1" applyFill="1" applyBorder="1" applyAlignment="1">
      <alignment horizontal="center" vertical="center"/>
    </xf>
    <xf numFmtId="0" fontId="3" fillId="46" borderId="3" xfId="0" applyFont="1" applyFill="1" applyBorder="1" applyAlignment="1">
      <alignment horizontal="right" vertical="center"/>
    </xf>
    <xf numFmtId="0" fontId="3" fillId="46" borderId="7" xfId="0" applyFont="1" applyFill="1" applyBorder="1" applyAlignment="1">
      <alignment horizontal="right" vertical="center"/>
    </xf>
    <xf numFmtId="0" fontId="0" fillId="46" borderId="45" xfId="0" applyFont="1" applyFill="1" applyBorder="1" applyAlignment="1">
      <alignment vertical="center"/>
    </xf>
    <xf numFmtId="0" fontId="3" fillId="46" borderId="15" xfId="0" applyFont="1" applyFill="1" applyBorder="1" applyAlignment="1">
      <alignment vertical="center"/>
    </xf>
    <xf numFmtId="0" fontId="3" fillId="55" borderId="10" xfId="0" applyFont="1" applyFill="1" applyBorder="1" applyAlignment="1">
      <alignment horizontal="right" vertical="center"/>
    </xf>
    <xf numFmtId="0" fontId="3" fillId="55" borderId="11" xfId="0" applyFont="1" applyFill="1" applyBorder="1" applyAlignment="1">
      <alignment horizontal="right" vertical="center"/>
    </xf>
    <xf numFmtId="0" fontId="0" fillId="55" borderId="46" xfId="0" applyFont="1" applyFill="1" applyBorder="1" applyAlignment="1">
      <alignment vertical="center"/>
    </xf>
    <xf numFmtId="0" fontId="0" fillId="55" borderId="15" xfId="0" applyFont="1" applyFill="1" applyBorder="1" applyAlignment="1">
      <alignment vertical="center"/>
    </xf>
    <xf numFmtId="0" fontId="3" fillId="4" borderId="6" xfId="0" applyFont="1" applyFill="1" applyBorder="1" applyAlignment="1">
      <alignment vertical="center"/>
    </xf>
    <xf numFmtId="0" fontId="3" fillId="4" borderId="8" xfId="0" applyFont="1" applyFill="1" applyBorder="1" applyAlignment="1">
      <alignment vertical="center"/>
    </xf>
    <xf numFmtId="11" fontId="3" fillId="4" borderId="0" xfId="0" applyNumberFormat="1" applyFont="1" applyFill="1" applyBorder="1" applyAlignment="1">
      <alignment horizontal="center" vertical="center"/>
    </xf>
    <xf numFmtId="11" fontId="3" fillId="4" borderId="2" xfId="0" applyNumberFormat="1" applyFont="1" applyFill="1" applyBorder="1" applyAlignment="1">
      <alignment horizontal="center" vertical="center"/>
    </xf>
    <xf numFmtId="11" fontId="3" fillId="78" borderId="2" xfId="0" applyNumberFormat="1" applyFont="1" applyFill="1" applyBorder="1" applyAlignment="1">
      <alignment horizontal="center" vertical="center"/>
    </xf>
    <xf numFmtId="11" fontId="0" fillId="0" borderId="0" xfId="0" applyNumberFormat="1" applyFont="1" applyAlignment="1">
      <alignment horizontal="center"/>
    </xf>
    <xf numFmtId="166" fontId="27" fillId="71" borderId="4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1" fontId="0" fillId="72" borderId="1" xfId="0" applyNumberFormat="1" applyFill="1" applyBorder="1" applyAlignment="1">
      <alignment horizontal="center" vertical="center"/>
    </xf>
    <xf numFmtId="11" fontId="0" fillId="72" borderId="0" xfId="0" applyNumberFormat="1" applyFill="1" applyBorder="1" applyAlignment="1">
      <alignment horizontal="center" vertical="center"/>
    </xf>
    <xf numFmtId="11" fontId="0" fillId="72" borderId="2" xfId="0" applyNumberFormat="1" applyFill="1" applyBorder="1" applyAlignment="1">
      <alignment horizontal="center" vertical="center"/>
    </xf>
    <xf numFmtId="0" fontId="0" fillId="72" borderId="5" xfId="0" applyFill="1" applyBorder="1" applyAlignment="1">
      <alignment horizontal="center" vertical="center"/>
    </xf>
    <xf numFmtId="0" fontId="0" fillId="72" borderId="6" xfId="0" applyFill="1" applyBorder="1" applyAlignment="1">
      <alignment horizontal="center" vertical="center"/>
    </xf>
    <xf numFmtId="0" fontId="0" fillId="72" borderId="8" xfId="0" applyFill="1" applyBorder="1" applyAlignment="1">
      <alignment horizontal="center" vertical="center"/>
    </xf>
    <xf numFmtId="0" fontId="27" fillId="71" borderId="38" xfId="0" applyFont="1" applyFill="1" applyBorder="1" applyAlignment="1">
      <alignment horizontal="center" vertical="center"/>
    </xf>
    <xf numFmtId="0" fontId="27" fillId="71" borderId="38" xfId="0" applyNumberFormat="1" applyFont="1" applyFill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171" fontId="0" fillId="0" borderId="0" xfId="0" applyNumberFormat="1" applyAlignment="1">
      <alignment vertical="center"/>
    </xf>
    <xf numFmtId="0" fontId="32" fillId="0" borderId="0" xfId="0" applyFont="1" applyFill="1" applyAlignment="1">
      <alignment vertical="center"/>
    </xf>
    <xf numFmtId="167" fontId="0" fillId="36" borderId="0" xfId="0" applyNumberFormat="1" applyFill="1" applyAlignment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171" fontId="0" fillId="0" borderId="0" xfId="0" applyNumberFormat="1" applyAlignment="1">
      <alignment horizontal="center" vertical="center"/>
    </xf>
    <xf numFmtId="0" fontId="29" fillId="0" borderId="0" xfId="0" applyFont="1" applyAlignment="1">
      <alignment horizontal="center"/>
    </xf>
    <xf numFmtId="0" fontId="3" fillId="0" borderId="25" xfId="0" applyFont="1" applyBorder="1" applyAlignment="1"/>
    <xf numFmtId="0" fontId="3" fillId="0" borderId="26" xfId="0" applyFont="1" applyBorder="1" applyAlignment="1"/>
    <xf numFmtId="0" fontId="3" fillId="0" borderId="27" xfId="0" applyFont="1" applyBorder="1" applyAlignment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3" fillId="46" borderId="15" xfId="0" applyFont="1" applyFill="1" applyBorder="1" applyAlignment="1">
      <alignment horizontal="left" vertical="center"/>
    </xf>
    <xf numFmtId="0" fontId="3" fillId="46" borderId="0" xfId="0" applyFont="1" applyFill="1" applyBorder="1" applyAlignment="1">
      <alignment horizontal="left" vertical="center"/>
    </xf>
    <xf numFmtId="0" fontId="3" fillId="46" borderId="2" xfId="0" applyFont="1" applyFill="1" applyBorder="1" applyAlignment="1">
      <alignment horizontal="left" vertical="center"/>
    </xf>
    <xf numFmtId="0" fontId="3" fillId="46" borderId="46" xfId="0" applyFont="1" applyFill="1" applyBorder="1" applyAlignment="1">
      <alignment horizontal="right" vertical="center"/>
    </xf>
    <xf numFmtId="0" fontId="3" fillId="46" borderId="10" xfId="0" applyFont="1" applyFill="1" applyBorder="1" applyAlignment="1">
      <alignment horizontal="right" vertical="center"/>
    </xf>
    <xf numFmtId="0" fontId="3" fillId="46" borderId="11" xfId="0" applyFont="1" applyFill="1" applyBorder="1" applyAlignment="1">
      <alignment horizontal="right" vertical="center"/>
    </xf>
    <xf numFmtId="11" fontId="3" fillId="46" borderId="15" xfId="0" applyNumberFormat="1" applyFont="1" applyFill="1" applyBorder="1" applyAlignment="1">
      <alignment horizontal="center" vertical="center"/>
    </xf>
    <xf numFmtId="11" fontId="3" fillId="46" borderId="0" xfId="0" applyNumberFormat="1" applyFont="1" applyFill="1" applyBorder="1" applyAlignment="1">
      <alignment horizontal="center" vertical="center"/>
    </xf>
    <xf numFmtId="11" fontId="3" fillId="46" borderId="2" xfId="0" applyNumberFormat="1" applyFont="1" applyFill="1" applyBorder="1" applyAlignment="1">
      <alignment horizontal="center" vertical="center"/>
    </xf>
    <xf numFmtId="0" fontId="3" fillId="46" borderId="47" xfId="0" applyFont="1" applyFill="1" applyBorder="1" applyAlignment="1">
      <alignment horizontal="left" vertical="center"/>
    </xf>
    <xf numFmtId="0" fontId="3" fillId="46" borderId="6" xfId="0" applyFont="1" applyFill="1" applyBorder="1" applyAlignment="1">
      <alignment horizontal="left" vertical="center"/>
    </xf>
    <xf numFmtId="0" fontId="3" fillId="46" borderId="8" xfId="0" applyFont="1" applyFill="1" applyBorder="1" applyAlignment="1">
      <alignment horizontal="left" vertical="center"/>
    </xf>
    <xf numFmtId="0" fontId="3" fillId="46" borderId="45" xfId="0" applyFont="1" applyFill="1" applyBorder="1" applyAlignment="1">
      <alignment horizontal="right" vertical="center"/>
    </xf>
    <xf numFmtId="0" fontId="3" fillId="46" borderId="3" xfId="0" applyFont="1" applyFill="1" applyBorder="1" applyAlignment="1">
      <alignment horizontal="right" vertical="center"/>
    </xf>
    <xf numFmtId="0" fontId="3" fillId="46" borderId="7" xfId="0" applyFont="1" applyFill="1" applyBorder="1" applyAlignment="1">
      <alignment horizontal="right" vertical="center"/>
    </xf>
    <xf numFmtId="0" fontId="31" fillId="84" borderId="1" xfId="0" applyFont="1" applyFill="1" applyBorder="1" applyAlignment="1">
      <alignment horizontal="center" vertical="center"/>
    </xf>
    <xf numFmtId="0" fontId="31" fillId="84" borderId="9" xfId="0" applyFont="1" applyFill="1" applyBorder="1" applyAlignment="1">
      <alignment horizontal="center" vertical="center"/>
    </xf>
    <xf numFmtId="0" fontId="31" fillId="84" borderId="44" xfId="0" applyFont="1" applyFill="1" applyBorder="1" applyAlignment="1">
      <alignment horizontal="center" vertical="center"/>
    </xf>
    <xf numFmtId="0" fontId="31" fillId="84" borderId="5" xfId="0" applyFont="1" applyFill="1" applyBorder="1" applyAlignment="1">
      <alignment horizontal="center" vertical="center"/>
    </xf>
    <xf numFmtId="0" fontId="31" fillId="84" borderId="4" xfId="0" applyFont="1" applyFill="1" applyBorder="1" applyAlignment="1">
      <alignment horizontal="center" vertical="center"/>
    </xf>
    <xf numFmtId="0" fontId="3" fillId="46" borderId="15" xfId="0" applyFont="1" applyFill="1" applyBorder="1" applyAlignment="1">
      <alignment horizontal="right" vertical="center"/>
    </xf>
    <xf numFmtId="0" fontId="3" fillId="46" borderId="0" xfId="0" applyFont="1" applyFill="1" applyBorder="1" applyAlignment="1">
      <alignment horizontal="right" vertical="center"/>
    </xf>
    <xf numFmtId="0" fontId="3" fillId="46" borderId="2" xfId="0" applyFont="1" applyFill="1" applyBorder="1" applyAlignment="1">
      <alignment horizontal="right" vertical="center"/>
    </xf>
    <xf numFmtId="0" fontId="3" fillId="46" borderId="49" xfId="0" applyFont="1" applyFill="1" applyBorder="1" applyAlignment="1">
      <alignment horizontal="left" vertical="center"/>
    </xf>
    <xf numFmtId="0" fontId="3" fillId="46" borderId="43" xfId="0" applyFont="1" applyFill="1" applyBorder="1" applyAlignment="1">
      <alignment horizontal="left" vertical="center"/>
    </xf>
    <xf numFmtId="0" fontId="3" fillId="46" borderId="48" xfId="0" applyFont="1" applyFill="1" applyBorder="1" applyAlignment="1">
      <alignment horizontal="left" vertical="center"/>
    </xf>
    <xf numFmtId="0" fontId="3" fillId="48" borderId="47" xfId="0" applyFont="1" applyFill="1" applyBorder="1" applyAlignment="1">
      <alignment horizontal="left" vertical="center"/>
    </xf>
    <xf numFmtId="0" fontId="3" fillId="48" borderId="6" xfId="0" applyFont="1" applyFill="1" applyBorder="1" applyAlignment="1">
      <alignment horizontal="left" vertical="center"/>
    </xf>
    <xf numFmtId="0" fontId="3" fillId="48" borderId="8" xfId="0" applyFont="1" applyFill="1" applyBorder="1" applyAlignment="1">
      <alignment horizontal="left" vertical="center"/>
    </xf>
    <xf numFmtId="11" fontId="3" fillId="49" borderId="15" xfId="0" applyNumberFormat="1" applyFont="1" applyFill="1" applyBorder="1" applyAlignment="1">
      <alignment horizontal="center" vertical="center"/>
    </xf>
    <xf numFmtId="11" fontId="3" fillId="49" borderId="0" xfId="0" applyNumberFormat="1" applyFont="1" applyFill="1" applyBorder="1" applyAlignment="1">
      <alignment horizontal="center" vertical="center"/>
    </xf>
    <xf numFmtId="11" fontId="3" fillId="49" borderId="2" xfId="0" applyNumberFormat="1" applyFont="1" applyFill="1" applyBorder="1" applyAlignment="1">
      <alignment horizontal="center" vertical="center"/>
    </xf>
    <xf numFmtId="0" fontId="3" fillId="48" borderId="46" xfId="0" applyFont="1" applyFill="1" applyBorder="1" applyAlignment="1">
      <alignment horizontal="right" vertical="center"/>
    </xf>
    <xf numFmtId="0" fontId="3" fillId="48" borderId="10" xfId="0" applyFont="1" applyFill="1" applyBorder="1" applyAlignment="1">
      <alignment horizontal="right" vertical="center"/>
    </xf>
    <xf numFmtId="0" fontId="3" fillId="48" borderId="11" xfId="0" applyFont="1" applyFill="1" applyBorder="1" applyAlignment="1">
      <alignment horizontal="right" vertical="center"/>
    </xf>
    <xf numFmtId="0" fontId="3" fillId="48" borderId="49" xfId="0" applyFont="1" applyFill="1" applyBorder="1" applyAlignment="1">
      <alignment horizontal="left" vertical="center"/>
    </xf>
    <xf numFmtId="0" fontId="3" fillId="48" borderId="43" xfId="0" applyFont="1" applyFill="1" applyBorder="1" applyAlignment="1">
      <alignment horizontal="left" vertical="center"/>
    </xf>
    <xf numFmtId="0" fontId="3" fillId="48" borderId="48" xfId="0" applyFont="1" applyFill="1" applyBorder="1" applyAlignment="1">
      <alignment horizontal="left" vertical="center"/>
    </xf>
    <xf numFmtId="0" fontId="31" fillId="48" borderId="9" xfId="0" applyFont="1" applyFill="1" applyBorder="1" applyAlignment="1">
      <alignment horizontal="center" vertical="center"/>
    </xf>
    <xf numFmtId="0" fontId="31" fillId="48" borderId="1" xfId="0" applyFont="1" applyFill="1" applyBorder="1" applyAlignment="1">
      <alignment horizontal="center" vertical="center"/>
    </xf>
    <xf numFmtId="0" fontId="31" fillId="48" borderId="5" xfId="0" applyFont="1" applyFill="1" applyBorder="1" applyAlignment="1">
      <alignment horizontal="center" vertical="center"/>
    </xf>
    <xf numFmtId="0" fontId="31" fillId="48" borderId="4" xfId="0" applyFont="1" applyFill="1" applyBorder="1" applyAlignment="1">
      <alignment horizontal="center" vertical="center"/>
    </xf>
    <xf numFmtId="0" fontId="31" fillId="48" borderId="44" xfId="0" applyFont="1" applyFill="1" applyBorder="1" applyAlignment="1">
      <alignment horizontal="center" vertical="center"/>
    </xf>
    <xf numFmtId="0" fontId="31" fillId="85" borderId="9" xfId="0" applyFont="1" applyFill="1" applyBorder="1" applyAlignment="1">
      <alignment horizontal="center" vertical="center"/>
    </xf>
    <xf numFmtId="0" fontId="31" fillId="85" borderId="1" xfId="0" applyFont="1" applyFill="1" applyBorder="1" applyAlignment="1">
      <alignment horizontal="center" vertical="center"/>
    </xf>
    <xf numFmtId="0" fontId="31" fillId="85" borderId="44" xfId="0" applyFont="1" applyFill="1" applyBorder="1" applyAlignment="1">
      <alignment horizontal="center" vertical="center"/>
    </xf>
    <xf numFmtId="0" fontId="31" fillId="86" borderId="9" xfId="0" applyFont="1" applyFill="1" applyBorder="1" applyAlignment="1">
      <alignment horizontal="center" vertical="center"/>
    </xf>
    <xf numFmtId="0" fontId="31" fillId="86" borderId="1" xfId="0" applyFont="1" applyFill="1" applyBorder="1" applyAlignment="1">
      <alignment horizontal="center" vertical="center"/>
    </xf>
    <xf numFmtId="11" fontId="3" fillId="48" borderId="15" xfId="0" applyNumberFormat="1" applyFont="1" applyFill="1" applyBorder="1" applyAlignment="1">
      <alignment horizontal="center" vertical="center"/>
    </xf>
    <xf numFmtId="11" fontId="3" fillId="48" borderId="0" xfId="0" applyNumberFormat="1" applyFont="1" applyFill="1" applyBorder="1" applyAlignment="1">
      <alignment horizontal="center" vertical="center"/>
    </xf>
    <xf numFmtId="11" fontId="3" fillId="48" borderId="2" xfId="0" applyNumberFormat="1" applyFont="1" applyFill="1" applyBorder="1" applyAlignment="1">
      <alignment horizontal="center" vertical="center"/>
    </xf>
    <xf numFmtId="0" fontId="3" fillId="48" borderId="45" xfId="0" applyFont="1" applyFill="1" applyBorder="1" applyAlignment="1">
      <alignment horizontal="right" vertical="center"/>
    </xf>
    <xf numFmtId="0" fontId="3" fillId="48" borderId="3" xfId="0" applyFont="1" applyFill="1" applyBorder="1" applyAlignment="1">
      <alignment horizontal="right" vertical="center"/>
    </xf>
    <xf numFmtId="0" fontId="3" fillId="48" borderId="7" xfId="0" applyFont="1" applyFill="1" applyBorder="1" applyAlignment="1">
      <alignment horizontal="right" vertical="center"/>
    </xf>
    <xf numFmtId="0" fontId="31" fillId="47" borderId="4" xfId="0" applyFont="1" applyFill="1" applyBorder="1" applyAlignment="1">
      <alignment horizontal="center" vertical="center" wrapText="1"/>
    </xf>
    <xf numFmtId="0" fontId="31" fillId="47" borderId="3" xfId="0" applyFont="1" applyFill="1" applyBorder="1" applyAlignment="1">
      <alignment horizontal="center" vertical="center" wrapText="1"/>
    </xf>
    <xf numFmtId="0" fontId="31" fillId="47" borderId="7" xfId="0" applyFont="1" applyFill="1" applyBorder="1" applyAlignment="1">
      <alignment horizontal="center" vertical="center" wrapText="1"/>
    </xf>
    <xf numFmtId="11" fontId="3" fillId="47" borderId="53" xfId="0" applyNumberFormat="1" applyFont="1" applyFill="1" applyBorder="1" applyAlignment="1">
      <alignment horizontal="center" vertical="center"/>
    </xf>
    <xf numFmtId="11" fontId="3" fillId="47" borderId="51" xfId="0" applyNumberFormat="1" applyFont="1" applyFill="1" applyBorder="1" applyAlignment="1">
      <alignment horizontal="center" vertical="center"/>
    </xf>
    <xf numFmtId="11" fontId="3" fillId="47" borderId="52" xfId="0" applyNumberFormat="1" applyFont="1" applyFill="1" applyBorder="1" applyAlignment="1">
      <alignment horizontal="center" vertical="center"/>
    </xf>
    <xf numFmtId="11" fontId="3" fillId="47" borderId="54" xfId="0" applyNumberFormat="1" applyFont="1" applyFill="1" applyBorder="1" applyAlignment="1">
      <alignment horizontal="center" vertical="center"/>
    </xf>
    <xf numFmtId="11" fontId="3" fillId="47" borderId="13" xfId="0" applyNumberFormat="1" applyFont="1" applyFill="1" applyBorder="1" applyAlignment="1">
      <alignment horizontal="center" vertical="center"/>
    </xf>
    <xf numFmtId="11" fontId="3" fillId="47" borderId="14" xfId="0" applyNumberFormat="1" applyFont="1" applyFill="1" applyBorder="1" applyAlignment="1">
      <alignment horizontal="center" vertical="center"/>
    </xf>
    <xf numFmtId="0" fontId="3" fillId="47" borderId="6" xfId="0" applyFont="1" applyFill="1" applyBorder="1" applyAlignment="1">
      <alignment horizontal="left" vertical="center"/>
    </xf>
    <xf numFmtId="0" fontId="3" fillId="47" borderId="8" xfId="0" applyFont="1" applyFill="1" applyBorder="1" applyAlignment="1">
      <alignment horizontal="left" vertical="center"/>
    </xf>
    <xf numFmtId="11" fontId="3" fillId="47" borderId="55" xfId="0" applyNumberFormat="1" applyFont="1" applyFill="1" applyBorder="1" applyAlignment="1">
      <alignment horizontal="center" vertical="center"/>
    </xf>
    <xf numFmtId="11" fontId="3" fillId="47" borderId="56" xfId="0" applyNumberFormat="1" applyFont="1" applyFill="1" applyBorder="1" applyAlignment="1">
      <alignment horizontal="center" vertical="center"/>
    </xf>
    <xf numFmtId="11" fontId="3" fillId="47" borderId="57" xfId="0" applyNumberFormat="1" applyFont="1" applyFill="1" applyBorder="1" applyAlignment="1">
      <alignment horizontal="center" vertical="center"/>
    </xf>
    <xf numFmtId="0" fontId="3" fillId="51" borderId="45" xfId="0" applyFont="1" applyFill="1" applyBorder="1" applyAlignment="1">
      <alignment horizontal="right" vertical="center"/>
    </xf>
    <xf numFmtId="0" fontId="3" fillId="51" borderId="7" xfId="0" applyFont="1" applyFill="1" applyBorder="1" applyAlignment="1">
      <alignment horizontal="right" vertical="center"/>
    </xf>
    <xf numFmtId="0" fontId="31" fillId="50" borderId="4" xfId="0" applyFont="1" applyFill="1" applyBorder="1" applyAlignment="1">
      <alignment horizontal="center" vertical="center"/>
    </xf>
    <xf numFmtId="0" fontId="31" fillId="50" borderId="1" xfId="0" applyFont="1" applyFill="1" applyBorder="1" applyAlignment="1">
      <alignment horizontal="center" vertical="center"/>
    </xf>
    <xf numFmtId="0" fontId="31" fillId="50" borderId="9" xfId="0" applyFont="1" applyFill="1" applyBorder="1" applyAlignment="1">
      <alignment horizontal="center" vertical="center"/>
    </xf>
    <xf numFmtId="0" fontId="31" fillId="50" borderId="44" xfId="0" applyFont="1" applyFill="1" applyBorder="1" applyAlignment="1">
      <alignment horizontal="center" vertical="center"/>
    </xf>
    <xf numFmtId="0" fontId="31" fillId="50" borderId="5" xfId="0" applyFont="1" applyFill="1" applyBorder="1" applyAlignment="1">
      <alignment horizontal="center" vertical="center"/>
    </xf>
    <xf numFmtId="0" fontId="3" fillId="53" borderId="45" xfId="0" applyFont="1" applyFill="1" applyBorder="1" applyAlignment="1">
      <alignment horizontal="right" vertical="center"/>
    </xf>
    <xf numFmtId="0" fontId="3" fillId="53" borderId="3" xfId="0" applyFont="1" applyFill="1" applyBorder="1" applyAlignment="1">
      <alignment horizontal="right" vertical="center"/>
    </xf>
    <xf numFmtId="0" fontId="3" fillId="53" borderId="7" xfId="0" applyFont="1" applyFill="1" applyBorder="1" applyAlignment="1">
      <alignment horizontal="right" vertical="center"/>
    </xf>
    <xf numFmtId="11" fontId="3" fillId="53" borderId="15" xfId="0" applyNumberFormat="1" applyFont="1" applyFill="1" applyBorder="1" applyAlignment="1">
      <alignment horizontal="center" vertical="center"/>
    </xf>
    <xf numFmtId="11" fontId="3" fillId="53" borderId="0" xfId="0" applyNumberFormat="1" applyFont="1" applyFill="1" applyBorder="1" applyAlignment="1">
      <alignment horizontal="center" vertical="center"/>
    </xf>
    <xf numFmtId="11" fontId="3" fillId="53" borderId="2" xfId="0" applyNumberFormat="1" applyFont="1" applyFill="1" applyBorder="1" applyAlignment="1">
      <alignment horizontal="center" vertical="center"/>
    </xf>
    <xf numFmtId="0" fontId="3" fillId="53" borderId="49" xfId="0" applyFont="1" applyFill="1" applyBorder="1" applyAlignment="1">
      <alignment horizontal="left" vertical="center"/>
    </xf>
    <xf numFmtId="0" fontId="3" fillId="53" borderId="43" xfId="0" applyFont="1" applyFill="1" applyBorder="1" applyAlignment="1">
      <alignment horizontal="left" vertical="center"/>
    </xf>
    <xf numFmtId="0" fontId="3" fillId="53" borderId="48" xfId="0" applyFont="1" applyFill="1" applyBorder="1" applyAlignment="1">
      <alignment horizontal="left" vertical="center"/>
    </xf>
    <xf numFmtId="0" fontId="3" fillId="53" borderId="46" xfId="0" applyFont="1" applyFill="1" applyBorder="1" applyAlignment="1">
      <alignment horizontal="right" vertical="center"/>
    </xf>
    <xf numFmtId="0" fontId="3" fillId="53" borderId="10" xfId="0" applyFont="1" applyFill="1" applyBorder="1" applyAlignment="1">
      <alignment horizontal="right" vertical="center"/>
    </xf>
    <xf numFmtId="0" fontId="3" fillId="53" borderId="11" xfId="0" applyFont="1" applyFill="1" applyBorder="1" applyAlignment="1">
      <alignment horizontal="right" vertical="center"/>
    </xf>
    <xf numFmtId="0" fontId="3" fillId="53" borderId="47" xfId="0" applyFont="1" applyFill="1" applyBorder="1" applyAlignment="1">
      <alignment horizontal="left" vertical="center"/>
    </xf>
    <xf numFmtId="0" fontId="3" fillId="53" borderId="6" xfId="0" applyFont="1" applyFill="1" applyBorder="1" applyAlignment="1">
      <alignment horizontal="left" vertical="center"/>
    </xf>
    <xf numFmtId="0" fontId="3" fillId="53" borderId="8" xfId="0" applyFont="1" applyFill="1" applyBorder="1" applyAlignment="1">
      <alignment horizontal="left" vertical="center"/>
    </xf>
    <xf numFmtId="0" fontId="3" fillId="51" borderId="47" xfId="0" applyFont="1" applyFill="1" applyBorder="1" applyAlignment="1">
      <alignment horizontal="left" vertical="center"/>
    </xf>
    <xf numFmtId="0" fontId="3" fillId="51" borderId="8" xfId="0" applyFont="1" applyFill="1" applyBorder="1" applyAlignment="1">
      <alignment horizontal="left" vertical="center"/>
    </xf>
    <xf numFmtId="11" fontId="3" fillId="51" borderId="15" xfId="0" applyNumberFormat="1" applyFont="1" applyFill="1" applyBorder="1" applyAlignment="1">
      <alignment horizontal="center" vertical="center"/>
    </xf>
    <xf numFmtId="11" fontId="3" fillId="51" borderId="2" xfId="0" applyNumberFormat="1" applyFont="1" applyFill="1" applyBorder="1" applyAlignment="1">
      <alignment horizontal="center" vertical="center"/>
    </xf>
    <xf numFmtId="0" fontId="30" fillId="79" borderId="25" xfId="401" applyFont="1" applyFill="1" applyBorder="1" applyAlignment="1">
      <alignment horizontal="center" vertical="center"/>
    </xf>
    <xf numFmtId="0" fontId="30" fillId="79" borderId="26" xfId="401" applyFont="1" applyFill="1" applyBorder="1" applyAlignment="1">
      <alignment horizontal="center" vertical="center"/>
    </xf>
    <xf numFmtId="0" fontId="30" fillId="79" borderId="27" xfId="401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31" fillId="51" borderId="4" xfId="0" applyFont="1" applyFill="1" applyBorder="1" applyAlignment="1">
      <alignment horizontal="center" vertical="center"/>
    </xf>
    <xf numFmtId="0" fontId="31" fillId="51" borderId="1" xfId="0" applyFont="1" applyFill="1" applyBorder="1" applyAlignment="1">
      <alignment horizontal="center" vertical="center"/>
    </xf>
    <xf numFmtId="0" fontId="31" fillId="51" borderId="5" xfId="0" applyFont="1" applyFill="1" applyBorder="1" applyAlignment="1">
      <alignment horizontal="center" vertical="center"/>
    </xf>
    <xf numFmtId="0" fontId="31" fillId="51" borderId="9" xfId="0" applyFont="1" applyFill="1" applyBorder="1" applyAlignment="1">
      <alignment horizontal="center" vertical="center"/>
    </xf>
    <xf numFmtId="0" fontId="31" fillId="52" borderId="9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44" xfId="0" applyFont="1" applyFill="1" applyBorder="1" applyAlignment="1">
      <alignment horizontal="center" vertical="center"/>
    </xf>
    <xf numFmtId="11" fontId="3" fillId="70" borderId="15" xfId="0" applyNumberFormat="1" applyFont="1" applyFill="1" applyBorder="1" applyAlignment="1">
      <alignment horizontal="center" vertical="center"/>
    </xf>
    <xf numFmtId="11" fontId="3" fillId="70" borderId="0" xfId="0" applyNumberFormat="1" applyFont="1" applyFill="1" applyBorder="1" applyAlignment="1">
      <alignment horizontal="center" vertical="center"/>
    </xf>
    <xf numFmtId="11" fontId="3" fillId="70" borderId="2" xfId="0" applyNumberFormat="1" applyFont="1" applyFill="1" applyBorder="1" applyAlignment="1">
      <alignment horizontal="center" vertical="center"/>
    </xf>
    <xf numFmtId="0" fontId="3" fillId="52" borderId="46" xfId="0" applyFont="1" applyFill="1" applyBorder="1" applyAlignment="1">
      <alignment horizontal="right" vertical="center"/>
    </xf>
    <xf numFmtId="0" fontId="3" fillId="52" borderId="10" xfId="0" applyFont="1" applyFill="1" applyBorder="1" applyAlignment="1">
      <alignment horizontal="right" vertical="center"/>
    </xf>
    <xf numFmtId="0" fontId="3" fillId="52" borderId="11" xfId="0" applyFont="1" applyFill="1" applyBorder="1" applyAlignment="1">
      <alignment horizontal="right" vertical="center"/>
    </xf>
    <xf numFmtId="0" fontId="31" fillId="3" borderId="4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0" fontId="31" fillId="3" borderId="9" xfId="0" applyFont="1" applyFill="1" applyBorder="1" applyAlignment="1">
      <alignment horizontal="center" vertical="center"/>
    </xf>
    <xf numFmtId="0" fontId="31" fillId="3" borderId="5" xfId="0" applyFont="1" applyFill="1" applyBorder="1" applyAlignment="1">
      <alignment horizontal="center" vertical="center"/>
    </xf>
    <xf numFmtId="0" fontId="3" fillId="76" borderId="33" xfId="0" applyFont="1" applyFill="1" applyBorder="1" applyAlignment="1">
      <alignment horizontal="center" vertical="center"/>
    </xf>
    <xf numFmtId="0" fontId="3" fillId="77" borderId="33" xfId="0" applyFont="1" applyFill="1" applyBorder="1" applyAlignment="1">
      <alignment horizontal="center" vertical="center"/>
    </xf>
    <xf numFmtId="0" fontId="28" fillId="71" borderId="4" xfId="0" applyFont="1" applyFill="1" applyBorder="1" applyAlignment="1">
      <alignment horizontal="center" vertical="center" wrapText="1"/>
    </xf>
    <xf numFmtId="0" fontId="28" fillId="71" borderId="1" xfId="0" applyFont="1" applyFill="1" applyBorder="1" applyAlignment="1">
      <alignment horizontal="center" vertical="center" wrapText="1"/>
    </xf>
    <xf numFmtId="0" fontId="28" fillId="71" borderId="5" xfId="0" applyFont="1" applyFill="1" applyBorder="1" applyAlignment="1">
      <alignment horizontal="center" vertical="center" wrapText="1"/>
    </xf>
    <xf numFmtId="0" fontId="28" fillId="71" borderId="3" xfId="0" applyFont="1" applyFill="1" applyBorder="1" applyAlignment="1">
      <alignment horizontal="center" vertical="center" wrapText="1"/>
    </xf>
    <xf numFmtId="0" fontId="28" fillId="71" borderId="0" xfId="0" applyFont="1" applyFill="1" applyBorder="1" applyAlignment="1">
      <alignment horizontal="center" vertical="center" wrapText="1"/>
    </xf>
    <xf numFmtId="0" fontId="28" fillId="71" borderId="6" xfId="0" applyFont="1" applyFill="1" applyBorder="1" applyAlignment="1">
      <alignment horizontal="center" vertical="center" wrapText="1"/>
    </xf>
    <xf numFmtId="0" fontId="28" fillId="71" borderId="7" xfId="0" applyFont="1" applyFill="1" applyBorder="1" applyAlignment="1">
      <alignment horizontal="center" vertical="center" wrapText="1"/>
    </xf>
    <xf numFmtId="0" fontId="28" fillId="71" borderId="2" xfId="0" applyFont="1" applyFill="1" applyBorder="1" applyAlignment="1">
      <alignment horizontal="center" vertical="center" wrapText="1"/>
    </xf>
    <xf numFmtId="0" fontId="28" fillId="71" borderId="8" xfId="0" applyFont="1" applyFill="1" applyBorder="1" applyAlignment="1">
      <alignment horizontal="center" vertical="center" wrapText="1"/>
    </xf>
    <xf numFmtId="0" fontId="3" fillId="70" borderId="41" xfId="0" applyFont="1" applyFill="1" applyBorder="1" applyAlignment="1">
      <alignment horizontal="center" vertical="center"/>
    </xf>
    <xf numFmtId="0" fontId="3" fillId="70" borderId="33" xfId="0" applyFont="1" applyFill="1" applyBorder="1" applyAlignment="1">
      <alignment horizontal="center" vertical="center"/>
    </xf>
    <xf numFmtId="0" fontId="3" fillId="70" borderId="42" xfId="0" applyFont="1" applyFill="1" applyBorder="1" applyAlignment="1">
      <alignment horizontal="center" vertical="center"/>
    </xf>
    <xf numFmtId="0" fontId="3" fillId="75" borderId="33" xfId="0" applyFont="1" applyFill="1" applyBorder="1" applyAlignment="1">
      <alignment horizontal="center" vertical="center"/>
    </xf>
    <xf numFmtId="0" fontId="3" fillId="83" borderId="33" xfId="0" applyFont="1" applyFill="1" applyBorder="1" applyAlignment="1">
      <alignment horizontal="center" vertical="center"/>
    </xf>
    <xf numFmtId="0" fontId="31" fillId="68" borderId="4" xfId="0" applyFont="1" applyFill="1" applyBorder="1" applyAlignment="1">
      <alignment horizontal="center" vertical="center"/>
    </xf>
    <xf numFmtId="0" fontId="31" fillId="68" borderId="1" xfId="0" applyFont="1" applyFill="1" applyBorder="1" applyAlignment="1">
      <alignment horizontal="center" vertical="center"/>
    </xf>
    <xf numFmtId="0" fontId="31" fillId="68" borderId="5" xfId="0" applyFont="1" applyFill="1" applyBorder="1" applyAlignment="1">
      <alignment horizontal="center" vertical="center"/>
    </xf>
    <xf numFmtId="0" fontId="3" fillId="68" borderId="47" xfId="0" applyFont="1" applyFill="1" applyBorder="1" applyAlignment="1">
      <alignment horizontal="left" vertical="center"/>
    </xf>
    <xf numFmtId="0" fontId="3" fillId="68" borderId="6" xfId="0" applyFont="1" applyFill="1" applyBorder="1" applyAlignment="1">
      <alignment horizontal="left" vertical="center"/>
    </xf>
    <xf numFmtId="0" fontId="3" fillId="68" borderId="8" xfId="0" applyFont="1" applyFill="1" applyBorder="1" applyAlignment="1">
      <alignment horizontal="left" vertical="center"/>
    </xf>
    <xf numFmtId="11" fontId="3" fillId="68" borderId="15" xfId="0" applyNumberFormat="1" applyFont="1" applyFill="1" applyBorder="1" applyAlignment="1">
      <alignment horizontal="center" vertical="center"/>
    </xf>
    <xf numFmtId="11" fontId="3" fillId="68" borderId="0" xfId="0" applyNumberFormat="1" applyFont="1" applyFill="1" applyBorder="1" applyAlignment="1">
      <alignment horizontal="center" vertical="center"/>
    </xf>
    <xf numFmtId="11" fontId="3" fillId="68" borderId="2" xfId="0" applyNumberFormat="1" applyFont="1" applyFill="1" applyBorder="1" applyAlignment="1">
      <alignment horizontal="center" vertical="center"/>
    </xf>
    <xf numFmtId="0" fontId="3" fillId="68" borderId="45" xfId="0" applyFont="1" applyFill="1" applyBorder="1" applyAlignment="1">
      <alignment horizontal="right" vertical="center"/>
    </xf>
    <xf numFmtId="0" fontId="3" fillId="68" borderId="3" xfId="0" applyFont="1" applyFill="1" applyBorder="1" applyAlignment="1">
      <alignment horizontal="right" vertical="center"/>
    </xf>
    <xf numFmtId="0" fontId="3" fillId="68" borderId="7" xfId="0" applyFont="1" applyFill="1" applyBorder="1" applyAlignment="1">
      <alignment horizontal="right" vertical="center"/>
    </xf>
    <xf numFmtId="0" fontId="31" fillId="55" borderId="4" xfId="0" applyFont="1" applyFill="1" applyBorder="1" applyAlignment="1">
      <alignment horizontal="center" vertical="center"/>
    </xf>
    <xf numFmtId="0" fontId="31" fillId="55" borderId="1" xfId="0" applyFont="1" applyFill="1" applyBorder="1" applyAlignment="1">
      <alignment horizontal="center" vertical="center"/>
    </xf>
    <xf numFmtId="0" fontId="31" fillId="55" borderId="44" xfId="0" applyFont="1" applyFill="1" applyBorder="1" applyAlignment="1">
      <alignment horizontal="center" vertical="center"/>
    </xf>
    <xf numFmtId="0" fontId="3" fillId="56" borderId="47" xfId="0" applyFont="1" applyFill="1" applyBorder="1" applyAlignment="1">
      <alignment horizontal="left" vertical="center"/>
    </xf>
    <xf numFmtId="0" fontId="3" fillId="56" borderId="6" xfId="0" applyFont="1" applyFill="1" applyBorder="1" applyAlignment="1">
      <alignment horizontal="left" vertical="center"/>
    </xf>
    <xf numFmtId="0" fontId="3" fillId="56" borderId="8" xfId="0" applyFont="1" applyFill="1" applyBorder="1" applyAlignment="1">
      <alignment horizontal="left" vertical="center"/>
    </xf>
    <xf numFmtId="11" fontId="3" fillId="56" borderId="15" xfId="0" applyNumberFormat="1" applyFont="1" applyFill="1" applyBorder="1" applyAlignment="1">
      <alignment horizontal="center" vertical="center"/>
    </xf>
    <xf numFmtId="11" fontId="3" fillId="56" borderId="0" xfId="0" applyNumberFormat="1" applyFont="1" applyFill="1" applyBorder="1" applyAlignment="1">
      <alignment horizontal="center" vertical="center"/>
    </xf>
    <xf numFmtId="11" fontId="3" fillId="56" borderId="2" xfId="0" applyNumberFormat="1" applyFont="1" applyFill="1" applyBorder="1" applyAlignment="1">
      <alignment horizontal="center" vertical="center"/>
    </xf>
    <xf numFmtId="0" fontId="3" fillId="56" borderId="46" xfId="0" applyFont="1" applyFill="1" applyBorder="1" applyAlignment="1">
      <alignment horizontal="right" vertical="center"/>
    </xf>
    <xf numFmtId="0" fontId="3" fillId="56" borderId="10" xfId="0" applyFont="1" applyFill="1" applyBorder="1" applyAlignment="1">
      <alignment horizontal="right" vertical="center"/>
    </xf>
    <xf numFmtId="0" fontId="3" fillId="56" borderId="11" xfId="0" applyFont="1" applyFill="1" applyBorder="1" applyAlignment="1">
      <alignment horizontal="right" vertical="center"/>
    </xf>
    <xf numFmtId="0" fontId="31" fillId="56" borderId="9" xfId="0" applyFont="1" applyFill="1" applyBorder="1" applyAlignment="1">
      <alignment horizontal="center" vertical="center"/>
    </xf>
    <xf numFmtId="0" fontId="31" fillId="56" borderId="1" xfId="0" applyFont="1" applyFill="1" applyBorder="1" applyAlignment="1">
      <alignment horizontal="center" vertical="center"/>
    </xf>
    <xf numFmtId="0" fontId="31" fillId="56" borderId="5" xfId="0" applyFont="1" applyFill="1" applyBorder="1" applyAlignment="1">
      <alignment horizontal="center" vertical="center"/>
    </xf>
    <xf numFmtId="0" fontId="31" fillId="61" borderId="4" xfId="0" applyFont="1" applyFill="1" applyBorder="1" applyAlignment="1">
      <alignment horizontal="center" vertical="center"/>
    </xf>
    <xf numFmtId="0" fontId="31" fillId="61" borderId="1" xfId="0" applyFont="1" applyFill="1" applyBorder="1" applyAlignment="1">
      <alignment horizontal="center" vertical="center"/>
    </xf>
    <xf numFmtId="0" fontId="31" fillId="61" borderId="5" xfId="0" applyFont="1" applyFill="1" applyBorder="1" applyAlignment="1">
      <alignment horizontal="center" vertical="center"/>
    </xf>
    <xf numFmtId="0" fontId="31" fillId="42" borderId="4" xfId="0" applyFont="1" applyFill="1" applyBorder="1" applyAlignment="1">
      <alignment horizontal="center" vertical="center"/>
    </xf>
    <xf numFmtId="0" fontId="31" fillId="42" borderId="1" xfId="0" applyFont="1" applyFill="1" applyBorder="1" applyAlignment="1">
      <alignment horizontal="center" vertical="center"/>
    </xf>
    <xf numFmtId="0" fontId="31" fillId="42" borderId="44" xfId="0" applyFont="1" applyFill="1" applyBorder="1" applyAlignment="1">
      <alignment horizontal="center" vertical="center"/>
    </xf>
    <xf numFmtId="0" fontId="31" fillId="42" borderId="9" xfId="0" applyFont="1" applyFill="1" applyBorder="1" applyAlignment="1">
      <alignment horizontal="center" vertical="center"/>
    </xf>
    <xf numFmtId="0" fontId="31" fillId="42" borderId="5" xfId="0" applyFont="1" applyFill="1" applyBorder="1" applyAlignment="1">
      <alignment horizontal="center" vertical="center"/>
    </xf>
    <xf numFmtId="0" fontId="3" fillId="42" borderId="47" xfId="0" applyFont="1" applyFill="1" applyBorder="1" applyAlignment="1">
      <alignment horizontal="left" vertical="center"/>
    </xf>
    <xf numFmtId="0" fontId="3" fillId="42" borderId="6" xfId="0" applyFont="1" applyFill="1" applyBorder="1" applyAlignment="1">
      <alignment horizontal="left" vertical="center"/>
    </xf>
    <xf numFmtId="0" fontId="3" fillId="42" borderId="8" xfId="0" applyFont="1" applyFill="1" applyBorder="1" applyAlignment="1">
      <alignment horizontal="left" vertical="center"/>
    </xf>
    <xf numFmtId="11" fontId="3" fillId="42" borderId="15" xfId="0" applyNumberFormat="1" applyFont="1" applyFill="1" applyBorder="1" applyAlignment="1">
      <alignment horizontal="center" vertical="center"/>
    </xf>
    <xf numFmtId="11" fontId="3" fillId="42" borderId="0" xfId="0" applyNumberFormat="1" applyFont="1" applyFill="1" applyBorder="1" applyAlignment="1">
      <alignment horizontal="center" vertical="center"/>
    </xf>
    <xf numFmtId="11" fontId="3" fillId="42" borderId="2" xfId="0" applyNumberFormat="1" applyFont="1" applyFill="1" applyBorder="1" applyAlignment="1">
      <alignment horizontal="center" vertical="center"/>
    </xf>
    <xf numFmtId="0" fontId="3" fillId="42" borderId="46" xfId="0" applyFont="1" applyFill="1" applyBorder="1" applyAlignment="1">
      <alignment horizontal="right" vertical="center"/>
    </xf>
    <xf numFmtId="0" fontId="3" fillId="42" borderId="10" xfId="0" applyFont="1" applyFill="1" applyBorder="1" applyAlignment="1">
      <alignment horizontal="right" vertical="center"/>
    </xf>
    <xf numFmtId="0" fontId="3" fillId="42" borderId="11" xfId="0" applyFont="1" applyFill="1" applyBorder="1" applyAlignment="1">
      <alignment horizontal="right" vertical="center"/>
    </xf>
    <xf numFmtId="0" fontId="3" fillId="42" borderId="49" xfId="0" applyFont="1" applyFill="1" applyBorder="1" applyAlignment="1">
      <alignment horizontal="left" vertical="center"/>
    </xf>
    <xf numFmtId="0" fontId="3" fillId="42" borderId="43" xfId="0" applyFont="1" applyFill="1" applyBorder="1" applyAlignment="1">
      <alignment horizontal="left" vertical="center"/>
    </xf>
    <xf numFmtId="0" fontId="3" fillId="42" borderId="48" xfId="0" applyFont="1" applyFill="1" applyBorder="1" applyAlignment="1">
      <alignment horizontal="left" vertical="center"/>
    </xf>
    <xf numFmtId="0" fontId="3" fillId="42" borderId="45" xfId="0" applyFont="1" applyFill="1" applyBorder="1" applyAlignment="1">
      <alignment horizontal="right" vertical="center"/>
    </xf>
    <xf numFmtId="0" fontId="3" fillId="42" borderId="3" xfId="0" applyFont="1" applyFill="1" applyBorder="1" applyAlignment="1">
      <alignment horizontal="right" vertical="center"/>
    </xf>
    <xf numFmtId="0" fontId="3" fillId="42" borderId="7" xfId="0" applyFont="1" applyFill="1" applyBorder="1" applyAlignment="1">
      <alignment horizontal="right" vertical="center"/>
    </xf>
    <xf numFmtId="0" fontId="3" fillId="61" borderId="47" xfId="0" applyFont="1" applyFill="1" applyBorder="1" applyAlignment="1">
      <alignment horizontal="left" vertical="center"/>
    </xf>
    <xf numFmtId="0" fontId="3" fillId="61" borderId="6" xfId="0" applyFont="1" applyFill="1" applyBorder="1" applyAlignment="1">
      <alignment horizontal="left" vertical="center"/>
    </xf>
    <xf numFmtId="0" fontId="3" fillId="61" borderId="8" xfId="0" applyFont="1" applyFill="1" applyBorder="1" applyAlignment="1">
      <alignment horizontal="left" vertical="center"/>
    </xf>
    <xf numFmtId="11" fontId="3" fillId="61" borderId="15" xfId="0" applyNumberFormat="1" applyFont="1" applyFill="1" applyBorder="1" applyAlignment="1">
      <alignment horizontal="center" vertical="center"/>
    </xf>
    <xf numFmtId="11" fontId="3" fillId="61" borderId="0" xfId="0" applyNumberFormat="1" applyFont="1" applyFill="1" applyBorder="1" applyAlignment="1">
      <alignment horizontal="center" vertical="center"/>
    </xf>
    <xf numFmtId="11" fontId="3" fillId="61" borderId="2" xfId="0" applyNumberFormat="1" applyFont="1" applyFill="1" applyBorder="1" applyAlignment="1">
      <alignment horizontal="center" vertical="center"/>
    </xf>
    <xf numFmtId="0" fontId="3" fillId="61" borderId="45" xfId="0" applyFont="1" applyFill="1" applyBorder="1" applyAlignment="1">
      <alignment horizontal="right" vertical="center"/>
    </xf>
    <xf numFmtId="0" fontId="3" fillId="61" borderId="3" xfId="0" applyFont="1" applyFill="1" applyBorder="1" applyAlignment="1">
      <alignment horizontal="right" vertical="center"/>
    </xf>
    <xf numFmtId="0" fontId="3" fillId="61" borderId="7" xfId="0" applyFont="1" applyFill="1" applyBorder="1" applyAlignment="1">
      <alignment horizontal="right" vertical="center"/>
    </xf>
    <xf numFmtId="11" fontId="3" fillId="41" borderId="15" xfId="0" applyNumberFormat="1" applyFont="1" applyFill="1" applyBorder="1" applyAlignment="1">
      <alignment horizontal="center" vertical="center"/>
    </xf>
    <xf numFmtId="11" fontId="3" fillId="41" borderId="0" xfId="0" applyNumberFormat="1" applyFont="1" applyFill="1" applyBorder="1" applyAlignment="1">
      <alignment horizontal="center" vertical="center"/>
    </xf>
    <xf numFmtId="11" fontId="3" fillId="41" borderId="2" xfId="0" applyNumberFormat="1" applyFont="1" applyFill="1" applyBorder="1" applyAlignment="1">
      <alignment horizontal="center" vertical="center"/>
    </xf>
    <xf numFmtId="0" fontId="3" fillId="63" borderId="46" xfId="0" applyFont="1" applyFill="1" applyBorder="1" applyAlignment="1">
      <alignment horizontal="right" vertical="center"/>
    </xf>
    <xf numFmtId="0" fontId="3" fillId="63" borderId="10" xfId="0" applyFont="1" applyFill="1" applyBorder="1" applyAlignment="1">
      <alignment horizontal="right" vertical="center"/>
    </xf>
    <xf numFmtId="0" fontId="3" fillId="63" borderId="11" xfId="0" applyFont="1" applyFill="1" applyBorder="1" applyAlignment="1">
      <alignment horizontal="right" vertical="center"/>
    </xf>
    <xf numFmtId="0" fontId="3" fillId="63" borderId="49" xfId="0" applyFont="1" applyFill="1" applyBorder="1" applyAlignment="1">
      <alignment horizontal="left" vertical="center"/>
    </xf>
    <xf numFmtId="0" fontId="3" fillId="63" borderId="43" xfId="0" applyFont="1" applyFill="1" applyBorder="1" applyAlignment="1">
      <alignment horizontal="left" vertical="center"/>
    </xf>
    <xf numFmtId="0" fontId="3" fillId="63" borderId="48" xfId="0" applyFont="1" applyFill="1" applyBorder="1" applyAlignment="1">
      <alignment horizontal="left" vertical="center"/>
    </xf>
    <xf numFmtId="11" fontId="3" fillId="63" borderId="15" xfId="0" applyNumberFormat="1" applyFont="1" applyFill="1" applyBorder="1" applyAlignment="1">
      <alignment horizontal="center" vertical="center"/>
    </xf>
    <xf numFmtId="11" fontId="3" fillId="63" borderId="0" xfId="0" applyNumberFormat="1" applyFont="1" applyFill="1" applyBorder="1" applyAlignment="1">
      <alignment horizontal="center" vertical="center"/>
    </xf>
    <xf numFmtId="11" fontId="3" fillId="63" borderId="2" xfId="0" applyNumberFormat="1" applyFont="1" applyFill="1" applyBorder="1" applyAlignment="1">
      <alignment horizontal="center" vertical="center"/>
    </xf>
    <xf numFmtId="0" fontId="3" fillId="39" borderId="47" xfId="0" applyFont="1" applyFill="1" applyBorder="1" applyAlignment="1">
      <alignment horizontal="left" vertical="center"/>
    </xf>
    <xf numFmtId="0" fontId="3" fillId="39" borderId="6" xfId="0" applyFont="1" applyFill="1" applyBorder="1" applyAlignment="1">
      <alignment horizontal="left" vertical="center"/>
    </xf>
    <xf numFmtId="0" fontId="3" fillId="39" borderId="8" xfId="0" applyFont="1" applyFill="1" applyBorder="1" applyAlignment="1">
      <alignment horizontal="left" vertical="center"/>
    </xf>
    <xf numFmtId="0" fontId="3" fillId="62" borderId="47" xfId="0" applyFont="1" applyFill="1" applyBorder="1" applyAlignment="1">
      <alignment horizontal="left" vertical="center"/>
    </xf>
    <xf numFmtId="0" fontId="3" fillId="62" borderId="6" xfId="0" applyFont="1" applyFill="1" applyBorder="1" applyAlignment="1">
      <alignment horizontal="left" vertical="center"/>
    </xf>
    <xf numFmtId="0" fontId="3" fillId="62" borderId="8" xfId="0" applyFont="1" applyFill="1" applyBorder="1" applyAlignment="1">
      <alignment horizontal="left" vertical="center"/>
    </xf>
    <xf numFmtId="11" fontId="3" fillId="62" borderId="15" xfId="0" applyNumberFormat="1" applyFont="1" applyFill="1" applyBorder="1" applyAlignment="1">
      <alignment horizontal="center" vertical="center"/>
    </xf>
    <xf numFmtId="11" fontId="3" fillId="62" borderId="0" xfId="0" applyNumberFormat="1" applyFont="1" applyFill="1" applyBorder="1" applyAlignment="1">
      <alignment horizontal="center" vertical="center"/>
    </xf>
    <xf numFmtId="11" fontId="3" fillId="62" borderId="2" xfId="0" applyNumberFormat="1" applyFont="1" applyFill="1" applyBorder="1" applyAlignment="1">
      <alignment horizontal="center" vertical="center"/>
    </xf>
    <xf numFmtId="0" fontId="3" fillId="62" borderId="49" xfId="0" applyFont="1" applyFill="1" applyBorder="1" applyAlignment="1">
      <alignment horizontal="left" vertical="center"/>
    </xf>
    <xf numFmtId="0" fontId="3" fillId="62" borderId="43" xfId="0" applyFont="1" applyFill="1" applyBorder="1" applyAlignment="1">
      <alignment horizontal="left" vertical="center"/>
    </xf>
    <xf numFmtId="0" fontId="3" fillId="62" borderId="48" xfId="0" applyFont="1" applyFill="1" applyBorder="1" applyAlignment="1">
      <alignment horizontal="left" vertical="center"/>
    </xf>
    <xf numFmtId="11" fontId="3" fillId="39" borderId="15" xfId="0" applyNumberFormat="1" applyFont="1" applyFill="1" applyBorder="1" applyAlignment="1">
      <alignment horizontal="center" vertical="center"/>
    </xf>
    <xf numFmtId="11" fontId="3" fillId="39" borderId="0" xfId="0" applyNumberFormat="1" applyFont="1" applyFill="1" applyBorder="1" applyAlignment="1">
      <alignment horizontal="center" vertical="center"/>
    </xf>
    <xf numFmtId="11" fontId="3" fillId="39" borderId="2" xfId="0" applyNumberFormat="1" applyFont="1" applyFill="1" applyBorder="1" applyAlignment="1">
      <alignment horizontal="center" vertical="center"/>
    </xf>
    <xf numFmtId="0" fontId="3" fillId="63" borderId="45" xfId="0" applyFont="1" applyFill="1" applyBorder="1" applyAlignment="1">
      <alignment horizontal="right" vertical="center"/>
    </xf>
    <xf numFmtId="0" fontId="3" fillId="63" borderId="3" xfId="0" applyFont="1" applyFill="1" applyBorder="1" applyAlignment="1">
      <alignment horizontal="right" vertical="center"/>
    </xf>
    <xf numFmtId="0" fontId="3" fillId="63" borderId="7" xfId="0" applyFont="1" applyFill="1" applyBorder="1" applyAlignment="1">
      <alignment horizontal="right" vertical="center"/>
    </xf>
    <xf numFmtId="0" fontId="3" fillId="39" borderId="45" xfId="0" applyFont="1" applyFill="1" applyBorder="1" applyAlignment="1">
      <alignment horizontal="right" vertical="center"/>
    </xf>
    <xf numFmtId="0" fontId="3" fillId="39" borderId="3" xfId="0" applyFont="1" applyFill="1" applyBorder="1" applyAlignment="1">
      <alignment horizontal="right" vertical="center"/>
    </xf>
    <xf numFmtId="0" fontId="3" fillId="39" borderId="7" xfId="0" applyFont="1" applyFill="1" applyBorder="1" applyAlignment="1">
      <alignment horizontal="right" vertical="center"/>
    </xf>
    <xf numFmtId="0" fontId="3" fillId="62" borderId="46" xfId="0" applyFont="1" applyFill="1" applyBorder="1" applyAlignment="1">
      <alignment horizontal="right" vertical="center"/>
    </xf>
    <xf numFmtId="0" fontId="3" fillId="62" borderId="10" xfId="0" applyFont="1" applyFill="1" applyBorder="1" applyAlignment="1">
      <alignment horizontal="right" vertical="center"/>
    </xf>
    <xf numFmtId="0" fontId="3" fillId="62" borderId="11" xfId="0" applyFont="1" applyFill="1" applyBorder="1" applyAlignment="1">
      <alignment horizontal="right" vertical="center"/>
    </xf>
    <xf numFmtId="0" fontId="3" fillId="62" borderId="45" xfId="0" applyFont="1" applyFill="1" applyBorder="1" applyAlignment="1">
      <alignment horizontal="right" vertical="center"/>
    </xf>
    <xf numFmtId="0" fontId="3" fillId="62" borderId="3" xfId="0" applyFont="1" applyFill="1" applyBorder="1" applyAlignment="1">
      <alignment horizontal="right" vertical="center"/>
    </xf>
    <xf numFmtId="0" fontId="3" fillId="62" borderId="7" xfId="0" applyFont="1" applyFill="1" applyBorder="1" applyAlignment="1">
      <alignment horizontal="right" vertical="center"/>
    </xf>
    <xf numFmtId="0" fontId="3" fillId="41" borderId="47" xfId="0" applyFont="1" applyFill="1" applyBorder="1" applyAlignment="1">
      <alignment horizontal="left" vertical="center"/>
    </xf>
    <xf numFmtId="0" fontId="3" fillId="41" borderId="6" xfId="0" applyFont="1" applyFill="1" applyBorder="1" applyAlignment="1">
      <alignment horizontal="left" vertical="center"/>
    </xf>
    <xf numFmtId="0" fontId="3" fillId="41" borderId="8" xfId="0" applyFont="1" applyFill="1" applyBorder="1" applyAlignment="1">
      <alignment horizontal="left" vertical="center"/>
    </xf>
    <xf numFmtId="0" fontId="3" fillId="57" borderId="45" xfId="0" applyFont="1" applyFill="1" applyBorder="1" applyAlignment="1">
      <alignment horizontal="right" vertical="center"/>
    </xf>
    <xf numFmtId="0" fontId="3" fillId="57" borderId="3" xfId="0" applyFont="1" applyFill="1" applyBorder="1" applyAlignment="1">
      <alignment horizontal="right" vertical="center"/>
    </xf>
    <xf numFmtId="0" fontId="3" fillId="57" borderId="7" xfId="0" applyFont="1" applyFill="1" applyBorder="1" applyAlignment="1">
      <alignment horizontal="right" vertical="center"/>
    </xf>
    <xf numFmtId="0" fontId="3" fillId="43" borderId="47" xfId="0" applyFont="1" applyFill="1" applyBorder="1" applyAlignment="1">
      <alignment horizontal="left" vertical="center"/>
    </xf>
    <xf numFmtId="0" fontId="3" fillId="43" borderId="6" xfId="0" applyFont="1" applyFill="1" applyBorder="1" applyAlignment="1">
      <alignment horizontal="left" vertical="center"/>
    </xf>
    <xf numFmtId="0" fontId="3" fillId="43" borderId="8" xfId="0" applyFont="1" applyFill="1" applyBorder="1" applyAlignment="1">
      <alignment horizontal="left" vertical="center"/>
    </xf>
    <xf numFmtId="11" fontId="3" fillId="43" borderId="15" xfId="0" applyNumberFormat="1" applyFont="1" applyFill="1" applyBorder="1" applyAlignment="1">
      <alignment horizontal="center" vertical="center"/>
    </xf>
    <xf numFmtId="11" fontId="3" fillId="43" borderId="0" xfId="0" applyNumberFormat="1" applyFont="1" applyFill="1" applyBorder="1" applyAlignment="1">
      <alignment horizontal="center" vertical="center"/>
    </xf>
    <xf numFmtId="11" fontId="3" fillId="43" borderId="2" xfId="0" applyNumberFormat="1" applyFont="1" applyFill="1" applyBorder="1" applyAlignment="1">
      <alignment horizontal="center" vertical="center"/>
    </xf>
    <xf numFmtId="0" fontId="3" fillId="43" borderId="45" xfId="0" applyFont="1" applyFill="1" applyBorder="1" applyAlignment="1">
      <alignment horizontal="right" vertical="center"/>
    </xf>
    <xf numFmtId="0" fontId="3" fillId="43" borderId="3" xfId="0" applyFont="1" applyFill="1" applyBorder="1" applyAlignment="1">
      <alignment horizontal="right" vertical="center"/>
    </xf>
    <xf numFmtId="0" fontId="3" fillId="43" borderId="7" xfId="0" applyFont="1" applyFill="1" applyBorder="1" applyAlignment="1">
      <alignment horizontal="right" vertical="center"/>
    </xf>
    <xf numFmtId="0" fontId="3" fillId="63" borderId="47" xfId="0" applyFont="1" applyFill="1" applyBorder="1" applyAlignment="1">
      <alignment horizontal="left" vertical="center"/>
    </xf>
    <xf numFmtId="0" fontId="3" fillId="63" borderId="6" xfId="0" applyFont="1" applyFill="1" applyBorder="1" applyAlignment="1">
      <alignment horizontal="left" vertical="center"/>
    </xf>
    <xf numFmtId="0" fontId="3" fillId="63" borderId="8" xfId="0" applyFont="1" applyFill="1" applyBorder="1" applyAlignment="1">
      <alignment horizontal="left" vertical="center"/>
    </xf>
    <xf numFmtId="0" fontId="3" fillId="58" borderId="47" xfId="0" applyFont="1" applyFill="1" applyBorder="1" applyAlignment="1">
      <alignment horizontal="left" vertical="center"/>
    </xf>
    <xf numFmtId="0" fontId="3" fillId="58" borderId="6" xfId="0" applyFont="1" applyFill="1" applyBorder="1" applyAlignment="1">
      <alignment horizontal="left" vertical="center"/>
    </xf>
    <xf numFmtId="0" fontId="3" fillId="58" borderId="8" xfId="0" applyFont="1" applyFill="1" applyBorder="1" applyAlignment="1">
      <alignment horizontal="left" vertical="center"/>
    </xf>
    <xf numFmtId="11" fontId="3" fillId="58" borderId="15" xfId="0" applyNumberFormat="1" applyFont="1" applyFill="1" applyBorder="1" applyAlignment="1">
      <alignment horizontal="center" vertical="center"/>
    </xf>
    <xf numFmtId="11" fontId="3" fillId="58" borderId="0" xfId="0" applyNumberFormat="1" applyFont="1" applyFill="1" applyBorder="1" applyAlignment="1">
      <alignment horizontal="center" vertical="center"/>
    </xf>
    <xf numFmtId="11" fontId="3" fillId="58" borderId="2" xfId="0" applyNumberFormat="1" applyFont="1" applyFill="1" applyBorder="1" applyAlignment="1">
      <alignment horizontal="center" vertical="center"/>
    </xf>
    <xf numFmtId="0" fontId="3" fillId="58" borderId="46" xfId="0" applyFont="1" applyFill="1" applyBorder="1" applyAlignment="1">
      <alignment horizontal="right" vertical="center"/>
    </xf>
    <xf numFmtId="0" fontId="3" fillId="58" borderId="10" xfId="0" applyFont="1" applyFill="1" applyBorder="1" applyAlignment="1">
      <alignment horizontal="right" vertical="center"/>
    </xf>
    <xf numFmtId="0" fontId="3" fillId="58" borderId="11" xfId="0" applyFont="1" applyFill="1" applyBorder="1" applyAlignment="1">
      <alignment horizontal="right" vertical="center"/>
    </xf>
    <xf numFmtId="11" fontId="3" fillId="58" borderId="49" xfId="0" applyNumberFormat="1" applyFont="1" applyFill="1" applyBorder="1" applyAlignment="1">
      <alignment horizontal="left" vertical="center"/>
    </xf>
    <xf numFmtId="11" fontId="3" fillId="58" borderId="43" xfId="0" applyNumberFormat="1" applyFont="1" applyFill="1" applyBorder="1" applyAlignment="1">
      <alignment horizontal="left" vertical="center"/>
    </xf>
    <xf numFmtId="11" fontId="3" fillId="58" borderId="48" xfId="0" applyNumberFormat="1" applyFont="1" applyFill="1" applyBorder="1" applyAlignment="1">
      <alignment horizontal="left" vertical="center"/>
    </xf>
    <xf numFmtId="11" fontId="3" fillId="60" borderId="49" xfId="0" applyNumberFormat="1" applyFont="1" applyFill="1" applyBorder="1" applyAlignment="1">
      <alignment horizontal="left" vertical="center"/>
    </xf>
    <xf numFmtId="11" fontId="3" fillId="60" borderId="43" xfId="0" applyNumberFormat="1" applyFont="1" applyFill="1" applyBorder="1" applyAlignment="1">
      <alignment horizontal="left" vertical="center"/>
    </xf>
    <xf numFmtId="11" fontId="3" fillId="60" borderId="48" xfId="0" applyNumberFormat="1" applyFont="1" applyFill="1" applyBorder="1" applyAlignment="1">
      <alignment horizontal="left" vertical="center"/>
    </xf>
    <xf numFmtId="11" fontId="3" fillId="60" borderId="15" xfId="0" applyNumberFormat="1" applyFont="1" applyFill="1" applyBorder="1" applyAlignment="1">
      <alignment horizontal="center" vertical="center"/>
    </xf>
    <xf numFmtId="11" fontId="3" fillId="60" borderId="0" xfId="0" applyNumberFormat="1" applyFont="1" applyFill="1" applyBorder="1" applyAlignment="1">
      <alignment horizontal="center" vertical="center"/>
    </xf>
    <xf numFmtId="11" fontId="3" fillId="60" borderId="2" xfId="0" applyNumberFormat="1" applyFont="1" applyFill="1" applyBorder="1" applyAlignment="1">
      <alignment horizontal="center" vertical="center"/>
    </xf>
    <xf numFmtId="0" fontId="3" fillId="60" borderId="46" xfId="0" applyFont="1" applyFill="1" applyBorder="1" applyAlignment="1">
      <alignment horizontal="right" vertical="center"/>
    </xf>
    <xf numFmtId="0" fontId="3" fillId="60" borderId="10" xfId="0" applyFont="1" applyFill="1" applyBorder="1" applyAlignment="1">
      <alignment horizontal="right" vertical="center"/>
    </xf>
    <xf numFmtId="0" fontId="3" fillId="60" borderId="11" xfId="0" applyFont="1" applyFill="1" applyBorder="1" applyAlignment="1">
      <alignment horizontal="right" vertical="center"/>
    </xf>
    <xf numFmtId="0" fontId="3" fillId="60" borderId="45" xfId="0" applyFont="1" applyFill="1" applyBorder="1" applyAlignment="1">
      <alignment horizontal="right" vertical="center"/>
    </xf>
    <xf numFmtId="0" fontId="3" fillId="60" borderId="3" xfId="0" applyFont="1" applyFill="1" applyBorder="1" applyAlignment="1">
      <alignment horizontal="right" vertical="center"/>
    </xf>
    <xf numFmtId="0" fontId="3" fillId="60" borderId="7" xfId="0" applyFont="1" applyFill="1" applyBorder="1" applyAlignment="1">
      <alignment horizontal="right" vertical="center"/>
    </xf>
    <xf numFmtId="0" fontId="3" fillId="40" borderId="47" xfId="0" applyFont="1" applyFill="1" applyBorder="1" applyAlignment="1">
      <alignment horizontal="left" vertical="center"/>
    </xf>
    <xf numFmtId="0" fontId="3" fillId="40" borderId="6" xfId="0" applyFont="1" applyFill="1" applyBorder="1" applyAlignment="1">
      <alignment horizontal="left" vertical="center"/>
    </xf>
    <xf numFmtId="0" fontId="3" fillId="40" borderId="8" xfId="0" applyFont="1" applyFill="1" applyBorder="1" applyAlignment="1">
      <alignment horizontal="left" vertical="center"/>
    </xf>
    <xf numFmtId="11" fontId="3" fillId="40" borderId="15" xfId="0" applyNumberFormat="1" applyFont="1" applyFill="1" applyBorder="1" applyAlignment="1">
      <alignment horizontal="center" vertical="center"/>
    </xf>
    <xf numFmtId="11" fontId="3" fillId="40" borderId="0" xfId="0" applyNumberFormat="1" applyFont="1" applyFill="1" applyBorder="1" applyAlignment="1">
      <alignment horizontal="center" vertical="center"/>
    </xf>
    <xf numFmtId="11" fontId="3" fillId="40" borderId="2" xfId="0" applyNumberFormat="1" applyFont="1" applyFill="1" applyBorder="1" applyAlignment="1">
      <alignment horizontal="center" vertical="center"/>
    </xf>
    <xf numFmtId="0" fontId="3" fillId="40" borderId="45" xfId="0" applyFont="1" applyFill="1" applyBorder="1" applyAlignment="1">
      <alignment horizontal="right" vertical="center"/>
    </xf>
    <xf numFmtId="0" fontId="3" fillId="40" borderId="3" xfId="0" applyFont="1" applyFill="1" applyBorder="1" applyAlignment="1">
      <alignment horizontal="right" vertical="center"/>
    </xf>
    <xf numFmtId="0" fontId="3" fillId="40" borderId="7" xfId="0" applyFont="1" applyFill="1" applyBorder="1" applyAlignment="1">
      <alignment horizontal="right" vertical="center"/>
    </xf>
    <xf numFmtId="0" fontId="3" fillId="59" borderId="47" xfId="0" applyFont="1" applyFill="1" applyBorder="1" applyAlignment="1">
      <alignment horizontal="left" vertical="center"/>
    </xf>
    <xf numFmtId="0" fontId="3" fillId="59" borderId="6" xfId="0" applyFont="1" applyFill="1" applyBorder="1" applyAlignment="1">
      <alignment horizontal="left" vertical="center"/>
    </xf>
    <xf numFmtId="0" fontId="3" fillId="59" borderId="8" xfId="0" applyFont="1" applyFill="1" applyBorder="1" applyAlignment="1">
      <alignment horizontal="left" vertical="center"/>
    </xf>
    <xf numFmtId="11" fontId="3" fillId="59" borderId="15" xfId="0" applyNumberFormat="1" applyFont="1" applyFill="1" applyBorder="1" applyAlignment="1">
      <alignment horizontal="center" vertical="center"/>
    </xf>
    <xf numFmtId="11" fontId="3" fillId="59" borderId="0" xfId="0" applyNumberFormat="1" applyFont="1" applyFill="1" applyBorder="1" applyAlignment="1">
      <alignment horizontal="center" vertical="center"/>
    </xf>
    <xf numFmtId="11" fontId="3" fillId="59" borderId="2" xfId="0" applyNumberFormat="1" applyFont="1" applyFill="1" applyBorder="1" applyAlignment="1">
      <alignment horizontal="center" vertical="center"/>
    </xf>
    <xf numFmtId="0" fontId="3" fillId="59" borderId="46" xfId="0" applyFont="1" applyFill="1" applyBorder="1" applyAlignment="1">
      <alignment horizontal="right" vertical="center"/>
    </xf>
    <xf numFmtId="0" fontId="3" fillId="59" borderId="10" xfId="0" applyFont="1" applyFill="1" applyBorder="1" applyAlignment="1">
      <alignment horizontal="right" vertical="center"/>
    </xf>
    <xf numFmtId="0" fontId="3" fillId="59" borderId="11" xfId="0" applyFont="1" applyFill="1" applyBorder="1" applyAlignment="1">
      <alignment horizontal="right" vertical="center"/>
    </xf>
    <xf numFmtId="11" fontId="3" fillId="59" borderId="49" xfId="0" applyNumberFormat="1" applyFont="1" applyFill="1" applyBorder="1" applyAlignment="1">
      <alignment horizontal="left" vertical="center"/>
    </xf>
    <xf numFmtId="11" fontId="3" fillId="59" borderId="43" xfId="0" applyNumberFormat="1" applyFont="1" applyFill="1" applyBorder="1" applyAlignment="1">
      <alignment horizontal="left" vertical="center"/>
    </xf>
    <xf numFmtId="11" fontId="3" fillId="59" borderId="48" xfId="0" applyNumberFormat="1" applyFont="1" applyFill="1" applyBorder="1" applyAlignment="1">
      <alignment horizontal="left" vertical="center"/>
    </xf>
    <xf numFmtId="0" fontId="3" fillId="60" borderId="47" xfId="0" applyFont="1" applyFill="1" applyBorder="1" applyAlignment="1">
      <alignment horizontal="left" vertical="center"/>
    </xf>
    <xf numFmtId="0" fontId="3" fillId="60" borderId="6" xfId="0" applyFont="1" applyFill="1" applyBorder="1" applyAlignment="1">
      <alignment horizontal="left" vertical="center"/>
    </xf>
    <xf numFmtId="0" fontId="3" fillId="60" borderId="8" xfId="0" applyFont="1" applyFill="1" applyBorder="1" applyAlignment="1">
      <alignment horizontal="left" vertical="center"/>
    </xf>
    <xf numFmtId="0" fontId="3" fillId="45" borderId="47" xfId="0" applyFont="1" applyFill="1" applyBorder="1" applyAlignment="1">
      <alignment horizontal="left" vertical="center"/>
    </xf>
    <xf numFmtId="0" fontId="3" fillId="45" borderId="6" xfId="0" applyFont="1" applyFill="1" applyBorder="1" applyAlignment="1">
      <alignment horizontal="left" vertical="center"/>
    </xf>
    <xf numFmtId="0" fontId="3" fillId="45" borderId="8" xfId="0" applyFont="1" applyFill="1" applyBorder="1" applyAlignment="1">
      <alignment horizontal="left" vertical="center"/>
    </xf>
    <xf numFmtId="11" fontId="3" fillId="45" borderId="15" xfId="0" applyNumberFormat="1" applyFont="1" applyFill="1" applyBorder="1" applyAlignment="1">
      <alignment horizontal="center" vertical="center"/>
    </xf>
    <xf numFmtId="11" fontId="3" fillId="45" borderId="0" xfId="0" applyNumberFormat="1" applyFont="1" applyFill="1" applyBorder="1" applyAlignment="1">
      <alignment horizontal="center" vertical="center"/>
    </xf>
    <xf numFmtId="11" fontId="3" fillId="45" borderId="2" xfId="0" applyNumberFormat="1" applyFont="1" applyFill="1" applyBorder="1" applyAlignment="1">
      <alignment horizontal="center" vertical="center"/>
    </xf>
    <xf numFmtId="0" fontId="3" fillId="45" borderId="45" xfId="0" applyFont="1" applyFill="1" applyBorder="1" applyAlignment="1">
      <alignment horizontal="right" vertical="center"/>
    </xf>
    <xf numFmtId="0" fontId="3" fillId="45" borderId="3" xfId="0" applyFont="1" applyFill="1" applyBorder="1" applyAlignment="1">
      <alignment horizontal="right" vertical="center"/>
    </xf>
    <xf numFmtId="0" fontId="3" fillId="45" borderId="7" xfId="0" applyFont="1" applyFill="1" applyBorder="1" applyAlignment="1">
      <alignment horizontal="right" vertical="center"/>
    </xf>
    <xf numFmtId="0" fontId="3" fillId="59" borderId="45" xfId="0" applyFont="1" applyFill="1" applyBorder="1" applyAlignment="1">
      <alignment horizontal="right" vertical="center"/>
    </xf>
    <xf numFmtId="0" fontId="3" fillId="59" borderId="3" xfId="0" applyFont="1" applyFill="1" applyBorder="1" applyAlignment="1">
      <alignment horizontal="right" vertical="center"/>
    </xf>
    <xf numFmtId="0" fontId="3" fillId="59" borderId="7" xfId="0" applyFont="1" applyFill="1" applyBorder="1" applyAlignment="1">
      <alignment horizontal="right" vertical="center"/>
    </xf>
    <xf numFmtId="0" fontId="31" fillId="41" borderId="59" xfId="0" applyFont="1" applyFill="1" applyBorder="1" applyAlignment="1">
      <alignment horizontal="center" vertical="center"/>
    </xf>
    <xf numFmtId="0" fontId="31" fillId="41" borderId="60" xfId="0" applyFont="1" applyFill="1" applyBorder="1" applyAlignment="1">
      <alignment horizontal="center" vertical="center"/>
    </xf>
    <xf numFmtId="0" fontId="31" fillId="41" borderId="62" xfId="0" applyFont="1" applyFill="1" applyBorder="1" applyAlignment="1">
      <alignment horizontal="center" vertical="center"/>
    </xf>
    <xf numFmtId="0" fontId="31" fillId="63" borderId="63" xfId="0" applyFont="1" applyFill="1" applyBorder="1" applyAlignment="1">
      <alignment horizontal="center" vertical="center"/>
    </xf>
    <xf numFmtId="0" fontId="31" fillId="63" borderId="60" xfId="0" applyFont="1" applyFill="1" applyBorder="1" applyAlignment="1">
      <alignment horizontal="center" vertical="center"/>
    </xf>
    <xf numFmtId="0" fontId="31" fillId="63" borderId="61" xfId="0" applyFont="1" applyFill="1" applyBorder="1" applyAlignment="1">
      <alignment horizontal="center" vertical="center"/>
    </xf>
    <xf numFmtId="0" fontId="3" fillId="58" borderId="45" xfId="0" applyFont="1" applyFill="1" applyBorder="1" applyAlignment="1">
      <alignment horizontal="right" vertical="center"/>
    </xf>
    <xf numFmtId="0" fontId="3" fillId="58" borderId="3" xfId="0" applyFont="1" applyFill="1" applyBorder="1" applyAlignment="1">
      <alignment horizontal="right" vertical="center"/>
    </xf>
    <xf numFmtId="0" fontId="3" fillId="58" borderId="7" xfId="0" applyFont="1" applyFill="1" applyBorder="1" applyAlignment="1">
      <alignment horizontal="right" vertical="center"/>
    </xf>
    <xf numFmtId="0" fontId="3" fillId="44" borderId="47" xfId="0" applyFont="1" applyFill="1" applyBorder="1" applyAlignment="1">
      <alignment horizontal="left" vertical="center"/>
    </xf>
    <xf numFmtId="0" fontId="3" fillId="44" borderId="6" xfId="0" applyFont="1" applyFill="1" applyBorder="1" applyAlignment="1">
      <alignment horizontal="left" vertical="center"/>
    </xf>
    <xf numFmtId="0" fontId="3" fillId="44" borderId="8" xfId="0" applyFont="1" applyFill="1" applyBorder="1" applyAlignment="1">
      <alignment horizontal="left" vertical="center"/>
    </xf>
    <xf numFmtId="0" fontId="3" fillId="41" borderId="45" xfId="0" applyFont="1" applyFill="1" applyBorder="1" applyAlignment="1">
      <alignment horizontal="right" vertical="center"/>
    </xf>
    <xf numFmtId="0" fontId="3" fillId="41" borderId="3" xfId="0" applyFont="1" applyFill="1" applyBorder="1" applyAlignment="1">
      <alignment horizontal="right" vertical="center"/>
    </xf>
    <xf numFmtId="0" fontId="3" fillId="41" borderId="7" xfId="0" applyFont="1" applyFill="1" applyBorder="1" applyAlignment="1">
      <alignment horizontal="right" vertical="center"/>
    </xf>
    <xf numFmtId="11" fontId="3" fillId="44" borderId="15" xfId="0" applyNumberFormat="1" applyFont="1" applyFill="1" applyBorder="1" applyAlignment="1">
      <alignment horizontal="center" vertical="center"/>
    </xf>
    <xf numFmtId="11" fontId="3" fillId="44" borderId="0" xfId="0" applyNumberFormat="1" applyFont="1" applyFill="1" applyBorder="1" applyAlignment="1">
      <alignment horizontal="center" vertical="center"/>
    </xf>
    <xf numFmtId="11" fontId="3" fillId="44" borderId="2" xfId="0" applyNumberFormat="1" applyFont="1" applyFill="1" applyBorder="1" applyAlignment="1">
      <alignment horizontal="center" vertical="center"/>
    </xf>
    <xf numFmtId="0" fontId="3" fillId="44" borderId="45" xfId="0" applyFont="1" applyFill="1" applyBorder="1" applyAlignment="1">
      <alignment horizontal="right" vertical="center"/>
    </xf>
    <xf numFmtId="0" fontId="3" fillId="44" borderId="3" xfId="0" applyFont="1" applyFill="1" applyBorder="1" applyAlignment="1">
      <alignment horizontal="right" vertical="center"/>
    </xf>
    <xf numFmtId="0" fontId="3" fillId="44" borderId="7" xfId="0" applyFont="1" applyFill="1" applyBorder="1" applyAlignment="1">
      <alignment horizontal="right" vertical="center"/>
    </xf>
    <xf numFmtId="0" fontId="3" fillId="57" borderId="47" xfId="0" applyFont="1" applyFill="1" applyBorder="1" applyAlignment="1">
      <alignment horizontal="left" vertical="center"/>
    </xf>
    <xf numFmtId="0" fontId="3" fillId="57" borderId="6" xfId="0" applyFont="1" applyFill="1" applyBorder="1" applyAlignment="1">
      <alignment horizontal="left" vertical="center"/>
    </xf>
    <xf numFmtId="0" fontId="3" fillId="57" borderId="8" xfId="0" applyFont="1" applyFill="1" applyBorder="1" applyAlignment="1">
      <alignment horizontal="left" vertical="center"/>
    </xf>
    <xf numFmtId="11" fontId="3" fillId="57" borderId="15" xfId="0" applyNumberFormat="1" applyFont="1" applyFill="1" applyBorder="1" applyAlignment="1">
      <alignment horizontal="center" vertical="center"/>
    </xf>
    <xf numFmtId="11" fontId="3" fillId="57" borderId="0" xfId="0" applyNumberFormat="1" applyFont="1" applyFill="1" applyBorder="1" applyAlignment="1">
      <alignment horizontal="center" vertical="center"/>
    </xf>
    <xf numFmtId="11" fontId="3" fillId="57" borderId="2" xfId="0" applyNumberFormat="1" applyFont="1" applyFill="1" applyBorder="1" applyAlignment="1">
      <alignment horizontal="center" vertical="center"/>
    </xf>
    <xf numFmtId="0" fontId="3" fillId="57" borderId="46" xfId="0" applyFont="1" applyFill="1" applyBorder="1" applyAlignment="1">
      <alignment horizontal="right" vertical="center"/>
    </xf>
    <xf numFmtId="0" fontId="3" fillId="57" borderId="10" xfId="0" applyFont="1" applyFill="1" applyBorder="1" applyAlignment="1">
      <alignment horizontal="right" vertical="center"/>
    </xf>
    <xf numFmtId="0" fontId="3" fillId="57" borderId="11" xfId="0" applyFont="1" applyFill="1" applyBorder="1" applyAlignment="1">
      <alignment horizontal="right" vertical="center"/>
    </xf>
    <xf numFmtId="11" fontId="3" fillId="57" borderId="49" xfId="0" applyNumberFormat="1" applyFont="1" applyFill="1" applyBorder="1" applyAlignment="1">
      <alignment horizontal="left" vertical="center"/>
    </xf>
    <xf numFmtId="11" fontId="3" fillId="57" borderId="43" xfId="0" applyNumberFormat="1" applyFont="1" applyFill="1" applyBorder="1" applyAlignment="1">
      <alignment horizontal="left" vertical="center"/>
    </xf>
    <xf numFmtId="11" fontId="3" fillId="57" borderId="48" xfId="0" applyNumberFormat="1" applyFont="1" applyFill="1" applyBorder="1" applyAlignment="1">
      <alignment horizontal="left" vertical="center"/>
    </xf>
    <xf numFmtId="166" fontId="3" fillId="57" borderId="49" xfId="0" applyNumberFormat="1" applyFont="1" applyFill="1" applyBorder="1" applyAlignment="1">
      <alignment horizontal="left" vertical="center"/>
    </xf>
    <xf numFmtId="166" fontId="3" fillId="57" borderId="43" xfId="0" applyNumberFormat="1" applyFont="1" applyFill="1" applyBorder="1" applyAlignment="1">
      <alignment horizontal="left" vertical="center"/>
    </xf>
    <xf numFmtId="166" fontId="3" fillId="57" borderId="48" xfId="0" applyNumberFormat="1" applyFont="1" applyFill="1" applyBorder="1" applyAlignment="1">
      <alignment horizontal="left" vertical="center"/>
    </xf>
    <xf numFmtId="0" fontId="31" fillId="44" borderId="59" xfId="0" applyFont="1" applyFill="1" applyBorder="1" applyAlignment="1">
      <alignment horizontal="center" vertical="center"/>
    </xf>
    <xf numFmtId="0" fontId="31" fillId="44" borderId="60" xfId="0" applyFont="1" applyFill="1" applyBorder="1" applyAlignment="1">
      <alignment horizontal="center" vertical="center"/>
    </xf>
    <xf numFmtId="0" fontId="31" fillId="44" borderId="62" xfId="0" applyFont="1" applyFill="1" applyBorder="1" applyAlignment="1">
      <alignment horizontal="center" vertical="center"/>
    </xf>
    <xf numFmtId="0" fontId="31" fillId="58" borderId="59" xfId="0" applyFont="1" applyFill="1" applyBorder="1" applyAlignment="1">
      <alignment horizontal="center" vertical="center"/>
    </xf>
    <xf numFmtId="0" fontId="31" fillId="58" borderId="60" xfId="0" applyFont="1" applyFill="1" applyBorder="1" applyAlignment="1">
      <alignment horizontal="center" vertical="center"/>
    </xf>
    <xf numFmtId="0" fontId="31" fillId="58" borderId="61" xfId="0" applyFont="1" applyFill="1" applyBorder="1" applyAlignment="1">
      <alignment horizontal="center" vertical="center"/>
    </xf>
    <xf numFmtId="0" fontId="31" fillId="58" borderId="63" xfId="0" applyFont="1" applyFill="1" applyBorder="1" applyAlignment="1">
      <alignment horizontal="center" vertical="center"/>
    </xf>
    <xf numFmtId="0" fontId="31" fillId="63" borderId="59" xfId="0" applyFont="1" applyFill="1" applyBorder="1" applyAlignment="1">
      <alignment horizontal="center" vertical="center"/>
    </xf>
    <xf numFmtId="0" fontId="31" fillId="39" borderId="59" xfId="0" applyFont="1" applyFill="1" applyBorder="1" applyAlignment="1">
      <alignment horizontal="center" vertical="center"/>
    </xf>
    <xf numFmtId="0" fontId="31" fillId="39" borderId="60" xfId="0" applyFont="1" applyFill="1" applyBorder="1" applyAlignment="1">
      <alignment horizontal="center" vertical="center"/>
    </xf>
    <xf numFmtId="0" fontId="31" fillId="39" borderId="62" xfId="0" applyFont="1" applyFill="1" applyBorder="1" applyAlignment="1">
      <alignment horizontal="center" vertical="center"/>
    </xf>
    <xf numFmtId="0" fontId="31" fillId="62" borderId="63" xfId="0" applyFont="1" applyFill="1" applyBorder="1" applyAlignment="1">
      <alignment horizontal="center" vertical="center"/>
    </xf>
    <xf numFmtId="0" fontId="31" fillId="62" borderId="60" xfId="0" applyFont="1" applyFill="1" applyBorder="1" applyAlignment="1">
      <alignment horizontal="center" vertical="center"/>
    </xf>
    <xf numFmtId="0" fontId="31" fillId="62" borderId="62" xfId="0" applyFont="1" applyFill="1" applyBorder="1" applyAlignment="1">
      <alignment horizontal="center" vertical="center"/>
    </xf>
    <xf numFmtId="0" fontId="31" fillId="62" borderId="61" xfId="0" applyFont="1" applyFill="1" applyBorder="1" applyAlignment="1">
      <alignment horizontal="center" vertical="center"/>
    </xf>
    <xf numFmtId="0" fontId="31" fillId="62" borderId="59" xfId="0" applyFont="1" applyFill="1" applyBorder="1" applyAlignment="1">
      <alignment horizontal="center" vertical="center"/>
    </xf>
    <xf numFmtId="0" fontId="31" fillId="60" borderId="63" xfId="0" applyFont="1" applyFill="1" applyBorder="1" applyAlignment="1">
      <alignment horizontal="center" vertical="center"/>
    </xf>
    <xf numFmtId="0" fontId="31" fillId="60" borderId="60" xfId="0" applyFont="1" applyFill="1" applyBorder="1" applyAlignment="1">
      <alignment horizontal="center" vertical="center"/>
    </xf>
    <xf numFmtId="0" fontId="31" fillId="60" borderId="61" xfId="0" applyFont="1" applyFill="1" applyBorder="1" applyAlignment="1">
      <alignment horizontal="center" vertical="center"/>
    </xf>
    <xf numFmtId="0" fontId="31" fillId="60" borderId="62" xfId="0" applyFont="1" applyFill="1" applyBorder="1" applyAlignment="1">
      <alignment horizontal="center" vertical="center"/>
    </xf>
    <xf numFmtId="0" fontId="31" fillId="4" borderId="59" xfId="0" applyFont="1" applyFill="1" applyBorder="1" applyAlignment="1">
      <alignment horizontal="center" vertical="center"/>
    </xf>
    <xf numFmtId="0" fontId="31" fillId="4" borderId="60" xfId="0" applyFont="1" applyFill="1" applyBorder="1" applyAlignment="1">
      <alignment horizontal="center" vertical="center"/>
    </xf>
    <xf numFmtId="0" fontId="31" fillId="4" borderId="62" xfId="0" applyFont="1" applyFill="1" applyBorder="1" applyAlignment="1">
      <alignment horizontal="center" vertical="center"/>
    </xf>
    <xf numFmtId="0" fontId="3" fillId="51" borderId="6" xfId="0" applyFont="1" applyFill="1" applyBorder="1" applyAlignment="1">
      <alignment horizontal="left" vertical="center"/>
    </xf>
    <xf numFmtId="0" fontId="3" fillId="51" borderId="46" xfId="0" applyFont="1" applyFill="1" applyBorder="1" applyAlignment="1">
      <alignment horizontal="right" vertical="center"/>
    </xf>
    <xf numFmtId="0" fontId="3" fillId="51" borderId="10" xfId="0" applyFont="1" applyFill="1" applyBorder="1" applyAlignment="1">
      <alignment horizontal="right" vertical="center"/>
    </xf>
    <xf numFmtId="0" fontId="3" fillId="51" borderId="11" xfId="0" applyFont="1" applyFill="1" applyBorder="1" applyAlignment="1">
      <alignment horizontal="right" vertical="center"/>
    </xf>
    <xf numFmtId="0" fontId="3" fillId="52" borderId="49" xfId="0" applyFont="1" applyFill="1" applyBorder="1" applyAlignment="1">
      <alignment horizontal="left" vertical="center"/>
    </xf>
    <xf numFmtId="0" fontId="3" fillId="52" borderId="43" xfId="0" applyFont="1" applyFill="1" applyBorder="1" applyAlignment="1">
      <alignment horizontal="left" vertical="center"/>
    </xf>
    <xf numFmtId="0" fontId="3" fillId="52" borderId="48" xfId="0" applyFont="1" applyFill="1" applyBorder="1" applyAlignment="1">
      <alignment horizontal="left" vertical="center"/>
    </xf>
    <xf numFmtId="0" fontId="31" fillId="45" borderId="59" xfId="0" applyFont="1" applyFill="1" applyBorder="1" applyAlignment="1">
      <alignment horizontal="center" vertical="center"/>
    </xf>
    <xf numFmtId="0" fontId="31" fillId="45" borderId="60" xfId="0" applyFont="1" applyFill="1" applyBorder="1" applyAlignment="1">
      <alignment horizontal="center" vertical="center"/>
    </xf>
    <xf numFmtId="0" fontId="31" fillId="45" borderId="62" xfId="0" applyFont="1" applyFill="1" applyBorder="1" applyAlignment="1">
      <alignment horizontal="center" vertical="center"/>
    </xf>
    <xf numFmtId="0" fontId="31" fillId="59" borderId="59" xfId="0" applyFont="1" applyFill="1" applyBorder="1" applyAlignment="1">
      <alignment horizontal="center" vertical="center"/>
    </xf>
    <xf numFmtId="0" fontId="31" fillId="59" borderId="60" xfId="0" applyFont="1" applyFill="1" applyBorder="1" applyAlignment="1">
      <alignment horizontal="center" vertical="center"/>
    </xf>
    <xf numFmtId="0" fontId="31" fillId="59" borderId="61" xfId="0" applyFont="1" applyFill="1" applyBorder="1" applyAlignment="1">
      <alignment horizontal="center" vertical="center"/>
    </xf>
    <xf numFmtId="0" fontId="31" fillId="59" borderId="63" xfId="0" applyFont="1" applyFill="1" applyBorder="1" applyAlignment="1">
      <alignment horizontal="center" vertical="center"/>
    </xf>
    <xf numFmtId="0" fontId="31" fillId="59" borderId="62" xfId="0" applyFont="1" applyFill="1" applyBorder="1" applyAlignment="1">
      <alignment horizontal="center" vertical="center"/>
    </xf>
    <xf numFmtId="0" fontId="31" fillId="40" borderId="59" xfId="0" applyFont="1" applyFill="1" applyBorder="1" applyAlignment="1">
      <alignment horizontal="center" vertical="center"/>
    </xf>
    <xf numFmtId="0" fontId="31" fillId="40" borderId="60" xfId="0" applyFont="1" applyFill="1" applyBorder="1" applyAlignment="1">
      <alignment horizontal="center" vertical="center"/>
    </xf>
    <xf numFmtId="0" fontId="31" fillId="40" borderId="62" xfId="0" applyFont="1" applyFill="1" applyBorder="1" applyAlignment="1">
      <alignment horizontal="center" vertical="center"/>
    </xf>
    <xf numFmtId="0" fontId="31" fillId="60" borderId="59" xfId="0" applyFont="1" applyFill="1" applyBorder="1" applyAlignment="1">
      <alignment horizontal="center" vertical="center"/>
    </xf>
    <xf numFmtId="0" fontId="31" fillId="63" borderId="62" xfId="0" applyFont="1" applyFill="1" applyBorder="1" applyAlignment="1">
      <alignment horizontal="center" vertical="center"/>
    </xf>
    <xf numFmtId="0" fontId="31" fillId="43" borderId="59" xfId="0" applyFont="1" applyFill="1" applyBorder="1" applyAlignment="1">
      <alignment horizontal="center" vertical="center"/>
    </xf>
    <xf numFmtId="0" fontId="31" fillId="43" borderId="60" xfId="0" applyFont="1" applyFill="1" applyBorder="1" applyAlignment="1">
      <alignment horizontal="center" vertical="center"/>
    </xf>
    <xf numFmtId="0" fontId="31" fillId="43" borderId="62" xfId="0" applyFont="1" applyFill="1" applyBorder="1" applyAlignment="1">
      <alignment horizontal="center" vertical="center"/>
    </xf>
    <xf numFmtId="0" fontId="31" fillId="57" borderId="59" xfId="0" applyFont="1" applyFill="1" applyBorder="1" applyAlignment="1">
      <alignment horizontal="center" vertical="center"/>
    </xf>
    <xf numFmtId="0" fontId="31" fillId="57" borderId="60" xfId="0" applyFont="1" applyFill="1" applyBorder="1" applyAlignment="1">
      <alignment horizontal="center" vertical="center"/>
    </xf>
    <xf numFmtId="0" fontId="31" fillId="57" borderId="61" xfId="0" applyFont="1" applyFill="1" applyBorder="1" applyAlignment="1">
      <alignment horizontal="center" vertical="center"/>
    </xf>
    <xf numFmtId="0" fontId="31" fillId="57" borderId="63" xfId="0" applyFont="1" applyFill="1" applyBorder="1" applyAlignment="1">
      <alignment horizontal="center" vertical="center"/>
    </xf>
    <xf numFmtId="0" fontId="31" fillId="57" borderId="62" xfId="0" applyFont="1" applyFill="1" applyBorder="1" applyAlignment="1">
      <alignment horizontal="center" vertical="center"/>
    </xf>
    <xf numFmtId="0" fontId="30" fillId="80" borderId="25" xfId="401" applyFont="1" applyFill="1" applyBorder="1" applyAlignment="1">
      <alignment horizontal="center" vertical="center"/>
    </xf>
    <xf numFmtId="0" fontId="30" fillId="80" borderId="26" xfId="401" applyFont="1" applyFill="1" applyBorder="1" applyAlignment="1">
      <alignment horizontal="center" vertical="center"/>
    </xf>
    <xf numFmtId="0" fontId="30" fillId="80" borderId="27" xfId="401" applyFont="1" applyFill="1" applyBorder="1" applyAlignment="1">
      <alignment horizontal="center" vertical="center"/>
    </xf>
    <xf numFmtId="0" fontId="30" fillId="81" borderId="25" xfId="401" applyFont="1" applyFill="1" applyBorder="1" applyAlignment="1">
      <alignment horizontal="center" vertical="center"/>
    </xf>
    <xf numFmtId="0" fontId="30" fillId="81" borderId="26" xfId="401" applyFont="1" applyFill="1" applyBorder="1" applyAlignment="1">
      <alignment horizontal="center" vertical="center"/>
    </xf>
    <xf numFmtId="0" fontId="30" fillId="81" borderId="27" xfId="401" applyFont="1" applyFill="1" applyBorder="1" applyAlignment="1">
      <alignment horizontal="center" vertical="center"/>
    </xf>
    <xf numFmtId="0" fontId="30" fillId="82" borderId="25" xfId="401" applyFont="1" applyFill="1" applyBorder="1" applyAlignment="1">
      <alignment horizontal="center" vertical="center"/>
    </xf>
    <xf numFmtId="0" fontId="30" fillId="82" borderId="26" xfId="401" applyFont="1" applyFill="1" applyBorder="1" applyAlignment="1">
      <alignment horizontal="center" vertical="center"/>
    </xf>
    <xf numFmtId="0" fontId="30" fillId="82" borderId="27" xfId="401" applyFont="1" applyFill="1" applyBorder="1" applyAlignment="1">
      <alignment horizontal="center" vertical="center"/>
    </xf>
    <xf numFmtId="0" fontId="31" fillId="48" borderId="59" xfId="0" applyFont="1" applyFill="1" applyBorder="1" applyAlignment="1">
      <alignment horizontal="center" vertical="center"/>
    </xf>
    <xf numFmtId="0" fontId="31" fillId="48" borderId="60" xfId="0" applyFont="1" applyFill="1" applyBorder="1" applyAlignment="1">
      <alignment horizontal="center" vertical="center"/>
    </xf>
    <xf numFmtId="0" fontId="31" fillId="48" borderId="61" xfId="0" applyFont="1" applyFill="1" applyBorder="1" applyAlignment="1">
      <alignment horizontal="center" vertical="center"/>
    </xf>
    <xf numFmtId="0" fontId="31" fillId="48" borderId="63" xfId="0" applyFont="1" applyFill="1" applyBorder="1" applyAlignment="1">
      <alignment horizontal="center" vertical="center"/>
    </xf>
    <xf numFmtId="0" fontId="31" fillId="48" borderId="62" xfId="0" applyFont="1" applyFill="1" applyBorder="1" applyAlignment="1">
      <alignment horizontal="center" vertical="center"/>
    </xf>
    <xf numFmtId="0" fontId="3" fillId="49" borderId="10" xfId="0" applyFont="1" applyFill="1" applyBorder="1" applyAlignment="1">
      <alignment horizontal="right" vertical="center"/>
    </xf>
    <xf numFmtId="0" fontId="3" fillId="49" borderId="11" xfId="0" applyFont="1" applyFill="1" applyBorder="1" applyAlignment="1">
      <alignment horizontal="right" vertical="center"/>
    </xf>
    <xf numFmtId="0" fontId="3" fillId="49" borderId="3" xfId="0" applyFont="1" applyFill="1" applyBorder="1" applyAlignment="1">
      <alignment horizontal="right" vertical="center"/>
    </xf>
    <xf numFmtId="0" fontId="3" fillId="49" borderId="7" xfId="0" applyFont="1" applyFill="1" applyBorder="1" applyAlignment="1">
      <alignment horizontal="right" vertical="center"/>
    </xf>
    <xf numFmtId="0" fontId="3" fillId="49" borderId="43" xfId="0" applyFont="1" applyFill="1" applyBorder="1" applyAlignment="1">
      <alignment horizontal="left" vertical="center"/>
    </xf>
    <xf numFmtId="0" fontId="3" fillId="49" borderId="48" xfId="0" applyFont="1" applyFill="1" applyBorder="1" applyAlignment="1">
      <alignment horizontal="left" vertical="center"/>
    </xf>
    <xf numFmtId="0" fontId="3" fillId="49" borderId="6" xfId="0" applyFont="1" applyFill="1" applyBorder="1" applyAlignment="1">
      <alignment horizontal="left" vertical="center"/>
    </xf>
    <xf numFmtId="0" fontId="3" fillId="49" borderId="8" xfId="0" applyFont="1" applyFill="1" applyBorder="1" applyAlignment="1">
      <alignment horizontal="left" vertical="center"/>
    </xf>
    <xf numFmtId="0" fontId="3" fillId="49" borderId="43" xfId="0" applyFont="1" applyFill="1" applyBorder="1" applyAlignment="1">
      <alignment horizontal="center" vertical="center"/>
    </xf>
    <xf numFmtId="0" fontId="3" fillId="49" borderId="48" xfId="0" applyFont="1" applyFill="1" applyBorder="1" applyAlignment="1">
      <alignment horizontal="center" vertical="center"/>
    </xf>
    <xf numFmtId="0" fontId="31" fillId="84" borderId="60" xfId="0" applyFont="1" applyFill="1" applyBorder="1" applyAlignment="1">
      <alignment horizontal="center" vertical="center"/>
    </xf>
    <xf numFmtId="0" fontId="31" fillId="84" borderId="62" xfId="0" applyFont="1" applyFill="1" applyBorder="1" applyAlignment="1">
      <alignment horizontal="center" vertical="center"/>
    </xf>
    <xf numFmtId="0" fontId="31" fillId="84" borderId="59" xfId="0" applyFont="1" applyFill="1" applyBorder="1" applyAlignment="1">
      <alignment horizontal="center" vertical="center"/>
    </xf>
    <xf numFmtId="0" fontId="31" fillId="84" borderId="63" xfId="0" applyFont="1" applyFill="1" applyBorder="1" applyAlignment="1">
      <alignment horizontal="center" vertical="center"/>
    </xf>
    <xf numFmtId="0" fontId="31" fillId="84" borderId="61" xfId="0" applyFont="1" applyFill="1" applyBorder="1" applyAlignment="1">
      <alignment horizontal="center" vertical="center"/>
    </xf>
    <xf numFmtId="0" fontId="31" fillId="56" borderId="63" xfId="0" applyFont="1" applyFill="1" applyBorder="1" applyAlignment="1">
      <alignment horizontal="center" vertical="center"/>
    </xf>
    <xf numFmtId="0" fontId="31" fillId="56" borderId="60" xfId="0" applyFont="1" applyFill="1" applyBorder="1" applyAlignment="1">
      <alignment horizontal="center" vertical="center"/>
    </xf>
    <xf numFmtId="0" fontId="31" fillId="56" borderId="62" xfId="0" applyFont="1" applyFill="1" applyBorder="1" applyAlignment="1">
      <alignment horizontal="center" vertical="center"/>
    </xf>
    <xf numFmtId="0" fontId="3" fillId="72" borderId="25" xfId="0" applyFont="1" applyFill="1" applyBorder="1" applyAlignment="1">
      <alignment horizontal="center" vertical="center"/>
    </xf>
    <xf numFmtId="0" fontId="3" fillId="72" borderId="26" xfId="0" applyFont="1" applyFill="1" applyBorder="1" applyAlignment="1">
      <alignment horizontal="center" vertical="center"/>
    </xf>
    <xf numFmtId="0" fontId="3" fillId="72" borderId="27" xfId="0" applyFont="1" applyFill="1" applyBorder="1" applyAlignment="1">
      <alignment horizontal="center" vertical="center"/>
    </xf>
    <xf numFmtId="0" fontId="0" fillId="67" borderId="0" xfId="0" applyFill="1" applyAlignment="1">
      <alignment horizontal="center"/>
    </xf>
    <xf numFmtId="0" fontId="0" fillId="69" borderId="0" xfId="0" applyFill="1" applyAlignment="1">
      <alignment wrapText="1"/>
    </xf>
    <xf numFmtId="0" fontId="0" fillId="69" borderId="0" xfId="0" applyFill="1" applyBorder="1" applyAlignment="1">
      <alignment wrapText="1"/>
    </xf>
    <xf numFmtId="11" fontId="3" fillId="78" borderId="0" xfId="0" applyNumberFormat="1" applyFont="1" applyFill="1" applyBorder="1" applyAlignment="1">
      <alignment horizontal="center" vertical="center"/>
    </xf>
    <xf numFmtId="11" fontId="3" fillId="87" borderId="15" xfId="0" applyNumberFormat="1" applyFont="1" applyFill="1" applyBorder="1" applyAlignment="1">
      <alignment horizontal="center" vertical="center"/>
    </xf>
    <xf numFmtId="11" fontId="3" fillId="87" borderId="0" xfId="0" applyNumberFormat="1" applyFont="1" applyFill="1" applyBorder="1" applyAlignment="1">
      <alignment horizontal="center" vertical="center"/>
    </xf>
    <xf numFmtId="11" fontId="3" fillId="87" borderId="2" xfId="0" applyNumberFormat="1" applyFont="1" applyFill="1" applyBorder="1" applyAlignment="1">
      <alignment horizontal="center" vertical="center"/>
    </xf>
  </cellXfs>
  <cellStyles count="403">
    <cellStyle name="20% - Accent1" xfId="1" builtinId="30" customBuiltin="1"/>
    <cellStyle name="20% - Accent1 2" xfId="2"/>
    <cellStyle name="20% - Accent1 2 2" xfId="3"/>
    <cellStyle name="20% - Accent1 2 2 2" xfId="4"/>
    <cellStyle name="20% - Accent1 2 2 2 2" xfId="218"/>
    <cellStyle name="20% - Accent1 2 2 3" xfId="217"/>
    <cellStyle name="20% - Accent1 2 3" xfId="5"/>
    <cellStyle name="20% - Accent1 2 3 2" xfId="6"/>
    <cellStyle name="20% - Accent1 2 3 2 2" xfId="220"/>
    <cellStyle name="20% - Accent1 2 3 3" xfId="219"/>
    <cellStyle name="20% - Accent1 2 4" xfId="7"/>
    <cellStyle name="20% - Accent1 2 4 2" xfId="221"/>
    <cellStyle name="20% - Accent1 2 5" xfId="8"/>
    <cellStyle name="20% - Accent1 2 5 2" xfId="222"/>
    <cellStyle name="20% - Accent1 2 6" xfId="216"/>
    <cellStyle name="20% - Accent1 3" xfId="9"/>
    <cellStyle name="20% - Accent1 3 2" xfId="10"/>
    <cellStyle name="20% - Accent1 3 2 2" xfId="224"/>
    <cellStyle name="20% - Accent1 3 3" xfId="223"/>
    <cellStyle name="20% - Accent1 4" xfId="11"/>
    <cellStyle name="20% - Accent1 4 2" xfId="12"/>
    <cellStyle name="20% - Accent1 4 2 2" xfId="226"/>
    <cellStyle name="20% - Accent1 4 3" xfId="225"/>
    <cellStyle name="20% - Accent1 5" xfId="13"/>
    <cellStyle name="20% - Accent1 5 2" xfId="227"/>
    <cellStyle name="20% - Accent1 6" xfId="14"/>
    <cellStyle name="20% - Accent1 6 2" xfId="228"/>
    <cellStyle name="20% - Accent1 7" xfId="215"/>
    <cellStyle name="20% - Accent2" xfId="15" builtinId="34" customBuiltin="1"/>
    <cellStyle name="20% - Accent2 2" xfId="16"/>
    <cellStyle name="20% - Accent2 2 2" xfId="17"/>
    <cellStyle name="20% - Accent2 2 2 2" xfId="18"/>
    <cellStyle name="20% - Accent2 2 2 2 2" xfId="232"/>
    <cellStyle name="20% - Accent2 2 2 3" xfId="231"/>
    <cellStyle name="20% - Accent2 2 3" xfId="19"/>
    <cellStyle name="20% - Accent2 2 3 2" xfId="20"/>
    <cellStyle name="20% - Accent2 2 3 2 2" xfId="234"/>
    <cellStyle name="20% - Accent2 2 3 3" xfId="233"/>
    <cellStyle name="20% - Accent2 2 4" xfId="21"/>
    <cellStyle name="20% - Accent2 2 4 2" xfId="235"/>
    <cellStyle name="20% - Accent2 2 5" xfId="22"/>
    <cellStyle name="20% - Accent2 2 5 2" xfId="236"/>
    <cellStyle name="20% - Accent2 2 6" xfId="230"/>
    <cellStyle name="20% - Accent2 3" xfId="23"/>
    <cellStyle name="20% - Accent2 3 2" xfId="24"/>
    <cellStyle name="20% - Accent2 3 2 2" xfId="238"/>
    <cellStyle name="20% - Accent2 3 3" xfId="237"/>
    <cellStyle name="20% - Accent2 4" xfId="25"/>
    <cellStyle name="20% - Accent2 4 2" xfId="26"/>
    <cellStyle name="20% - Accent2 4 2 2" xfId="240"/>
    <cellStyle name="20% - Accent2 4 3" xfId="239"/>
    <cellStyle name="20% - Accent2 5" xfId="27"/>
    <cellStyle name="20% - Accent2 5 2" xfId="241"/>
    <cellStyle name="20% - Accent2 6" xfId="28"/>
    <cellStyle name="20% - Accent2 6 2" xfId="242"/>
    <cellStyle name="20% - Accent2 7" xfId="229"/>
    <cellStyle name="20% - Accent3" xfId="29" builtinId="38" customBuiltin="1"/>
    <cellStyle name="20% - Accent3 2" xfId="30"/>
    <cellStyle name="20% - Accent3 2 2" xfId="31"/>
    <cellStyle name="20% - Accent3 2 2 2" xfId="32"/>
    <cellStyle name="20% - Accent3 2 2 2 2" xfId="246"/>
    <cellStyle name="20% - Accent3 2 2 3" xfId="245"/>
    <cellStyle name="20% - Accent3 2 3" xfId="33"/>
    <cellStyle name="20% - Accent3 2 3 2" xfId="34"/>
    <cellStyle name="20% - Accent3 2 3 2 2" xfId="248"/>
    <cellStyle name="20% - Accent3 2 3 3" xfId="247"/>
    <cellStyle name="20% - Accent3 2 4" xfId="35"/>
    <cellStyle name="20% - Accent3 2 4 2" xfId="249"/>
    <cellStyle name="20% - Accent3 2 5" xfId="36"/>
    <cellStyle name="20% - Accent3 2 5 2" xfId="250"/>
    <cellStyle name="20% - Accent3 2 6" xfId="244"/>
    <cellStyle name="20% - Accent3 3" xfId="37"/>
    <cellStyle name="20% - Accent3 3 2" xfId="38"/>
    <cellStyle name="20% - Accent3 3 2 2" xfId="252"/>
    <cellStyle name="20% - Accent3 3 3" xfId="251"/>
    <cellStyle name="20% - Accent3 4" xfId="39"/>
    <cellStyle name="20% - Accent3 4 2" xfId="40"/>
    <cellStyle name="20% - Accent3 4 2 2" xfId="254"/>
    <cellStyle name="20% - Accent3 4 3" xfId="253"/>
    <cellStyle name="20% - Accent3 5" xfId="41"/>
    <cellStyle name="20% - Accent3 5 2" xfId="255"/>
    <cellStyle name="20% - Accent3 6" xfId="42"/>
    <cellStyle name="20% - Accent3 6 2" xfId="256"/>
    <cellStyle name="20% - Accent3 7" xfId="243"/>
    <cellStyle name="20% - Accent4" xfId="43" builtinId="42" customBuiltin="1"/>
    <cellStyle name="20% - Accent4 2" xfId="44"/>
    <cellStyle name="20% - Accent4 2 2" xfId="45"/>
    <cellStyle name="20% - Accent4 2 2 2" xfId="46"/>
    <cellStyle name="20% - Accent4 2 2 2 2" xfId="260"/>
    <cellStyle name="20% - Accent4 2 2 3" xfId="259"/>
    <cellStyle name="20% - Accent4 2 3" xfId="47"/>
    <cellStyle name="20% - Accent4 2 3 2" xfId="48"/>
    <cellStyle name="20% - Accent4 2 3 2 2" xfId="262"/>
    <cellStyle name="20% - Accent4 2 3 3" xfId="261"/>
    <cellStyle name="20% - Accent4 2 4" xfId="49"/>
    <cellStyle name="20% - Accent4 2 4 2" xfId="263"/>
    <cellStyle name="20% - Accent4 2 5" xfId="50"/>
    <cellStyle name="20% - Accent4 2 5 2" xfId="264"/>
    <cellStyle name="20% - Accent4 2 6" xfId="258"/>
    <cellStyle name="20% - Accent4 3" xfId="51"/>
    <cellStyle name="20% - Accent4 3 2" xfId="52"/>
    <cellStyle name="20% - Accent4 3 2 2" xfId="266"/>
    <cellStyle name="20% - Accent4 3 3" xfId="265"/>
    <cellStyle name="20% - Accent4 4" xfId="53"/>
    <cellStyle name="20% - Accent4 4 2" xfId="54"/>
    <cellStyle name="20% - Accent4 4 2 2" xfId="268"/>
    <cellStyle name="20% - Accent4 4 3" xfId="267"/>
    <cellStyle name="20% - Accent4 5" xfId="55"/>
    <cellStyle name="20% - Accent4 5 2" xfId="269"/>
    <cellStyle name="20% - Accent4 6" xfId="56"/>
    <cellStyle name="20% - Accent4 6 2" xfId="270"/>
    <cellStyle name="20% - Accent4 7" xfId="257"/>
    <cellStyle name="20% - Accent5" xfId="57" builtinId="46" customBuiltin="1"/>
    <cellStyle name="20% - Accent5 2" xfId="58"/>
    <cellStyle name="20% - Accent5 2 2" xfId="59"/>
    <cellStyle name="20% - Accent5 2 2 2" xfId="60"/>
    <cellStyle name="20% - Accent5 2 2 2 2" xfId="274"/>
    <cellStyle name="20% - Accent5 2 2 3" xfId="273"/>
    <cellStyle name="20% - Accent5 2 3" xfId="61"/>
    <cellStyle name="20% - Accent5 2 3 2" xfId="62"/>
    <cellStyle name="20% - Accent5 2 3 2 2" xfId="276"/>
    <cellStyle name="20% - Accent5 2 3 3" xfId="275"/>
    <cellStyle name="20% - Accent5 2 4" xfId="63"/>
    <cellStyle name="20% - Accent5 2 4 2" xfId="277"/>
    <cellStyle name="20% - Accent5 2 5" xfId="64"/>
    <cellStyle name="20% - Accent5 2 5 2" xfId="278"/>
    <cellStyle name="20% - Accent5 2 6" xfId="272"/>
    <cellStyle name="20% - Accent5 3" xfId="65"/>
    <cellStyle name="20% - Accent5 3 2" xfId="66"/>
    <cellStyle name="20% - Accent5 3 2 2" xfId="280"/>
    <cellStyle name="20% - Accent5 3 3" xfId="279"/>
    <cellStyle name="20% - Accent5 4" xfId="67"/>
    <cellStyle name="20% - Accent5 4 2" xfId="68"/>
    <cellStyle name="20% - Accent5 4 2 2" xfId="282"/>
    <cellStyle name="20% - Accent5 4 3" xfId="281"/>
    <cellStyle name="20% - Accent5 5" xfId="69"/>
    <cellStyle name="20% - Accent5 5 2" xfId="283"/>
    <cellStyle name="20% - Accent5 6" xfId="70"/>
    <cellStyle name="20% - Accent5 6 2" xfId="284"/>
    <cellStyle name="20% - Accent5 7" xfId="271"/>
    <cellStyle name="20% - Accent6" xfId="71" builtinId="50" customBuiltin="1"/>
    <cellStyle name="20% - Accent6 2" xfId="72"/>
    <cellStyle name="20% - Accent6 2 2" xfId="73"/>
    <cellStyle name="20% - Accent6 2 2 2" xfId="74"/>
    <cellStyle name="20% - Accent6 2 2 2 2" xfId="288"/>
    <cellStyle name="20% - Accent6 2 2 3" xfId="287"/>
    <cellStyle name="20% - Accent6 2 3" xfId="75"/>
    <cellStyle name="20% - Accent6 2 3 2" xfId="76"/>
    <cellStyle name="20% - Accent6 2 3 2 2" xfId="290"/>
    <cellStyle name="20% - Accent6 2 3 3" xfId="289"/>
    <cellStyle name="20% - Accent6 2 4" xfId="77"/>
    <cellStyle name="20% - Accent6 2 4 2" xfId="291"/>
    <cellStyle name="20% - Accent6 2 5" xfId="78"/>
    <cellStyle name="20% - Accent6 2 5 2" xfId="292"/>
    <cellStyle name="20% - Accent6 2 6" xfId="286"/>
    <cellStyle name="20% - Accent6 3" xfId="79"/>
    <cellStyle name="20% - Accent6 3 2" xfId="80"/>
    <cellStyle name="20% - Accent6 3 2 2" xfId="294"/>
    <cellStyle name="20% - Accent6 3 3" xfId="293"/>
    <cellStyle name="20% - Accent6 4" xfId="81"/>
    <cellStyle name="20% - Accent6 4 2" xfId="82"/>
    <cellStyle name="20% - Accent6 4 2 2" xfId="296"/>
    <cellStyle name="20% - Accent6 4 3" xfId="295"/>
    <cellStyle name="20% - Accent6 5" xfId="83"/>
    <cellStyle name="20% - Accent6 5 2" xfId="297"/>
    <cellStyle name="20% - Accent6 6" xfId="84"/>
    <cellStyle name="20% - Accent6 6 2" xfId="298"/>
    <cellStyle name="20% - Accent6 7" xfId="285"/>
    <cellStyle name="40% - Accent1" xfId="85" builtinId="31" customBuiltin="1"/>
    <cellStyle name="40% - Accent1 2" xfId="86"/>
    <cellStyle name="40% - Accent1 2 2" xfId="87"/>
    <cellStyle name="40% - Accent1 2 2 2" xfId="88"/>
    <cellStyle name="40% - Accent1 2 2 2 2" xfId="302"/>
    <cellStyle name="40% - Accent1 2 2 3" xfId="301"/>
    <cellStyle name="40% - Accent1 2 3" xfId="89"/>
    <cellStyle name="40% - Accent1 2 3 2" xfId="90"/>
    <cellStyle name="40% - Accent1 2 3 2 2" xfId="304"/>
    <cellStyle name="40% - Accent1 2 3 3" xfId="303"/>
    <cellStyle name="40% - Accent1 2 4" xfId="91"/>
    <cellStyle name="40% - Accent1 2 4 2" xfId="305"/>
    <cellStyle name="40% - Accent1 2 5" xfId="92"/>
    <cellStyle name="40% - Accent1 2 5 2" xfId="306"/>
    <cellStyle name="40% - Accent1 2 6" xfId="300"/>
    <cellStyle name="40% - Accent1 3" xfId="93"/>
    <cellStyle name="40% - Accent1 3 2" xfId="94"/>
    <cellStyle name="40% - Accent1 3 2 2" xfId="308"/>
    <cellStyle name="40% - Accent1 3 3" xfId="307"/>
    <cellStyle name="40% - Accent1 4" xfId="95"/>
    <cellStyle name="40% - Accent1 4 2" xfId="96"/>
    <cellStyle name="40% - Accent1 4 2 2" xfId="310"/>
    <cellStyle name="40% - Accent1 4 3" xfId="309"/>
    <cellStyle name="40% - Accent1 5" xfId="97"/>
    <cellStyle name="40% - Accent1 5 2" xfId="311"/>
    <cellStyle name="40% - Accent1 6" xfId="98"/>
    <cellStyle name="40% - Accent1 6 2" xfId="312"/>
    <cellStyle name="40% - Accent1 7" xfId="299"/>
    <cellStyle name="40% - Accent2" xfId="99" builtinId="35" customBuiltin="1"/>
    <cellStyle name="40% - Accent2 2" xfId="100"/>
    <cellStyle name="40% - Accent2 2 2" xfId="101"/>
    <cellStyle name="40% - Accent2 2 2 2" xfId="102"/>
    <cellStyle name="40% - Accent2 2 2 2 2" xfId="316"/>
    <cellStyle name="40% - Accent2 2 2 3" xfId="315"/>
    <cellStyle name="40% - Accent2 2 3" xfId="103"/>
    <cellStyle name="40% - Accent2 2 3 2" xfId="104"/>
    <cellStyle name="40% - Accent2 2 3 2 2" xfId="318"/>
    <cellStyle name="40% - Accent2 2 3 3" xfId="317"/>
    <cellStyle name="40% - Accent2 2 4" xfId="105"/>
    <cellStyle name="40% - Accent2 2 4 2" xfId="319"/>
    <cellStyle name="40% - Accent2 2 5" xfId="106"/>
    <cellStyle name="40% - Accent2 2 5 2" xfId="320"/>
    <cellStyle name="40% - Accent2 2 6" xfId="314"/>
    <cellStyle name="40% - Accent2 3" xfId="107"/>
    <cellStyle name="40% - Accent2 3 2" xfId="108"/>
    <cellStyle name="40% - Accent2 3 2 2" xfId="322"/>
    <cellStyle name="40% - Accent2 3 3" xfId="321"/>
    <cellStyle name="40% - Accent2 4" xfId="109"/>
    <cellStyle name="40% - Accent2 4 2" xfId="110"/>
    <cellStyle name="40% - Accent2 4 2 2" xfId="324"/>
    <cellStyle name="40% - Accent2 4 3" xfId="323"/>
    <cellStyle name="40% - Accent2 5" xfId="111"/>
    <cellStyle name="40% - Accent2 5 2" xfId="325"/>
    <cellStyle name="40% - Accent2 6" xfId="112"/>
    <cellStyle name="40% - Accent2 6 2" xfId="326"/>
    <cellStyle name="40% - Accent2 7" xfId="313"/>
    <cellStyle name="40% - Accent3" xfId="113" builtinId="39" customBuiltin="1"/>
    <cellStyle name="40% - Accent3 2" xfId="114"/>
    <cellStyle name="40% - Accent3 2 2" xfId="115"/>
    <cellStyle name="40% - Accent3 2 2 2" xfId="116"/>
    <cellStyle name="40% - Accent3 2 2 2 2" xfId="330"/>
    <cellStyle name="40% - Accent3 2 2 3" xfId="329"/>
    <cellStyle name="40% - Accent3 2 3" xfId="117"/>
    <cellStyle name="40% - Accent3 2 3 2" xfId="118"/>
    <cellStyle name="40% - Accent3 2 3 2 2" xfId="332"/>
    <cellStyle name="40% - Accent3 2 3 3" xfId="331"/>
    <cellStyle name="40% - Accent3 2 4" xfId="119"/>
    <cellStyle name="40% - Accent3 2 4 2" xfId="333"/>
    <cellStyle name="40% - Accent3 2 5" xfId="120"/>
    <cellStyle name="40% - Accent3 2 5 2" xfId="334"/>
    <cellStyle name="40% - Accent3 2 6" xfId="328"/>
    <cellStyle name="40% - Accent3 3" xfId="121"/>
    <cellStyle name="40% - Accent3 3 2" xfId="122"/>
    <cellStyle name="40% - Accent3 3 2 2" xfId="336"/>
    <cellStyle name="40% - Accent3 3 3" xfId="335"/>
    <cellStyle name="40% - Accent3 4" xfId="123"/>
    <cellStyle name="40% - Accent3 4 2" xfId="124"/>
    <cellStyle name="40% - Accent3 4 2 2" xfId="338"/>
    <cellStyle name="40% - Accent3 4 3" xfId="337"/>
    <cellStyle name="40% - Accent3 5" xfId="125"/>
    <cellStyle name="40% - Accent3 5 2" xfId="339"/>
    <cellStyle name="40% - Accent3 6" xfId="126"/>
    <cellStyle name="40% - Accent3 6 2" xfId="340"/>
    <cellStyle name="40% - Accent3 7" xfId="327"/>
    <cellStyle name="40% - Accent4" xfId="127" builtinId="43" customBuiltin="1"/>
    <cellStyle name="40% - Accent4 2" xfId="128"/>
    <cellStyle name="40% - Accent4 2 2" xfId="129"/>
    <cellStyle name="40% - Accent4 2 2 2" xfId="130"/>
    <cellStyle name="40% - Accent4 2 2 2 2" xfId="344"/>
    <cellStyle name="40% - Accent4 2 2 3" xfId="343"/>
    <cellStyle name="40% - Accent4 2 3" xfId="131"/>
    <cellStyle name="40% - Accent4 2 3 2" xfId="132"/>
    <cellStyle name="40% - Accent4 2 3 2 2" xfId="346"/>
    <cellStyle name="40% - Accent4 2 3 3" xfId="345"/>
    <cellStyle name="40% - Accent4 2 4" xfId="133"/>
    <cellStyle name="40% - Accent4 2 4 2" xfId="347"/>
    <cellStyle name="40% - Accent4 2 5" xfId="134"/>
    <cellStyle name="40% - Accent4 2 5 2" xfId="348"/>
    <cellStyle name="40% - Accent4 2 6" xfId="342"/>
    <cellStyle name="40% - Accent4 3" xfId="135"/>
    <cellStyle name="40% - Accent4 3 2" xfId="136"/>
    <cellStyle name="40% - Accent4 3 2 2" xfId="350"/>
    <cellStyle name="40% - Accent4 3 3" xfId="349"/>
    <cellStyle name="40% - Accent4 4" xfId="137"/>
    <cellStyle name="40% - Accent4 4 2" xfId="138"/>
    <cellStyle name="40% - Accent4 4 2 2" xfId="352"/>
    <cellStyle name="40% - Accent4 4 3" xfId="351"/>
    <cellStyle name="40% - Accent4 5" xfId="139"/>
    <cellStyle name="40% - Accent4 5 2" xfId="353"/>
    <cellStyle name="40% - Accent4 6" xfId="140"/>
    <cellStyle name="40% - Accent4 6 2" xfId="354"/>
    <cellStyle name="40% - Accent4 7" xfId="341"/>
    <cellStyle name="40% - Accent5" xfId="141" builtinId="47" customBuiltin="1"/>
    <cellStyle name="40% - Accent5 2" xfId="142"/>
    <cellStyle name="40% - Accent5 2 2" xfId="143"/>
    <cellStyle name="40% - Accent5 2 2 2" xfId="144"/>
    <cellStyle name="40% - Accent5 2 2 2 2" xfId="358"/>
    <cellStyle name="40% - Accent5 2 2 3" xfId="357"/>
    <cellStyle name="40% - Accent5 2 3" xfId="145"/>
    <cellStyle name="40% - Accent5 2 3 2" xfId="146"/>
    <cellStyle name="40% - Accent5 2 3 2 2" xfId="360"/>
    <cellStyle name="40% - Accent5 2 3 3" xfId="359"/>
    <cellStyle name="40% - Accent5 2 4" xfId="147"/>
    <cellStyle name="40% - Accent5 2 4 2" xfId="361"/>
    <cellStyle name="40% - Accent5 2 5" xfId="148"/>
    <cellStyle name="40% - Accent5 2 5 2" xfId="362"/>
    <cellStyle name="40% - Accent5 2 6" xfId="356"/>
    <cellStyle name="40% - Accent5 3" xfId="149"/>
    <cellStyle name="40% - Accent5 3 2" xfId="150"/>
    <cellStyle name="40% - Accent5 3 2 2" xfId="364"/>
    <cellStyle name="40% - Accent5 3 3" xfId="363"/>
    <cellStyle name="40% - Accent5 4" xfId="151"/>
    <cellStyle name="40% - Accent5 4 2" xfId="152"/>
    <cellStyle name="40% - Accent5 4 2 2" xfId="366"/>
    <cellStyle name="40% - Accent5 4 3" xfId="365"/>
    <cellStyle name="40% - Accent5 5" xfId="153"/>
    <cellStyle name="40% - Accent5 5 2" xfId="367"/>
    <cellStyle name="40% - Accent5 6" xfId="154"/>
    <cellStyle name="40% - Accent5 6 2" xfId="368"/>
    <cellStyle name="40% - Accent5 7" xfId="355"/>
    <cellStyle name="40% - Accent6" xfId="155" builtinId="51" customBuiltin="1"/>
    <cellStyle name="40% - Accent6 2" xfId="156"/>
    <cellStyle name="40% - Accent6 2 2" xfId="157"/>
    <cellStyle name="40% - Accent6 2 2 2" xfId="158"/>
    <cellStyle name="40% - Accent6 2 2 2 2" xfId="372"/>
    <cellStyle name="40% - Accent6 2 2 3" xfId="371"/>
    <cellStyle name="40% - Accent6 2 3" xfId="159"/>
    <cellStyle name="40% - Accent6 2 3 2" xfId="160"/>
    <cellStyle name="40% - Accent6 2 3 2 2" xfId="374"/>
    <cellStyle name="40% - Accent6 2 3 3" xfId="373"/>
    <cellStyle name="40% - Accent6 2 4" xfId="161"/>
    <cellStyle name="40% - Accent6 2 4 2" xfId="375"/>
    <cellStyle name="40% - Accent6 2 5" xfId="162"/>
    <cellStyle name="40% - Accent6 2 5 2" xfId="376"/>
    <cellStyle name="40% - Accent6 2 6" xfId="370"/>
    <cellStyle name="40% - Accent6 3" xfId="163"/>
    <cellStyle name="40% - Accent6 3 2" xfId="164"/>
    <cellStyle name="40% - Accent6 3 2 2" xfId="378"/>
    <cellStyle name="40% - Accent6 3 3" xfId="377"/>
    <cellStyle name="40% - Accent6 4" xfId="165"/>
    <cellStyle name="40% - Accent6 4 2" xfId="166"/>
    <cellStyle name="40% - Accent6 4 2 2" xfId="380"/>
    <cellStyle name="40% - Accent6 4 3" xfId="379"/>
    <cellStyle name="40% - Accent6 5" xfId="167"/>
    <cellStyle name="40% - Accent6 5 2" xfId="381"/>
    <cellStyle name="40% - Accent6 6" xfId="168"/>
    <cellStyle name="40% - Accent6 6 2" xfId="382"/>
    <cellStyle name="40% - Accent6 7" xfId="369"/>
    <cellStyle name="60% - Accent1" xfId="169" builtinId="32" customBuiltin="1"/>
    <cellStyle name="60% - Accent2" xfId="170" builtinId="36" customBuiltin="1"/>
    <cellStyle name="60% - Accent3" xfId="171" builtinId="40" customBuiltin="1"/>
    <cellStyle name="60% - Accent4" xfId="172" builtinId="44" customBuiltin="1"/>
    <cellStyle name="60% - Accent5" xfId="173" builtinId="48" customBuiltin="1"/>
    <cellStyle name="60% - Accent6" xfId="174" builtinId="52" customBuiltin="1"/>
    <cellStyle name="Accent1" xfId="175" builtinId="29" customBuiltin="1"/>
    <cellStyle name="Accent2" xfId="176" builtinId="33" customBuiltin="1"/>
    <cellStyle name="Accent3" xfId="177" builtinId="37" customBuiltin="1"/>
    <cellStyle name="Accent4" xfId="178" builtinId="41" customBuiltin="1"/>
    <cellStyle name="Accent5" xfId="179" builtinId="45" customBuiltin="1"/>
    <cellStyle name="Accent6" xfId="180" builtinId="49" customBuiltin="1"/>
    <cellStyle name="Bad" xfId="181" builtinId="27" customBuiltin="1"/>
    <cellStyle name="Calculation" xfId="182" builtinId="22" customBuiltin="1"/>
    <cellStyle name="Check Cell" xfId="183" builtinId="23" customBuiltin="1"/>
    <cellStyle name="Comma" xfId="184" builtinId="3"/>
    <cellStyle name="Comma 2" xfId="383"/>
    <cellStyle name="Excel Built-in Normal" xfId="185"/>
    <cellStyle name="Excel Built-in Normal 2" xfId="186"/>
    <cellStyle name="Excel Built-in Normal 2 2" xfId="384"/>
    <cellStyle name="Explanatory Text" xfId="187" builtinId="53" customBuiltin="1"/>
    <cellStyle name="Good" xfId="188" builtinId="26" customBuiltin="1"/>
    <cellStyle name="Heading 1" xfId="189" builtinId="16" customBuiltin="1"/>
    <cellStyle name="Heading 2" xfId="190" builtinId="17" customBuiltin="1"/>
    <cellStyle name="Heading 3" xfId="191" builtinId="18" customBuiltin="1"/>
    <cellStyle name="Heading 4" xfId="192" builtinId="19" customBuiltin="1"/>
    <cellStyle name="Input" xfId="193" builtinId="20" customBuiltin="1"/>
    <cellStyle name="Linked Cell" xfId="194" builtinId="24" customBuiltin="1"/>
    <cellStyle name="Neutral" xfId="195" builtinId="28" customBuiltin="1"/>
    <cellStyle name="Normal" xfId="0" builtinId="0"/>
    <cellStyle name="Normal 2" xfId="196"/>
    <cellStyle name="Normal 2 2" xfId="197"/>
    <cellStyle name="Normal 2 2 2" xfId="198"/>
    <cellStyle name="Normal 2 2 2 2" xfId="199"/>
    <cellStyle name="Normal 2 2 2 2 2" xfId="388"/>
    <cellStyle name="Normal 2 2 2 3" xfId="387"/>
    <cellStyle name="Normal 2 2 3" xfId="200"/>
    <cellStyle name="Normal 2 2 3 2" xfId="201"/>
    <cellStyle name="Normal 2 2 3 2 2" xfId="390"/>
    <cellStyle name="Normal 2 2 3 3" xfId="389"/>
    <cellStyle name="Normal 2 2 4" xfId="202"/>
    <cellStyle name="Normal 2 2 4 2" xfId="391"/>
    <cellStyle name="Normal 2 2 5" xfId="203"/>
    <cellStyle name="Normal 2 2 5 2" xfId="392"/>
    <cellStyle name="Normal 2 2 6" xfId="386"/>
    <cellStyle name="Normal 2 3" xfId="204"/>
    <cellStyle name="Normal 2 3 2" xfId="205"/>
    <cellStyle name="Normal 2 3 2 2" xfId="394"/>
    <cellStyle name="Normal 2 3 3" xfId="393"/>
    <cellStyle name="Normal 2 4" xfId="206"/>
    <cellStyle name="Normal 2 4 2" xfId="207"/>
    <cellStyle name="Normal 2 4 2 2" xfId="396"/>
    <cellStyle name="Normal 2 4 3" xfId="395"/>
    <cellStyle name="Normal 2 5" xfId="208"/>
    <cellStyle name="Normal 2 5 2" xfId="397"/>
    <cellStyle name="Normal 2 6" xfId="209"/>
    <cellStyle name="Normal 2 6 2" xfId="398"/>
    <cellStyle name="Normal 2 7" xfId="399"/>
    <cellStyle name="Normal 2 8" xfId="400"/>
    <cellStyle name="Normal 2 9" xfId="385"/>
    <cellStyle name="Normal 3" xfId="401"/>
    <cellStyle name="Normal 4" xfId="402"/>
    <cellStyle name="Note 2" xfId="210"/>
    <cellStyle name="Output" xfId="211" builtinId="21" customBuiltin="1"/>
    <cellStyle name="Title" xfId="212" builtinId="15" customBuiltin="1"/>
    <cellStyle name="Total" xfId="213" builtinId="25" customBuiltin="1"/>
    <cellStyle name="Warning Text" xfId="214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13739"/>
    </indexedColors>
    <mruColors>
      <color rgb="FF00FFFF"/>
      <color rgb="FFFFCCFF"/>
      <color rgb="FFFFCC99"/>
      <color rgb="FFFFFF99"/>
      <color rgb="FFFFCC00"/>
      <color rgb="FF008080"/>
      <color rgb="FFA4D7A1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8"/>
  <sheetViews>
    <sheetView tabSelected="1" workbookViewId="0">
      <selection activeCell="B8" sqref="B8:L8"/>
    </sheetView>
  </sheetViews>
  <sheetFormatPr defaultRowHeight="12.75" x14ac:dyDescent="0.2"/>
  <cols>
    <col min="2" max="2" width="10" bestFit="1" customWidth="1"/>
  </cols>
  <sheetData>
    <row r="1" spans="2:12" ht="13.5" thickBot="1" x14ac:dyDescent="0.25"/>
    <row r="2" spans="2:12" ht="14.25" thickTop="1" thickBot="1" x14ac:dyDescent="0.25">
      <c r="B2" s="45" t="s">
        <v>278</v>
      </c>
      <c r="C2" s="243" t="s">
        <v>279</v>
      </c>
      <c r="D2" s="244"/>
      <c r="E2" s="244"/>
      <c r="F2" s="244"/>
      <c r="G2" s="244"/>
      <c r="H2" s="244"/>
      <c r="I2" s="244"/>
      <c r="J2" s="244"/>
      <c r="K2" s="244"/>
      <c r="L2" s="245"/>
    </row>
    <row r="3" spans="2:12" ht="14.25" thickTop="1" thickBot="1" x14ac:dyDescent="0.25">
      <c r="B3" s="46"/>
      <c r="C3" s="246" t="s">
        <v>280</v>
      </c>
      <c r="D3" s="247"/>
      <c r="E3" s="247"/>
      <c r="F3" s="247"/>
      <c r="G3" s="247"/>
      <c r="H3" s="247"/>
      <c r="I3" s="247"/>
      <c r="J3" s="247"/>
      <c r="K3" s="247"/>
      <c r="L3" s="248"/>
    </row>
    <row r="4" spans="2:12" ht="14.25" thickTop="1" thickBot="1" x14ac:dyDescent="0.25">
      <c r="B4" s="47"/>
      <c r="C4" s="249" t="s">
        <v>281</v>
      </c>
      <c r="D4" s="250"/>
      <c r="E4" s="250"/>
      <c r="F4" s="250"/>
      <c r="G4" s="250"/>
      <c r="H4" s="250"/>
      <c r="I4" s="250"/>
      <c r="J4" s="250"/>
      <c r="K4" s="250"/>
      <c r="L4" s="251"/>
    </row>
    <row r="5" spans="2:12" ht="14.25" thickTop="1" thickBot="1" x14ac:dyDescent="0.25">
      <c r="B5" s="48"/>
      <c r="C5" s="249" t="s">
        <v>282</v>
      </c>
      <c r="D5" s="250"/>
      <c r="E5" s="250"/>
      <c r="F5" s="250"/>
      <c r="G5" s="250"/>
      <c r="H5" s="250"/>
      <c r="I5" s="250"/>
      <c r="J5" s="250"/>
      <c r="K5" s="250"/>
      <c r="L5" s="251"/>
    </row>
    <row r="6" spans="2:12" ht="14.25" thickTop="1" thickBot="1" x14ac:dyDescent="0.25">
      <c r="B6" s="49"/>
      <c r="C6" s="252" t="s">
        <v>283</v>
      </c>
      <c r="D6" s="253"/>
      <c r="E6" s="253"/>
      <c r="F6" s="253"/>
      <c r="G6" s="253"/>
      <c r="H6" s="253"/>
      <c r="I6" s="253"/>
      <c r="J6" s="253"/>
      <c r="K6" s="253"/>
      <c r="L6" s="254"/>
    </row>
    <row r="7" spans="2:12" ht="13.5" thickTop="1" x14ac:dyDescent="0.2"/>
    <row r="8" spans="2:12" x14ac:dyDescent="0.2">
      <c r="B8" s="242" t="s">
        <v>284</v>
      </c>
      <c r="C8" s="242"/>
      <c r="D8" s="242"/>
      <c r="E8" s="242"/>
      <c r="F8" s="242"/>
      <c r="G8" s="242"/>
      <c r="H8" s="242"/>
      <c r="I8" s="242"/>
      <c r="J8" s="242"/>
      <c r="K8" s="242"/>
      <c r="L8" s="242"/>
    </row>
  </sheetData>
  <mergeCells count="6">
    <mergeCell ref="B8:L8"/>
    <mergeCell ref="C2:L2"/>
    <mergeCell ref="C3:L3"/>
    <mergeCell ref="C4:L4"/>
    <mergeCell ref="C5:L5"/>
    <mergeCell ref="C6:L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310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C1"/>
    </sheetView>
  </sheetViews>
  <sheetFormatPr defaultRowHeight="12.75" x14ac:dyDescent="0.2"/>
  <cols>
    <col min="1" max="1" width="16.7109375" style="52" customWidth="1"/>
    <col min="2" max="2" width="10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5.1406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85546875" style="52" bestFit="1" customWidth="1"/>
    <col min="79" max="79" width="18.85546875" style="52" bestFit="1" customWidth="1"/>
    <col min="80" max="80" width="11" style="52" bestFit="1" customWidth="1"/>
    <col min="81" max="81" width="10.85546875" style="52" bestFit="1" customWidth="1"/>
    <col min="82" max="82" width="20.28515625" style="52" bestFit="1" customWidth="1"/>
    <col min="83" max="83" width="12.42578125" style="52" bestFit="1" customWidth="1"/>
    <col min="84" max="84" width="9.85546875" style="52" bestFit="1" customWidth="1"/>
    <col min="85" max="85" width="20.28515625" style="52" bestFit="1" customWidth="1"/>
    <col min="86" max="86" width="13.5703125" style="52" bestFit="1" customWidth="1"/>
    <col min="87" max="87" width="9.8554687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425781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7.42578125" style="52" bestFit="1" customWidth="1"/>
    <col min="116" max="116" width="12.42578125" style="52" bestFit="1" customWidth="1"/>
    <col min="117" max="117" width="8.85546875" style="52" bestFit="1" customWidth="1"/>
    <col min="118" max="118" width="7.425781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8.85546875" style="52" bestFit="1" customWidth="1"/>
    <col min="127" max="127" width="6.28515625" style="52" bestFit="1" customWidth="1"/>
    <col min="128" max="128" width="12" style="52" bestFit="1" customWidth="1"/>
    <col min="129" max="129" width="9.28515625" style="52" bestFit="1" customWidth="1"/>
    <col min="130" max="130" width="7.42578125" style="52" bestFit="1" customWidth="1"/>
    <col min="131" max="131" width="12" style="52" bestFit="1" customWidth="1"/>
    <col min="132" max="132" width="8.85546875" style="52" bestFit="1" customWidth="1"/>
    <col min="133" max="133" width="7.42578125" style="52" bestFit="1" customWidth="1"/>
    <col min="134" max="134" width="12" style="52" bestFit="1" customWidth="1"/>
    <col min="135" max="135" width="10" style="52" bestFit="1" customWidth="1"/>
    <col min="136" max="136" width="7.8554687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8.85546875" style="52" bestFit="1" customWidth="1"/>
    <col min="142" max="142" width="6.28515625" style="52" bestFit="1" customWidth="1"/>
    <col min="143" max="143" width="12" style="52" bestFit="1" customWidth="1"/>
    <col min="144" max="144" width="9.28515625" style="52" bestFit="1" customWidth="1"/>
    <col min="145" max="145" width="7.42578125" style="52" bestFit="1" customWidth="1"/>
    <col min="146" max="146" width="12" style="52" bestFit="1" customWidth="1"/>
    <col min="147" max="147" width="8.85546875" style="52" bestFit="1" customWidth="1"/>
    <col min="148" max="148" width="7.42578125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8.85546875" style="52" bestFit="1" customWidth="1"/>
    <col min="157" max="157" width="6.28515625" style="52" bestFit="1" customWidth="1"/>
    <col min="158" max="158" width="12" style="52" bestFit="1" customWidth="1"/>
    <col min="159" max="159" width="9.28515625" style="52" bestFit="1" customWidth="1"/>
    <col min="160" max="160" width="7.42578125" style="52" bestFit="1" customWidth="1"/>
    <col min="161" max="161" width="12" style="52" bestFit="1" customWidth="1"/>
    <col min="162" max="162" width="8.85546875" style="52" bestFit="1" customWidth="1"/>
    <col min="163" max="163" width="7.42578125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7.42578125" style="52" bestFit="1" customWidth="1"/>
    <col min="176" max="176" width="10.140625" style="52" bestFit="1" customWidth="1"/>
    <col min="177" max="177" width="9.28515625" style="52" bestFit="1" customWidth="1"/>
    <col min="178" max="178" width="7.425781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8.85546875" style="52" customWidth="1"/>
    <col min="187" max="187" width="6.28515625" style="52" bestFit="1" customWidth="1"/>
    <col min="188" max="188" width="12" style="52" bestFit="1" customWidth="1"/>
    <col min="189" max="189" width="9.28515625" style="52" bestFit="1" customWidth="1"/>
    <col min="190" max="190" width="7.42578125" style="52" bestFit="1" customWidth="1"/>
    <col min="191" max="191" width="12" style="52" bestFit="1" customWidth="1"/>
    <col min="192" max="192" width="8.85546875" style="52" bestFit="1" customWidth="1"/>
    <col min="193" max="193" width="7.42578125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8.85546875" style="52" bestFit="1" customWidth="1"/>
    <col min="202" max="202" width="10.42578125" style="52" customWidth="1"/>
    <col min="203" max="203" width="12" style="52" bestFit="1" customWidth="1"/>
    <col min="204" max="204" width="9.28515625" style="52" bestFit="1" customWidth="1"/>
    <col min="205" max="205" width="7.42578125" style="52" bestFit="1" customWidth="1"/>
    <col min="206" max="206" width="12" style="52" bestFit="1" customWidth="1"/>
    <col min="207" max="207" width="8.85546875" style="52" bestFit="1" customWidth="1"/>
    <col min="208" max="208" width="7.42578125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9.28515625" style="52" bestFit="1" customWidth="1"/>
    <col min="214" max="214" width="22.42578125" style="52" bestFit="1" customWidth="1"/>
    <col min="215" max="16384" width="9.140625" style="52"/>
  </cols>
  <sheetData>
    <row r="1" spans="1:214" ht="19.5" customHeight="1" thickTop="1" thickBot="1" x14ac:dyDescent="0.25">
      <c r="A1" s="349" t="s">
        <v>0</v>
      </c>
      <c r="B1" s="350"/>
      <c r="C1" s="351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532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658" t="s">
        <v>557</v>
      </c>
      <c r="AJ1" s="659"/>
      <c r="AK1" s="660"/>
      <c r="AL1" s="661" t="s">
        <v>546</v>
      </c>
      <c r="AM1" s="659"/>
      <c r="AN1" s="660"/>
      <c r="AO1" s="661" t="s">
        <v>547</v>
      </c>
      <c r="AP1" s="659"/>
      <c r="AQ1" s="662"/>
      <c r="AR1" s="658" t="s">
        <v>559</v>
      </c>
      <c r="AS1" s="659"/>
      <c r="AT1" s="660"/>
      <c r="AU1" s="661" t="s">
        <v>548</v>
      </c>
      <c r="AV1" s="659"/>
      <c r="AW1" s="660"/>
      <c r="AX1" s="661" t="s">
        <v>549</v>
      </c>
      <c r="AY1" s="659"/>
      <c r="AZ1" s="662"/>
      <c r="BA1" s="658" t="s">
        <v>561</v>
      </c>
      <c r="BB1" s="659"/>
      <c r="BC1" s="660"/>
      <c r="BD1" s="661" t="s">
        <v>551</v>
      </c>
      <c r="BE1" s="659"/>
      <c r="BF1" s="660"/>
      <c r="BG1" s="661" t="s">
        <v>552</v>
      </c>
      <c r="BH1" s="659"/>
      <c r="BI1" s="662"/>
      <c r="BJ1" s="658" t="s">
        <v>564</v>
      </c>
      <c r="BK1" s="659"/>
      <c r="BL1" s="660"/>
      <c r="BM1" s="661" t="s">
        <v>554</v>
      </c>
      <c r="BN1" s="659"/>
      <c r="BO1" s="660"/>
      <c r="BP1" s="661" t="s">
        <v>555</v>
      </c>
      <c r="BQ1" s="659"/>
      <c r="BR1" s="662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675" t="s">
        <v>569</v>
      </c>
      <c r="CC1" s="673"/>
      <c r="CD1" s="673"/>
      <c r="CE1" s="676" t="s">
        <v>570</v>
      </c>
      <c r="CF1" s="673"/>
      <c r="CG1" s="677"/>
      <c r="CH1" s="673" t="s">
        <v>571</v>
      </c>
      <c r="CI1" s="673"/>
      <c r="CJ1" s="674"/>
      <c r="CK1" s="675" t="s">
        <v>575</v>
      </c>
      <c r="CL1" s="673"/>
      <c r="CM1" s="673"/>
      <c r="CN1" s="676" t="s">
        <v>575</v>
      </c>
      <c r="CO1" s="673"/>
      <c r="CP1" s="677"/>
      <c r="CQ1" s="673" t="s">
        <v>575</v>
      </c>
      <c r="CR1" s="673"/>
      <c r="CS1" s="674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3.5" thickTop="1" x14ac:dyDescent="0.2">
      <c r="A2" s="372" t="s">
        <v>233</v>
      </c>
      <c r="B2" s="373"/>
      <c r="C2" s="374"/>
      <c r="D2" s="193"/>
      <c r="E2" s="194"/>
      <c r="F2" s="194"/>
      <c r="G2" s="363" t="s">
        <v>531</v>
      </c>
      <c r="H2" s="360">
        <f>(1/((1/H10)+(1/H12)+(1/H13)))*H70*H71*H73</f>
        <v>3.1660351512348485E-10</v>
      </c>
      <c r="I2" s="625" t="s">
        <v>13</v>
      </c>
      <c r="J2" s="622" t="s">
        <v>531</v>
      </c>
      <c r="K2" s="360">
        <f>(1/((1/K14)+(1/K15)+(1/K16)+(1/K17)))*K13*K53*K54</f>
        <v>5.3488168142647763E-8</v>
      </c>
      <c r="L2" s="345" t="s">
        <v>12</v>
      </c>
      <c r="M2" s="330" t="s">
        <v>537</v>
      </c>
      <c r="N2" s="333">
        <f>((N5*N6*N7)/((1-EXP(-N7*N6))*N15*N13*(N9/365)*(((N14/24)*N12)+((N16/24)*N11))))*N8*N17*N18</f>
        <v>2.3614210373854917E-5</v>
      </c>
      <c r="O2" s="336" t="s">
        <v>12</v>
      </c>
      <c r="P2" s="339" t="s">
        <v>537</v>
      </c>
      <c r="Q2" s="333">
        <f>((Q5*Q6*Q7)/((1-EXP(-Q7*Q6))*Q15*Q13*(Q9/365)*(((Q14/24)*Q12)+((Q16/24)*Q11))))*Q8*Q17*Q18</f>
        <v>4.7951304738746223E-5</v>
      </c>
      <c r="R2" s="336" t="s">
        <v>12</v>
      </c>
      <c r="S2" s="339" t="s">
        <v>537</v>
      </c>
      <c r="T2" s="333">
        <f>((T5*T6*T7)/((1-EXP(-T7*T6))*T15*T13*(T9/365)*(((T14/24)*T12)+((T16/24)*T11))))*T8*T17*T18</f>
        <v>2.3614210373854917E-5</v>
      </c>
      <c r="U2" s="342" t="s">
        <v>12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1.0168207853001412E-5</v>
      </c>
      <c r="AD2" s="315">
        <f>1/((1/AD29)+(1/AD30)+(1/AD31))</f>
        <v>2.0596501289817626E-5</v>
      </c>
      <c r="AE2" s="315">
        <f>1/((1/AE29)+(1/AE30)+(1/AE31))</f>
        <v>1.1298008725557123E-5</v>
      </c>
      <c r="AF2" s="315">
        <f>1/((1/AF29)+(1/AF30)+(1/AF31))</f>
        <v>1.2153072225751848E-7</v>
      </c>
      <c r="AG2" s="320">
        <f>1/((1/AG29)+(1/AG31)+(1/AG30))</f>
        <v>3.3016599640525229E-6</v>
      </c>
      <c r="AH2" s="318" t="s">
        <v>12</v>
      </c>
      <c r="AI2" s="307" t="s">
        <v>537</v>
      </c>
      <c r="AJ2" s="304">
        <f>((AJ5*AJ6*AJ7)/((1-EXP(-AJ7*AJ6))*AJ15*(AJ9/365)*AJ10*(AJ16/24)*AJ11*AJ13))*AJ8*AJ17*AJ18</f>
        <v>8.5939195813570225E-5</v>
      </c>
      <c r="AK2" s="291" t="s">
        <v>12</v>
      </c>
      <c r="AL2" s="288" t="s">
        <v>537</v>
      </c>
      <c r="AM2" s="304">
        <f>((AM5*AM6*AM7)/((1-EXP(-AM7*AM6))*AM15*(AM9/365)*AM10*(AM16/24)*AM11*AM13))*AM8*AM17*AM18</f>
        <v>1.7450918333571913E-4</v>
      </c>
      <c r="AN2" s="291" t="s">
        <v>12</v>
      </c>
      <c r="AO2" s="288" t="s">
        <v>537</v>
      </c>
      <c r="AP2" s="304">
        <f>((AP5*AP6*AP7)/((1-EXP(-AP7*AP6))*AP15*(AP9/365)*AP10*(AP16/24)*AP11*AP13))*AP8*AP17*AP18</f>
        <v>8.5939195813570225E-5</v>
      </c>
      <c r="AQ2" s="282" t="s">
        <v>12</v>
      </c>
      <c r="AR2" s="665" t="s">
        <v>537</v>
      </c>
      <c r="AS2" s="304">
        <f>((AS5*AS6*AS7)/((1-EXP(-AS7*AS6))*AS15*(AS9/365)*AS10*(AS14/24)*AS12*AS13))*AS8*AS17*AS18</f>
        <v>3.8195198139364538E-5</v>
      </c>
      <c r="AT2" s="667" t="s">
        <v>12</v>
      </c>
      <c r="AU2" s="663" t="s">
        <v>537</v>
      </c>
      <c r="AV2" s="304">
        <f>((AV5*AV6*AV7)/((1-EXP(-AV7*AV6))*AV15*(AV9/365)*AV10*(AV14/24)*AV12*AV13))*AV8*AV17*AV18</f>
        <v>7.7559637038097397E-5</v>
      </c>
      <c r="AW2" s="671" t="s">
        <v>12</v>
      </c>
      <c r="AX2" s="663" t="s">
        <v>537</v>
      </c>
      <c r="AY2" s="304">
        <f>((AY5*AY6*AY7)/((1-EXP(-AY7*AY6))*AY15*(AY9/365)*AY10*(AY14/24)*AY12*AY13))*AY8*AY17*AY18</f>
        <v>3.8195198139364538E-5</v>
      </c>
      <c r="AZ2" s="669" t="s">
        <v>12</v>
      </c>
      <c r="BA2" s="665" t="s">
        <v>537</v>
      </c>
      <c r="BB2" s="304">
        <f>((BB5*BB6*BB7)/((1-EXP(-BB7*BB6))*BB15*(BB9/365)*(BB14/24)*BB12*BB13))*BB8*BB17*BB18</f>
        <v>3.437567832542809E-5</v>
      </c>
      <c r="BC2" s="667" t="s">
        <v>12</v>
      </c>
      <c r="BD2" s="663" t="s">
        <v>537</v>
      </c>
      <c r="BE2" s="304">
        <f>((BE5*BE6*BE7)/((1-EXP(-BE7*BE6))*BE15*(BE9/365)*(BE14/24)*BE12*BE13))*BE8*BE17*BE18</f>
        <v>6.9803673334287655E-5</v>
      </c>
      <c r="BF2" s="667" t="s">
        <v>12</v>
      </c>
      <c r="BG2" s="663" t="s">
        <v>537</v>
      </c>
      <c r="BH2" s="304">
        <f>((BH5*BH6*BH7)/((1-EXP(-BH7*BH6))*BH15*(BH9/365)*(BH14/24)*BH12*BH13))*BH8*BH17*BH18</f>
        <v>3.437567832542809E-5</v>
      </c>
      <c r="BI2" s="669" t="s">
        <v>12</v>
      </c>
      <c r="BJ2" s="665" t="s">
        <v>537</v>
      </c>
      <c r="BK2" s="285">
        <f>((BK5*BK6*BK7)/((1-EXP(-BK7*BK6))*BK16*(BK9/365)*(BK15/24)*BK13*BK14))*BK8*BK17*BK18</f>
        <v>0.18942585577704721</v>
      </c>
      <c r="BL2" s="667" t="s">
        <v>12</v>
      </c>
      <c r="BM2" s="663" t="s">
        <v>537</v>
      </c>
      <c r="BN2" s="285">
        <f>((BN5*BN6*BN7)/((1-EXP(-BN7*BN6))*BN16*(BN9/365)*(BN15/24)*BN13*BN14))*BN8*BN17*BN18</f>
        <v>0.80297791736305413</v>
      </c>
      <c r="BO2" s="667" t="s">
        <v>12</v>
      </c>
      <c r="BP2" s="663" t="s">
        <v>537</v>
      </c>
      <c r="BQ2" s="285">
        <f>((BQ5*BQ6*BQ7)/((1-EXP(-BQ7*BQ6))*BQ16*(BQ9/365)*(BQ15/24)*BQ13*BQ14))*BQ8*BQ17*BQ18</f>
        <v>0.229765515636634</v>
      </c>
      <c r="BR2" s="669" t="s">
        <v>12</v>
      </c>
      <c r="BS2" s="214"/>
      <c r="BT2" s="120"/>
      <c r="BU2" s="215"/>
      <c r="BV2" s="258" t="s">
        <v>531</v>
      </c>
      <c r="BW2" s="261">
        <f>1/((1/BW10)+(1/BW12))</f>
        <v>8.4273989463223159E-8</v>
      </c>
      <c r="BX2" s="278" t="s">
        <v>13</v>
      </c>
      <c r="BY2" s="258" t="s">
        <v>531</v>
      </c>
      <c r="BZ2" s="261">
        <f>1/((1/BZ13)+(1/BZ14)+(1/BZ15))</f>
        <v>3.5848426638115535E-5</v>
      </c>
      <c r="CA2" s="264" t="s">
        <v>12</v>
      </c>
      <c r="CB2" s="268" t="s">
        <v>537</v>
      </c>
      <c r="CC2" s="262">
        <f>((CC5*CC6*CC7)/((1-EXP(-CC7*CC6))*CC14*(CC9/365)*CC12*(CC13/24)*CC11))*CC8*CC15*CC16</f>
        <v>5.0513561540545924</v>
      </c>
      <c r="CD2" s="279" t="s">
        <v>297</v>
      </c>
      <c r="CE2" s="259" t="s">
        <v>537</v>
      </c>
      <c r="CF2" s="262">
        <f>((CF5*CF6*CF7)/((1-EXP(-CF7*CF6))*CF14*(CF9/365)*CF12*(CF13/24)*CF11))*CF8*CF15*CF16</f>
        <v>21.412744463014775</v>
      </c>
      <c r="CG2" s="279" t="s">
        <v>297</v>
      </c>
      <c r="CH2" s="259" t="s">
        <v>537</v>
      </c>
      <c r="CI2" s="262">
        <f>((CI5*CI6*CI7)/((1-EXP(-CI7*CI6))*CI14*(CI9/365)*CI12*(CI13/24)*CI11))*CI8*CI15*CI16</f>
        <v>6.1270804169769075</v>
      </c>
      <c r="CJ2" s="265" t="s">
        <v>297</v>
      </c>
      <c r="CK2" s="268" t="s">
        <v>530</v>
      </c>
      <c r="CL2" s="262">
        <f>(CL5/(CL6*CL7*CL8))*CL9*CL10*CO16</f>
        <v>4.4138632750397454E-6</v>
      </c>
      <c r="CM2" s="279" t="s">
        <v>12</v>
      </c>
      <c r="CN2" s="259" t="s">
        <v>7</v>
      </c>
      <c r="CO2" s="262">
        <f>(CL2/(CO5*((CO10*CO12*CO13*(CO6+CO7))+(CO11*CO12))))*CO17</f>
        <v>5.8897690170558775E-4</v>
      </c>
      <c r="CP2" s="279" t="s">
        <v>12</v>
      </c>
      <c r="CQ2" s="259" t="s">
        <v>6</v>
      </c>
      <c r="CR2" s="262">
        <f>CL2/(CR5*CR6*(1/CR7))</f>
        <v>0.73564387917329088</v>
      </c>
      <c r="CS2" s="265" t="s">
        <v>12</v>
      </c>
      <c r="CT2" s="395" t="s">
        <v>531</v>
      </c>
      <c r="CU2" s="392">
        <f>1/((1/CU14)+(1/CU15)+(1/CU16)+(1/CU17)+(1/CU19)+(1/CU20)+(1/CU21)+(1/CU22)+(1/CU23)+(1/CU24))</f>
        <v>1.1415271346418577E-10</v>
      </c>
      <c r="CV2" s="389" t="s">
        <v>12</v>
      </c>
      <c r="CW2" s="218"/>
      <c r="CX2" s="219"/>
      <c r="CY2" s="219"/>
      <c r="CZ2" s="407" t="s">
        <v>531</v>
      </c>
      <c r="DA2" s="404">
        <f>1/((1/DA13)+(1/DA15)+(1/DA16))</f>
        <v>1.6449990809579444E-10</v>
      </c>
      <c r="DB2" s="401" t="s">
        <v>13</v>
      </c>
      <c r="DC2" s="442" t="s">
        <v>530</v>
      </c>
      <c r="DD2" s="439">
        <f>DD7</f>
        <v>3.4570362932486858E-9</v>
      </c>
      <c r="DE2" s="436" t="s">
        <v>12</v>
      </c>
      <c r="DF2" s="433" t="s">
        <v>530</v>
      </c>
      <c r="DG2" s="424">
        <f>DD7/((1/DG24)*(DG5+DG6+DG7))</f>
        <v>2.7161866008616787E-7</v>
      </c>
      <c r="DH2" s="430" t="s">
        <v>13</v>
      </c>
      <c r="DI2" s="427" t="s">
        <v>530</v>
      </c>
      <c r="DJ2" s="424">
        <f>(DD7/(DJ5+DJ6))*DJ12</f>
        <v>1.3305981497321003E-8</v>
      </c>
      <c r="DK2" s="430" t="s">
        <v>12</v>
      </c>
      <c r="DL2" s="427" t="s">
        <v>581</v>
      </c>
      <c r="DM2" s="424">
        <f>((DD7)/(DM5+DM6))*DJ12</f>
        <v>1.3305981497321003E-8</v>
      </c>
      <c r="DN2" s="430" t="s">
        <v>12</v>
      </c>
      <c r="DO2" s="427" t="s">
        <v>582</v>
      </c>
      <c r="DP2" s="424">
        <f>-(DP5+DP6+DP7)/(DP23+DP24)</f>
        <v>-49.75468846311847</v>
      </c>
      <c r="DQ2" s="421" t="s">
        <v>18</v>
      </c>
      <c r="DR2" s="574" t="s">
        <v>530</v>
      </c>
      <c r="DS2" s="445">
        <f>DS7</f>
        <v>2.1935546103212639E-9</v>
      </c>
      <c r="DT2" s="484" t="s">
        <v>12</v>
      </c>
      <c r="DU2" s="481" t="s">
        <v>530</v>
      </c>
      <c r="DV2" s="463">
        <f>(DS7*DV8)/(DV5*DV6*(1/1000))</f>
        <v>5.8472082003905329E-2</v>
      </c>
      <c r="DW2" s="466" t="s">
        <v>13</v>
      </c>
      <c r="DX2" s="478" t="s">
        <v>530</v>
      </c>
      <c r="DY2" s="463">
        <f>(DS7*DY14)/(DY9*((DY10*DY12*DY13*(DY5+DY6))+(DY11*DY12)))*DY18</f>
        <v>9.8325266295914635E-4</v>
      </c>
      <c r="DZ2" s="466" t="s">
        <v>12</v>
      </c>
      <c r="EA2" s="478" t="s">
        <v>581</v>
      </c>
      <c r="EB2" s="463">
        <f>(DS7*DY14)/(EB9*((EB10*EB12*EB13*(EB5+EB6))+(EB11*EB12)))*DY18</f>
        <v>9.8325266295914635E-4</v>
      </c>
      <c r="EC2" s="466" t="s">
        <v>12</v>
      </c>
      <c r="ED2" s="478" t="s">
        <v>582</v>
      </c>
      <c r="EE2" s="463">
        <f>-EE15/((EE10*EE12*EE13*(EE5+EE6))+(EE11*EE12))</f>
        <v>-16.802282392818878</v>
      </c>
      <c r="EF2" s="460" t="s">
        <v>18</v>
      </c>
      <c r="EG2" s="475" t="s">
        <v>530</v>
      </c>
      <c r="EH2" s="469">
        <f>EH7</f>
        <v>6.0123182446135074E-9</v>
      </c>
      <c r="EI2" s="457" t="s">
        <v>12</v>
      </c>
      <c r="EJ2" s="472" t="s">
        <v>530</v>
      </c>
      <c r="EK2" s="454">
        <f>EH7/(EK5*EK6)</f>
        <v>2.2687993375900028E-7</v>
      </c>
      <c r="EL2" s="451" t="s">
        <v>13</v>
      </c>
      <c r="EM2" s="448" t="s">
        <v>530</v>
      </c>
      <c r="EN2" s="454">
        <f>(EH7/(EN9*((EN10*EN12*EN13*(EN5+EN6))+(EN11*EN12))))*EN17</f>
        <v>3.495534842290707E-6</v>
      </c>
      <c r="EO2" s="451" t="s">
        <v>12</v>
      </c>
      <c r="EP2" s="448" t="s">
        <v>581</v>
      </c>
      <c r="EQ2" s="454">
        <f>(EH7/(EQ9*((EQ10*EQ12*EQ13*(EQ5+EQ6))+(EQ11*EQ12))))*EN17</f>
        <v>3.495534842290707E-6</v>
      </c>
      <c r="ER2" s="451" t="s">
        <v>12</v>
      </c>
      <c r="ES2" s="448" t="s">
        <v>582</v>
      </c>
      <c r="ET2" s="454">
        <f>-ET15/((ET10*ET12*ET13*(ET5+ET6))+(ET11*ET12))</f>
        <v>-15.39462998242915</v>
      </c>
      <c r="EU2" s="499" t="s">
        <v>18</v>
      </c>
      <c r="EV2" s="496" t="s">
        <v>530</v>
      </c>
      <c r="EW2" s="493">
        <f>EW7</f>
        <v>2.0110090780872251E-8</v>
      </c>
      <c r="EX2" s="490" t="s">
        <v>12</v>
      </c>
      <c r="EY2" s="487" t="s">
        <v>530</v>
      </c>
      <c r="EZ2" s="586">
        <f>EW7/(EZ5*EZ6*(1/EZ7))</f>
        <v>1.6758408984060207E-2</v>
      </c>
      <c r="FA2" s="592" t="s">
        <v>13</v>
      </c>
      <c r="FB2" s="589" t="s">
        <v>530</v>
      </c>
      <c r="FC2" s="586">
        <f>(EW7/(FC9*((FC10*FC12*FC13*(FC5+FC6))+(FC11*FC12))))*FC17</f>
        <v>9.3171274079755046E-5</v>
      </c>
      <c r="FD2" s="595" t="s">
        <v>12</v>
      </c>
      <c r="FE2" s="589" t="s">
        <v>581</v>
      </c>
      <c r="FF2" s="586">
        <f>(EW7/(FF9*(FF10*FF12*FF13*(FF5*FF6))+(FF11*FF12)))*FC17</f>
        <v>9.1482827468689256E-7</v>
      </c>
      <c r="FG2" s="592" t="s">
        <v>12</v>
      </c>
      <c r="FH2" s="589" t="s">
        <v>582</v>
      </c>
      <c r="FI2" s="586">
        <f>FI15/((FI10*FI12*FI13*(FI5+FI6))+(FI11*FI12))</f>
        <v>5.5552160701290481</v>
      </c>
      <c r="FJ2" s="583" t="s">
        <v>18</v>
      </c>
      <c r="FK2" s="580" t="s">
        <v>530</v>
      </c>
      <c r="FL2" s="577">
        <f>FL7</f>
        <v>6.9033489865803514E-9</v>
      </c>
      <c r="FM2" s="571" t="s">
        <v>12</v>
      </c>
      <c r="FN2" s="568" t="s">
        <v>530</v>
      </c>
      <c r="FO2" s="505">
        <f>FL7/(FO5*(1/FO6))</f>
        <v>2.8763954110751464E-8</v>
      </c>
      <c r="FP2" s="511" t="s">
        <v>13</v>
      </c>
      <c r="FQ2" s="508" t="s">
        <v>530</v>
      </c>
      <c r="FR2" s="505">
        <f>((FL7*FR6)/FR5)*FR10</f>
        <v>1.1514812546902033E-10</v>
      </c>
      <c r="FS2" s="511" t="s">
        <v>12</v>
      </c>
      <c r="FT2" s="508" t="s">
        <v>581</v>
      </c>
      <c r="FU2" s="505">
        <f>((FL7*FU6)/FU5)*FR10</f>
        <v>1.1514812546902033E-10</v>
      </c>
      <c r="FV2" s="511" t="s">
        <v>12</v>
      </c>
      <c r="FW2" s="508" t="s">
        <v>582</v>
      </c>
      <c r="FX2" s="505">
        <f>-FX5/FX6</f>
        <v>-4.0000000000000001E-3</v>
      </c>
      <c r="FY2" s="502" t="s">
        <v>18</v>
      </c>
      <c r="FZ2" s="556" t="s">
        <v>530</v>
      </c>
      <c r="GA2" s="553">
        <f>GA7</f>
        <v>1.0045967548076198E-8</v>
      </c>
      <c r="GB2" s="550" t="s">
        <v>12</v>
      </c>
      <c r="GC2" s="559" t="s">
        <v>530</v>
      </c>
      <c r="GD2" s="538">
        <f>GA7/(GD5*GD6*(1/GD7))</f>
        <v>4.1858198116984154E-3</v>
      </c>
      <c r="GE2" s="544" t="s">
        <v>13</v>
      </c>
      <c r="GF2" s="541" t="s">
        <v>530</v>
      </c>
      <c r="GG2" s="538">
        <f>(GA7/((GG9)*((GG10*GG12*GG13*(GG5+GG6))+(GG11*GG12))))*GG17</f>
        <v>2.3271789421965366E-5</v>
      </c>
      <c r="GH2" s="544" t="s">
        <v>12</v>
      </c>
      <c r="GI2" s="541" t="s">
        <v>581</v>
      </c>
      <c r="GJ2" s="538">
        <f>(GA7/((GJ9)*((GJ10*GJ12*GJ13*(GJ5+GJ6))+(GJ11*GJ12))))*GG17</f>
        <v>2.3271789421965366E-5</v>
      </c>
      <c r="GK2" s="544" t="s">
        <v>12</v>
      </c>
      <c r="GL2" s="541" t="s">
        <v>582</v>
      </c>
      <c r="GM2" s="538">
        <f>GM15/((GM10*GM12*GM13*(GM5+GM6))+(GM11*GM12))</f>
        <v>5.5552160701290481</v>
      </c>
      <c r="GN2" s="535" t="s">
        <v>18</v>
      </c>
      <c r="GO2" s="532" t="s">
        <v>530</v>
      </c>
      <c r="GP2" s="529">
        <f>GP7</f>
        <v>1.0999277179339158E-8</v>
      </c>
      <c r="GQ2" s="526" t="s">
        <v>12</v>
      </c>
      <c r="GR2" s="523" t="s">
        <v>530</v>
      </c>
      <c r="GS2" s="517">
        <f>GP7/(GS5*GS6*(1/GS7))</f>
        <v>5.6755816198860451E-3</v>
      </c>
      <c r="GT2" s="514" t="s">
        <v>13</v>
      </c>
      <c r="GU2" s="520" t="s">
        <v>530</v>
      </c>
      <c r="GV2" s="517">
        <f>(GP7/((GV9)*((GV10*GV12*GV13*(GV5+GV6))+(GV11*GV12))))*GV17</f>
        <v>4.1908871885942363E-5</v>
      </c>
      <c r="GW2" s="514" t="s">
        <v>12</v>
      </c>
      <c r="GX2" s="520" t="s">
        <v>581</v>
      </c>
      <c r="GY2" s="517">
        <f>(GP7/((GY9*((GY10*GY12*GY13*(GY5+GY6))+(GY11*GY12)))))*GV17</f>
        <v>4.1908871885942363E-5</v>
      </c>
      <c r="GZ2" s="514" t="s">
        <v>12</v>
      </c>
      <c r="HA2" s="520" t="s">
        <v>582</v>
      </c>
      <c r="HB2" s="517">
        <f>GP7/((HB10*HB12*HB13*(HB5+HB6))+(HB11*HB12))</f>
        <v>7.1187968257264566E-9</v>
      </c>
      <c r="HC2" s="547" t="s">
        <v>18</v>
      </c>
      <c r="HD2" s="54"/>
      <c r="HE2" s="55"/>
      <c r="HF2" s="56"/>
    </row>
    <row r="3" spans="1:214" x14ac:dyDescent="0.2">
      <c r="A3" s="375"/>
      <c r="B3" s="376"/>
      <c r="C3" s="377"/>
      <c r="D3" s="189" t="s">
        <v>15</v>
      </c>
      <c r="E3" s="134">
        <f>1/((1/E19)+(1/E20))</f>
        <v>1.2305499862146176E-13</v>
      </c>
      <c r="F3" s="58" t="s">
        <v>294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1.7584060603705833E-13</v>
      </c>
      <c r="X3" s="62" t="s">
        <v>294</v>
      </c>
      <c r="Y3" s="202" t="s">
        <v>16</v>
      </c>
      <c r="Z3" s="187">
        <f>1/((1/Z18)+(1/Z19))</f>
        <v>1.5825654543335251E-13</v>
      </c>
      <c r="AA3" s="63" t="s">
        <v>294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665"/>
      <c r="AS3" s="304"/>
      <c r="AT3" s="667"/>
      <c r="AU3" s="663"/>
      <c r="AV3" s="304"/>
      <c r="AW3" s="671"/>
      <c r="AX3" s="663"/>
      <c r="AY3" s="304"/>
      <c r="AZ3" s="669"/>
      <c r="BA3" s="665"/>
      <c r="BB3" s="304"/>
      <c r="BC3" s="667"/>
      <c r="BD3" s="663"/>
      <c r="BE3" s="304"/>
      <c r="BF3" s="667"/>
      <c r="BG3" s="663"/>
      <c r="BH3" s="304"/>
      <c r="BI3" s="669"/>
      <c r="BJ3" s="665"/>
      <c r="BK3" s="285"/>
      <c r="BL3" s="667"/>
      <c r="BM3" s="663"/>
      <c r="BN3" s="285"/>
      <c r="BO3" s="667"/>
      <c r="BP3" s="663"/>
      <c r="BQ3" s="285"/>
      <c r="BR3" s="669"/>
      <c r="BS3" s="212" t="s">
        <v>15</v>
      </c>
      <c r="BT3" s="64">
        <f>1/((1/BT18)+(1/BT19))</f>
        <v>1.3782159845603719E-11</v>
      </c>
      <c r="BU3" s="53" t="s">
        <v>294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79"/>
      <c r="CN3" s="259"/>
      <c r="CO3" s="262"/>
      <c r="CP3" s="279"/>
      <c r="CQ3" s="259"/>
      <c r="CR3" s="262"/>
      <c r="CS3" s="265"/>
      <c r="CT3" s="396"/>
      <c r="CU3" s="393"/>
      <c r="CV3" s="390"/>
      <c r="CW3" s="216" t="s">
        <v>15</v>
      </c>
      <c r="CX3" s="65">
        <f>1/((1/CX19)+(1/CX20))</f>
        <v>1.1799296174697575E-13</v>
      </c>
      <c r="CY3" s="66" t="s">
        <v>294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687">
        <f>(HE5*HE14)*(10^-3)*(HE13+(HE10/HE11))*((HE12*HE7)/HE8)</f>
        <v>1.8380091284974571E-11</v>
      </c>
      <c r="HF3" s="220" t="s">
        <v>597</v>
      </c>
    </row>
    <row r="4" spans="1:214" ht="13.5" thickBot="1" x14ac:dyDescent="0.25">
      <c r="A4" s="378"/>
      <c r="B4" s="379"/>
      <c r="C4" s="380"/>
      <c r="D4" s="190" t="s">
        <v>16</v>
      </c>
      <c r="E4" s="135">
        <f>1/((1/E21)+(1/E22))</f>
        <v>1.2315372537357326E-13</v>
      </c>
      <c r="F4" s="68" t="s">
        <v>294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1.7569964260399369E-13</v>
      </c>
      <c r="X4" s="76" t="s">
        <v>294</v>
      </c>
      <c r="Y4" s="203" t="s">
        <v>15</v>
      </c>
      <c r="Z4" s="186">
        <f>1/((1/Z16)+(1/Z17))</f>
        <v>1.5812967834359434E-13</v>
      </c>
      <c r="AA4" s="77" t="s">
        <v>294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666"/>
      <c r="AS4" s="305"/>
      <c r="AT4" s="668"/>
      <c r="AU4" s="664"/>
      <c r="AV4" s="305"/>
      <c r="AW4" s="672"/>
      <c r="AX4" s="664"/>
      <c r="AY4" s="305"/>
      <c r="AZ4" s="670"/>
      <c r="BA4" s="666"/>
      <c r="BB4" s="305"/>
      <c r="BC4" s="668"/>
      <c r="BD4" s="664"/>
      <c r="BE4" s="305"/>
      <c r="BF4" s="668"/>
      <c r="BG4" s="664"/>
      <c r="BH4" s="305"/>
      <c r="BI4" s="670"/>
      <c r="BJ4" s="666"/>
      <c r="BK4" s="286"/>
      <c r="BL4" s="668"/>
      <c r="BM4" s="664"/>
      <c r="BN4" s="286"/>
      <c r="BO4" s="668"/>
      <c r="BP4" s="664"/>
      <c r="BQ4" s="286"/>
      <c r="BR4" s="670"/>
      <c r="BS4" s="213" t="s">
        <v>16</v>
      </c>
      <c r="BT4" s="78">
        <f>1/((1/BT20)+(1/BT21))</f>
        <v>1.3793217241840207E-11</v>
      </c>
      <c r="BU4" s="79" t="s">
        <v>294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80"/>
      <c r="CN4" s="260"/>
      <c r="CO4" s="263"/>
      <c r="CP4" s="280"/>
      <c r="CQ4" s="260"/>
      <c r="CR4" s="263"/>
      <c r="CS4" s="266"/>
      <c r="CT4" s="397"/>
      <c r="CU4" s="394"/>
      <c r="CV4" s="391"/>
      <c r="CW4" s="217" t="s">
        <v>16</v>
      </c>
      <c r="CX4" s="80">
        <f>1/((1/CX21)+(1/CX22))</f>
        <v>1.1808762723814472E-13</v>
      </c>
      <c r="CY4" s="81" t="s">
        <v>294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224">
        <f>(HE6*HE14)*(10^-3)*(HE13+(HE10/HE11))*((HE12*HE7)/(HE8))</f>
        <v>1.3308016067663116E-12</v>
      </c>
      <c r="HF4" s="221" t="s">
        <v>598</v>
      </c>
    </row>
    <row r="5" spans="1:214" ht="13.5" thickTop="1" x14ac:dyDescent="0.2">
      <c r="A5" s="52" t="s">
        <v>267</v>
      </c>
      <c r="B5" s="129">
        <v>1</v>
      </c>
      <c r="C5" s="52" t="s">
        <v>344</v>
      </c>
      <c r="D5" s="52" t="s">
        <v>267</v>
      </c>
      <c r="E5" s="136">
        <f>B5</f>
        <v>1</v>
      </c>
      <c r="F5" s="52" t="s">
        <v>344</v>
      </c>
      <c r="G5" s="83" t="s">
        <v>267</v>
      </c>
      <c r="H5" s="136">
        <f>B5</f>
        <v>1</v>
      </c>
      <c r="I5" s="52" t="s">
        <v>344</v>
      </c>
      <c r="J5" s="83" t="s">
        <v>267</v>
      </c>
      <c r="K5" s="136">
        <f>B5</f>
        <v>1</v>
      </c>
      <c r="L5" s="52" t="s">
        <v>344</v>
      </c>
      <c r="M5" s="52" t="s">
        <v>267</v>
      </c>
      <c r="N5" s="136">
        <f>B5</f>
        <v>1</v>
      </c>
      <c r="O5" s="52" t="s">
        <v>344</v>
      </c>
      <c r="P5" s="52" t="s">
        <v>267</v>
      </c>
      <c r="Q5" s="136">
        <f>B5</f>
        <v>1</v>
      </c>
      <c r="R5" s="52" t="s">
        <v>344</v>
      </c>
      <c r="S5" s="52" t="s">
        <v>267</v>
      </c>
      <c r="T5" s="136">
        <f>B5</f>
        <v>1</v>
      </c>
      <c r="U5" s="52" t="s">
        <v>344</v>
      </c>
      <c r="V5" s="52" t="s">
        <v>267</v>
      </c>
      <c r="W5" s="136">
        <f>B5</f>
        <v>1</v>
      </c>
      <c r="X5" s="52" t="s">
        <v>344</v>
      </c>
      <c r="Y5" s="52" t="s">
        <v>267</v>
      </c>
      <c r="Z5" s="136">
        <f>B5</f>
        <v>1</v>
      </c>
      <c r="AA5" s="52" t="s">
        <v>344</v>
      </c>
      <c r="AB5" s="83" t="s">
        <v>267</v>
      </c>
      <c r="AC5" s="136">
        <f>B5</f>
        <v>1</v>
      </c>
      <c r="AD5" s="136">
        <f>B5</f>
        <v>1</v>
      </c>
      <c r="AE5" s="136">
        <f>B5</f>
        <v>1</v>
      </c>
      <c r="AF5" s="136">
        <f>B5</f>
        <v>1</v>
      </c>
      <c r="AG5" s="136">
        <f>B5</f>
        <v>1</v>
      </c>
      <c r="AH5" s="52" t="s">
        <v>344</v>
      </c>
      <c r="AI5" s="52" t="s">
        <v>267</v>
      </c>
      <c r="AJ5" s="136">
        <f>B5</f>
        <v>1</v>
      </c>
      <c r="AK5" s="52" t="s">
        <v>344</v>
      </c>
      <c r="AL5" s="52" t="s">
        <v>267</v>
      </c>
      <c r="AM5" s="136">
        <f>B5</f>
        <v>1</v>
      </c>
      <c r="AN5" s="52" t="s">
        <v>344</v>
      </c>
      <c r="AO5" s="52" t="s">
        <v>267</v>
      </c>
      <c r="AP5" s="136">
        <f>B5</f>
        <v>1</v>
      </c>
      <c r="AQ5" s="52" t="s">
        <v>344</v>
      </c>
      <c r="AR5" s="52" t="s">
        <v>267</v>
      </c>
      <c r="AS5" s="136">
        <f>B5</f>
        <v>1</v>
      </c>
      <c r="AT5" s="52" t="s">
        <v>344</v>
      </c>
      <c r="AU5" s="52" t="s">
        <v>267</v>
      </c>
      <c r="AV5" s="136">
        <f>B5</f>
        <v>1</v>
      </c>
      <c r="AW5" s="52" t="s">
        <v>344</v>
      </c>
      <c r="AX5" s="52" t="s">
        <v>267</v>
      </c>
      <c r="AY5" s="136">
        <f>B5</f>
        <v>1</v>
      </c>
      <c r="AZ5" s="52" t="s">
        <v>344</v>
      </c>
      <c r="BA5" s="52" t="s">
        <v>267</v>
      </c>
      <c r="BB5" s="136">
        <f>B5</f>
        <v>1</v>
      </c>
      <c r="BC5" s="52" t="s">
        <v>344</v>
      </c>
      <c r="BD5" s="52" t="s">
        <v>267</v>
      </c>
      <c r="BE5" s="136">
        <f>B5</f>
        <v>1</v>
      </c>
      <c r="BF5" s="52" t="s">
        <v>344</v>
      </c>
      <c r="BG5" s="52" t="s">
        <v>267</v>
      </c>
      <c r="BH5" s="136">
        <f>B5</f>
        <v>1</v>
      </c>
      <c r="BI5" s="52" t="s">
        <v>344</v>
      </c>
      <c r="BJ5" s="52" t="s">
        <v>267</v>
      </c>
      <c r="BK5" s="136">
        <f>B5</f>
        <v>1</v>
      </c>
      <c r="BL5" s="52" t="s">
        <v>344</v>
      </c>
      <c r="BM5" s="52" t="s">
        <v>267</v>
      </c>
      <c r="BN5" s="136">
        <f>B5</f>
        <v>1</v>
      </c>
      <c r="BO5" s="52" t="s">
        <v>344</v>
      </c>
      <c r="BP5" s="52" t="s">
        <v>267</v>
      </c>
      <c r="BQ5" s="136">
        <f>B5</f>
        <v>1</v>
      </c>
      <c r="BR5" s="52" t="s">
        <v>344</v>
      </c>
      <c r="BS5" s="52" t="s">
        <v>267</v>
      </c>
      <c r="BT5" s="136">
        <f>B5</f>
        <v>1</v>
      </c>
      <c r="BU5" s="52" t="s">
        <v>344</v>
      </c>
      <c r="BV5" s="83" t="s">
        <v>267</v>
      </c>
      <c r="BW5" s="136">
        <f>B5</f>
        <v>1</v>
      </c>
      <c r="BX5" s="52" t="s">
        <v>344</v>
      </c>
      <c r="BY5" s="83" t="s">
        <v>267</v>
      </c>
      <c r="BZ5" s="136">
        <f>B5</f>
        <v>1</v>
      </c>
      <c r="CA5" s="52" t="s">
        <v>344</v>
      </c>
      <c r="CB5" s="52" t="s">
        <v>267</v>
      </c>
      <c r="CC5" s="136">
        <f>B5</f>
        <v>1</v>
      </c>
      <c r="CD5" s="52" t="s">
        <v>344</v>
      </c>
      <c r="CE5" s="52" t="s">
        <v>267</v>
      </c>
      <c r="CF5" s="136">
        <f>B5</f>
        <v>1</v>
      </c>
      <c r="CG5" s="52" t="s">
        <v>344</v>
      </c>
      <c r="CH5" s="52" t="s">
        <v>267</v>
      </c>
      <c r="CI5" s="136">
        <f>B5</f>
        <v>1</v>
      </c>
      <c r="CJ5" s="52" t="s">
        <v>344</v>
      </c>
      <c r="CK5" s="52" t="s">
        <v>267</v>
      </c>
      <c r="CL5" s="136">
        <f>B5</f>
        <v>1</v>
      </c>
      <c r="CM5" s="52" t="s">
        <v>344</v>
      </c>
      <c r="CN5" s="83" t="s">
        <v>228</v>
      </c>
      <c r="CO5" s="136">
        <f>B30</f>
        <v>6.0000000000000001E-3</v>
      </c>
      <c r="CP5" s="52" t="s">
        <v>268</v>
      </c>
      <c r="CQ5" s="83" t="s">
        <v>228</v>
      </c>
      <c r="CR5" s="136">
        <f>CO5</f>
        <v>6.0000000000000001E-3</v>
      </c>
      <c r="CS5" s="52" t="s">
        <v>268</v>
      </c>
      <c r="CT5" s="83" t="s">
        <v>267</v>
      </c>
      <c r="CU5" s="136">
        <f>B5</f>
        <v>1</v>
      </c>
      <c r="CV5" s="52" t="s">
        <v>344</v>
      </c>
      <c r="CW5" s="52" t="s">
        <v>267</v>
      </c>
      <c r="CX5" s="136">
        <f>B5</f>
        <v>1</v>
      </c>
      <c r="CY5" s="52" t="s">
        <v>344</v>
      </c>
      <c r="CZ5" s="83" t="s">
        <v>267</v>
      </c>
      <c r="DA5" s="136">
        <f>B5</f>
        <v>1</v>
      </c>
      <c r="DB5" s="52" t="s">
        <v>344</v>
      </c>
      <c r="DC5" s="83" t="s">
        <v>267</v>
      </c>
      <c r="DD5" s="136">
        <f>B5</f>
        <v>1</v>
      </c>
      <c r="DE5" s="52" t="s">
        <v>344</v>
      </c>
      <c r="DF5" s="52" t="s">
        <v>17</v>
      </c>
      <c r="DG5" s="137">
        <f>(DG8*DG9*DG10*((1-EXP(-DG11*DG12))))/(DG13*DG11)</f>
        <v>6.6877504027585484E-4</v>
      </c>
      <c r="DH5" s="52" t="s">
        <v>18</v>
      </c>
      <c r="DI5" s="83" t="s">
        <v>19</v>
      </c>
      <c r="DJ5" s="161">
        <f>DJ7</f>
        <v>1.914E-5</v>
      </c>
      <c r="DK5" s="83"/>
      <c r="DL5" s="83" t="s">
        <v>19</v>
      </c>
      <c r="DM5" s="161">
        <f>DM7</f>
        <v>1.914E-5</v>
      </c>
      <c r="DO5" s="52" t="s">
        <v>17</v>
      </c>
      <c r="DP5" s="137">
        <f>(DP8*DP9*DP10*((1-EXP(-DP11*DP12))))/(DP13*DP11)</f>
        <v>6.8418630199139872E-4</v>
      </c>
      <c r="DQ5" s="52" t="s">
        <v>18</v>
      </c>
      <c r="DR5" s="83" t="s">
        <v>267</v>
      </c>
      <c r="DS5" s="136">
        <f>B5</f>
        <v>1</v>
      </c>
      <c r="DT5" s="52" t="s">
        <v>344</v>
      </c>
      <c r="DU5" s="83" t="s">
        <v>239</v>
      </c>
      <c r="DV5" s="169">
        <f>B24</f>
        <v>4.2E-7</v>
      </c>
      <c r="DW5" s="52" t="s">
        <v>388</v>
      </c>
      <c r="DX5" s="83" t="s">
        <v>20</v>
      </c>
      <c r="DY5" s="161">
        <f>DY7</f>
        <v>2.1999999999999999E-5</v>
      </c>
      <c r="DZ5" s="83"/>
      <c r="EA5" s="83" t="s">
        <v>20</v>
      </c>
      <c r="EB5" s="161">
        <f>EB7</f>
        <v>2.1999999999999999E-5</v>
      </c>
      <c r="EC5" s="84"/>
      <c r="ED5" s="83" t="s">
        <v>20</v>
      </c>
      <c r="EE5" s="161">
        <f>EE7</f>
        <v>2.1999999999999999E-5</v>
      </c>
      <c r="EF5" s="84"/>
      <c r="EG5" s="83" t="s">
        <v>267</v>
      </c>
      <c r="EH5" s="136">
        <f>B5</f>
        <v>1</v>
      </c>
      <c r="EI5" s="52" t="s">
        <v>344</v>
      </c>
      <c r="EJ5" s="83" t="s">
        <v>236</v>
      </c>
      <c r="EK5" s="169">
        <f>B25</f>
        <v>5.0000000000000001E-4</v>
      </c>
      <c r="EL5" s="52" t="s">
        <v>388</v>
      </c>
      <c r="EM5" s="83" t="s">
        <v>20</v>
      </c>
      <c r="EN5" s="161">
        <f>EN7</f>
        <v>2.1999999999999999E-5</v>
      </c>
      <c r="EO5" s="83"/>
      <c r="EP5" s="83" t="s">
        <v>20</v>
      </c>
      <c r="EQ5" s="161">
        <f>EQ7</f>
        <v>2.1999999999999999E-5</v>
      </c>
      <c r="ER5" s="84"/>
      <c r="ES5" s="83" t="s">
        <v>20</v>
      </c>
      <c r="ET5" s="161">
        <f>ET7</f>
        <v>2.1999999999999999E-5</v>
      </c>
      <c r="EU5" s="84"/>
      <c r="EV5" s="83" t="s">
        <v>267</v>
      </c>
      <c r="EW5" s="136">
        <f>B5</f>
        <v>1</v>
      </c>
      <c r="EX5" s="52" t="s">
        <v>344</v>
      </c>
      <c r="EY5" s="83" t="s">
        <v>171</v>
      </c>
      <c r="EZ5" s="169">
        <f>B27</f>
        <v>3.0000000000000001E-3</v>
      </c>
      <c r="FA5" s="52" t="s">
        <v>388</v>
      </c>
      <c r="FB5" s="83" t="s">
        <v>20</v>
      </c>
      <c r="FC5" s="161">
        <f>FC7</f>
        <v>2.1999999999999999E-5</v>
      </c>
      <c r="FD5" s="83"/>
      <c r="FE5" s="83" t="s">
        <v>20</v>
      </c>
      <c r="FF5" s="161">
        <f>FF7</f>
        <v>2.1999999999999999E-5</v>
      </c>
      <c r="FG5" s="83"/>
      <c r="FH5" s="83" t="s">
        <v>20</v>
      </c>
      <c r="FI5" s="161">
        <f>FI7</f>
        <v>2.1999999999999999E-5</v>
      </c>
      <c r="FJ5" s="84"/>
      <c r="FK5" s="83" t="s">
        <v>267</v>
      </c>
      <c r="FL5" s="136">
        <f>B5</f>
        <v>1</v>
      </c>
      <c r="FM5" s="52" t="s">
        <v>344</v>
      </c>
      <c r="FN5" s="83" t="s">
        <v>105</v>
      </c>
      <c r="FO5" s="161">
        <f>B23</f>
        <v>240</v>
      </c>
      <c r="FP5" s="83" t="s">
        <v>18</v>
      </c>
      <c r="FQ5" s="83" t="s">
        <v>105</v>
      </c>
      <c r="FR5" s="161">
        <f>B23</f>
        <v>240</v>
      </c>
      <c r="FS5" s="83" t="s">
        <v>18</v>
      </c>
      <c r="FT5" s="83" t="s">
        <v>105</v>
      </c>
      <c r="FU5" s="161">
        <f>B23</f>
        <v>240</v>
      </c>
      <c r="FV5" s="83" t="s">
        <v>18</v>
      </c>
      <c r="FW5" s="83" t="s">
        <v>156</v>
      </c>
      <c r="FX5" s="161">
        <f>B33</f>
        <v>4</v>
      </c>
      <c r="FY5" s="88" t="s">
        <v>18</v>
      </c>
      <c r="FZ5" s="83" t="s">
        <v>267</v>
      </c>
      <c r="GA5" s="136">
        <f>B5</f>
        <v>1</v>
      </c>
      <c r="GB5" s="52" t="s">
        <v>344</v>
      </c>
      <c r="GC5" s="83" t="s">
        <v>237</v>
      </c>
      <c r="GD5" s="169">
        <f>B26</f>
        <v>6.0000000000000001E-3</v>
      </c>
      <c r="GE5" s="52" t="s">
        <v>388</v>
      </c>
      <c r="GF5" s="83" t="s">
        <v>20</v>
      </c>
      <c r="GG5" s="161">
        <f>GG7</f>
        <v>2.1999999999999999E-5</v>
      </c>
      <c r="GH5" s="83"/>
      <c r="GI5" s="83" t="s">
        <v>20</v>
      </c>
      <c r="GJ5" s="161">
        <f>GJ7</f>
        <v>2.1999999999999999E-5</v>
      </c>
      <c r="GK5" s="83"/>
      <c r="GL5" s="83" t="s">
        <v>20</v>
      </c>
      <c r="GM5" s="161">
        <f>GM7</f>
        <v>2.1999999999999999E-5</v>
      </c>
      <c r="GN5" s="84"/>
      <c r="GO5" s="83" t="s">
        <v>267</v>
      </c>
      <c r="GP5" s="136">
        <f>B5</f>
        <v>1</v>
      </c>
      <c r="GQ5" s="52" t="s">
        <v>344</v>
      </c>
      <c r="GR5" s="83" t="s">
        <v>599</v>
      </c>
      <c r="GS5" s="169">
        <f>B28</f>
        <v>1.7000000000000001E-4</v>
      </c>
      <c r="GT5" s="52" t="s">
        <v>388</v>
      </c>
      <c r="GU5" s="83" t="s">
        <v>20</v>
      </c>
      <c r="GV5" s="161">
        <f>GV7</f>
        <v>2.1999999999999999E-5</v>
      </c>
      <c r="GW5" s="83"/>
      <c r="GX5" s="83" t="s">
        <v>20</v>
      </c>
      <c r="GY5" s="161">
        <f>GY7</f>
        <v>2.1999999999999999E-5</v>
      </c>
      <c r="GZ5" s="83"/>
      <c r="HA5" s="83" t="s">
        <v>20</v>
      </c>
      <c r="HB5" s="161">
        <f>HB7</f>
        <v>2.1999999999999999E-5</v>
      </c>
      <c r="HC5" s="84"/>
      <c r="HD5" s="89" t="s">
        <v>21</v>
      </c>
      <c r="HE5" s="225">
        <f>B34</f>
        <v>4.3727040000000005E-9</v>
      </c>
      <c r="HF5" s="83" t="s">
        <v>13</v>
      </c>
    </row>
    <row r="6" spans="1:214" x14ac:dyDescent="0.2">
      <c r="A6" s="83" t="s">
        <v>247</v>
      </c>
      <c r="B6" s="184">
        <v>0.36297000000000001</v>
      </c>
      <c r="C6" s="84" t="s">
        <v>259</v>
      </c>
      <c r="D6" s="83" t="s">
        <v>22</v>
      </c>
      <c r="E6" s="137">
        <f>0.693/E7</f>
        <v>1.6041666666666665E-3</v>
      </c>
      <c r="G6" s="83" t="s">
        <v>248</v>
      </c>
      <c r="H6" s="136">
        <f>B7</f>
        <v>8.8060000000000005E-4</v>
      </c>
      <c r="I6" s="83" t="s">
        <v>259</v>
      </c>
      <c r="J6" s="83" t="s">
        <v>249</v>
      </c>
      <c r="K6" s="136">
        <f>B8</f>
        <v>8.8060000000000005E-4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1.6041666666666665E-3</v>
      </c>
      <c r="BV6" s="83" t="s">
        <v>248</v>
      </c>
      <c r="BW6" s="136">
        <f>B7</f>
        <v>8.8060000000000005E-4</v>
      </c>
      <c r="BX6" s="83" t="s">
        <v>259</v>
      </c>
      <c r="BY6" s="83" t="s">
        <v>249</v>
      </c>
      <c r="BZ6" s="136">
        <f>B8</f>
        <v>8.8060000000000005E-4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B17</f>
        <v>8.8060000000000005E-4</v>
      </c>
      <c r="CM6" s="92" t="s">
        <v>259</v>
      </c>
      <c r="CN6" s="84" t="s">
        <v>20</v>
      </c>
      <c r="CO6" s="139">
        <f>CO8</f>
        <v>2.1999999999999999E-5</v>
      </c>
      <c r="CQ6" s="84" t="s">
        <v>169</v>
      </c>
      <c r="CR6" s="162">
        <f>B133</f>
        <v>1</v>
      </c>
      <c r="CS6" s="52" t="s">
        <v>28</v>
      </c>
      <c r="CT6" s="83" t="s">
        <v>249</v>
      </c>
      <c r="CU6" s="136">
        <f>B8</f>
        <v>8.8060000000000005E-4</v>
      </c>
      <c r="CV6" s="83" t="s">
        <v>259</v>
      </c>
      <c r="CW6" s="83" t="s">
        <v>22</v>
      </c>
      <c r="CX6" s="137">
        <f>0.693/CX7</f>
        <v>1.6041666666666665E-3</v>
      </c>
      <c r="CZ6" s="83" t="s">
        <v>248</v>
      </c>
      <c r="DA6" s="136">
        <f>B7</f>
        <v>8.8060000000000005E-4</v>
      </c>
      <c r="DB6" s="83" t="s">
        <v>259</v>
      </c>
      <c r="DC6" s="83" t="s">
        <v>258</v>
      </c>
      <c r="DD6" s="136">
        <f>B17</f>
        <v>8.8060000000000005E-4</v>
      </c>
      <c r="DE6" s="92" t="s">
        <v>259</v>
      </c>
      <c r="DF6" s="52" t="s">
        <v>25</v>
      </c>
      <c r="DG6" s="137">
        <f>(DG8*DG9*DG14*((1-EXP(-DG11*DG12))))/(DG13*DG11)</f>
        <v>9.0847184154504852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B17</f>
        <v>8.8060000000000005E-4</v>
      </c>
      <c r="DT6" s="83" t="s">
        <v>259</v>
      </c>
      <c r="DU6" s="83" t="s">
        <v>27</v>
      </c>
      <c r="DV6" s="142">
        <f>B203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B17</f>
        <v>8.8060000000000005E-4</v>
      </c>
      <c r="EI6" s="83" t="s">
        <v>259</v>
      </c>
      <c r="EJ6" s="83" t="s">
        <v>29</v>
      </c>
      <c r="EK6" s="142">
        <f>B209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B17</f>
        <v>8.8060000000000005E-4</v>
      </c>
      <c r="EX6" s="83" t="s">
        <v>259</v>
      </c>
      <c r="EY6" s="83" t="s">
        <v>148</v>
      </c>
      <c r="EZ6" s="164">
        <f>B214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B17</f>
        <v>8.8060000000000005E-4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B33</f>
        <v>4</v>
      </c>
      <c r="FS6" s="83" t="s">
        <v>18</v>
      </c>
      <c r="FT6" s="83" t="s">
        <v>156</v>
      </c>
      <c r="FU6" s="161">
        <f>B33</f>
        <v>4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B17</f>
        <v>8.8060000000000005E-4</v>
      </c>
      <c r="GB6" s="83" t="s">
        <v>259</v>
      </c>
      <c r="GC6" s="83" t="s">
        <v>485</v>
      </c>
      <c r="GD6" s="164">
        <f>B219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B17</f>
        <v>8.8060000000000005E-4</v>
      </c>
      <c r="GQ6" s="83" t="s">
        <v>259</v>
      </c>
      <c r="GR6" s="83" t="s">
        <v>150</v>
      </c>
      <c r="GS6" s="142">
        <f>B224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3.1660351512348485E-10</v>
      </c>
      <c r="HF6" s="83" t="s">
        <v>13</v>
      </c>
    </row>
    <row r="7" spans="1:214" x14ac:dyDescent="0.2">
      <c r="A7" s="83" t="s">
        <v>248</v>
      </c>
      <c r="B7" s="183">
        <v>8.8060000000000005E-4</v>
      </c>
      <c r="C7" s="84" t="s">
        <v>259</v>
      </c>
      <c r="D7" s="91" t="s">
        <v>231</v>
      </c>
      <c r="E7" s="136">
        <f>B18</f>
        <v>432</v>
      </c>
      <c r="F7" s="52" t="s">
        <v>60</v>
      </c>
      <c r="G7" s="83" t="s">
        <v>247</v>
      </c>
      <c r="H7" s="139">
        <f>B6</f>
        <v>0.36297000000000001</v>
      </c>
      <c r="I7" s="84" t="s">
        <v>259</v>
      </c>
      <c r="J7" s="83" t="s">
        <v>247</v>
      </c>
      <c r="K7" s="136">
        <f>B6</f>
        <v>0.36297000000000001</v>
      </c>
      <c r="L7" s="84" t="s">
        <v>259</v>
      </c>
      <c r="M7" s="83" t="s">
        <v>22</v>
      </c>
      <c r="N7" s="137">
        <f>0.693/N8</f>
        <v>1.6041666666666665E-3</v>
      </c>
      <c r="P7" s="83" t="s">
        <v>22</v>
      </c>
      <c r="Q7" s="137">
        <f>0.693/Q8</f>
        <v>1.6041666666666665E-3</v>
      </c>
      <c r="S7" s="83" t="s">
        <v>22</v>
      </c>
      <c r="T7" s="137">
        <f>0.693/T8</f>
        <v>1.6041666666666665E-3</v>
      </c>
      <c r="V7" s="83" t="s">
        <v>22</v>
      </c>
      <c r="W7" s="137">
        <f>0.693/W8</f>
        <v>1.6041666666666665E-3</v>
      </c>
      <c r="Y7" s="83" t="s">
        <v>22</v>
      </c>
      <c r="Z7" s="137">
        <f>0.693/Z8</f>
        <v>1.6041666666666665E-3</v>
      </c>
      <c r="AB7" s="83" t="s">
        <v>425</v>
      </c>
      <c r="AC7" s="150">
        <f>B231</f>
        <v>250</v>
      </c>
      <c r="AD7" s="150">
        <f>B243</f>
        <v>250</v>
      </c>
      <c r="AE7" s="150">
        <f>B255</f>
        <v>225</v>
      </c>
      <c r="AF7" s="150">
        <f>B267</f>
        <v>250</v>
      </c>
      <c r="AG7" s="150">
        <f>B291</f>
        <v>250</v>
      </c>
      <c r="AH7" s="83" t="s">
        <v>24</v>
      </c>
      <c r="AI7" s="83" t="s">
        <v>22</v>
      </c>
      <c r="AJ7" s="137">
        <f>0.693/AJ8</f>
        <v>1.6041666666666665E-3</v>
      </c>
      <c r="AL7" s="83" t="s">
        <v>22</v>
      </c>
      <c r="AM7" s="137">
        <f>0.693/AM8</f>
        <v>1.6041666666666665E-3</v>
      </c>
      <c r="AO7" s="83" t="s">
        <v>22</v>
      </c>
      <c r="AP7" s="137">
        <f>0.693/AP8</f>
        <v>1.6041666666666665E-3</v>
      </c>
      <c r="AR7" s="83" t="s">
        <v>22</v>
      </c>
      <c r="AS7" s="137">
        <f>0.693/AS8</f>
        <v>1.6041666666666665E-3</v>
      </c>
      <c r="AU7" s="83" t="s">
        <v>22</v>
      </c>
      <c r="AV7" s="137">
        <f>0.693/AV8</f>
        <v>1.6041666666666665E-3</v>
      </c>
      <c r="AX7" s="83" t="s">
        <v>22</v>
      </c>
      <c r="AY7" s="137">
        <f>0.693/AY8</f>
        <v>1.6041666666666665E-3</v>
      </c>
      <c r="BA7" s="83" t="s">
        <v>22</v>
      </c>
      <c r="BB7" s="137">
        <f>0.693/BB8</f>
        <v>1.6041666666666665E-3</v>
      </c>
      <c r="BD7" s="83" t="s">
        <v>22</v>
      </c>
      <c r="BE7" s="137">
        <f>0.693/BE8</f>
        <v>1.6041666666666665E-3</v>
      </c>
      <c r="BG7" s="83" t="s">
        <v>22</v>
      </c>
      <c r="BH7" s="137">
        <f>0.693/BH8</f>
        <v>1.6041666666666665E-3</v>
      </c>
      <c r="BJ7" s="83" t="s">
        <v>22</v>
      </c>
      <c r="BK7" s="137">
        <f>0.693/BK8</f>
        <v>1.6041666666666665E-3</v>
      </c>
      <c r="BM7" s="83" t="s">
        <v>22</v>
      </c>
      <c r="BN7" s="137">
        <f>0.693/BN8</f>
        <v>1.6041666666666665E-3</v>
      </c>
      <c r="BP7" s="83" t="s">
        <v>22</v>
      </c>
      <c r="BQ7" s="137">
        <f>0.693/BQ8</f>
        <v>1.6041666666666665E-3</v>
      </c>
      <c r="BS7" s="91" t="s">
        <v>231</v>
      </c>
      <c r="BT7" s="136">
        <f>B18</f>
        <v>432</v>
      </c>
      <c r="BU7" s="52" t="s">
        <v>60</v>
      </c>
      <c r="BV7" s="83" t="s">
        <v>247</v>
      </c>
      <c r="BW7" s="139">
        <f>B6</f>
        <v>0.36297000000000001</v>
      </c>
      <c r="BX7" s="84" t="s">
        <v>259</v>
      </c>
      <c r="BY7" s="83" t="s">
        <v>247</v>
      </c>
      <c r="BZ7" s="139">
        <f>B6</f>
        <v>0.36297000000000001</v>
      </c>
      <c r="CA7" s="84" t="s">
        <v>259</v>
      </c>
      <c r="CB7" s="83" t="s">
        <v>22</v>
      </c>
      <c r="CC7" s="137">
        <f>0.693/CC8</f>
        <v>1.6041666666666665E-3</v>
      </c>
      <c r="CE7" s="83" t="s">
        <v>22</v>
      </c>
      <c r="CF7" s="137">
        <f>0.693/CF8</f>
        <v>1.6041666666666665E-3</v>
      </c>
      <c r="CH7" s="83" t="s">
        <v>22</v>
      </c>
      <c r="CI7" s="137">
        <f>0.693/CI8</f>
        <v>1.6041666666666665E-3</v>
      </c>
      <c r="CK7" s="52" t="s">
        <v>140</v>
      </c>
      <c r="CL7" s="138">
        <f>B103</f>
        <v>75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B6</f>
        <v>0.36297000000000001</v>
      </c>
      <c r="CV7" s="84" t="s">
        <v>259</v>
      </c>
      <c r="CW7" s="91" t="s">
        <v>231</v>
      </c>
      <c r="CX7" s="136">
        <f>B18</f>
        <v>432</v>
      </c>
      <c r="CY7" s="52" t="s">
        <v>60</v>
      </c>
      <c r="CZ7" s="84" t="s">
        <v>247</v>
      </c>
      <c r="DA7" s="139">
        <f>B6</f>
        <v>0.36297000000000001</v>
      </c>
      <c r="DB7" s="84" t="s">
        <v>259</v>
      </c>
      <c r="DC7" s="83" t="s">
        <v>260</v>
      </c>
      <c r="DD7" s="166">
        <f>((DD5)/(DD6*(DD8+DD11)*DD19))*DD22*DD23*DJ11</f>
        <v>3.4570362932486858E-9</v>
      </c>
      <c r="DE7" s="92" t="s">
        <v>12</v>
      </c>
      <c r="DF7" s="52" t="s">
        <v>31</v>
      </c>
      <c r="DG7" s="137">
        <f>(DG8*DG9*DG15*DG21*((1-EXP(-DG16*DG17))))/(DG18*DG16)</f>
        <v>3.6421488784670224</v>
      </c>
      <c r="DH7" s="52" t="s">
        <v>18</v>
      </c>
      <c r="DI7" s="83" t="s">
        <v>32</v>
      </c>
      <c r="DJ7" s="136">
        <f>B31</f>
        <v>1.914E-5</v>
      </c>
      <c r="DL7" s="83" t="s">
        <v>32</v>
      </c>
      <c r="DM7" s="136">
        <f>B31</f>
        <v>1.914E-5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(DS5/(DS6*DS8*DS15))*DS19*DS20*DY17</f>
        <v>2.1935546103212639E-9</v>
      </c>
      <c r="DT7" s="52" t="s">
        <v>12</v>
      </c>
      <c r="DV7" s="138"/>
      <c r="DX7" s="83" t="s">
        <v>33</v>
      </c>
      <c r="DY7" s="136">
        <f>B32</f>
        <v>2.1999999999999999E-5</v>
      </c>
      <c r="EA7" s="83" t="s">
        <v>33</v>
      </c>
      <c r="EB7" s="136">
        <f>B32</f>
        <v>2.1999999999999999E-5</v>
      </c>
      <c r="EC7" s="84"/>
      <c r="ED7" s="83" t="s">
        <v>33</v>
      </c>
      <c r="EE7" s="136">
        <f>B32</f>
        <v>2.1999999999999999E-5</v>
      </c>
      <c r="EF7" s="84"/>
      <c r="EG7" s="83" t="s">
        <v>260</v>
      </c>
      <c r="EH7" s="168">
        <f>(EH5/(EH6*EH8*EH15))*EH19*EH20*EN16</f>
        <v>6.0123182446135074E-9</v>
      </c>
      <c r="EI7" s="52" t="s">
        <v>12</v>
      </c>
      <c r="EJ7" s="95"/>
      <c r="EK7" s="176"/>
      <c r="EM7" s="83" t="s">
        <v>33</v>
      </c>
      <c r="EN7" s="136">
        <f>B32</f>
        <v>2.1999999999999999E-5</v>
      </c>
      <c r="EP7" s="83" t="s">
        <v>33</v>
      </c>
      <c r="EQ7" s="136">
        <f>B32</f>
        <v>2.1999999999999999E-5</v>
      </c>
      <c r="ER7" s="84"/>
      <c r="ES7" s="83" t="s">
        <v>33</v>
      </c>
      <c r="ET7" s="136">
        <f>B32</f>
        <v>2.1999999999999999E-5</v>
      </c>
      <c r="EU7" s="84"/>
      <c r="EV7" s="83" t="s">
        <v>260</v>
      </c>
      <c r="EW7" s="168">
        <f>(EW5/(EW6*EW8*EW15))*EW19*EW20*FC16</f>
        <v>2.0110090780872251E-8</v>
      </c>
      <c r="EX7" s="52" t="s">
        <v>12</v>
      </c>
      <c r="EY7" s="83"/>
      <c r="EZ7" s="142">
        <v>1000</v>
      </c>
      <c r="FA7" s="83" t="s">
        <v>132</v>
      </c>
      <c r="FB7" s="83" t="s">
        <v>33</v>
      </c>
      <c r="FC7" s="161">
        <f>B32</f>
        <v>2.1999999999999999E-5</v>
      </c>
      <c r="FD7" s="83"/>
      <c r="FE7" s="83" t="s">
        <v>33</v>
      </c>
      <c r="FF7" s="161">
        <f>B32</f>
        <v>2.1999999999999999E-5</v>
      </c>
      <c r="FG7" s="83"/>
      <c r="FH7" s="83" t="s">
        <v>33</v>
      </c>
      <c r="FI7" s="161">
        <f>B32</f>
        <v>2.1999999999999999E-5</v>
      </c>
      <c r="FJ7" s="84"/>
      <c r="FK7" s="83" t="s">
        <v>260</v>
      </c>
      <c r="FL7" s="168">
        <f>(FL5/(FL6*FL8*FL15))*FL19*FL20*FR9</f>
        <v>6.9033489865803514E-9</v>
      </c>
      <c r="FM7" s="52" t="s">
        <v>12</v>
      </c>
      <c r="FN7" s="95"/>
      <c r="FO7" s="176"/>
      <c r="FQ7" s="52" t="s">
        <v>350</v>
      </c>
      <c r="FR7" s="164">
        <f>B170</f>
        <v>1</v>
      </c>
      <c r="FT7" s="95"/>
      <c r="FU7" s="176"/>
      <c r="FV7" s="83"/>
      <c r="FW7" s="95"/>
      <c r="FX7" s="176"/>
      <c r="FZ7" s="83" t="s">
        <v>260</v>
      </c>
      <c r="GA7" s="168">
        <f>(GA5/(GA6*GA8*GA15))*GA19*GA20*GG16</f>
        <v>1.0045967548076198E-8</v>
      </c>
      <c r="GB7" s="52" t="s">
        <v>12</v>
      </c>
      <c r="GC7" s="83"/>
      <c r="GD7" s="142">
        <v>1000</v>
      </c>
      <c r="GE7" s="83" t="s">
        <v>132</v>
      </c>
      <c r="GF7" s="83" t="s">
        <v>33</v>
      </c>
      <c r="GG7" s="161">
        <f>B32</f>
        <v>2.1999999999999999E-5</v>
      </c>
      <c r="GH7" s="83"/>
      <c r="GI7" s="83" t="s">
        <v>33</v>
      </c>
      <c r="GJ7" s="161">
        <f>B32</f>
        <v>2.1999999999999999E-5</v>
      </c>
      <c r="GK7" s="83"/>
      <c r="GL7" s="83" t="s">
        <v>33</v>
      </c>
      <c r="GM7" s="161">
        <f>B32</f>
        <v>2.1999999999999999E-5</v>
      </c>
      <c r="GN7" s="84"/>
      <c r="GO7" s="83" t="s">
        <v>260</v>
      </c>
      <c r="GP7" s="168">
        <f>(GP5/(GP6*GP8*GP14))*GP18*GP19*GV16</f>
        <v>1.0999277179339158E-8</v>
      </c>
      <c r="GQ7" s="52" t="s">
        <v>12</v>
      </c>
      <c r="GR7" s="88"/>
      <c r="GS7" s="142">
        <v>1000</v>
      </c>
      <c r="GT7" s="83" t="s">
        <v>132</v>
      </c>
      <c r="GU7" s="83" t="s">
        <v>33</v>
      </c>
      <c r="GV7" s="161">
        <f>B32</f>
        <v>2.1999999999999999E-5</v>
      </c>
      <c r="GW7" s="83"/>
      <c r="GX7" s="83" t="s">
        <v>33</v>
      </c>
      <c r="GY7" s="161">
        <f>B32</f>
        <v>2.1999999999999999E-5</v>
      </c>
      <c r="GZ7" s="83"/>
      <c r="HA7" s="83" t="s">
        <v>33</v>
      </c>
      <c r="HB7" s="161">
        <f>B32</f>
        <v>2.1999999999999999E-5</v>
      </c>
      <c r="HC7" s="84"/>
      <c r="HD7" s="83" t="s">
        <v>22</v>
      </c>
      <c r="HE7" s="137">
        <f>0.693/HE9</f>
        <v>1.6041666666666665E-3</v>
      </c>
    </row>
    <row r="8" spans="1:214" x14ac:dyDescent="0.2">
      <c r="A8" s="83" t="s">
        <v>249</v>
      </c>
      <c r="B8" s="183">
        <v>8.8060000000000005E-4</v>
      </c>
      <c r="C8" s="83" t="s">
        <v>259</v>
      </c>
      <c r="D8" s="52" t="s">
        <v>382</v>
      </c>
      <c r="E8" s="138">
        <f>B56</f>
        <v>350</v>
      </c>
      <c r="F8" s="52" t="s">
        <v>24</v>
      </c>
      <c r="G8" s="91" t="s">
        <v>257</v>
      </c>
      <c r="H8" s="136">
        <f>B16</f>
        <v>0.28767199999999998</v>
      </c>
      <c r="I8" s="84" t="s">
        <v>259</v>
      </c>
      <c r="J8" s="83" t="s">
        <v>269</v>
      </c>
      <c r="K8" s="136">
        <f>B10</f>
        <v>3.7173200000000003E-2</v>
      </c>
      <c r="L8" s="83" t="s">
        <v>351</v>
      </c>
      <c r="M8" s="91" t="s">
        <v>231</v>
      </c>
      <c r="N8" s="136">
        <f>B18</f>
        <v>432</v>
      </c>
      <c r="O8" s="52" t="s">
        <v>60</v>
      </c>
      <c r="P8" s="91" t="s">
        <v>231</v>
      </c>
      <c r="Q8" s="136">
        <f>B18</f>
        <v>432</v>
      </c>
      <c r="R8" s="52" t="s">
        <v>60</v>
      </c>
      <c r="S8" s="91" t="s">
        <v>231</v>
      </c>
      <c r="T8" s="136">
        <f>B18</f>
        <v>432</v>
      </c>
      <c r="U8" s="52" t="s">
        <v>60</v>
      </c>
      <c r="V8" s="91" t="s">
        <v>231</v>
      </c>
      <c r="W8" s="136">
        <f>B18</f>
        <v>432</v>
      </c>
      <c r="X8" s="52" t="s">
        <v>60</v>
      </c>
      <c r="Y8" s="91" t="s">
        <v>231</v>
      </c>
      <c r="Z8" s="136">
        <f>B18</f>
        <v>432</v>
      </c>
      <c r="AA8" s="52" t="s">
        <v>60</v>
      </c>
      <c r="AB8" s="83" t="s">
        <v>249</v>
      </c>
      <c r="AC8" s="136">
        <f>B9</f>
        <v>7.5480000000000002E-4</v>
      </c>
      <c r="AD8" s="136">
        <f>B9</f>
        <v>7.5480000000000002E-4</v>
      </c>
      <c r="AE8" s="136">
        <f>B9</f>
        <v>7.5480000000000002E-4</v>
      </c>
      <c r="AF8" s="136">
        <f>B9</f>
        <v>7.5480000000000002E-4</v>
      </c>
      <c r="AG8" s="136">
        <f>B9</f>
        <v>7.5480000000000002E-4</v>
      </c>
      <c r="AH8" s="83" t="s">
        <v>259</v>
      </c>
      <c r="AI8" s="91" t="s">
        <v>231</v>
      </c>
      <c r="AJ8" s="136">
        <f>B18</f>
        <v>432</v>
      </c>
      <c r="AK8" s="52" t="s">
        <v>60</v>
      </c>
      <c r="AL8" s="91" t="s">
        <v>231</v>
      </c>
      <c r="AM8" s="136">
        <f>B18</f>
        <v>432</v>
      </c>
      <c r="AN8" s="52" t="s">
        <v>60</v>
      </c>
      <c r="AO8" s="91" t="s">
        <v>231</v>
      </c>
      <c r="AP8" s="136">
        <f>B18</f>
        <v>432</v>
      </c>
      <c r="AQ8" s="52" t="s">
        <v>60</v>
      </c>
      <c r="AR8" s="91" t="s">
        <v>231</v>
      </c>
      <c r="AS8" s="136">
        <f>B18</f>
        <v>432</v>
      </c>
      <c r="AT8" s="52" t="s">
        <v>60</v>
      </c>
      <c r="AU8" s="91" t="s">
        <v>231</v>
      </c>
      <c r="AV8" s="136">
        <f>B18</f>
        <v>432</v>
      </c>
      <c r="AW8" s="52" t="s">
        <v>60</v>
      </c>
      <c r="AX8" s="91" t="s">
        <v>231</v>
      </c>
      <c r="AY8" s="136">
        <f>B18</f>
        <v>432</v>
      </c>
      <c r="AZ8" s="52" t="s">
        <v>60</v>
      </c>
      <c r="BA8" s="91" t="s">
        <v>231</v>
      </c>
      <c r="BB8" s="136">
        <f>B18</f>
        <v>432</v>
      </c>
      <c r="BC8" s="52" t="s">
        <v>60</v>
      </c>
      <c r="BD8" s="91" t="s">
        <v>231</v>
      </c>
      <c r="BE8" s="136">
        <f>B18</f>
        <v>432</v>
      </c>
      <c r="BF8" s="52" t="s">
        <v>60</v>
      </c>
      <c r="BG8" s="91" t="s">
        <v>231</v>
      </c>
      <c r="BH8" s="136">
        <f>B18</f>
        <v>432</v>
      </c>
      <c r="BI8" s="52" t="s">
        <v>60</v>
      </c>
      <c r="BJ8" s="91" t="s">
        <v>231</v>
      </c>
      <c r="BK8" s="136">
        <f>B18</f>
        <v>432</v>
      </c>
      <c r="BL8" s="52" t="s">
        <v>60</v>
      </c>
      <c r="BM8" s="91" t="s">
        <v>231</v>
      </c>
      <c r="BN8" s="136">
        <f>B18</f>
        <v>432</v>
      </c>
      <c r="BO8" s="52" t="s">
        <v>60</v>
      </c>
      <c r="BP8" s="91" t="s">
        <v>231</v>
      </c>
      <c r="BQ8" s="136">
        <f>B18</f>
        <v>432</v>
      </c>
      <c r="BR8" s="52" t="s">
        <v>60</v>
      </c>
      <c r="BS8" s="52" t="s">
        <v>140</v>
      </c>
      <c r="BT8" s="138">
        <f>B103</f>
        <v>75</v>
      </c>
      <c r="BU8" s="52" t="s">
        <v>24</v>
      </c>
      <c r="BV8" s="91" t="s">
        <v>257</v>
      </c>
      <c r="BW8" s="136">
        <f>B16</f>
        <v>0.28767199999999998</v>
      </c>
      <c r="BX8" s="84" t="s">
        <v>259</v>
      </c>
      <c r="BY8" s="83" t="s">
        <v>269</v>
      </c>
      <c r="BZ8" s="136">
        <f>B10</f>
        <v>3.7173200000000003E-2</v>
      </c>
      <c r="CA8" s="83" t="s">
        <v>351</v>
      </c>
      <c r="CB8" s="91" t="s">
        <v>231</v>
      </c>
      <c r="CC8" s="136">
        <f>B18</f>
        <v>432</v>
      </c>
      <c r="CD8" s="52" t="s">
        <v>60</v>
      </c>
      <c r="CE8" s="91" t="s">
        <v>231</v>
      </c>
      <c r="CF8" s="136">
        <f>B18</f>
        <v>432</v>
      </c>
      <c r="CG8" s="52" t="s">
        <v>60</v>
      </c>
      <c r="CH8" s="91" t="s">
        <v>231</v>
      </c>
      <c r="CI8" s="136">
        <f>B18</f>
        <v>432</v>
      </c>
      <c r="CJ8" s="52" t="s">
        <v>60</v>
      </c>
      <c r="CK8" s="52" t="s">
        <v>159</v>
      </c>
      <c r="CL8" s="162">
        <f>B128</f>
        <v>1</v>
      </c>
      <c r="CM8" s="52" t="s">
        <v>221</v>
      </c>
      <c r="CN8" s="84" t="s">
        <v>33</v>
      </c>
      <c r="CO8" s="136">
        <f>B32</f>
        <v>2.1999999999999999E-5</v>
      </c>
      <c r="CT8" s="83" t="s">
        <v>269</v>
      </c>
      <c r="CU8" s="136">
        <f>B10</f>
        <v>3.7173200000000003E-2</v>
      </c>
      <c r="CV8" s="83" t="s">
        <v>351</v>
      </c>
      <c r="CW8" s="52" t="s">
        <v>362</v>
      </c>
      <c r="CX8" s="138">
        <f>B169</f>
        <v>350</v>
      </c>
      <c r="CY8" s="52" t="s">
        <v>24</v>
      </c>
      <c r="CZ8" s="83" t="s">
        <v>270</v>
      </c>
      <c r="DA8" s="165">
        <f>B16</f>
        <v>0.28767199999999998</v>
      </c>
      <c r="DB8" s="83" t="s">
        <v>259</v>
      </c>
      <c r="DC8" s="83" t="s">
        <v>516</v>
      </c>
      <c r="DD8" s="149">
        <f>(DD9*DD15*DD20)+(DD10*DD14*DD21)</f>
        <v>39585</v>
      </c>
      <c r="DE8" s="92" t="s">
        <v>347</v>
      </c>
      <c r="DF8" s="83" t="s">
        <v>36</v>
      </c>
      <c r="DG8" s="138">
        <f>B193</f>
        <v>3.62</v>
      </c>
      <c r="DH8" s="52" t="s">
        <v>37</v>
      </c>
      <c r="DI8" s="83" t="s">
        <v>393</v>
      </c>
      <c r="DJ8" s="138">
        <f>B35</f>
        <v>0.26</v>
      </c>
      <c r="DL8" s="83" t="s">
        <v>393</v>
      </c>
      <c r="DM8" s="138">
        <f>B35</f>
        <v>0.26</v>
      </c>
      <c r="DO8" s="83" t="s">
        <v>36</v>
      </c>
      <c r="DP8" s="138">
        <f>B193</f>
        <v>3.62</v>
      </c>
      <c r="DQ8" s="52" t="s">
        <v>37</v>
      </c>
      <c r="DR8" s="83" t="s">
        <v>147</v>
      </c>
      <c r="DS8" s="149">
        <f>(DS11*DS9*DS17)+(DS12*DS10*DS18)</f>
        <v>150914.75</v>
      </c>
      <c r="DT8" s="92" t="s">
        <v>347</v>
      </c>
      <c r="DU8" s="52" t="s">
        <v>518</v>
      </c>
      <c r="DV8" s="146">
        <f>B204</f>
        <v>1.03</v>
      </c>
      <c r="DW8" s="52" t="s">
        <v>286</v>
      </c>
      <c r="DX8" s="83" t="s">
        <v>392</v>
      </c>
      <c r="DY8" s="138">
        <f>B36</f>
        <v>0.25</v>
      </c>
      <c r="EA8" s="83" t="s">
        <v>392</v>
      </c>
      <c r="EB8" s="138">
        <f>B36</f>
        <v>0.25</v>
      </c>
      <c r="EC8" s="84"/>
      <c r="ED8" s="83" t="s">
        <v>392</v>
      </c>
      <c r="EE8" s="138">
        <f>B36</f>
        <v>0.25</v>
      </c>
      <c r="EF8" s="84"/>
      <c r="EG8" s="83" t="s">
        <v>519</v>
      </c>
      <c r="EH8" s="149">
        <f>(EH11*EH9*EH17)+(EH12*EH10*EH18)</f>
        <v>55060.25</v>
      </c>
      <c r="EI8" s="92" t="s">
        <v>347</v>
      </c>
      <c r="EJ8" s="83"/>
      <c r="EM8" s="83" t="s">
        <v>392</v>
      </c>
      <c r="EN8" s="138">
        <f>B36</f>
        <v>0.25</v>
      </c>
      <c r="EP8" s="83" t="s">
        <v>392</v>
      </c>
      <c r="EQ8" s="138">
        <f>B36</f>
        <v>0.25</v>
      </c>
      <c r="ER8" s="84"/>
      <c r="ES8" s="83" t="s">
        <v>392</v>
      </c>
      <c r="ET8" s="138">
        <f>B36</f>
        <v>0.25</v>
      </c>
      <c r="EU8" s="84"/>
      <c r="EV8" s="83" t="s">
        <v>520</v>
      </c>
      <c r="EW8" s="149">
        <f>(EW11*EW9*EW17)+(EW12*EW10*EW18)</f>
        <v>16461.375</v>
      </c>
      <c r="EX8" s="92" t="s">
        <v>347</v>
      </c>
      <c r="EY8" s="95"/>
      <c r="EZ8" s="176"/>
      <c r="FA8" s="83"/>
      <c r="FB8" s="83" t="s">
        <v>392</v>
      </c>
      <c r="FC8" s="142">
        <f>B36</f>
        <v>0.25</v>
      </c>
      <c r="FD8" s="83"/>
      <c r="FE8" s="83" t="s">
        <v>392</v>
      </c>
      <c r="FF8" s="142">
        <f>B36</f>
        <v>0.25</v>
      </c>
      <c r="FG8" s="83"/>
      <c r="FH8" s="83" t="s">
        <v>392</v>
      </c>
      <c r="FI8" s="142">
        <f>B36</f>
        <v>0.25</v>
      </c>
      <c r="FJ8" s="84"/>
      <c r="FK8" s="83" t="s">
        <v>521</v>
      </c>
      <c r="FL8" s="173">
        <f>(FL9*FL11*FL17)+(FL10*FL12*FL18)</f>
        <v>47953.5</v>
      </c>
      <c r="FM8" s="92" t="s">
        <v>347</v>
      </c>
      <c r="FN8" s="83"/>
      <c r="FO8" s="83"/>
      <c r="FP8" s="83"/>
      <c r="FQ8" s="83" t="s">
        <v>22</v>
      </c>
      <c r="FR8" s="137">
        <f>0.693/FR9</f>
        <v>1.6041666666666665E-3</v>
      </c>
      <c r="FT8" s="83"/>
      <c r="FU8" s="83"/>
      <c r="FV8" s="83"/>
      <c r="FZ8" s="83" t="s">
        <v>522</v>
      </c>
      <c r="GA8" s="173">
        <f>(GA11*GA9*GA17)+(GA10*GA12*GA18)</f>
        <v>32952.5</v>
      </c>
      <c r="GB8" s="92" t="s">
        <v>347</v>
      </c>
      <c r="GC8" s="95"/>
      <c r="GD8" s="176"/>
      <c r="GE8" s="83"/>
      <c r="GF8" s="83" t="s">
        <v>392</v>
      </c>
      <c r="GG8" s="142">
        <f>B36</f>
        <v>0.25</v>
      </c>
      <c r="GH8" s="83"/>
      <c r="GI8" s="83" t="s">
        <v>392</v>
      </c>
      <c r="GJ8" s="142">
        <f>B36</f>
        <v>0.25</v>
      </c>
      <c r="GK8" s="83"/>
      <c r="GL8" s="83" t="s">
        <v>392</v>
      </c>
      <c r="GM8" s="142">
        <f>B36</f>
        <v>0.25</v>
      </c>
      <c r="GN8" s="84"/>
      <c r="GO8" s="83" t="s">
        <v>523</v>
      </c>
      <c r="GP8" s="149">
        <f>(GP9*GP11*GP16)+(GP10*GP12*GP17)</f>
        <v>30096.5</v>
      </c>
      <c r="GQ8" s="92" t="s">
        <v>347</v>
      </c>
      <c r="GR8" s="95"/>
      <c r="GS8" s="176"/>
      <c r="GT8" s="83"/>
      <c r="GU8" s="83" t="s">
        <v>392</v>
      </c>
      <c r="GV8" s="142">
        <f>B36</f>
        <v>0.25</v>
      </c>
      <c r="GW8" s="83"/>
      <c r="GX8" s="83" t="s">
        <v>392</v>
      </c>
      <c r="GY8" s="142">
        <f>B36</f>
        <v>0.25</v>
      </c>
      <c r="GZ8" s="83"/>
      <c r="HA8" s="83" t="s">
        <v>392</v>
      </c>
      <c r="HB8" s="142">
        <f>B36</f>
        <v>0.25</v>
      </c>
      <c r="HC8" s="84"/>
      <c r="HD8" s="52" t="s">
        <v>16</v>
      </c>
      <c r="HE8" s="137">
        <f>1-EXP(-HE7*HE12)</f>
        <v>1.6028806790575612E-3</v>
      </c>
    </row>
    <row r="9" spans="1:214" x14ac:dyDescent="0.2">
      <c r="A9" s="83" t="s">
        <v>250</v>
      </c>
      <c r="B9" s="183">
        <v>7.5480000000000002E-4</v>
      </c>
      <c r="C9" s="83" t="s">
        <v>259</v>
      </c>
      <c r="D9" s="52" t="s">
        <v>379</v>
      </c>
      <c r="E9" s="138">
        <f>B53</f>
        <v>1</v>
      </c>
      <c r="F9" s="52" t="s">
        <v>146</v>
      </c>
      <c r="G9" s="83" t="s">
        <v>258</v>
      </c>
      <c r="H9" s="136">
        <f>B17</f>
        <v>8.8060000000000005E-4</v>
      </c>
      <c r="I9" s="92" t="s">
        <v>259</v>
      </c>
      <c r="J9" s="83" t="s">
        <v>258</v>
      </c>
      <c r="K9" s="136">
        <f>B17</f>
        <v>8.8060000000000005E-4</v>
      </c>
      <c r="L9" s="92" t="s">
        <v>259</v>
      </c>
      <c r="M9" s="52" t="s">
        <v>382</v>
      </c>
      <c r="N9" s="138">
        <f>B56</f>
        <v>350</v>
      </c>
      <c r="O9" s="52" t="s">
        <v>24</v>
      </c>
      <c r="P9" s="52" t="s">
        <v>382</v>
      </c>
      <c r="Q9" s="138">
        <f>B56</f>
        <v>350</v>
      </c>
      <c r="R9" s="52" t="s">
        <v>24</v>
      </c>
      <c r="S9" s="52" t="s">
        <v>382</v>
      </c>
      <c r="T9" s="138">
        <f>B56</f>
        <v>350</v>
      </c>
      <c r="U9" s="52" t="s">
        <v>24</v>
      </c>
      <c r="V9" s="52" t="s">
        <v>423</v>
      </c>
      <c r="W9" s="138">
        <f>B255</f>
        <v>225</v>
      </c>
      <c r="X9" s="52" t="s">
        <v>24</v>
      </c>
      <c r="Y9" s="52" t="s">
        <v>316</v>
      </c>
      <c r="Z9" s="138">
        <f>B231</f>
        <v>250</v>
      </c>
      <c r="AA9" s="52" t="s">
        <v>24</v>
      </c>
      <c r="AB9" s="83" t="s">
        <v>34</v>
      </c>
      <c r="AC9" s="146">
        <f>B232</f>
        <v>1</v>
      </c>
      <c r="AD9" s="146">
        <f>B244</f>
        <v>1</v>
      </c>
      <c r="AE9" s="146">
        <f>B256</f>
        <v>1</v>
      </c>
      <c r="AF9" s="146">
        <f>B268</f>
        <v>1</v>
      </c>
      <c r="AG9" s="146">
        <f>B292</f>
        <v>1</v>
      </c>
      <c r="AH9" s="83" t="s">
        <v>60</v>
      </c>
      <c r="AI9" s="52" t="s">
        <v>35</v>
      </c>
      <c r="AJ9" s="138">
        <f>B243</f>
        <v>250</v>
      </c>
      <c r="AK9" s="52" t="s">
        <v>24</v>
      </c>
      <c r="AL9" s="52" t="s">
        <v>35</v>
      </c>
      <c r="AM9" s="138">
        <f>B243</f>
        <v>250</v>
      </c>
      <c r="AN9" s="52" t="s">
        <v>24</v>
      </c>
      <c r="AO9" s="52" t="s">
        <v>35</v>
      </c>
      <c r="AP9" s="138">
        <f>B243</f>
        <v>250</v>
      </c>
      <c r="AQ9" s="52" t="s">
        <v>24</v>
      </c>
      <c r="AR9" s="52" t="s">
        <v>423</v>
      </c>
      <c r="AS9" s="138">
        <f>B255</f>
        <v>225</v>
      </c>
      <c r="AT9" s="52" t="s">
        <v>24</v>
      </c>
      <c r="AU9" s="52" t="s">
        <v>423</v>
      </c>
      <c r="AV9" s="138">
        <f>B255</f>
        <v>225</v>
      </c>
      <c r="AW9" s="52" t="s">
        <v>24</v>
      </c>
      <c r="AX9" s="52" t="s">
        <v>423</v>
      </c>
      <c r="AY9" s="138">
        <f>B255</f>
        <v>225</v>
      </c>
      <c r="AZ9" s="52" t="s">
        <v>24</v>
      </c>
      <c r="BA9" s="52" t="s">
        <v>316</v>
      </c>
      <c r="BB9" s="138">
        <f>B231</f>
        <v>250</v>
      </c>
      <c r="BC9" s="52" t="s">
        <v>24</v>
      </c>
      <c r="BD9" s="52" t="s">
        <v>316</v>
      </c>
      <c r="BE9" s="138">
        <f>B231</f>
        <v>250</v>
      </c>
      <c r="BF9" s="52" t="s">
        <v>24</v>
      </c>
      <c r="BG9" s="52" t="s">
        <v>316</v>
      </c>
      <c r="BH9" s="138">
        <f>B231</f>
        <v>250</v>
      </c>
      <c r="BI9" s="52" t="s">
        <v>24</v>
      </c>
      <c r="BJ9" s="52" t="s">
        <v>191</v>
      </c>
      <c r="BK9" s="138">
        <f>BK10*BK11</f>
        <v>250</v>
      </c>
      <c r="BL9" s="52" t="s">
        <v>24</v>
      </c>
      <c r="BM9" s="52" t="s">
        <v>191</v>
      </c>
      <c r="BN9" s="138">
        <f>BN10*BN11</f>
        <v>250</v>
      </c>
      <c r="BO9" s="52" t="s">
        <v>24</v>
      </c>
      <c r="BP9" s="52" t="s">
        <v>191</v>
      </c>
      <c r="BQ9" s="138">
        <f>BQ10*BQ11</f>
        <v>250</v>
      </c>
      <c r="BR9" s="52" t="s">
        <v>24</v>
      </c>
      <c r="BS9" s="52" t="s">
        <v>247</v>
      </c>
      <c r="BT9" s="139">
        <f>E11</f>
        <v>0.36297000000000001</v>
      </c>
      <c r="BU9" s="84" t="s">
        <v>259</v>
      </c>
      <c r="BV9" s="83" t="s">
        <v>258</v>
      </c>
      <c r="BW9" s="136">
        <f>B17</f>
        <v>8.8060000000000005E-4</v>
      </c>
      <c r="BX9" s="92" t="s">
        <v>259</v>
      </c>
      <c r="BY9" s="83" t="s">
        <v>77</v>
      </c>
      <c r="BZ9" s="136">
        <f>B19</f>
        <v>1359344473.5814338</v>
      </c>
      <c r="CA9" s="83" t="s">
        <v>78</v>
      </c>
      <c r="CB9" s="52" t="s">
        <v>140</v>
      </c>
      <c r="CC9" s="138">
        <f>B103</f>
        <v>75</v>
      </c>
      <c r="CD9" s="52" t="s">
        <v>24</v>
      </c>
      <c r="CE9" s="52" t="s">
        <v>140</v>
      </c>
      <c r="CF9" s="138">
        <f>B103</f>
        <v>75</v>
      </c>
      <c r="CG9" s="52" t="s">
        <v>24</v>
      </c>
      <c r="CH9" s="52" t="s">
        <v>140</v>
      </c>
      <c r="CI9" s="138">
        <f>B103</f>
        <v>75</v>
      </c>
      <c r="CJ9" s="52" t="s">
        <v>24</v>
      </c>
      <c r="CK9" s="84" t="s">
        <v>295</v>
      </c>
      <c r="CL9" s="142">
        <f>B302</f>
        <v>241</v>
      </c>
      <c r="CM9" s="84" t="s">
        <v>296</v>
      </c>
      <c r="CN9" s="84" t="s">
        <v>392</v>
      </c>
      <c r="CO9" s="162">
        <f>B36</f>
        <v>0.25</v>
      </c>
      <c r="CT9" s="83" t="s">
        <v>258</v>
      </c>
      <c r="CU9" s="136">
        <f>B17</f>
        <v>8.8060000000000005E-4</v>
      </c>
      <c r="CV9" s="92" t="s">
        <v>259</v>
      </c>
      <c r="CW9" s="52" t="s">
        <v>363</v>
      </c>
      <c r="CX9" s="138">
        <f>B170</f>
        <v>1</v>
      </c>
      <c r="CY9" s="52" t="s">
        <v>146</v>
      </c>
      <c r="CZ9" s="83" t="s">
        <v>258</v>
      </c>
      <c r="DA9" s="136">
        <f>B17</f>
        <v>8.8060000000000005E-4</v>
      </c>
      <c r="DB9" s="84" t="s">
        <v>259</v>
      </c>
      <c r="DC9" s="83" t="s">
        <v>513</v>
      </c>
      <c r="DD9" s="146">
        <f>B151</f>
        <v>41.7</v>
      </c>
      <c r="DE9" s="92" t="s">
        <v>221</v>
      </c>
      <c r="DF9" s="83" t="s">
        <v>40</v>
      </c>
      <c r="DG9" s="138">
        <f>B194</f>
        <v>0.25</v>
      </c>
      <c r="DH9" s="52" t="s">
        <v>41</v>
      </c>
      <c r="DI9" s="52" t="s">
        <v>350</v>
      </c>
      <c r="DJ9" s="164">
        <f>B170</f>
        <v>1</v>
      </c>
      <c r="DL9" s="95"/>
      <c r="DM9" s="176"/>
      <c r="DO9" s="83" t="s">
        <v>40</v>
      </c>
      <c r="DP9" s="138">
        <f>B194</f>
        <v>0.25</v>
      </c>
      <c r="DQ9" s="52" t="s">
        <v>41</v>
      </c>
      <c r="DR9" s="83" t="s">
        <v>452</v>
      </c>
      <c r="DS9" s="146">
        <f>B153</f>
        <v>349.5</v>
      </c>
      <c r="DT9" s="92" t="s">
        <v>221</v>
      </c>
      <c r="DU9" s="95"/>
      <c r="DV9" s="176"/>
      <c r="DX9" s="83" t="s">
        <v>517</v>
      </c>
      <c r="DY9" s="136">
        <f>B24</f>
        <v>4.2E-7</v>
      </c>
      <c r="DZ9" s="52" t="s">
        <v>388</v>
      </c>
      <c r="EA9" s="83" t="s">
        <v>517</v>
      </c>
      <c r="EB9" s="136">
        <f>B24</f>
        <v>4.2E-7</v>
      </c>
      <c r="EC9" s="52" t="s">
        <v>388</v>
      </c>
      <c r="ED9" s="83" t="s">
        <v>517</v>
      </c>
      <c r="EE9" s="136">
        <f>B24</f>
        <v>4.2E-7</v>
      </c>
      <c r="EF9" s="52" t="s">
        <v>388</v>
      </c>
      <c r="EG9" s="83" t="s">
        <v>453</v>
      </c>
      <c r="EH9" s="170">
        <f>B155</f>
        <v>40.1</v>
      </c>
      <c r="EI9" s="92" t="s">
        <v>221</v>
      </c>
      <c r="EJ9" s="83"/>
      <c r="EM9" s="83" t="s">
        <v>236</v>
      </c>
      <c r="EN9" s="136">
        <f>B25</f>
        <v>5.0000000000000001E-4</v>
      </c>
      <c r="EO9" s="52" t="s">
        <v>388</v>
      </c>
      <c r="EP9" s="83" t="s">
        <v>236</v>
      </c>
      <c r="EQ9" s="169">
        <f>B25</f>
        <v>5.0000000000000001E-4</v>
      </c>
      <c r="ER9" s="52" t="s">
        <v>388</v>
      </c>
      <c r="ES9" s="83" t="s">
        <v>236</v>
      </c>
      <c r="ET9" s="169">
        <f>B25</f>
        <v>5.0000000000000001E-4</v>
      </c>
      <c r="EU9" s="52" t="s">
        <v>388</v>
      </c>
      <c r="EV9" s="83" t="s">
        <v>454</v>
      </c>
      <c r="EW9" s="171">
        <f>B157</f>
        <v>10.95</v>
      </c>
      <c r="EX9" s="92" t="s">
        <v>221</v>
      </c>
      <c r="EY9" s="83"/>
      <c r="EZ9" s="83"/>
      <c r="FA9" s="83"/>
      <c r="FB9" s="83" t="s">
        <v>171</v>
      </c>
      <c r="FC9" s="169">
        <f>B27</f>
        <v>3.0000000000000001E-3</v>
      </c>
      <c r="FD9" s="52" t="s">
        <v>388</v>
      </c>
      <c r="FE9" s="83" t="s">
        <v>171</v>
      </c>
      <c r="FF9" s="169">
        <f>B27</f>
        <v>3.0000000000000001E-3</v>
      </c>
      <c r="FG9" s="52" t="s">
        <v>388</v>
      </c>
      <c r="FH9" s="83" t="s">
        <v>171</v>
      </c>
      <c r="FI9" s="169">
        <f>B27</f>
        <v>3.0000000000000001E-3</v>
      </c>
      <c r="FJ9" s="52" t="s">
        <v>388</v>
      </c>
      <c r="FK9" s="83" t="s">
        <v>471</v>
      </c>
      <c r="FL9" s="150">
        <f>B159</f>
        <v>32.799999999999997</v>
      </c>
      <c r="FM9" s="92" t="s">
        <v>221</v>
      </c>
      <c r="FN9" s="83"/>
      <c r="FO9" s="83"/>
      <c r="FP9" s="83"/>
      <c r="FQ9" s="91" t="s">
        <v>231</v>
      </c>
      <c r="FR9" s="136">
        <f>B18</f>
        <v>432</v>
      </c>
      <c r="FS9" s="52" t="s">
        <v>60</v>
      </c>
      <c r="FT9" s="83"/>
      <c r="FU9" s="93"/>
      <c r="FV9" s="83"/>
      <c r="FW9" s="83"/>
      <c r="FX9" s="93"/>
      <c r="FY9" s="83"/>
      <c r="FZ9" s="83" t="s">
        <v>473</v>
      </c>
      <c r="GA9" s="174">
        <f>B161</f>
        <v>23.6</v>
      </c>
      <c r="GB9" s="92" t="s">
        <v>221</v>
      </c>
      <c r="GC9" s="83"/>
      <c r="GD9" s="83"/>
      <c r="GE9" s="83"/>
      <c r="GF9" s="83" t="s">
        <v>237</v>
      </c>
      <c r="GG9" s="169">
        <f>B26</f>
        <v>6.0000000000000001E-3</v>
      </c>
      <c r="GH9" s="52" t="s">
        <v>388</v>
      </c>
      <c r="GI9" s="83" t="s">
        <v>237</v>
      </c>
      <c r="GJ9" s="169">
        <f>B26</f>
        <v>6.0000000000000001E-3</v>
      </c>
      <c r="GK9" s="52" t="s">
        <v>388</v>
      </c>
      <c r="GL9" s="83" t="s">
        <v>237</v>
      </c>
      <c r="GM9" s="169">
        <f>B26</f>
        <v>6.0000000000000001E-3</v>
      </c>
      <c r="GN9" s="52" t="s">
        <v>388</v>
      </c>
      <c r="GO9" s="83" t="s">
        <v>455</v>
      </c>
      <c r="GP9" s="150">
        <f>B163</f>
        <v>18.5</v>
      </c>
      <c r="GQ9" s="92" t="s">
        <v>221</v>
      </c>
      <c r="GR9" s="83"/>
      <c r="GS9" s="83"/>
      <c r="GT9" s="83"/>
      <c r="GU9" s="83" t="s">
        <v>238</v>
      </c>
      <c r="GV9" s="169">
        <f>B28</f>
        <v>1.7000000000000001E-4</v>
      </c>
      <c r="GW9" s="52" t="s">
        <v>388</v>
      </c>
      <c r="GX9" s="83" t="s">
        <v>238</v>
      </c>
      <c r="GY9" s="169">
        <f>B28</f>
        <v>1.7000000000000001E-4</v>
      </c>
      <c r="GZ9" s="52" t="s">
        <v>388</v>
      </c>
      <c r="HA9" s="83" t="s">
        <v>238</v>
      </c>
      <c r="HB9" s="169">
        <f>B28</f>
        <v>1.7000000000000001E-4</v>
      </c>
      <c r="HC9" s="52" t="s">
        <v>388</v>
      </c>
      <c r="HD9" s="91" t="s">
        <v>231</v>
      </c>
      <c r="HE9" s="136">
        <f>B18</f>
        <v>432</v>
      </c>
      <c r="HF9" s="52" t="s">
        <v>60</v>
      </c>
    </row>
    <row r="10" spans="1:214" x14ac:dyDescent="0.2">
      <c r="A10" s="83" t="s">
        <v>251</v>
      </c>
      <c r="B10" s="183">
        <v>3.7173200000000003E-2</v>
      </c>
      <c r="C10" s="83" t="s">
        <v>351</v>
      </c>
      <c r="D10" s="52" t="s">
        <v>92</v>
      </c>
      <c r="E10" s="138">
        <f>E9</f>
        <v>1</v>
      </c>
      <c r="G10" s="83" t="s">
        <v>260</v>
      </c>
      <c r="H10" s="143">
        <f>(H5/(H6*H15))</f>
        <v>1.5417891368880012</v>
      </c>
      <c r="I10" s="92" t="s">
        <v>11</v>
      </c>
      <c r="J10" s="83" t="s">
        <v>77</v>
      </c>
      <c r="K10" s="136">
        <f>B19</f>
        <v>1359344473.5814338</v>
      </c>
      <c r="L10" s="83" t="s">
        <v>78</v>
      </c>
      <c r="M10" s="52" t="s">
        <v>379</v>
      </c>
      <c r="N10" s="138">
        <f>B53</f>
        <v>1</v>
      </c>
      <c r="O10" s="52" t="s">
        <v>146</v>
      </c>
      <c r="P10" s="52" t="s">
        <v>379</v>
      </c>
      <c r="Q10" s="138">
        <f>B53</f>
        <v>1</v>
      </c>
      <c r="R10" s="52" t="s">
        <v>146</v>
      </c>
      <c r="S10" s="52" t="s">
        <v>379</v>
      </c>
      <c r="T10" s="138">
        <f>B53</f>
        <v>1</v>
      </c>
      <c r="U10" s="52" t="s">
        <v>146</v>
      </c>
      <c r="V10" s="52" t="s">
        <v>424</v>
      </c>
      <c r="W10" s="138">
        <f>B256</f>
        <v>1</v>
      </c>
      <c r="X10" s="52" t="s">
        <v>146</v>
      </c>
      <c r="Y10" s="52" t="s">
        <v>422</v>
      </c>
      <c r="Z10" s="138">
        <f>B232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B277</f>
        <v>5</v>
      </c>
      <c r="AG10" s="146">
        <f>B300</f>
        <v>5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B244</f>
        <v>1</v>
      </c>
      <c r="AN10" s="52" t="s">
        <v>146</v>
      </c>
      <c r="AO10" s="52" t="s">
        <v>420</v>
      </c>
      <c r="AP10" s="138">
        <f>B244</f>
        <v>1</v>
      </c>
      <c r="AQ10" s="52" t="s">
        <v>146</v>
      </c>
      <c r="AR10" s="52" t="s">
        <v>424</v>
      </c>
      <c r="AS10" s="138">
        <f>B256</f>
        <v>1</v>
      </c>
      <c r="AT10" s="52" t="s">
        <v>146</v>
      </c>
      <c r="AU10" s="52" t="s">
        <v>424</v>
      </c>
      <c r="AV10" s="138">
        <f>B256</f>
        <v>1</v>
      </c>
      <c r="AW10" s="52" t="s">
        <v>146</v>
      </c>
      <c r="AX10" s="52" t="s">
        <v>424</v>
      </c>
      <c r="AY10" s="138">
        <f>B256</f>
        <v>1</v>
      </c>
      <c r="AZ10" s="52" t="s">
        <v>146</v>
      </c>
      <c r="BA10" s="52" t="s">
        <v>422</v>
      </c>
      <c r="BB10" s="138">
        <f>B232</f>
        <v>1</v>
      </c>
      <c r="BC10" s="52" t="s">
        <v>146</v>
      </c>
      <c r="BD10" s="52" t="s">
        <v>422</v>
      </c>
      <c r="BE10" s="138">
        <f>B232</f>
        <v>1</v>
      </c>
      <c r="BF10" s="52" t="s">
        <v>146</v>
      </c>
      <c r="BG10" s="52" t="s">
        <v>422</v>
      </c>
      <c r="BH10" s="138">
        <f>B232</f>
        <v>1</v>
      </c>
      <c r="BI10" s="52" t="s">
        <v>146</v>
      </c>
      <c r="BJ10" s="52" t="s">
        <v>220</v>
      </c>
      <c r="BK10" s="138">
        <f>B278</f>
        <v>50</v>
      </c>
      <c r="BL10" s="52" t="s">
        <v>113</v>
      </c>
      <c r="BM10" s="52" t="s">
        <v>220</v>
      </c>
      <c r="BN10" s="138">
        <f>B278</f>
        <v>50</v>
      </c>
      <c r="BO10" s="52" t="s">
        <v>113</v>
      </c>
      <c r="BP10" s="52" t="s">
        <v>220</v>
      </c>
      <c r="BQ10" s="138">
        <f>B278</f>
        <v>50</v>
      </c>
      <c r="BR10" s="52" t="s">
        <v>113</v>
      </c>
      <c r="BS10" s="83" t="s">
        <v>428</v>
      </c>
      <c r="BT10" s="149">
        <f>(BT22*BT13*(1/24)*BT11*BT25)+(BT23*BT14*(1/24)*BT12*BT26)</f>
        <v>55.3125</v>
      </c>
      <c r="BU10" s="52" t="s">
        <v>426</v>
      </c>
      <c r="BV10" s="83" t="s">
        <v>260</v>
      </c>
      <c r="BW10" s="143">
        <f>(BW5/(BW6*BW13))*BW32*BW33*BW34</f>
        <v>1.4712877583465816E-7</v>
      </c>
      <c r="BX10" s="92" t="s">
        <v>13</v>
      </c>
      <c r="BY10" s="84" t="s">
        <v>16</v>
      </c>
      <c r="BZ10" s="137">
        <f>(BZ30*BZ11)/(1-EXP(-BZ11*BZ30))</f>
        <v>1.0008022977791844</v>
      </c>
      <c r="CB10" s="52" t="s">
        <v>51</v>
      </c>
      <c r="CC10" s="138">
        <f>B117</f>
        <v>1</v>
      </c>
      <c r="CD10" s="52" t="s">
        <v>146</v>
      </c>
      <c r="CE10" s="52" t="s">
        <v>51</v>
      </c>
      <c r="CF10" s="138">
        <f>B117</f>
        <v>1</v>
      </c>
      <c r="CG10" s="52" t="s">
        <v>146</v>
      </c>
      <c r="CH10" s="52" t="s">
        <v>51</v>
      </c>
      <c r="CI10" s="138">
        <f>B117</f>
        <v>1</v>
      </c>
      <c r="CJ10" s="52" t="s">
        <v>146</v>
      </c>
      <c r="CK10" s="84" t="s">
        <v>293</v>
      </c>
      <c r="CL10" s="161">
        <f>B304</f>
        <v>2.8000000000000002E-12</v>
      </c>
      <c r="CM10" s="84"/>
      <c r="CN10" s="84" t="s">
        <v>164</v>
      </c>
      <c r="CO10" s="162">
        <f>B129</f>
        <v>1</v>
      </c>
      <c r="CP10" s="52" t="s">
        <v>246</v>
      </c>
      <c r="CT10" s="83" t="s">
        <v>77</v>
      </c>
      <c r="CU10" s="136">
        <f>B19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1.0008022977791844</v>
      </c>
      <c r="DC10" s="83" t="s">
        <v>514</v>
      </c>
      <c r="DD10" s="146">
        <f>B152</f>
        <v>125.7</v>
      </c>
      <c r="DE10" s="92" t="s">
        <v>221</v>
      </c>
      <c r="DF10" s="92" t="s">
        <v>32</v>
      </c>
      <c r="DG10" s="136">
        <f>B31</f>
        <v>1.914E-5</v>
      </c>
      <c r="DI10" s="83" t="s">
        <v>22</v>
      </c>
      <c r="DJ10" s="137">
        <f>0.693/DJ11</f>
        <v>1.6041666666666665E-3</v>
      </c>
      <c r="DL10" s="92"/>
      <c r="DO10" s="92" t="s">
        <v>32</v>
      </c>
      <c r="DP10" s="136">
        <f>B31</f>
        <v>1.914E-5</v>
      </c>
      <c r="DR10" s="83" t="s">
        <v>461</v>
      </c>
      <c r="DS10" s="146">
        <f>B154</f>
        <v>445.6</v>
      </c>
      <c r="DT10" s="92" t="s">
        <v>221</v>
      </c>
      <c r="DU10" s="92"/>
      <c r="DX10" s="83" t="s">
        <v>498</v>
      </c>
      <c r="DY10" s="138">
        <f>B205</f>
        <v>20.3</v>
      </c>
      <c r="DZ10" s="52" t="s">
        <v>246</v>
      </c>
      <c r="EA10" s="83" t="s">
        <v>498</v>
      </c>
      <c r="EB10" s="138">
        <f>B205</f>
        <v>20.3</v>
      </c>
      <c r="EC10" s="52" t="s">
        <v>246</v>
      </c>
      <c r="ED10" s="83" t="s">
        <v>498</v>
      </c>
      <c r="EE10" s="138">
        <f>B205</f>
        <v>20.3</v>
      </c>
      <c r="EF10" s="52" t="s">
        <v>246</v>
      </c>
      <c r="EG10" s="83" t="s">
        <v>462</v>
      </c>
      <c r="EH10" s="170">
        <f>B156</f>
        <v>178</v>
      </c>
      <c r="EI10" s="92" t="s">
        <v>221</v>
      </c>
      <c r="EJ10" s="92"/>
      <c r="EM10" s="83" t="s">
        <v>494</v>
      </c>
      <c r="EN10" s="138">
        <f>B210</f>
        <v>11.77</v>
      </c>
      <c r="EO10" s="52" t="s">
        <v>246</v>
      </c>
      <c r="EP10" s="83" t="s">
        <v>494</v>
      </c>
      <c r="EQ10" s="138">
        <f>B210</f>
        <v>11.77</v>
      </c>
      <c r="ER10" s="52" t="s">
        <v>246</v>
      </c>
      <c r="ES10" s="83" t="s">
        <v>494</v>
      </c>
      <c r="ET10" s="138">
        <f>B210</f>
        <v>11.77</v>
      </c>
      <c r="EU10" s="52" t="s">
        <v>246</v>
      </c>
      <c r="EV10" s="83" t="s">
        <v>463</v>
      </c>
      <c r="EW10" s="170">
        <f>B158</f>
        <v>53.4</v>
      </c>
      <c r="EX10" s="92" t="s">
        <v>221</v>
      </c>
      <c r="EY10" s="83"/>
      <c r="EZ10" s="83"/>
      <c r="FA10" s="83"/>
      <c r="FB10" s="83" t="s">
        <v>152</v>
      </c>
      <c r="FC10" s="142">
        <f>B215</f>
        <v>0.2</v>
      </c>
      <c r="FD10" s="52" t="s">
        <v>246</v>
      </c>
      <c r="FE10" s="83" t="s">
        <v>152</v>
      </c>
      <c r="FF10" s="142">
        <f>B215</f>
        <v>0.2</v>
      </c>
      <c r="FG10" s="52" t="s">
        <v>246</v>
      </c>
      <c r="FH10" s="83" t="s">
        <v>152</v>
      </c>
      <c r="FI10" s="142">
        <f>B215</f>
        <v>0.2</v>
      </c>
      <c r="FJ10" s="52" t="s">
        <v>246</v>
      </c>
      <c r="FK10" s="83" t="s">
        <v>472</v>
      </c>
      <c r="FL10" s="150">
        <f>B160</f>
        <v>155.4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1.0008022977791844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B162</f>
        <v>106.6</v>
      </c>
      <c r="GB10" s="92" t="s">
        <v>221</v>
      </c>
      <c r="GC10" s="83"/>
      <c r="GD10" s="83"/>
      <c r="GE10" s="83"/>
      <c r="GF10" s="83" t="s">
        <v>486</v>
      </c>
      <c r="GG10" s="142">
        <f>B220</f>
        <v>0.2</v>
      </c>
      <c r="GH10" s="52" t="s">
        <v>246</v>
      </c>
      <c r="GI10" s="83" t="s">
        <v>486</v>
      </c>
      <c r="GJ10" s="142">
        <f>B220</f>
        <v>0.2</v>
      </c>
      <c r="GK10" s="52" t="s">
        <v>246</v>
      </c>
      <c r="GL10" s="83" t="s">
        <v>486</v>
      </c>
      <c r="GM10" s="142">
        <f>B220</f>
        <v>0.2</v>
      </c>
      <c r="GN10" s="52" t="s">
        <v>246</v>
      </c>
      <c r="GO10" s="83" t="s">
        <v>464</v>
      </c>
      <c r="GP10" s="150">
        <f>B164</f>
        <v>97.9</v>
      </c>
      <c r="GQ10" s="92" t="s">
        <v>221</v>
      </c>
      <c r="GR10" s="83"/>
      <c r="GS10" s="83"/>
      <c r="GT10" s="83"/>
      <c r="GU10" s="83" t="s">
        <v>490</v>
      </c>
      <c r="GV10" s="142">
        <f>B225</f>
        <v>4.7</v>
      </c>
      <c r="GW10" s="52" t="s">
        <v>246</v>
      </c>
      <c r="GX10" s="83" t="s">
        <v>490</v>
      </c>
      <c r="GY10" s="142">
        <f>B225</f>
        <v>4.7</v>
      </c>
      <c r="GZ10" s="52" t="s">
        <v>246</v>
      </c>
      <c r="HA10" s="83" t="s">
        <v>490</v>
      </c>
      <c r="HB10" s="142">
        <f>B225</f>
        <v>4.7</v>
      </c>
      <c r="HC10" s="52" t="s">
        <v>246</v>
      </c>
      <c r="HD10" s="84" t="s">
        <v>38</v>
      </c>
      <c r="HE10" s="163">
        <f>B83</f>
        <v>0.3</v>
      </c>
    </row>
    <row r="11" spans="1:214" x14ac:dyDescent="0.2">
      <c r="A11" s="83" t="s">
        <v>252</v>
      </c>
      <c r="B11" s="183">
        <v>2.5484199999999999E-2</v>
      </c>
      <c r="C11" s="83" t="s">
        <v>352</v>
      </c>
      <c r="D11" s="52" t="s">
        <v>247</v>
      </c>
      <c r="E11" s="139">
        <f>B6</f>
        <v>0.36297000000000001</v>
      </c>
      <c r="F11" s="84" t="s">
        <v>259</v>
      </c>
      <c r="G11" s="83" t="s">
        <v>261</v>
      </c>
      <c r="H11" s="144">
        <f>(H5/(H7*H16*H28))</f>
        <v>8.8944265588644373E-4</v>
      </c>
      <c r="I11" s="92" t="s">
        <v>11</v>
      </c>
      <c r="J11" s="84" t="s">
        <v>16</v>
      </c>
      <c r="K11" s="137">
        <f>(K43*K12)/(1-EXP(-K12*K43))</f>
        <v>1.0008022977791844</v>
      </c>
      <c r="M11" s="52" t="s">
        <v>299</v>
      </c>
      <c r="N11" s="138">
        <f>B61</f>
        <v>0.4</v>
      </c>
      <c r="P11" s="52" t="s">
        <v>299</v>
      </c>
      <c r="Q11" s="138">
        <f>B61</f>
        <v>0.4</v>
      </c>
      <c r="S11" s="52" t="s">
        <v>299</v>
      </c>
      <c r="T11" s="138">
        <f>B61</f>
        <v>0.4</v>
      </c>
      <c r="V11" s="52" t="s">
        <v>247</v>
      </c>
      <c r="W11" s="139">
        <f>B6</f>
        <v>0.36297000000000001</v>
      </c>
      <c r="X11" s="84" t="s">
        <v>39</v>
      </c>
      <c r="Y11" s="52" t="s">
        <v>247</v>
      </c>
      <c r="Z11" s="139">
        <f>B6</f>
        <v>0.36297000000000001</v>
      </c>
      <c r="AA11" s="84" t="s">
        <v>39</v>
      </c>
      <c r="AB11" s="83" t="s">
        <v>220</v>
      </c>
      <c r="AC11" s="146"/>
      <c r="AD11" s="146"/>
      <c r="AE11" s="146"/>
      <c r="AF11" s="146">
        <f>B278</f>
        <v>50</v>
      </c>
      <c r="AG11" s="146">
        <f>B301</f>
        <v>50</v>
      </c>
      <c r="AH11" s="83" t="s">
        <v>113</v>
      </c>
      <c r="AI11" s="52" t="s">
        <v>299</v>
      </c>
      <c r="AJ11" s="138">
        <f>B248</f>
        <v>0.4</v>
      </c>
      <c r="AL11" s="52" t="s">
        <v>299</v>
      </c>
      <c r="AM11" s="138">
        <f>B248</f>
        <v>0.4</v>
      </c>
      <c r="AO11" s="52" t="s">
        <v>299</v>
      </c>
      <c r="AP11" s="138">
        <f>B248</f>
        <v>0.4</v>
      </c>
      <c r="AR11" s="52" t="s">
        <v>299</v>
      </c>
      <c r="AS11" s="138">
        <f>B260</f>
        <v>0.4</v>
      </c>
      <c r="AU11" s="52" t="s">
        <v>299</v>
      </c>
      <c r="AV11" s="138">
        <f>B260</f>
        <v>0.4</v>
      </c>
      <c r="AX11" s="52" t="s">
        <v>299</v>
      </c>
      <c r="AY11" s="138">
        <f>B260</f>
        <v>0.4</v>
      </c>
      <c r="BA11" s="52" t="s">
        <v>299</v>
      </c>
      <c r="BB11" s="138">
        <f>B236</f>
        <v>0.4</v>
      </c>
      <c r="BD11" s="52" t="s">
        <v>299</v>
      </c>
      <c r="BE11" s="138">
        <f>B236</f>
        <v>0.4</v>
      </c>
      <c r="BG11" s="52" t="s">
        <v>299</v>
      </c>
      <c r="BH11" s="138">
        <f>B236</f>
        <v>0.4</v>
      </c>
      <c r="BJ11" s="52" t="s">
        <v>219</v>
      </c>
      <c r="BK11" s="138">
        <f>B277</f>
        <v>5</v>
      </c>
      <c r="BL11" s="52" t="s">
        <v>112</v>
      </c>
      <c r="BM11" s="52" t="s">
        <v>219</v>
      </c>
      <c r="BN11" s="138">
        <f>B277</f>
        <v>5</v>
      </c>
      <c r="BO11" s="52" t="s">
        <v>112</v>
      </c>
      <c r="BP11" s="52" t="s">
        <v>219</v>
      </c>
      <c r="BQ11" s="138">
        <f>B277</f>
        <v>5</v>
      </c>
      <c r="BR11" s="52" t="s">
        <v>112</v>
      </c>
      <c r="BS11" s="83" t="s">
        <v>429</v>
      </c>
      <c r="BT11" s="141">
        <f>B93</f>
        <v>10</v>
      </c>
      <c r="BU11" s="92" t="s">
        <v>407</v>
      </c>
      <c r="BV11" s="83" t="s">
        <v>261</v>
      </c>
      <c r="BW11" s="159"/>
      <c r="BX11" s="92" t="s">
        <v>13</v>
      </c>
      <c r="BY11" s="83" t="s">
        <v>22</v>
      </c>
      <c r="BZ11" s="137">
        <f>0.693/BZ12</f>
        <v>1.6041666666666665E-3</v>
      </c>
      <c r="CB11" s="52" t="s">
        <v>300</v>
      </c>
      <c r="CC11" s="138">
        <f>B118</f>
        <v>2.41E-4</v>
      </c>
      <c r="CE11" s="52" t="s">
        <v>300</v>
      </c>
      <c r="CF11" s="138">
        <f>B120</f>
        <v>1.17E-4</v>
      </c>
      <c r="CH11" s="52" t="s">
        <v>300</v>
      </c>
      <c r="CI11" s="138">
        <f>B124</f>
        <v>2.2599999999999999E-4</v>
      </c>
      <c r="CN11" s="84" t="s">
        <v>161</v>
      </c>
      <c r="CO11" s="162">
        <f>B130</f>
        <v>1</v>
      </c>
      <c r="CP11" s="52" t="s">
        <v>246</v>
      </c>
      <c r="CT11" s="84" t="s">
        <v>16</v>
      </c>
      <c r="CU11" s="137">
        <f>(CU43*CU12)/(1-EXP(-CU12*CU43))</f>
        <v>1.0008022977791844</v>
      </c>
      <c r="CW11" s="52" t="s">
        <v>247</v>
      </c>
      <c r="CX11" s="139">
        <f>B6</f>
        <v>0.36297000000000001</v>
      </c>
      <c r="CY11" s="84" t="s">
        <v>259</v>
      </c>
      <c r="CZ11" s="83" t="s">
        <v>22</v>
      </c>
      <c r="DA11" s="137">
        <f>0.693/DA12</f>
        <v>1.6041666666666665E-3</v>
      </c>
      <c r="DC11" s="83" t="s">
        <v>515</v>
      </c>
      <c r="DD11" s="149">
        <f>(DD12*DD15*DD20)+(DD13*DD14*DD21)</f>
        <v>56173.250000000007</v>
      </c>
      <c r="DE11" s="92" t="s">
        <v>347</v>
      </c>
      <c r="DF11" s="92" t="s">
        <v>49</v>
      </c>
      <c r="DG11" s="137">
        <f>DG19+DG20</f>
        <v>3.1394977168949772E-5</v>
      </c>
      <c r="DI11" s="91" t="s">
        <v>231</v>
      </c>
      <c r="DJ11" s="136">
        <f>B18</f>
        <v>432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B168</f>
        <v>350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B168</f>
        <v>350</v>
      </c>
      <c r="EI11" s="83" t="s">
        <v>24</v>
      </c>
      <c r="EJ11" s="92"/>
      <c r="EM11" s="83" t="s">
        <v>495</v>
      </c>
      <c r="EN11" s="138">
        <f>B211</f>
        <v>0.5</v>
      </c>
      <c r="EO11" s="52" t="s">
        <v>246</v>
      </c>
      <c r="EP11" s="83" t="s">
        <v>495</v>
      </c>
      <c r="EQ11" s="138">
        <f>B211</f>
        <v>0.5</v>
      </c>
      <c r="ER11" s="52" t="s">
        <v>246</v>
      </c>
      <c r="ES11" s="83" t="s">
        <v>495</v>
      </c>
      <c r="ET11" s="138">
        <f>B211</f>
        <v>0.5</v>
      </c>
      <c r="EU11" s="52" t="s">
        <v>246</v>
      </c>
      <c r="EV11" s="83" t="s">
        <v>456</v>
      </c>
      <c r="EW11" s="150">
        <f>B168</f>
        <v>350</v>
      </c>
      <c r="EX11" s="83" t="s">
        <v>24</v>
      </c>
      <c r="EY11" s="83"/>
      <c r="EZ11" s="83"/>
      <c r="FA11" s="83"/>
      <c r="FB11" s="83" t="s">
        <v>151</v>
      </c>
      <c r="FC11" s="142">
        <f>B216</f>
        <v>2.1999999999999999E-2</v>
      </c>
      <c r="FD11" s="52" t="s">
        <v>246</v>
      </c>
      <c r="FE11" s="83" t="s">
        <v>151</v>
      </c>
      <c r="FF11" s="142">
        <f>B216</f>
        <v>2.1999999999999999E-2</v>
      </c>
      <c r="FG11" s="52" t="s">
        <v>246</v>
      </c>
      <c r="FH11" s="83" t="s">
        <v>151</v>
      </c>
      <c r="FI11" s="142">
        <f>B216</f>
        <v>2.1999999999999999E-2</v>
      </c>
      <c r="FJ11" s="52" t="s">
        <v>246</v>
      </c>
      <c r="FK11" s="83" t="s">
        <v>456</v>
      </c>
      <c r="FL11" s="150">
        <f>B168</f>
        <v>350</v>
      </c>
      <c r="FM11" s="83" t="s">
        <v>24</v>
      </c>
      <c r="FN11" s="83"/>
      <c r="FO11" s="83"/>
      <c r="FP11" s="83"/>
      <c r="FQ11" s="95"/>
      <c r="FR11" s="176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B168</f>
        <v>350</v>
      </c>
      <c r="GB11" s="83" t="s">
        <v>24</v>
      </c>
      <c r="GC11" s="83"/>
      <c r="GD11" s="83"/>
      <c r="GE11" s="83"/>
      <c r="GF11" s="83" t="s">
        <v>487</v>
      </c>
      <c r="GG11" s="142">
        <f>B221</f>
        <v>2.1999999999999999E-2</v>
      </c>
      <c r="GH11" s="52" t="s">
        <v>246</v>
      </c>
      <c r="GI11" s="83" t="s">
        <v>487</v>
      </c>
      <c r="GJ11" s="142">
        <f>B221</f>
        <v>2.1999999999999999E-2</v>
      </c>
      <c r="GK11" s="52" t="s">
        <v>246</v>
      </c>
      <c r="GL11" s="83" t="s">
        <v>487</v>
      </c>
      <c r="GM11" s="142">
        <f>B221</f>
        <v>2.1999999999999999E-2</v>
      </c>
      <c r="GN11" s="52" t="s">
        <v>246</v>
      </c>
      <c r="GO11" s="83" t="s">
        <v>456</v>
      </c>
      <c r="GP11" s="150">
        <f>B168</f>
        <v>350</v>
      </c>
      <c r="GQ11" s="83" t="s">
        <v>24</v>
      </c>
      <c r="GR11" s="83"/>
      <c r="GS11" s="83"/>
      <c r="GT11" s="83"/>
      <c r="GU11" s="83" t="s">
        <v>491</v>
      </c>
      <c r="GV11" s="142">
        <f>B226</f>
        <v>0.37</v>
      </c>
      <c r="GW11" s="52" t="s">
        <v>246</v>
      </c>
      <c r="GX11" s="83" t="s">
        <v>491</v>
      </c>
      <c r="GY11" s="142">
        <f>B226</f>
        <v>0.37</v>
      </c>
      <c r="GZ11" s="52" t="s">
        <v>246</v>
      </c>
      <c r="HA11" s="83" t="s">
        <v>491</v>
      </c>
      <c r="HB11" s="142">
        <f>B226</f>
        <v>0.37</v>
      </c>
      <c r="HC11" s="52" t="s">
        <v>246</v>
      </c>
      <c r="HD11" s="84" t="s">
        <v>42</v>
      </c>
      <c r="HE11" s="150">
        <f>B84</f>
        <v>1.5</v>
      </c>
    </row>
    <row r="12" spans="1:214" x14ac:dyDescent="0.2">
      <c r="A12" s="83" t="s">
        <v>253</v>
      </c>
      <c r="B12" s="183">
        <v>1.83064E-2</v>
      </c>
      <c r="C12" s="83" t="s">
        <v>351</v>
      </c>
      <c r="D12" s="83" t="s">
        <v>43</v>
      </c>
      <c r="E12" s="140">
        <f>((E15/E16)*E23*E13*E25)+((E15/E16)*E24*E14*E26)</f>
        <v>6195</v>
      </c>
      <c r="F12" s="52" t="s">
        <v>426</v>
      </c>
      <c r="G12" s="83" t="s">
        <v>266</v>
      </c>
      <c r="H12" s="144">
        <f>(H5/(H8*(1/H43)*H21))</f>
        <v>129.68229188014223</v>
      </c>
      <c r="I12" s="92" t="s">
        <v>11</v>
      </c>
      <c r="J12" s="83" t="s">
        <v>22</v>
      </c>
      <c r="K12" s="137">
        <f>0.693/K13</f>
        <v>1.6041666666666665E-3</v>
      </c>
      <c r="M12" s="52" t="s">
        <v>300</v>
      </c>
      <c r="N12" s="138">
        <f>B62</f>
        <v>1</v>
      </c>
      <c r="P12" s="52" t="s">
        <v>300</v>
      </c>
      <c r="Q12" s="138">
        <f>B62</f>
        <v>1</v>
      </c>
      <c r="S12" s="52" t="s">
        <v>300</v>
      </c>
      <c r="T12" s="138">
        <f>B62</f>
        <v>1</v>
      </c>
      <c r="V12" s="52" t="s">
        <v>44</v>
      </c>
      <c r="W12" s="150">
        <f>B262</f>
        <v>8</v>
      </c>
      <c r="X12" s="84" t="s">
        <v>194</v>
      </c>
      <c r="Y12" s="52" t="s">
        <v>44</v>
      </c>
      <c r="Z12" s="150">
        <f>B239</f>
        <v>8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B274</f>
        <v>8</v>
      </c>
      <c r="AG12" s="150">
        <f>B297</f>
        <v>8</v>
      </c>
      <c r="AH12" s="83" t="s">
        <v>194</v>
      </c>
      <c r="AI12" s="52" t="s">
        <v>300</v>
      </c>
      <c r="AJ12" s="138">
        <f>B235</f>
        <v>1</v>
      </c>
      <c r="AL12" s="52" t="s">
        <v>300</v>
      </c>
      <c r="AM12" s="138">
        <f>B235</f>
        <v>1</v>
      </c>
      <c r="AO12" s="52" t="s">
        <v>300</v>
      </c>
      <c r="AP12" s="138">
        <f>B247</f>
        <v>1</v>
      </c>
      <c r="AR12" s="52" t="s">
        <v>300</v>
      </c>
      <c r="AS12" s="138">
        <f>B259</f>
        <v>1</v>
      </c>
      <c r="AU12" s="52" t="s">
        <v>300</v>
      </c>
      <c r="AV12" s="138">
        <f>B259</f>
        <v>1</v>
      </c>
      <c r="AX12" s="52" t="s">
        <v>300</v>
      </c>
      <c r="AY12" s="138">
        <f>B259</f>
        <v>1</v>
      </c>
      <c r="BA12" s="52" t="s">
        <v>300</v>
      </c>
      <c r="BB12" s="138">
        <f>B235</f>
        <v>1</v>
      </c>
      <c r="BD12" s="52" t="s">
        <v>300</v>
      </c>
      <c r="BE12" s="138">
        <f>B235</f>
        <v>1</v>
      </c>
      <c r="BG12" s="52" t="s">
        <v>300</v>
      </c>
      <c r="BH12" s="138">
        <f>B235</f>
        <v>1</v>
      </c>
      <c r="BJ12" s="52" t="s">
        <v>158</v>
      </c>
      <c r="BK12" s="138">
        <f>B268</f>
        <v>1</v>
      </c>
      <c r="BL12" s="52" t="s">
        <v>146</v>
      </c>
      <c r="BM12" s="52" t="s">
        <v>158</v>
      </c>
      <c r="BN12" s="138">
        <f>B268</f>
        <v>1</v>
      </c>
      <c r="BO12" s="52" t="s">
        <v>146</v>
      </c>
      <c r="BP12" s="52" t="s">
        <v>158</v>
      </c>
      <c r="BQ12" s="138">
        <f>B268</f>
        <v>1</v>
      </c>
      <c r="BR12" s="52" t="s">
        <v>146</v>
      </c>
      <c r="BS12" s="83" t="s">
        <v>430</v>
      </c>
      <c r="BT12" s="141">
        <f>B94</f>
        <v>20</v>
      </c>
      <c r="BU12" s="92" t="s">
        <v>407</v>
      </c>
      <c r="BV12" s="83" t="s">
        <v>266</v>
      </c>
      <c r="BW12" s="145">
        <f>(BW5/(BW8*(1/BW29)*BW16))*BW32*BW33*BW34</f>
        <v>1.9726626435662842E-7</v>
      </c>
      <c r="BX12" s="92" t="s">
        <v>13</v>
      </c>
      <c r="BY12" s="91" t="s">
        <v>231</v>
      </c>
      <c r="BZ12" s="136">
        <f>B18</f>
        <v>432</v>
      </c>
      <c r="CA12" s="52" t="s">
        <v>60</v>
      </c>
      <c r="CB12" s="52" t="s">
        <v>413</v>
      </c>
      <c r="CC12" s="138">
        <f>B119</f>
        <v>0.753</v>
      </c>
      <c r="CE12" s="52" t="s">
        <v>414</v>
      </c>
      <c r="CF12" s="138">
        <f>B121</f>
        <v>0.74299999999999999</v>
      </c>
      <c r="CH12" s="52" t="s">
        <v>416</v>
      </c>
      <c r="CI12" s="138">
        <f>B125</f>
        <v>0.66200000000000003</v>
      </c>
      <c r="CN12" s="84" t="s">
        <v>162</v>
      </c>
      <c r="CO12" s="162">
        <f>B131</f>
        <v>1</v>
      </c>
      <c r="CP12" s="52" t="s">
        <v>41</v>
      </c>
      <c r="CT12" s="83" t="s">
        <v>22</v>
      </c>
      <c r="CU12" s="137">
        <f>0.693/CU13</f>
        <v>1.6041666666666665E-3</v>
      </c>
      <c r="CW12" s="83" t="s">
        <v>506</v>
      </c>
      <c r="CX12" s="140">
        <f>((CX16/24)*CX23*CX13*CX25)+((CX15/24)*CX24*CX14*CX26)</f>
        <v>6475</v>
      </c>
      <c r="CY12" s="52" t="s">
        <v>426</v>
      </c>
      <c r="CZ12" s="91" t="s">
        <v>231</v>
      </c>
      <c r="DA12" s="136">
        <f>B18</f>
        <v>432</v>
      </c>
      <c r="DB12" s="52" t="s">
        <v>60</v>
      </c>
      <c r="DC12" s="83" t="s">
        <v>467</v>
      </c>
      <c r="DD12" s="146">
        <f>B149</f>
        <v>68.099999999999994</v>
      </c>
      <c r="DE12" s="92" t="s">
        <v>221</v>
      </c>
      <c r="DF12" s="92" t="s">
        <v>52</v>
      </c>
      <c r="DG12" s="138">
        <f>B195</f>
        <v>10950</v>
      </c>
      <c r="DH12" s="52" t="s">
        <v>53</v>
      </c>
      <c r="DI12" s="84" t="s">
        <v>16</v>
      </c>
      <c r="DJ12" s="137">
        <f>(DJ9*DJ10)/(1-EXP(-DJ10*DJ9))</f>
        <v>1.0008022977791844</v>
      </c>
      <c r="DL12" s="92"/>
      <c r="DO12" s="92" t="s">
        <v>52</v>
      </c>
      <c r="DP12" s="138">
        <f>B195</f>
        <v>10950</v>
      </c>
      <c r="DQ12" s="52" t="s">
        <v>53</v>
      </c>
      <c r="DR12" s="83" t="s">
        <v>465</v>
      </c>
      <c r="DS12" s="150">
        <f>B168</f>
        <v>350</v>
      </c>
      <c r="DT12" s="83" t="s">
        <v>24</v>
      </c>
      <c r="DU12" s="92"/>
      <c r="DX12" s="83" t="s">
        <v>500</v>
      </c>
      <c r="DY12" s="138">
        <f>B207</f>
        <v>1</v>
      </c>
      <c r="EA12" s="83" t="s">
        <v>500</v>
      </c>
      <c r="EB12" s="138">
        <f>B207</f>
        <v>1</v>
      </c>
      <c r="EC12" s="84"/>
      <c r="ED12" s="83" t="s">
        <v>500</v>
      </c>
      <c r="EE12" s="138">
        <f>B207</f>
        <v>1</v>
      </c>
      <c r="EF12" s="84"/>
      <c r="EG12" s="83" t="s">
        <v>465</v>
      </c>
      <c r="EH12" s="150">
        <f>B168</f>
        <v>350</v>
      </c>
      <c r="EI12" s="83" t="s">
        <v>24</v>
      </c>
      <c r="EJ12" s="92"/>
      <c r="EM12" s="83" t="s">
        <v>496</v>
      </c>
      <c r="EN12" s="138">
        <f>B212</f>
        <v>1</v>
      </c>
      <c r="EP12" s="83" t="s">
        <v>496</v>
      </c>
      <c r="EQ12" s="138">
        <f>B212</f>
        <v>1</v>
      </c>
      <c r="ER12" s="84"/>
      <c r="ES12" s="83" t="s">
        <v>496</v>
      </c>
      <c r="ET12" s="138">
        <f>B212</f>
        <v>1</v>
      </c>
      <c r="EU12" s="84"/>
      <c r="EV12" s="83" t="s">
        <v>465</v>
      </c>
      <c r="EW12" s="150">
        <f>B168</f>
        <v>350</v>
      </c>
      <c r="EX12" s="83" t="s">
        <v>24</v>
      </c>
      <c r="EY12" s="83"/>
      <c r="EZ12" s="83"/>
      <c r="FA12" s="83"/>
      <c r="FB12" s="83" t="s">
        <v>153</v>
      </c>
      <c r="FC12" s="164">
        <f>B217</f>
        <v>1</v>
      </c>
      <c r="FD12" s="83"/>
      <c r="FE12" s="83" t="s">
        <v>153</v>
      </c>
      <c r="FF12" s="164">
        <f>B217</f>
        <v>1</v>
      </c>
      <c r="FG12" s="83"/>
      <c r="FH12" s="83" t="s">
        <v>153</v>
      </c>
      <c r="FI12" s="164">
        <f>B217</f>
        <v>1</v>
      </c>
      <c r="FJ12" s="84"/>
      <c r="FK12" s="83" t="s">
        <v>465</v>
      </c>
      <c r="FL12" s="150">
        <f>B168</f>
        <v>350</v>
      </c>
      <c r="FM12" s="83" t="s">
        <v>24</v>
      </c>
      <c r="FN12" s="83"/>
      <c r="FO12" s="83"/>
      <c r="FP12" s="83"/>
      <c r="FQ12" s="88"/>
      <c r="FR12" s="88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B168</f>
        <v>350</v>
      </c>
      <c r="GB12" s="83" t="s">
        <v>24</v>
      </c>
      <c r="GC12" s="83"/>
      <c r="GD12" s="83"/>
      <c r="GE12" s="83"/>
      <c r="GF12" s="83" t="s">
        <v>488</v>
      </c>
      <c r="GG12" s="142">
        <f>B222</f>
        <v>1</v>
      </c>
      <c r="GH12" s="83"/>
      <c r="GI12" s="83" t="s">
        <v>488</v>
      </c>
      <c r="GJ12" s="142">
        <f>B222</f>
        <v>1</v>
      </c>
      <c r="GK12" s="83"/>
      <c r="GL12" s="83" t="s">
        <v>488</v>
      </c>
      <c r="GM12" s="142">
        <f>B222</f>
        <v>1</v>
      </c>
      <c r="GN12" s="84"/>
      <c r="GO12" s="83" t="s">
        <v>465</v>
      </c>
      <c r="GP12" s="150">
        <f>B168</f>
        <v>350</v>
      </c>
      <c r="GQ12" s="83" t="s">
        <v>24</v>
      </c>
      <c r="GR12" s="83"/>
      <c r="GS12" s="83"/>
      <c r="GT12" s="83"/>
      <c r="GU12" s="83" t="s">
        <v>492</v>
      </c>
      <c r="GV12" s="142">
        <f>B227</f>
        <v>1</v>
      </c>
      <c r="GW12" s="83"/>
      <c r="GX12" s="83" t="s">
        <v>492</v>
      </c>
      <c r="GY12" s="142">
        <f>B227</f>
        <v>1</v>
      </c>
      <c r="GZ12" s="83"/>
      <c r="HA12" s="83" t="s">
        <v>492</v>
      </c>
      <c r="HB12" s="142">
        <f>B227</f>
        <v>1</v>
      </c>
      <c r="HC12" s="84"/>
      <c r="HD12" s="84" t="s">
        <v>47</v>
      </c>
      <c r="HE12" s="163">
        <v>1</v>
      </c>
    </row>
    <row r="13" spans="1:214" x14ac:dyDescent="0.2">
      <c r="A13" s="83" t="s">
        <v>254</v>
      </c>
      <c r="B13" s="183">
        <v>3.4557999999999998E-2</v>
      </c>
      <c r="C13" s="83" t="s">
        <v>351</v>
      </c>
      <c r="D13" s="83" t="s">
        <v>366</v>
      </c>
      <c r="E13" s="141">
        <f>B38</f>
        <v>10</v>
      </c>
      <c r="F13" s="92" t="s">
        <v>407</v>
      </c>
      <c r="G13" s="83" t="s">
        <v>263</v>
      </c>
      <c r="H13" s="144">
        <f>(H14/((1/H40)*(H48+H49+H50)))</f>
        <v>3.7815102646694463</v>
      </c>
      <c r="I13" s="92" t="s">
        <v>11</v>
      </c>
      <c r="J13" s="91" t="s">
        <v>231</v>
      </c>
      <c r="K13" s="136">
        <f>B18</f>
        <v>432</v>
      </c>
      <c r="L13" s="52" t="s">
        <v>60</v>
      </c>
      <c r="M13" s="52" t="s">
        <v>54</v>
      </c>
      <c r="N13" s="138">
        <f>B63</f>
        <v>1</v>
      </c>
      <c r="P13" s="52" t="s">
        <v>54</v>
      </c>
      <c r="Q13" s="138">
        <f>B63</f>
        <v>1</v>
      </c>
      <c r="S13" s="52" t="s">
        <v>54</v>
      </c>
      <c r="T13" s="138">
        <f>B63</f>
        <v>1</v>
      </c>
      <c r="V13" s="52" t="s">
        <v>50</v>
      </c>
      <c r="W13" s="146">
        <f>B254</f>
        <v>60</v>
      </c>
      <c r="X13" s="84" t="s">
        <v>407</v>
      </c>
      <c r="Y13" s="52" t="s">
        <v>50</v>
      </c>
      <c r="Z13" s="146">
        <f>B230</f>
        <v>60</v>
      </c>
      <c r="AA13" s="84" t="s">
        <v>407</v>
      </c>
      <c r="AB13" s="83" t="s">
        <v>349</v>
      </c>
      <c r="AC13" s="146">
        <f>B233</f>
        <v>100</v>
      </c>
      <c r="AD13" s="146">
        <f>B245</f>
        <v>50</v>
      </c>
      <c r="AE13" s="146">
        <f>B257</f>
        <v>100</v>
      </c>
      <c r="AF13" s="146">
        <f>B269</f>
        <v>330</v>
      </c>
      <c r="AG13" s="146">
        <f>B293</f>
        <v>330</v>
      </c>
      <c r="AH13" s="52" t="s">
        <v>48</v>
      </c>
      <c r="AI13" s="52" t="s">
        <v>54</v>
      </c>
      <c r="AJ13" s="138">
        <f>B249</f>
        <v>1</v>
      </c>
      <c r="AL13" s="52" t="s">
        <v>54</v>
      </c>
      <c r="AM13" s="138">
        <f>B249</f>
        <v>1</v>
      </c>
      <c r="AO13" s="52" t="s">
        <v>54</v>
      </c>
      <c r="AP13" s="138">
        <f>B249</f>
        <v>1</v>
      </c>
      <c r="AR13" s="52" t="s">
        <v>54</v>
      </c>
      <c r="AS13" s="138">
        <f>B261</f>
        <v>1</v>
      </c>
      <c r="AU13" s="52" t="s">
        <v>54</v>
      </c>
      <c r="AV13" s="138">
        <f>B261</f>
        <v>1</v>
      </c>
      <c r="AX13" s="52" t="s">
        <v>54</v>
      </c>
      <c r="AY13" s="138">
        <f>B261</f>
        <v>1</v>
      </c>
      <c r="BA13" s="52" t="s">
        <v>54</v>
      </c>
      <c r="BB13" s="138">
        <f>B237</f>
        <v>1</v>
      </c>
      <c r="BD13" s="52" t="s">
        <v>54</v>
      </c>
      <c r="BE13" s="138">
        <f>B237</f>
        <v>1</v>
      </c>
      <c r="BG13" s="52" t="s">
        <v>54</v>
      </c>
      <c r="BH13" s="138">
        <f>B237</f>
        <v>1</v>
      </c>
      <c r="BJ13" s="52" t="s">
        <v>300</v>
      </c>
      <c r="BK13" s="136">
        <f>B279</f>
        <v>2.41E-4</v>
      </c>
      <c r="BM13" s="52" t="s">
        <v>300</v>
      </c>
      <c r="BN13" s="136">
        <f>B283</f>
        <v>1.17E-4</v>
      </c>
      <c r="BP13" s="52" t="s">
        <v>300</v>
      </c>
      <c r="BQ13" s="136">
        <f>B287</f>
        <v>2.2599999999999999E-4</v>
      </c>
      <c r="BS13" s="52" t="s">
        <v>431</v>
      </c>
      <c r="BT13" s="141">
        <f>B106</f>
        <v>1</v>
      </c>
      <c r="BU13" s="52" t="s">
        <v>194</v>
      </c>
      <c r="BV13" s="83" t="s">
        <v>440</v>
      </c>
      <c r="BW13" s="160">
        <f>((BW18*BW20*BW23*BW14*BW30)+(BW19*BW21*BW24*BW15*BW31))</f>
        <v>2.25</v>
      </c>
      <c r="BX13" s="83" t="s">
        <v>345</v>
      </c>
      <c r="BY13" s="83" t="s">
        <v>260</v>
      </c>
      <c r="BZ13" s="143">
        <f>((BZ5/(BZ6*BZ16*(1/BZ33)))*BZ10)*BZ12*BZ36*BZ37</f>
        <v>3.5913857786527911E-5</v>
      </c>
      <c r="CA13" s="92" t="s">
        <v>12</v>
      </c>
      <c r="CB13" s="52" t="s">
        <v>90</v>
      </c>
      <c r="CC13" s="138">
        <f>B108</f>
        <v>1</v>
      </c>
      <c r="CD13" s="52" t="s">
        <v>194</v>
      </c>
      <c r="CE13" s="52" t="s">
        <v>90</v>
      </c>
      <c r="CF13" s="138">
        <f>B108</f>
        <v>1</v>
      </c>
      <c r="CG13" s="52" t="s">
        <v>194</v>
      </c>
      <c r="CH13" s="52" t="s">
        <v>90</v>
      </c>
      <c r="CI13" s="138">
        <f>B108</f>
        <v>1</v>
      </c>
      <c r="CJ13" s="52" t="s">
        <v>194</v>
      </c>
      <c r="CN13" s="84" t="s">
        <v>163</v>
      </c>
      <c r="CO13" s="162">
        <f>B132</f>
        <v>1</v>
      </c>
      <c r="CP13" s="52" t="s">
        <v>41</v>
      </c>
      <c r="CT13" s="91" t="s">
        <v>231</v>
      </c>
      <c r="CU13" s="136">
        <f>B18</f>
        <v>432</v>
      </c>
      <c r="CV13" s="52" t="s">
        <v>60</v>
      </c>
      <c r="CW13" s="83" t="s">
        <v>450</v>
      </c>
      <c r="CX13" s="141">
        <f>B147</f>
        <v>10</v>
      </c>
      <c r="CY13" s="92" t="s">
        <v>407</v>
      </c>
      <c r="CZ13" s="83" t="s">
        <v>260</v>
      </c>
      <c r="DA13" s="143">
        <f>(DA5/(DA6*DA24))*DA12*DA51*DA52</f>
        <v>4.2186790573210265E-10</v>
      </c>
      <c r="DB13" s="83" t="s">
        <v>13</v>
      </c>
      <c r="DC13" s="83" t="s">
        <v>468</v>
      </c>
      <c r="DD13" s="146">
        <f>B150</f>
        <v>176.8</v>
      </c>
      <c r="DE13" s="92" t="s">
        <v>221</v>
      </c>
      <c r="DF13" s="92" t="s">
        <v>55</v>
      </c>
      <c r="DG13" s="138">
        <f>B196</f>
        <v>240</v>
      </c>
      <c r="DH13" s="52" t="s">
        <v>56</v>
      </c>
      <c r="DI13" s="95"/>
      <c r="DJ13" s="176"/>
      <c r="DL13" s="92"/>
      <c r="DO13" s="92" t="s">
        <v>55</v>
      </c>
      <c r="DP13" s="138">
        <f>B196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B208</f>
        <v>1</v>
      </c>
      <c r="EA13" s="83" t="s">
        <v>501</v>
      </c>
      <c r="EB13" s="138">
        <f>B208</f>
        <v>1</v>
      </c>
      <c r="EC13" s="84"/>
      <c r="ED13" s="83" t="s">
        <v>501</v>
      </c>
      <c r="EE13" s="138">
        <f>B208</f>
        <v>1</v>
      </c>
      <c r="EF13" s="84"/>
      <c r="EG13" s="83" t="s">
        <v>363</v>
      </c>
      <c r="EH13" s="150">
        <f>B170</f>
        <v>1</v>
      </c>
      <c r="EI13" s="84" t="s">
        <v>60</v>
      </c>
      <c r="EJ13" s="92"/>
      <c r="EM13" s="83" t="s">
        <v>497</v>
      </c>
      <c r="EN13" s="138">
        <f>B213</f>
        <v>1</v>
      </c>
      <c r="EP13" s="83" t="s">
        <v>497</v>
      </c>
      <c r="EQ13" s="138">
        <f>B213</f>
        <v>1</v>
      </c>
      <c r="ER13" s="84"/>
      <c r="ES13" s="83" t="s">
        <v>497</v>
      </c>
      <c r="ET13" s="138">
        <f>B213</f>
        <v>1</v>
      </c>
      <c r="EU13" s="84"/>
      <c r="EV13" s="83" t="s">
        <v>363</v>
      </c>
      <c r="EW13" s="150">
        <f>B170</f>
        <v>1</v>
      </c>
      <c r="EX13" s="84" t="s">
        <v>60</v>
      </c>
      <c r="EY13" s="83"/>
      <c r="EZ13" s="83"/>
      <c r="FA13" s="83"/>
      <c r="FB13" s="83" t="s">
        <v>154</v>
      </c>
      <c r="FC13" s="164">
        <f>B218</f>
        <v>1</v>
      </c>
      <c r="FD13" s="83"/>
      <c r="FE13" s="83" t="s">
        <v>154</v>
      </c>
      <c r="FF13" s="164">
        <f>B218</f>
        <v>1</v>
      </c>
      <c r="FG13" s="83"/>
      <c r="FH13" s="83" t="s">
        <v>154</v>
      </c>
      <c r="FI13" s="164">
        <f>B218</f>
        <v>1</v>
      </c>
      <c r="FJ13" s="84"/>
      <c r="FK13" s="83" t="s">
        <v>363</v>
      </c>
      <c r="FL13" s="141">
        <f>B170</f>
        <v>1</v>
      </c>
      <c r="FM13" s="92" t="s">
        <v>60</v>
      </c>
      <c r="FN13" s="83"/>
      <c r="FO13" s="83"/>
      <c r="FP13" s="83"/>
      <c r="FQ13" s="88"/>
      <c r="FR13" s="88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B170</f>
        <v>1</v>
      </c>
      <c r="GB13" s="92" t="s">
        <v>60</v>
      </c>
      <c r="GC13" s="83"/>
      <c r="GD13" s="83"/>
      <c r="GE13" s="83"/>
      <c r="GF13" s="83" t="s">
        <v>489</v>
      </c>
      <c r="GG13" s="142">
        <f>B223</f>
        <v>1</v>
      </c>
      <c r="GH13" s="83"/>
      <c r="GI13" s="83" t="s">
        <v>489</v>
      </c>
      <c r="GJ13" s="142">
        <f>B223</f>
        <v>1</v>
      </c>
      <c r="GK13" s="83"/>
      <c r="GL13" s="83" t="s">
        <v>489</v>
      </c>
      <c r="GM13" s="142">
        <f>B223</f>
        <v>1</v>
      </c>
      <c r="GN13" s="84"/>
      <c r="GO13" s="83" t="s">
        <v>363</v>
      </c>
      <c r="GP13" s="141">
        <f>B170</f>
        <v>1</v>
      </c>
      <c r="GQ13" s="92" t="s">
        <v>60</v>
      </c>
      <c r="GR13" s="83"/>
      <c r="GS13" s="83"/>
      <c r="GT13" s="83"/>
      <c r="GU13" s="83" t="s">
        <v>493</v>
      </c>
      <c r="GV13" s="142">
        <f>B228</f>
        <v>1</v>
      </c>
      <c r="GW13" s="83"/>
      <c r="GX13" s="83" t="s">
        <v>493</v>
      </c>
      <c r="GY13" s="142">
        <f>B228</f>
        <v>1</v>
      </c>
      <c r="GZ13" s="83"/>
      <c r="HA13" s="83" t="s">
        <v>493</v>
      </c>
      <c r="HB13" s="142">
        <f>B228</f>
        <v>1</v>
      </c>
      <c r="HC13" s="84"/>
      <c r="HD13" s="84" t="s">
        <v>59</v>
      </c>
      <c r="HE13" s="150">
        <f>B33</f>
        <v>4</v>
      </c>
    </row>
    <row r="14" spans="1:214" x14ac:dyDescent="0.2">
      <c r="A14" s="83" t="s">
        <v>255</v>
      </c>
      <c r="B14" s="183">
        <v>3.7173200000000003E-2</v>
      </c>
      <c r="C14" s="83" t="s">
        <v>351</v>
      </c>
      <c r="D14" s="83" t="s">
        <v>367</v>
      </c>
      <c r="E14" s="141">
        <f>B39</f>
        <v>20</v>
      </c>
      <c r="F14" s="92" t="s">
        <v>407</v>
      </c>
      <c r="G14" s="83" t="s">
        <v>264</v>
      </c>
      <c r="H14" s="145">
        <f>(H5/(H9*(H22+H25)*H41))</f>
        <v>4.8129308288714479E-2</v>
      </c>
      <c r="I14" s="92" t="s">
        <v>10</v>
      </c>
      <c r="J14" s="83" t="s">
        <v>260</v>
      </c>
      <c r="K14" s="143">
        <f>((K5/(K6*K19*(1/K46)))*K11)</f>
        <v>26.399545916697186</v>
      </c>
      <c r="L14" s="92" t="s">
        <v>10</v>
      </c>
      <c r="M14" s="52" t="s">
        <v>408</v>
      </c>
      <c r="N14" s="150">
        <f>B78</f>
        <v>1.752</v>
      </c>
      <c r="O14" s="52" t="s">
        <v>194</v>
      </c>
      <c r="P14" s="52" t="s">
        <v>408</v>
      </c>
      <c r="Q14" s="150">
        <f>B78</f>
        <v>1.752</v>
      </c>
      <c r="R14" s="52" t="s">
        <v>194</v>
      </c>
      <c r="S14" s="52" t="s">
        <v>408</v>
      </c>
      <c r="T14" s="150">
        <f>B78</f>
        <v>1.752</v>
      </c>
      <c r="U14" s="52" t="s">
        <v>194</v>
      </c>
      <c r="V14" s="83" t="s">
        <v>256</v>
      </c>
      <c r="W14" s="136">
        <f>B15</f>
        <v>125.5296</v>
      </c>
      <c r="X14" s="83" t="s">
        <v>343</v>
      </c>
      <c r="Y14" s="83" t="s">
        <v>256</v>
      </c>
      <c r="Z14" s="136">
        <f>B15</f>
        <v>125.5296</v>
      </c>
      <c r="AA14" s="83" t="s">
        <v>343</v>
      </c>
      <c r="AB14" s="83" t="s">
        <v>300</v>
      </c>
      <c r="AC14" s="141">
        <f>B235</f>
        <v>1</v>
      </c>
      <c r="AD14" s="141">
        <f>B247</f>
        <v>1</v>
      </c>
      <c r="AE14" s="141">
        <f>B259</f>
        <v>1</v>
      </c>
      <c r="AF14" s="141">
        <f>B279</f>
        <v>2.41E-4</v>
      </c>
      <c r="AG14" s="141">
        <f>B279</f>
        <v>2.41E-4</v>
      </c>
      <c r="AH14" s="92"/>
      <c r="AI14" s="52" t="s">
        <v>57</v>
      </c>
      <c r="AJ14" s="136">
        <f>B250</f>
        <v>0</v>
      </c>
      <c r="AK14" s="52" t="s">
        <v>194</v>
      </c>
      <c r="AL14" s="52" t="s">
        <v>57</v>
      </c>
      <c r="AM14" s="136">
        <f>B250</f>
        <v>0</v>
      </c>
      <c r="AN14" s="52" t="s">
        <v>194</v>
      </c>
      <c r="AO14" s="52" t="s">
        <v>57</v>
      </c>
      <c r="AP14" s="136">
        <f>B250</f>
        <v>0</v>
      </c>
      <c r="AQ14" s="52" t="s">
        <v>194</v>
      </c>
      <c r="AR14" s="52" t="s">
        <v>57</v>
      </c>
      <c r="AS14" s="136">
        <f>B262</f>
        <v>8</v>
      </c>
      <c r="AT14" s="52" t="s">
        <v>194</v>
      </c>
      <c r="AU14" s="52" t="s">
        <v>57</v>
      </c>
      <c r="AV14" s="136">
        <f>B262</f>
        <v>8</v>
      </c>
      <c r="AW14" s="52" t="s">
        <v>194</v>
      </c>
      <c r="AX14" s="52" t="s">
        <v>57</v>
      </c>
      <c r="AY14" s="136">
        <f>B262</f>
        <v>8</v>
      </c>
      <c r="AZ14" s="52" t="s">
        <v>194</v>
      </c>
      <c r="BA14" s="52" t="s">
        <v>57</v>
      </c>
      <c r="BB14" s="136">
        <f>B238</f>
        <v>8</v>
      </c>
      <c r="BC14" s="52" t="s">
        <v>194</v>
      </c>
      <c r="BD14" s="52" t="s">
        <v>57</v>
      </c>
      <c r="BE14" s="136">
        <f>B238</f>
        <v>8</v>
      </c>
      <c r="BF14" s="52" t="s">
        <v>194</v>
      </c>
      <c r="BG14" s="52" t="s">
        <v>58</v>
      </c>
      <c r="BH14" s="136">
        <f>B238</f>
        <v>8</v>
      </c>
      <c r="BI14" s="52" t="s">
        <v>194</v>
      </c>
      <c r="BJ14" s="52" t="s">
        <v>413</v>
      </c>
      <c r="BK14" s="136">
        <f>B280</f>
        <v>0.753</v>
      </c>
      <c r="BM14" s="52" t="s">
        <v>414</v>
      </c>
      <c r="BN14" s="136">
        <f>B284</f>
        <v>0.74299999999999999</v>
      </c>
      <c r="BP14" s="52" t="s">
        <v>416</v>
      </c>
      <c r="BQ14" s="136">
        <f>B288</f>
        <v>0.66200000000000003</v>
      </c>
      <c r="BS14" s="52" t="s">
        <v>432</v>
      </c>
      <c r="BT14" s="141">
        <f>B107</f>
        <v>1</v>
      </c>
      <c r="BU14" s="52" t="s">
        <v>194</v>
      </c>
      <c r="BV14" s="83" t="s">
        <v>439</v>
      </c>
      <c r="BW14" s="146">
        <f>B95</f>
        <v>0.05</v>
      </c>
      <c r="BX14" s="83" t="s">
        <v>357</v>
      </c>
      <c r="BY14" s="83" t="s">
        <v>261</v>
      </c>
      <c r="BZ14" s="144">
        <f>((BZ5/(BZ7*BZ17*(1/BZ9)*BZ32))*BZ10)*BZ12*BZ36*BZ37</f>
        <v>1.9753434695574269E-2</v>
      </c>
      <c r="CA14" s="92" t="s">
        <v>12</v>
      </c>
      <c r="CB14" s="52" t="s">
        <v>412</v>
      </c>
      <c r="CC14" s="139">
        <f>B10</f>
        <v>3.7173200000000003E-2</v>
      </c>
      <c r="CD14" s="84" t="s">
        <v>353</v>
      </c>
      <c r="CE14" s="52" t="s">
        <v>415</v>
      </c>
      <c r="CF14" s="139">
        <f>B12</f>
        <v>1.83064E-2</v>
      </c>
      <c r="CG14" s="84" t="s">
        <v>353</v>
      </c>
      <c r="CH14" s="52" t="s">
        <v>417</v>
      </c>
      <c r="CI14" s="139">
        <f>B14</f>
        <v>3.7173200000000003E-2</v>
      </c>
      <c r="CJ14" s="84" t="s">
        <v>353</v>
      </c>
      <c r="CK14" s="84"/>
      <c r="CL14" s="84"/>
      <c r="CM14" s="84"/>
      <c r="CN14" s="52" t="s">
        <v>95</v>
      </c>
      <c r="CO14" s="164">
        <f>B117</f>
        <v>1</v>
      </c>
      <c r="CQ14" s="84"/>
      <c r="CR14" s="84"/>
      <c r="CS14" s="84"/>
      <c r="CT14" s="83" t="s">
        <v>260</v>
      </c>
      <c r="CU14" s="143">
        <f>((CU5/(CU6*CU25*(1/CU46)))*CU11)*CU13*CU49*CU50</f>
        <v>8.2311885237445954E-6</v>
      </c>
      <c r="CV14" s="92" t="s">
        <v>12</v>
      </c>
      <c r="CW14" s="83" t="s">
        <v>459</v>
      </c>
      <c r="CX14" s="141">
        <f>B148</f>
        <v>20</v>
      </c>
      <c r="CY14" s="92" t="s">
        <v>407</v>
      </c>
      <c r="CZ14" s="83" t="s">
        <v>261</v>
      </c>
      <c r="DA14" s="144">
        <f>(DA5/(DA7*DA25*DA45))*DA12*DA51*DA52</f>
        <v>2.4807232226027164E-13</v>
      </c>
      <c r="DB14" s="83" t="s">
        <v>13</v>
      </c>
      <c r="DC14" s="83" t="s">
        <v>465</v>
      </c>
      <c r="DD14" s="146">
        <f>B168</f>
        <v>350</v>
      </c>
      <c r="DE14" s="83" t="s">
        <v>24</v>
      </c>
      <c r="DF14" s="92" t="s">
        <v>393</v>
      </c>
      <c r="DG14" s="138">
        <f>B35</f>
        <v>0.26</v>
      </c>
      <c r="DL14" s="92"/>
      <c r="DO14" s="92" t="s">
        <v>393</v>
      </c>
      <c r="DP14" s="138">
        <f>B35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B204</f>
        <v>1.03</v>
      </c>
      <c r="DZ14" s="52" t="s">
        <v>286</v>
      </c>
      <c r="EA14" s="52" t="s">
        <v>518</v>
      </c>
      <c r="EB14" s="146">
        <f>B204</f>
        <v>1.03</v>
      </c>
      <c r="EC14" s="52" t="s">
        <v>286</v>
      </c>
      <c r="ED14" s="92" t="s">
        <v>392</v>
      </c>
      <c r="EE14" s="163">
        <f>B36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B170</f>
        <v>1</v>
      </c>
      <c r="EP14" s="95"/>
      <c r="EQ14" s="176"/>
      <c r="ER14" s="84"/>
      <c r="ES14" s="92" t="s">
        <v>392</v>
      </c>
      <c r="ET14" s="163">
        <f>B36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B170</f>
        <v>1</v>
      </c>
      <c r="FE14" s="95"/>
      <c r="FF14" s="176"/>
      <c r="FG14" s="83"/>
      <c r="FH14" s="83" t="s">
        <v>392</v>
      </c>
      <c r="FI14" s="142">
        <f>B36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88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B170</f>
        <v>1</v>
      </c>
      <c r="GI14" s="95"/>
      <c r="GJ14" s="176"/>
      <c r="GK14" s="83"/>
      <c r="GL14" s="83" t="s">
        <v>392</v>
      </c>
      <c r="GM14" s="142">
        <f>B36</f>
        <v>0.25</v>
      </c>
      <c r="GN14" s="84"/>
      <c r="GO14" s="92" t="s">
        <v>484</v>
      </c>
      <c r="GP14" s="146">
        <f>B192</f>
        <v>1</v>
      </c>
      <c r="GR14" s="83"/>
      <c r="GS14" s="83"/>
      <c r="GT14" s="83"/>
      <c r="GU14" s="52" t="s">
        <v>350</v>
      </c>
      <c r="GV14" s="164">
        <f>B170</f>
        <v>1</v>
      </c>
      <c r="GX14" s="95"/>
      <c r="GY14" s="176"/>
      <c r="GZ14" s="83"/>
      <c r="HA14" s="83" t="s">
        <v>392</v>
      </c>
      <c r="HB14" s="142">
        <f>B36</f>
        <v>0.25</v>
      </c>
      <c r="HC14" s="84"/>
      <c r="HD14" s="52" t="s">
        <v>225</v>
      </c>
      <c r="HE14" s="138">
        <v>1</v>
      </c>
    </row>
    <row r="15" spans="1:214" x14ac:dyDescent="0.2">
      <c r="A15" s="83" t="s">
        <v>256</v>
      </c>
      <c r="B15" s="183">
        <v>125.5296</v>
      </c>
      <c r="C15" s="83" t="s">
        <v>351</v>
      </c>
      <c r="D15" s="52" t="s">
        <v>384</v>
      </c>
      <c r="E15" s="138">
        <f>B59</f>
        <v>24</v>
      </c>
      <c r="F15" s="52" t="s">
        <v>194</v>
      </c>
      <c r="G15" s="83" t="s">
        <v>395</v>
      </c>
      <c r="H15" s="147">
        <f>(H29*H17*H68)+(H30*H18*H69)</f>
        <v>736.54</v>
      </c>
      <c r="I15" s="83" t="s">
        <v>345</v>
      </c>
      <c r="J15" s="83" t="s">
        <v>261</v>
      </c>
      <c r="K15" s="144">
        <f>((K5/(K7*K20*(1/K10)*K45))*K11)</f>
        <v>605.01449208220811</v>
      </c>
      <c r="L15" s="92" t="s">
        <v>10</v>
      </c>
      <c r="M15" s="52" t="s">
        <v>412</v>
      </c>
      <c r="N15" s="139">
        <f>B10</f>
        <v>3.7173200000000003E-2</v>
      </c>
      <c r="O15" s="84" t="s">
        <v>353</v>
      </c>
      <c r="P15" s="52" t="s">
        <v>415</v>
      </c>
      <c r="Q15" s="139">
        <f>B12</f>
        <v>1.83064E-2</v>
      </c>
      <c r="R15" s="84" t="s">
        <v>353</v>
      </c>
      <c r="S15" s="52" t="s">
        <v>417</v>
      </c>
      <c r="T15" s="139">
        <f>B14</f>
        <v>3.7173200000000003E-2</v>
      </c>
      <c r="U15" s="84" t="s">
        <v>353</v>
      </c>
      <c r="V15" s="83" t="s">
        <v>301</v>
      </c>
      <c r="W15" s="142">
        <f>B258</f>
        <v>1</v>
      </c>
      <c r="Y15" s="83" t="s">
        <v>301</v>
      </c>
      <c r="Z15" s="142">
        <f>B234</f>
        <v>1</v>
      </c>
      <c r="AB15" s="83" t="s">
        <v>232</v>
      </c>
      <c r="AC15" s="141">
        <f>B230</f>
        <v>60</v>
      </c>
      <c r="AD15" s="141">
        <f>B242</f>
        <v>60</v>
      </c>
      <c r="AE15" s="141">
        <f>B254</f>
        <v>60</v>
      </c>
      <c r="AF15" s="141">
        <f>B266</f>
        <v>60</v>
      </c>
      <c r="AG15" s="141">
        <f>B290</f>
        <v>60</v>
      </c>
      <c r="AH15" s="92" t="s">
        <v>407</v>
      </c>
      <c r="AI15" s="52" t="s">
        <v>412</v>
      </c>
      <c r="AJ15" s="139">
        <f>B10</f>
        <v>3.7173200000000003E-2</v>
      </c>
      <c r="AK15" s="84" t="s">
        <v>353</v>
      </c>
      <c r="AL15" s="52" t="s">
        <v>415</v>
      </c>
      <c r="AM15" s="139">
        <f>B12</f>
        <v>1.83064E-2</v>
      </c>
      <c r="AN15" s="84" t="s">
        <v>353</v>
      </c>
      <c r="AO15" s="52" t="s">
        <v>417</v>
      </c>
      <c r="AP15" s="139">
        <f>B14</f>
        <v>3.7173200000000003E-2</v>
      </c>
      <c r="AQ15" s="84" t="s">
        <v>353</v>
      </c>
      <c r="AR15" s="52" t="s">
        <v>412</v>
      </c>
      <c r="AS15" s="139">
        <f>B10</f>
        <v>3.7173200000000003E-2</v>
      </c>
      <c r="AT15" s="84" t="s">
        <v>353</v>
      </c>
      <c r="AU15" s="52" t="s">
        <v>415</v>
      </c>
      <c r="AV15" s="139">
        <f>B12</f>
        <v>1.83064E-2</v>
      </c>
      <c r="AW15" s="84" t="s">
        <v>353</v>
      </c>
      <c r="AX15" s="52" t="s">
        <v>417</v>
      </c>
      <c r="AY15" s="139">
        <f>B14</f>
        <v>3.7173200000000003E-2</v>
      </c>
      <c r="AZ15" s="84" t="s">
        <v>353</v>
      </c>
      <c r="BA15" s="52" t="s">
        <v>412</v>
      </c>
      <c r="BB15" s="139">
        <f>B10</f>
        <v>3.7173200000000003E-2</v>
      </c>
      <c r="BC15" s="84" t="s">
        <v>353</v>
      </c>
      <c r="BD15" s="52" t="s">
        <v>415</v>
      </c>
      <c r="BE15" s="139">
        <f>B12</f>
        <v>1.83064E-2</v>
      </c>
      <c r="BF15" s="84" t="s">
        <v>353</v>
      </c>
      <c r="BG15" s="52" t="s">
        <v>417</v>
      </c>
      <c r="BH15" s="139">
        <f>B14</f>
        <v>3.7173200000000003E-2</v>
      </c>
      <c r="BI15" s="84" t="s">
        <v>353</v>
      </c>
      <c r="BJ15" s="52" t="s">
        <v>57</v>
      </c>
      <c r="BK15" s="136">
        <f>B274</f>
        <v>8</v>
      </c>
      <c r="BL15" s="52" t="s">
        <v>194</v>
      </c>
      <c r="BM15" s="52" t="s">
        <v>57</v>
      </c>
      <c r="BN15" s="136">
        <f>B274</f>
        <v>8</v>
      </c>
      <c r="BO15" s="52" t="s">
        <v>194</v>
      </c>
      <c r="BP15" s="52" t="s">
        <v>57</v>
      </c>
      <c r="BQ15" s="136">
        <f>B274</f>
        <v>8</v>
      </c>
      <c r="BR15" s="52" t="s">
        <v>194</v>
      </c>
      <c r="BS15" s="52" t="s">
        <v>90</v>
      </c>
      <c r="BT15" s="138">
        <f>B108</f>
        <v>1</v>
      </c>
      <c r="BU15" s="52" t="s">
        <v>194</v>
      </c>
      <c r="BV15" s="83" t="s">
        <v>438</v>
      </c>
      <c r="BW15" s="146">
        <f>B96</f>
        <v>0.05</v>
      </c>
      <c r="BX15" s="83" t="s">
        <v>357</v>
      </c>
      <c r="BY15" s="83" t="s">
        <v>262</v>
      </c>
      <c r="BZ15" s="145">
        <f>(((BZ5)/(BZ8*BZ22*(1/BZ31)*BZ25*(1/24)*BZ28*BZ29))*BZ10)*BZ12*BZ36*BZ37</f>
        <v>5.0513561540545924</v>
      </c>
      <c r="CA15" s="92" t="s">
        <v>12</v>
      </c>
      <c r="CB15" s="84" t="s">
        <v>295</v>
      </c>
      <c r="CC15" s="142">
        <f>B302</f>
        <v>241</v>
      </c>
      <c r="CD15" s="84" t="s">
        <v>296</v>
      </c>
      <c r="CE15" s="84" t="s">
        <v>295</v>
      </c>
      <c r="CF15" s="142">
        <f>B302</f>
        <v>241</v>
      </c>
      <c r="CG15" s="84" t="s">
        <v>296</v>
      </c>
      <c r="CH15" s="84" t="s">
        <v>295</v>
      </c>
      <c r="CI15" s="142">
        <f>B302</f>
        <v>241</v>
      </c>
      <c r="CJ15" s="84" t="s">
        <v>296</v>
      </c>
      <c r="CN15" s="83" t="s">
        <v>22</v>
      </c>
      <c r="CO15" s="137">
        <f>0.693/CO16</f>
        <v>1.6041666666666665E-3</v>
      </c>
      <c r="CT15" s="83" t="s">
        <v>261</v>
      </c>
      <c r="CU15" s="144">
        <f>((CU5/(CU7*CU26*(1/CU10)*CU45))*CU11)*CU13*CU49*CU50</f>
        <v>1.6874314387628597E-4</v>
      </c>
      <c r="CV15" s="92" t="s">
        <v>12</v>
      </c>
      <c r="CW15" s="52" t="s">
        <v>365</v>
      </c>
      <c r="CX15" s="138">
        <f>B172</f>
        <v>24</v>
      </c>
      <c r="CY15" s="52" t="s">
        <v>194</v>
      </c>
      <c r="CZ15" s="83" t="s">
        <v>266</v>
      </c>
      <c r="DA15" s="153">
        <f>(DA5/(DA8*DA26*(DA46/DA47)))*DA12*DA51*DA52</f>
        <v>3.7053039324004082E-8</v>
      </c>
      <c r="DB15" s="83" t="s">
        <v>13</v>
      </c>
      <c r="DC15" s="83" t="s">
        <v>456</v>
      </c>
      <c r="DD15" s="146">
        <f>B167</f>
        <v>350</v>
      </c>
      <c r="DE15" s="83" t="s">
        <v>24</v>
      </c>
      <c r="DF15" s="92" t="s">
        <v>61</v>
      </c>
      <c r="DG15" s="138">
        <f>B197</f>
        <v>0.42</v>
      </c>
      <c r="DH15" s="52" t="s">
        <v>41</v>
      </c>
      <c r="DL15" s="92"/>
      <c r="DO15" s="92" t="s">
        <v>61</v>
      </c>
      <c r="DP15" s="138">
        <f>B197</f>
        <v>0.42</v>
      </c>
      <c r="DQ15" s="52" t="s">
        <v>41</v>
      </c>
      <c r="DR15" s="92" t="s">
        <v>479</v>
      </c>
      <c r="DS15" s="146">
        <f>B187</f>
        <v>1</v>
      </c>
      <c r="DU15" s="92"/>
      <c r="DX15" s="52" t="s">
        <v>350</v>
      </c>
      <c r="DY15" s="164">
        <f>B170</f>
        <v>1</v>
      </c>
      <c r="EA15" s="95"/>
      <c r="EB15" s="176"/>
      <c r="EC15" s="84"/>
      <c r="ED15" s="83" t="s">
        <v>27</v>
      </c>
      <c r="EE15" s="142">
        <f>B203</f>
        <v>92</v>
      </c>
      <c r="EF15" s="83" t="s">
        <v>28</v>
      </c>
      <c r="EG15" s="92" t="s">
        <v>480</v>
      </c>
      <c r="EH15" s="146">
        <f>B188</f>
        <v>1</v>
      </c>
      <c r="EJ15" s="92"/>
      <c r="EM15" s="83" t="s">
        <v>22</v>
      </c>
      <c r="EN15" s="137">
        <f>0.693/EN16</f>
        <v>1.6041666666666665E-3</v>
      </c>
      <c r="EP15" s="92"/>
      <c r="EQ15" s="84"/>
      <c r="ER15" s="84"/>
      <c r="ES15" s="83" t="s">
        <v>29</v>
      </c>
      <c r="ET15" s="142">
        <f>B209</f>
        <v>53</v>
      </c>
      <c r="EU15" s="83" t="s">
        <v>28</v>
      </c>
      <c r="EV15" s="92" t="s">
        <v>481</v>
      </c>
      <c r="EW15" s="146">
        <f>B189</f>
        <v>1</v>
      </c>
      <c r="EY15" s="83"/>
      <c r="EZ15" s="83"/>
      <c r="FA15" s="83"/>
      <c r="FB15" s="83" t="s">
        <v>22</v>
      </c>
      <c r="FC15" s="137">
        <f>0.693/FC16</f>
        <v>1.6041666666666665E-3</v>
      </c>
      <c r="FE15" s="83"/>
      <c r="FF15" s="83"/>
      <c r="FG15" s="83"/>
      <c r="FH15" s="83" t="s">
        <v>148</v>
      </c>
      <c r="FI15" s="164">
        <f>B214</f>
        <v>0.4</v>
      </c>
      <c r="FJ15" s="83" t="s">
        <v>28</v>
      </c>
      <c r="FK15" s="92" t="s">
        <v>482</v>
      </c>
      <c r="FL15" s="146">
        <f>B190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B191</f>
        <v>1</v>
      </c>
      <c r="GC15" s="83"/>
      <c r="GD15" s="83"/>
      <c r="GE15" s="83"/>
      <c r="GF15" s="83" t="s">
        <v>22</v>
      </c>
      <c r="GG15" s="137">
        <f>0.693/GG16</f>
        <v>1.6041666666666665E-3</v>
      </c>
      <c r="GI15" s="83"/>
      <c r="GJ15" s="83"/>
      <c r="GK15" s="83"/>
      <c r="GL15" s="83" t="s">
        <v>149</v>
      </c>
      <c r="GM15" s="164">
        <f>B219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1.6041666666666665E-3</v>
      </c>
      <c r="GX15" s="83"/>
      <c r="GY15" s="83"/>
      <c r="GZ15" s="83"/>
      <c r="HA15" s="83" t="s">
        <v>150</v>
      </c>
      <c r="HB15" s="142">
        <f>B224</f>
        <v>11.4</v>
      </c>
      <c r="HC15" s="83" t="s">
        <v>28</v>
      </c>
      <c r="HD15" s="84"/>
    </row>
    <row r="16" spans="1:214" s="83" customFormat="1" x14ac:dyDescent="0.2">
      <c r="A16" s="91" t="s">
        <v>257</v>
      </c>
      <c r="B16" s="183">
        <v>0.28767199999999998</v>
      </c>
      <c r="C16" s="84" t="s">
        <v>259</v>
      </c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6195</v>
      </c>
      <c r="I16" s="83" t="s">
        <v>426</v>
      </c>
      <c r="J16" s="83" t="s">
        <v>262</v>
      </c>
      <c r="K16" s="144">
        <f>((K5/(K8*K42*((K37*K41*(1/K35))+(K38*K40*(1/K35)))*K32*(1/K44)*K33))*K11)</f>
        <v>81.005518692283701</v>
      </c>
      <c r="L16" s="92" t="s">
        <v>10</v>
      </c>
      <c r="M16" s="52" t="s">
        <v>409</v>
      </c>
      <c r="N16" s="150">
        <f>B79</f>
        <v>16.416</v>
      </c>
      <c r="O16" s="52" t="s">
        <v>194</v>
      </c>
      <c r="P16" s="52" t="s">
        <v>409</v>
      </c>
      <c r="Q16" s="150">
        <f>B79</f>
        <v>16.416</v>
      </c>
      <c r="R16" s="52" t="s">
        <v>194</v>
      </c>
      <c r="S16" s="52" t="s">
        <v>409</v>
      </c>
      <c r="T16" s="150">
        <f>B79</f>
        <v>16.416</v>
      </c>
      <c r="U16" s="52" t="s">
        <v>194</v>
      </c>
      <c r="V16" s="52" t="s">
        <v>261</v>
      </c>
      <c r="W16" s="143">
        <f>((W5)/((W12/24)*W9*W10*W11*W13))*W8*W20*W21</f>
        <v>1.7847425407058435E-13</v>
      </c>
      <c r="X16" s="52" t="s">
        <v>15</v>
      </c>
      <c r="Y16" s="52" t="s">
        <v>261</v>
      </c>
      <c r="Z16" s="143">
        <f>((Z5)/((Z12/24)*Z9*Z10*Z11*Z13))*Z8*Z20*Z21</f>
        <v>1.6062682866352594E-13</v>
      </c>
      <c r="AA16" s="52" t="s">
        <v>15</v>
      </c>
      <c r="AB16" s="83" t="s">
        <v>299</v>
      </c>
      <c r="AC16" s="141">
        <f>B236</f>
        <v>0.4</v>
      </c>
      <c r="AD16" s="141">
        <f>B248</f>
        <v>0.4</v>
      </c>
      <c r="AE16" s="141">
        <f>B260</f>
        <v>0.4</v>
      </c>
      <c r="AF16" s="141">
        <f>B272</f>
        <v>0.4</v>
      </c>
      <c r="AG16" s="141">
        <f>B295</f>
        <v>0.4</v>
      </c>
      <c r="AH16" s="92"/>
      <c r="AI16" s="52" t="s">
        <v>69</v>
      </c>
      <c r="AJ16" s="136">
        <f>B251</f>
        <v>8</v>
      </c>
      <c r="AK16" s="52" t="s">
        <v>194</v>
      </c>
      <c r="AL16" s="52" t="s">
        <v>69</v>
      </c>
      <c r="AM16" s="136">
        <f>B251</f>
        <v>8</v>
      </c>
      <c r="AN16" s="52" t="s">
        <v>194</v>
      </c>
      <c r="AO16" s="52" t="s">
        <v>69</v>
      </c>
      <c r="AP16" s="136">
        <f>B251</f>
        <v>8</v>
      </c>
      <c r="AQ16" s="52" t="s">
        <v>194</v>
      </c>
      <c r="AR16" s="52" t="s">
        <v>69</v>
      </c>
      <c r="AS16" s="136">
        <f>B263</f>
        <v>0</v>
      </c>
      <c r="AT16" s="52" t="s">
        <v>194</v>
      </c>
      <c r="AU16" s="52" t="s">
        <v>69</v>
      </c>
      <c r="AV16" s="136">
        <f>B263</f>
        <v>0</v>
      </c>
      <c r="AW16" s="52" t="s">
        <v>194</v>
      </c>
      <c r="AX16" s="52" t="s">
        <v>69</v>
      </c>
      <c r="AY16" s="136">
        <f>B263</f>
        <v>0</v>
      </c>
      <c r="AZ16" s="52" t="s">
        <v>194</v>
      </c>
      <c r="BA16" s="52" t="s">
        <v>69</v>
      </c>
      <c r="BB16" s="136">
        <f>B239</f>
        <v>8</v>
      </c>
      <c r="BC16" s="52" t="s">
        <v>194</v>
      </c>
      <c r="BD16" s="52" t="s">
        <v>69</v>
      </c>
      <c r="BE16" s="136">
        <f>B239</f>
        <v>8</v>
      </c>
      <c r="BF16" s="52" t="s">
        <v>194</v>
      </c>
      <c r="BG16" s="52" t="s">
        <v>69</v>
      </c>
      <c r="BH16" s="136">
        <f>B239</f>
        <v>8</v>
      </c>
      <c r="BI16" s="52" t="s">
        <v>194</v>
      </c>
      <c r="BJ16" s="52" t="s">
        <v>412</v>
      </c>
      <c r="BK16" s="139">
        <f>B10</f>
        <v>3.7173200000000003E-2</v>
      </c>
      <c r="BL16" s="84" t="s">
        <v>353</v>
      </c>
      <c r="BM16" s="52" t="s">
        <v>415</v>
      </c>
      <c r="BN16" s="139">
        <f>B12</f>
        <v>1.83064E-2</v>
      </c>
      <c r="BO16" s="84" t="s">
        <v>353</v>
      </c>
      <c r="BP16" s="52" t="s">
        <v>417</v>
      </c>
      <c r="BQ16" s="139">
        <f>B14</f>
        <v>3.7173200000000003E-2</v>
      </c>
      <c r="BR16" s="84" t="s">
        <v>353</v>
      </c>
      <c r="BS16" s="83" t="s">
        <v>256</v>
      </c>
      <c r="BT16" s="136">
        <f>E17</f>
        <v>125.5296</v>
      </c>
      <c r="BU16" s="83" t="s">
        <v>343</v>
      </c>
      <c r="BV16" s="83" t="s">
        <v>437</v>
      </c>
      <c r="BW16" s="140">
        <f>((BW18*BW20*BW23*BW30)+(BW19*BW21*BW24*BW31))</f>
        <v>45</v>
      </c>
      <c r="BX16" s="83" t="s">
        <v>356</v>
      </c>
      <c r="BY16" s="83" t="s">
        <v>46</v>
      </c>
      <c r="BZ16" s="149">
        <f>(BZ18*BZ22*BZ34)+(BZ19*BZ23*BZ35)</f>
        <v>9225</v>
      </c>
      <c r="CA16" s="83" t="s">
        <v>346</v>
      </c>
      <c r="CB16" s="84" t="s">
        <v>293</v>
      </c>
      <c r="CC16" s="161">
        <f>B304</f>
        <v>2.8000000000000002E-12</v>
      </c>
      <c r="CD16" s="84"/>
      <c r="CE16" s="84" t="s">
        <v>293</v>
      </c>
      <c r="CF16" s="161">
        <f>B304</f>
        <v>2.8000000000000002E-12</v>
      </c>
      <c r="CG16" s="84"/>
      <c r="CH16" s="84" t="s">
        <v>293</v>
      </c>
      <c r="CI16" s="161">
        <f>B304</f>
        <v>2.8000000000000002E-12</v>
      </c>
      <c r="CJ16" s="84"/>
      <c r="CN16" s="91" t="s">
        <v>231</v>
      </c>
      <c r="CO16" s="136">
        <f>B18</f>
        <v>432</v>
      </c>
      <c r="CP16" s="52" t="s">
        <v>60</v>
      </c>
      <c r="CT16" s="83" t="s">
        <v>262</v>
      </c>
      <c r="CU16" s="144">
        <f>((CU5/(CU8*CU42*((CU37*CU41*(1/24))+(CU38*CU40*(1/24)))*CU32*(1/CU44)))*CU11)*CU13*CU49*CU50</f>
        <v>1.2147054490320741E-5</v>
      </c>
      <c r="CV16" s="92" t="s">
        <v>12</v>
      </c>
      <c r="CW16" s="52" t="s">
        <v>364</v>
      </c>
      <c r="CX16" s="138">
        <f>B171</f>
        <v>24</v>
      </c>
      <c r="CY16" s="52" t="s">
        <v>194</v>
      </c>
      <c r="CZ16" s="83" t="s">
        <v>512</v>
      </c>
      <c r="DA16" s="153">
        <f>'Am-241 Default'!DA16*DA12*DA51*DA52</f>
        <v>2.7161866008616789E-10</v>
      </c>
      <c r="DB16" s="83" t="s">
        <v>13</v>
      </c>
      <c r="DC16" s="83" t="s">
        <v>363</v>
      </c>
      <c r="DD16" s="146">
        <f>B170</f>
        <v>1</v>
      </c>
      <c r="DE16" s="83" t="s">
        <v>60</v>
      </c>
      <c r="DF16" s="92" t="s">
        <v>63</v>
      </c>
      <c r="DG16" s="151">
        <f>DG20+(0.693/DG22)</f>
        <v>4.9504394977168943E-2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1.6041666666666665E-3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B18</f>
        <v>432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B18</f>
        <v>432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B18</f>
        <v>432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B165</f>
        <v>0.15</v>
      </c>
      <c r="GQ16" s="52"/>
      <c r="GU16" s="91" t="s">
        <v>231</v>
      </c>
      <c r="GV16" s="136">
        <f>B18</f>
        <v>432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</row>
    <row r="17" spans="1:214" ht="13.5" thickBot="1" x14ac:dyDescent="0.25">
      <c r="A17" s="83" t="s">
        <v>258</v>
      </c>
      <c r="B17" s="183">
        <v>8.8060000000000005E-4</v>
      </c>
      <c r="C17" s="92" t="s">
        <v>259</v>
      </c>
      <c r="D17" s="83" t="s">
        <v>256</v>
      </c>
      <c r="E17" s="136">
        <f>B15</f>
        <v>125.5296</v>
      </c>
      <c r="F17" s="83" t="s">
        <v>343</v>
      </c>
      <c r="G17" s="83" t="s">
        <v>370</v>
      </c>
      <c r="H17" s="146">
        <f>B42</f>
        <v>0.78</v>
      </c>
      <c r="I17" s="52" t="s">
        <v>28</v>
      </c>
      <c r="J17" s="83" t="s">
        <v>263</v>
      </c>
      <c r="K17" s="153">
        <f>((K18/(K47+K48))*K11)</f>
        <v>0.18524760264136017</v>
      </c>
      <c r="L17" s="92" t="s">
        <v>10</v>
      </c>
      <c r="M17" s="84" t="s">
        <v>295</v>
      </c>
      <c r="N17" s="142">
        <f>B302</f>
        <v>241</v>
      </c>
      <c r="O17" s="84" t="s">
        <v>296</v>
      </c>
      <c r="P17" s="84" t="s">
        <v>295</v>
      </c>
      <c r="Q17" s="142">
        <f>B302</f>
        <v>241</v>
      </c>
      <c r="R17" s="84" t="s">
        <v>296</v>
      </c>
      <c r="S17" s="84" t="s">
        <v>295</v>
      </c>
      <c r="T17" s="142">
        <f>B302</f>
        <v>241</v>
      </c>
      <c r="U17" s="84" t="s">
        <v>296</v>
      </c>
      <c r="V17" s="52" t="s">
        <v>271</v>
      </c>
      <c r="W17" s="144">
        <f>((W5)/((W12/24)*W9*W14*(1/365)))*W8*W20*W21</f>
        <v>1.1301713062098503E-11</v>
      </c>
      <c r="X17" s="52" t="s">
        <v>15</v>
      </c>
      <c r="Y17" s="52" t="s">
        <v>271</v>
      </c>
      <c r="Z17" s="144">
        <f>((Z5)/((Z12/24)*Z9*Z14*(1/365)))*Z8*Z20*Z21</f>
        <v>1.0171541755888652E-11</v>
      </c>
      <c r="AA17" s="52" t="s">
        <v>15</v>
      </c>
      <c r="AB17" s="83" t="s">
        <v>413</v>
      </c>
      <c r="AC17" s="141">
        <f>B237</f>
        <v>1</v>
      </c>
      <c r="AD17" s="141">
        <f>B249</f>
        <v>1</v>
      </c>
      <c r="AE17" s="141">
        <f>B261</f>
        <v>1</v>
      </c>
      <c r="AF17" s="141">
        <f>B280</f>
        <v>0.753</v>
      </c>
      <c r="AG17" s="141">
        <f>B280</f>
        <v>0.753</v>
      </c>
      <c r="AH17" s="92"/>
      <c r="AI17" s="84" t="s">
        <v>295</v>
      </c>
      <c r="AJ17" s="142">
        <f>B302</f>
        <v>241</v>
      </c>
      <c r="AK17" s="84" t="s">
        <v>296</v>
      </c>
      <c r="AL17" s="84" t="s">
        <v>295</v>
      </c>
      <c r="AM17" s="142">
        <f>B302</f>
        <v>241</v>
      </c>
      <c r="AN17" s="84" t="s">
        <v>296</v>
      </c>
      <c r="AO17" s="84" t="s">
        <v>295</v>
      </c>
      <c r="AP17" s="142">
        <f>B302</f>
        <v>241</v>
      </c>
      <c r="AQ17" s="84" t="s">
        <v>296</v>
      </c>
      <c r="AR17" s="84" t="s">
        <v>295</v>
      </c>
      <c r="AS17" s="142">
        <f>B302</f>
        <v>241</v>
      </c>
      <c r="AT17" s="84" t="s">
        <v>296</v>
      </c>
      <c r="AU17" s="84" t="s">
        <v>295</v>
      </c>
      <c r="AV17" s="142">
        <f>B302</f>
        <v>241</v>
      </c>
      <c r="AW17" s="84" t="s">
        <v>296</v>
      </c>
      <c r="AX17" s="84" t="s">
        <v>295</v>
      </c>
      <c r="AY17" s="142">
        <f>B302</f>
        <v>241</v>
      </c>
      <c r="AZ17" s="84" t="s">
        <v>296</v>
      </c>
      <c r="BA17" s="84" t="s">
        <v>295</v>
      </c>
      <c r="BB17" s="142">
        <f>B302</f>
        <v>241</v>
      </c>
      <c r="BC17" s="84" t="s">
        <v>296</v>
      </c>
      <c r="BD17" s="84" t="s">
        <v>295</v>
      </c>
      <c r="BE17" s="142">
        <f>B302</f>
        <v>241</v>
      </c>
      <c r="BF17" s="84" t="s">
        <v>296</v>
      </c>
      <c r="BG17" s="84" t="s">
        <v>295</v>
      </c>
      <c r="BH17" s="142">
        <f>B302</f>
        <v>241</v>
      </c>
      <c r="BI17" s="84" t="s">
        <v>296</v>
      </c>
      <c r="BJ17" s="84" t="s">
        <v>295</v>
      </c>
      <c r="BK17" s="142">
        <f>B302</f>
        <v>241</v>
      </c>
      <c r="BL17" s="84" t="s">
        <v>296</v>
      </c>
      <c r="BM17" s="84" t="s">
        <v>295</v>
      </c>
      <c r="BN17" s="142">
        <f>B302</f>
        <v>241</v>
      </c>
      <c r="BO17" s="84" t="s">
        <v>296</v>
      </c>
      <c r="BP17" s="84" t="s">
        <v>295</v>
      </c>
      <c r="BQ17" s="142">
        <f>B302</f>
        <v>241</v>
      </c>
      <c r="BR17" s="84" t="s">
        <v>296</v>
      </c>
      <c r="BS17" s="83" t="s">
        <v>301</v>
      </c>
      <c r="BT17" s="142">
        <f>B111</f>
        <v>1</v>
      </c>
      <c r="BV17" s="83" t="s">
        <v>65</v>
      </c>
      <c r="BW17" s="141">
        <f>B116</f>
        <v>0.5</v>
      </c>
      <c r="BX17" s="52" t="s">
        <v>66</v>
      </c>
      <c r="BY17" s="83" t="s">
        <v>43</v>
      </c>
      <c r="BZ17" s="149">
        <f>(BZ24*BZ20*(BZ26/24)*BZ34)+(BZ23*BZ21*(BZ27/24)*BZ35)</f>
        <v>55.3125</v>
      </c>
      <c r="CA17" s="52" t="s">
        <v>426</v>
      </c>
      <c r="CN17" s="84" t="s">
        <v>16</v>
      </c>
      <c r="CO17" s="137">
        <f>(CO14*CO15)/(1-EXP(-CO15*CO14))</f>
        <v>1.0008022977791844</v>
      </c>
      <c r="CT17" s="83" t="s">
        <v>263</v>
      </c>
      <c r="CU17" s="153">
        <f>DJ2</f>
        <v>1.3305981497321003E-8</v>
      </c>
      <c r="CV17" s="92" t="s">
        <v>12</v>
      </c>
      <c r="CW17" s="83" t="s">
        <v>256</v>
      </c>
      <c r="CX17" s="136">
        <f>B15</f>
        <v>125.5296</v>
      </c>
      <c r="CY17" s="83" t="s">
        <v>343</v>
      </c>
      <c r="CZ17" s="83" t="s">
        <v>511</v>
      </c>
      <c r="DA17" s="153">
        <f>DD2</f>
        <v>3.4570362932486858E-9</v>
      </c>
      <c r="DB17" s="83" t="s">
        <v>297</v>
      </c>
      <c r="DC17" s="93"/>
      <c r="DD17" s="136">
        <v>9.9999999999999995E-7</v>
      </c>
      <c r="DE17" s="88"/>
      <c r="DF17" s="92" t="s">
        <v>67</v>
      </c>
      <c r="DG17" s="142">
        <f>B198</f>
        <v>60</v>
      </c>
      <c r="DH17" s="83" t="s">
        <v>53</v>
      </c>
      <c r="DL17" s="92"/>
      <c r="DM17" s="83"/>
      <c r="DN17" s="83"/>
      <c r="DO17" s="92" t="s">
        <v>67</v>
      </c>
      <c r="DP17" s="142">
        <f>B198</f>
        <v>60</v>
      </c>
      <c r="DQ17" s="83" t="s">
        <v>53</v>
      </c>
      <c r="DR17" s="83" t="s">
        <v>475</v>
      </c>
      <c r="DS17" s="146">
        <f>B165</f>
        <v>0.15</v>
      </c>
      <c r="DU17" s="92"/>
      <c r="DV17" s="87"/>
      <c r="DW17" s="83"/>
      <c r="DX17" s="91" t="s">
        <v>231</v>
      </c>
      <c r="DY17" s="136">
        <f>B18</f>
        <v>432</v>
      </c>
      <c r="DZ17" s="52" t="s">
        <v>60</v>
      </c>
      <c r="EA17" s="92"/>
      <c r="EB17" s="83"/>
      <c r="EC17" s="83"/>
      <c r="ED17" s="92" t="s">
        <v>67</v>
      </c>
      <c r="EE17" s="142">
        <f>B198</f>
        <v>60</v>
      </c>
      <c r="EF17" s="83" t="s">
        <v>53</v>
      </c>
      <c r="EG17" s="83" t="s">
        <v>475</v>
      </c>
      <c r="EH17" s="146">
        <f>B165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1.0008022977791844</v>
      </c>
      <c r="EP17" s="92"/>
      <c r="EQ17" s="83"/>
      <c r="ER17" s="83"/>
      <c r="ES17" s="92" t="s">
        <v>67</v>
      </c>
      <c r="ET17" s="142">
        <f>B198</f>
        <v>60</v>
      </c>
      <c r="EU17" s="83" t="s">
        <v>53</v>
      </c>
      <c r="EV17" s="83" t="s">
        <v>475</v>
      </c>
      <c r="EW17" s="141">
        <f>B165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1.0008022977791844</v>
      </c>
      <c r="FE17" s="83"/>
      <c r="FF17" s="83"/>
      <c r="FG17" s="83"/>
      <c r="FH17" s="83" t="s">
        <v>67</v>
      </c>
      <c r="FI17" s="142">
        <f>B198</f>
        <v>60</v>
      </c>
      <c r="FJ17" s="83" t="s">
        <v>53</v>
      </c>
      <c r="FK17" s="83" t="s">
        <v>475</v>
      </c>
      <c r="FL17" s="141">
        <f>B165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B165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1.0008022977791844</v>
      </c>
      <c r="GI17" s="83"/>
      <c r="GJ17" s="83"/>
      <c r="GK17" s="83"/>
      <c r="GL17" s="83" t="s">
        <v>67</v>
      </c>
      <c r="GM17" s="142">
        <f>B198</f>
        <v>60</v>
      </c>
      <c r="GN17" s="83" t="s">
        <v>53</v>
      </c>
      <c r="GO17" s="83" t="s">
        <v>476</v>
      </c>
      <c r="GP17" s="141">
        <f>B166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1.0008022977791844</v>
      </c>
      <c r="GX17" s="83"/>
      <c r="GY17" s="83"/>
      <c r="GZ17" s="83"/>
      <c r="HA17" s="83" t="s">
        <v>67</v>
      </c>
      <c r="HB17" s="142">
        <f>B198</f>
        <v>60</v>
      </c>
      <c r="HC17" s="83" t="s">
        <v>53</v>
      </c>
      <c r="HD17" s="84"/>
      <c r="HE17" s="84"/>
    </row>
    <row r="18" spans="1:214" ht="19.5" thickTop="1" thickBot="1" x14ac:dyDescent="0.25">
      <c r="A18" s="91" t="s">
        <v>231</v>
      </c>
      <c r="B18" s="183">
        <v>432</v>
      </c>
      <c r="C18" s="52" t="s">
        <v>235</v>
      </c>
      <c r="D18" s="83" t="s">
        <v>301</v>
      </c>
      <c r="E18" s="142">
        <f>B60</f>
        <v>1</v>
      </c>
      <c r="G18" s="83" t="s">
        <v>371</v>
      </c>
      <c r="H18" s="146">
        <f>B43</f>
        <v>2.5</v>
      </c>
      <c r="I18" s="52" t="s">
        <v>28</v>
      </c>
      <c r="J18" s="83" t="s">
        <v>264</v>
      </c>
      <c r="K18" s="154">
        <f>(K5/(K9*(K25+K28)*K36))</f>
        <v>4.8129308288714479E-2</v>
      </c>
      <c r="L18" s="92" t="s">
        <v>10</v>
      </c>
      <c r="M18" s="84" t="s">
        <v>293</v>
      </c>
      <c r="N18" s="161">
        <f>B304</f>
        <v>2.8000000000000002E-12</v>
      </c>
      <c r="O18" s="84"/>
      <c r="P18" s="84" t="s">
        <v>293</v>
      </c>
      <c r="Q18" s="161">
        <f>B304</f>
        <v>2.8000000000000002E-12</v>
      </c>
      <c r="R18" s="84"/>
      <c r="S18" s="84" t="s">
        <v>293</v>
      </c>
      <c r="T18" s="161">
        <f>B304</f>
        <v>2.8000000000000002E-12</v>
      </c>
      <c r="U18" s="84"/>
      <c r="V18" s="52" t="s">
        <v>261</v>
      </c>
      <c r="W18" s="144">
        <f>((W5*W7*W6)/((W12/24)*(1-EXP(-W7*W10))*W11*W13*W9*W10))*W8*W20*W21</f>
        <v>1.7861744356826676E-13</v>
      </c>
      <c r="X18" s="52" t="s">
        <v>16</v>
      </c>
      <c r="Y18" s="52" t="s">
        <v>261</v>
      </c>
      <c r="Z18" s="144">
        <f>((Z5*Z7*Z6)/((Z12/24)*(1-EXP(-Z7*Z10))*Z11*Z13*Z9*Z10))*Z8*Z20*Z21</f>
        <v>1.6075569921144008E-13</v>
      </c>
      <c r="AA18" s="52" t="s">
        <v>16</v>
      </c>
      <c r="AB18" s="83" t="s">
        <v>412</v>
      </c>
      <c r="AC18" s="136">
        <f>B10</f>
        <v>3.7173200000000003E-2</v>
      </c>
      <c r="AD18" s="136">
        <f>B10</f>
        <v>3.7173200000000003E-2</v>
      </c>
      <c r="AE18" s="136">
        <f>B10</f>
        <v>3.7173200000000003E-2</v>
      </c>
      <c r="AF18" s="136">
        <f>B10</f>
        <v>3.7173200000000003E-2</v>
      </c>
      <c r="AG18" s="136">
        <f>B10</f>
        <v>3.7173200000000003E-2</v>
      </c>
      <c r="AH18" s="83" t="s">
        <v>351</v>
      </c>
      <c r="AI18" s="84" t="s">
        <v>293</v>
      </c>
      <c r="AJ18" s="161">
        <f>B304</f>
        <v>2.8000000000000002E-12</v>
      </c>
      <c r="AK18" s="84"/>
      <c r="AL18" s="84" t="s">
        <v>293</v>
      </c>
      <c r="AM18" s="161">
        <f>B304</f>
        <v>2.8000000000000002E-12</v>
      </c>
      <c r="AN18" s="84"/>
      <c r="AO18" s="84" t="s">
        <v>293</v>
      </c>
      <c r="AP18" s="161">
        <f>B304</f>
        <v>2.8000000000000002E-12</v>
      </c>
      <c r="AQ18" s="84"/>
      <c r="AR18" s="84" t="s">
        <v>293</v>
      </c>
      <c r="AS18" s="161">
        <f>B304</f>
        <v>2.8000000000000002E-12</v>
      </c>
      <c r="AT18" s="84"/>
      <c r="AU18" s="84" t="s">
        <v>293</v>
      </c>
      <c r="AV18" s="161">
        <f>B304</f>
        <v>2.8000000000000002E-12</v>
      </c>
      <c r="AW18" s="84"/>
      <c r="AX18" s="84" t="s">
        <v>293</v>
      </c>
      <c r="AY18" s="161">
        <f>B304</f>
        <v>2.8000000000000002E-12</v>
      </c>
      <c r="AZ18" s="84"/>
      <c r="BA18" s="84" t="s">
        <v>293</v>
      </c>
      <c r="BB18" s="161">
        <f>B304</f>
        <v>2.8000000000000002E-12</v>
      </c>
      <c r="BC18" s="84"/>
      <c r="BD18" s="84" t="s">
        <v>293</v>
      </c>
      <c r="BE18" s="161">
        <f>B304</f>
        <v>2.8000000000000002E-12</v>
      </c>
      <c r="BF18" s="84"/>
      <c r="BG18" s="84" t="s">
        <v>293</v>
      </c>
      <c r="BH18" s="161">
        <f>B304</f>
        <v>2.8000000000000002E-12</v>
      </c>
      <c r="BI18" s="84"/>
      <c r="BJ18" s="84" t="s">
        <v>293</v>
      </c>
      <c r="BK18" s="161">
        <f>B304</f>
        <v>2.8000000000000002E-12</v>
      </c>
      <c r="BL18" s="84"/>
      <c r="BM18" s="84" t="s">
        <v>293</v>
      </c>
      <c r="BN18" s="161">
        <f>B304</f>
        <v>2.8000000000000002E-12</v>
      </c>
      <c r="BO18" s="84"/>
      <c r="BP18" s="84" t="s">
        <v>293</v>
      </c>
      <c r="BQ18" s="161">
        <f>B304</f>
        <v>2.8000000000000002E-12</v>
      </c>
      <c r="BR18" s="84"/>
      <c r="BS18" s="52" t="s">
        <v>261</v>
      </c>
      <c r="BT18" s="143">
        <f>((BT5)/(BT9*BT10))*BT7*BT27*BT28</f>
        <v>1.4519939314217034E-11</v>
      </c>
      <c r="BU18" s="52" t="s">
        <v>15</v>
      </c>
      <c r="BV18" s="83" t="s">
        <v>433</v>
      </c>
      <c r="BW18" s="150">
        <f>B112</f>
        <v>45</v>
      </c>
      <c r="BX18" s="83" t="s">
        <v>24</v>
      </c>
      <c r="BY18" s="83" t="s">
        <v>441</v>
      </c>
      <c r="BZ18" s="146">
        <f>B97</f>
        <v>200</v>
      </c>
      <c r="CA18" s="84" t="s">
        <v>48</v>
      </c>
      <c r="CB18" s="675" t="s">
        <v>572</v>
      </c>
      <c r="CC18" s="673"/>
      <c r="CD18" s="673"/>
      <c r="CE18" s="676" t="s">
        <v>573</v>
      </c>
      <c r="CF18" s="673"/>
      <c r="CG18" s="674"/>
      <c r="CJ18" s="83"/>
      <c r="CT18" s="83" t="s">
        <v>264</v>
      </c>
      <c r="CU18" s="153">
        <f>DD2</f>
        <v>3.4570362932486858E-9</v>
      </c>
      <c r="CV18" s="92" t="s">
        <v>12</v>
      </c>
      <c r="CW18" s="83" t="s">
        <v>301</v>
      </c>
      <c r="CX18" s="142">
        <f>B180</f>
        <v>1</v>
      </c>
      <c r="CZ18" s="91" t="s">
        <v>272</v>
      </c>
      <c r="DA18" s="144">
        <f>EZ2</f>
        <v>1.6758408984060207E-2</v>
      </c>
      <c r="DB18" s="83" t="s">
        <v>297</v>
      </c>
      <c r="DC18" s="88"/>
      <c r="DD18" s="136">
        <v>1000</v>
      </c>
      <c r="DE18" s="92" t="s">
        <v>99</v>
      </c>
      <c r="DF18" s="92" t="s">
        <v>68</v>
      </c>
      <c r="DG18" s="142">
        <f>B199</f>
        <v>2</v>
      </c>
      <c r="DH18" s="83" t="s">
        <v>56</v>
      </c>
      <c r="DL18" s="92"/>
      <c r="DM18" s="83"/>
      <c r="DN18" s="83"/>
      <c r="DO18" s="92" t="s">
        <v>68</v>
      </c>
      <c r="DP18" s="142">
        <f>B199</f>
        <v>2</v>
      </c>
      <c r="DQ18" s="83" t="s">
        <v>56</v>
      </c>
      <c r="DR18" s="83" t="s">
        <v>476</v>
      </c>
      <c r="DS18" s="146">
        <f>B166</f>
        <v>0.85</v>
      </c>
      <c r="DU18" s="92"/>
      <c r="DV18" s="83"/>
      <c r="DW18" s="83"/>
      <c r="DX18" s="84" t="s">
        <v>16</v>
      </c>
      <c r="DY18" s="137">
        <f>(DY15*DY16)/(1-EXP(-DY16*DY15))</f>
        <v>1.0008022977791844</v>
      </c>
      <c r="EA18" s="92"/>
      <c r="EB18" s="83"/>
      <c r="EC18" s="83"/>
      <c r="ED18" s="92" t="s">
        <v>68</v>
      </c>
      <c r="EE18" s="142">
        <f>B199</f>
        <v>2</v>
      </c>
      <c r="EF18" s="83" t="s">
        <v>56</v>
      </c>
      <c r="EG18" s="83" t="s">
        <v>476</v>
      </c>
      <c r="EH18" s="146">
        <f>B166</f>
        <v>0.85</v>
      </c>
      <c r="EJ18" s="92"/>
      <c r="EK18" s="83"/>
      <c r="EL18" s="83"/>
      <c r="EM18" s="95"/>
      <c r="EN18" s="176"/>
      <c r="EP18" s="92"/>
      <c r="EQ18" s="83"/>
      <c r="ER18" s="83"/>
      <c r="ES18" s="92" t="s">
        <v>68</v>
      </c>
      <c r="ET18" s="142">
        <f>B199</f>
        <v>2</v>
      </c>
      <c r="EU18" s="83" t="s">
        <v>56</v>
      </c>
      <c r="EV18" s="83" t="s">
        <v>476</v>
      </c>
      <c r="EW18" s="141">
        <f>B166</f>
        <v>0.85</v>
      </c>
      <c r="EX18" s="92"/>
      <c r="EY18" s="83"/>
      <c r="EZ18" s="83"/>
      <c r="FA18" s="83"/>
      <c r="FB18" s="95"/>
      <c r="FC18" s="176"/>
      <c r="FD18" s="83"/>
      <c r="FE18" s="83"/>
      <c r="FF18" s="83"/>
      <c r="FG18" s="83"/>
      <c r="FH18" s="83" t="s">
        <v>68</v>
      </c>
      <c r="FI18" s="142">
        <f>B199</f>
        <v>2</v>
      </c>
      <c r="FJ18" s="83" t="s">
        <v>56</v>
      </c>
      <c r="FK18" s="83" t="s">
        <v>476</v>
      </c>
      <c r="FL18" s="141">
        <f>B166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B166</f>
        <v>0.85</v>
      </c>
      <c r="GB18" s="92"/>
      <c r="GC18" s="83"/>
      <c r="GD18" s="83"/>
      <c r="GE18" s="83"/>
      <c r="GF18" s="95"/>
      <c r="GG18" s="176"/>
      <c r="GH18" s="83"/>
      <c r="GI18" s="83"/>
      <c r="GJ18" s="83"/>
      <c r="GK18" s="83"/>
      <c r="GL18" s="83" t="s">
        <v>68</v>
      </c>
      <c r="GM18" s="142">
        <f>B199</f>
        <v>2</v>
      </c>
      <c r="GN18" s="83" t="s">
        <v>56</v>
      </c>
      <c r="GO18" s="84" t="s">
        <v>295</v>
      </c>
      <c r="GP18" s="142">
        <f>B302</f>
        <v>241</v>
      </c>
      <c r="GQ18" s="84" t="s">
        <v>296</v>
      </c>
      <c r="GR18" s="83"/>
      <c r="GS18" s="83"/>
      <c r="GT18" s="83"/>
      <c r="GU18" s="95"/>
      <c r="GV18" s="176"/>
      <c r="GW18" s="83"/>
      <c r="GX18" s="83"/>
      <c r="GY18" s="83"/>
      <c r="GZ18" s="83"/>
      <c r="HA18" s="83" t="s">
        <v>68</v>
      </c>
      <c r="HB18" s="142">
        <f>B199</f>
        <v>2</v>
      </c>
      <c r="HC18" s="83" t="s">
        <v>56</v>
      </c>
    </row>
    <row r="19" spans="1:214" ht="19.5" thickTop="1" thickBot="1" x14ac:dyDescent="0.25">
      <c r="A19" s="91" t="s">
        <v>77</v>
      </c>
      <c r="B19" s="183">
        <f>PEF!D3</f>
        <v>1359344473.5814338</v>
      </c>
      <c r="C19" s="52" t="s">
        <v>524</v>
      </c>
      <c r="D19" s="52" t="s">
        <v>261</v>
      </c>
      <c r="E19" s="143">
        <f>((E5)/((E15/E16)*E11*E12))*E7*E27*E28</f>
        <v>1.296423153055092E-13</v>
      </c>
      <c r="F19" s="52" t="s">
        <v>15</v>
      </c>
      <c r="G19" s="83" t="s">
        <v>366</v>
      </c>
      <c r="H19" s="146">
        <f>B38</f>
        <v>10</v>
      </c>
      <c r="I19" s="52" t="s">
        <v>407</v>
      </c>
      <c r="J19" s="83" t="s">
        <v>445</v>
      </c>
      <c r="K19" s="155">
        <f>K21*K31*K51+K22*K32*K52</f>
        <v>43050</v>
      </c>
      <c r="L19" s="83" t="s">
        <v>346</v>
      </c>
      <c r="V19" s="52" t="s">
        <v>271</v>
      </c>
      <c r="W19" s="145">
        <f>((W5*W7*W6)/((W12/24)*(1-EXP(-W7*W6))*W14*W9*(1/365)))*W8*W20*W21</f>
        <v>1.1310780401389202E-11</v>
      </c>
      <c r="X19" s="52" t="s">
        <v>16</v>
      </c>
      <c r="Y19" s="52" t="s">
        <v>271</v>
      </c>
      <c r="Z19" s="145">
        <f>((Z5*Z7*Z6)/((Z12/24)*(1-EXP(-Z7*Z6))*Z14*Z9*(1/365)))*Z8*Z20*Z21</f>
        <v>1.0179702361250283E-11</v>
      </c>
      <c r="AA19" s="52" t="s">
        <v>16</v>
      </c>
      <c r="AB19" s="83" t="s">
        <v>247</v>
      </c>
      <c r="AC19" s="139">
        <f>B6</f>
        <v>0.36297000000000001</v>
      </c>
      <c r="AD19" s="139">
        <f>B6</f>
        <v>0.36297000000000001</v>
      </c>
      <c r="AE19" s="139">
        <f>B6</f>
        <v>0.36297000000000001</v>
      </c>
      <c r="AF19" s="139">
        <f>B6</f>
        <v>0.36297000000000001</v>
      </c>
      <c r="AG19" s="139">
        <f>B6</f>
        <v>0.36297000000000001</v>
      </c>
      <c r="AH19" s="84" t="s">
        <v>259</v>
      </c>
      <c r="BS19" s="52" t="s">
        <v>271</v>
      </c>
      <c r="BT19" s="144">
        <f>((BT5)/(BT16*BT8*(1/365)*BT15*(1/24)*BT17))*BT7*BT27*BT28</f>
        <v>2.7124111349036409E-10</v>
      </c>
      <c r="BU19" s="52" t="s">
        <v>15</v>
      </c>
      <c r="BV19" s="83" t="s">
        <v>434</v>
      </c>
      <c r="BW19" s="150">
        <f>B113</f>
        <v>45</v>
      </c>
      <c r="BX19" s="83" t="s">
        <v>24</v>
      </c>
      <c r="BY19" s="83" t="s">
        <v>442</v>
      </c>
      <c r="BZ19" s="146">
        <f>B98</f>
        <v>100</v>
      </c>
      <c r="CA19" s="84" t="s">
        <v>48</v>
      </c>
      <c r="CB19" s="268" t="s">
        <v>537</v>
      </c>
      <c r="CC19" s="262">
        <f>((CC22*CC23*CC24)/((1-EXP(-CC24*CC23))*CC31*(CC26/365)*CC29*(CC30/24)*CC28))*CC25*CC32*CC33</f>
        <v>0.10527634012503259</v>
      </c>
      <c r="CD19" s="279" t="s">
        <v>297</v>
      </c>
      <c r="CE19" s="259" t="s">
        <v>537</v>
      </c>
      <c r="CF19" s="262">
        <f>((CF22*CF23*CF24)/((1-EXP(-CF24*CF23))*CF31*(CF26/365)*CF29*(CF30/24)*CF28))*CF25*CF32*CF33</f>
        <v>10.273016550367814</v>
      </c>
      <c r="CG19" s="265" t="s">
        <v>297</v>
      </c>
      <c r="CH19" s="83"/>
      <c r="CI19" s="83"/>
      <c r="CK19" s="675" t="s">
        <v>576</v>
      </c>
      <c r="CL19" s="673"/>
      <c r="CM19" s="673"/>
      <c r="CN19" s="676" t="s">
        <v>576</v>
      </c>
      <c r="CO19" s="673"/>
      <c r="CP19" s="677"/>
      <c r="CQ19" s="673" t="s">
        <v>576</v>
      </c>
      <c r="CR19" s="673"/>
      <c r="CS19" s="674"/>
      <c r="CT19" s="91" t="s">
        <v>272</v>
      </c>
      <c r="CU19" s="144">
        <f>FC2</f>
        <v>9.3171274079755046E-5</v>
      </c>
      <c r="CV19" s="92" t="s">
        <v>12</v>
      </c>
      <c r="CW19" s="52" t="s">
        <v>261</v>
      </c>
      <c r="CX19" s="143">
        <f>((CX5)/((CX15/CX16)*CX11*CX12))*CX7*CX27*CX28</f>
        <v>1.2403616113013582E-13</v>
      </c>
      <c r="CY19" s="52" t="s">
        <v>15</v>
      </c>
      <c r="CZ19" s="91" t="s">
        <v>273</v>
      </c>
      <c r="DA19" s="144">
        <f>GS2</f>
        <v>5.6755816198860451E-3</v>
      </c>
      <c r="DB19" s="83" t="s">
        <v>297</v>
      </c>
      <c r="DC19" s="92" t="s">
        <v>72</v>
      </c>
      <c r="DD19" s="146">
        <f>B186</f>
        <v>1</v>
      </c>
      <c r="DE19" s="93"/>
      <c r="DF19" s="92" t="s">
        <v>70</v>
      </c>
      <c r="DG19" s="138">
        <f>B200</f>
        <v>2.6999999999999999E-5</v>
      </c>
      <c r="DH19" s="52" t="s">
        <v>64</v>
      </c>
      <c r="DL19" s="92"/>
      <c r="DO19" s="92" t="s">
        <v>70</v>
      </c>
      <c r="DP19" s="138">
        <f>B200</f>
        <v>2.6999999999999999E-5</v>
      </c>
      <c r="DQ19" s="52" t="s">
        <v>64</v>
      </c>
      <c r="DR19" s="84" t="s">
        <v>295</v>
      </c>
      <c r="DS19" s="142">
        <f>B302</f>
        <v>241</v>
      </c>
      <c r="DT19" s="84" t="s">
        <v>296</v>
      </c>
      <c r="DU19" s="92"/>
      <c r="DX19" s="95"/>
      <c r="DY19" s="176"/>
      <c r="EA19" s="92"/>
      <c r="EB19" s="84"/>
      <c r="EC19" s="84"/>
      <c r="ED19" s="92" t="s">
        <v>70</v>
      </c>
      <c r="EE19" s="163">
        <f>B200</f>
        <v>2.6999999999999999E-5</v>
      </c>
      <c r="EF19" s="84" t="s">
        <v>64</v>
      </c>
      <c r="EG19" s="84" t="s">
        <v>295</v>
      </c>
      <c r="EH19" s="142">
        <f>B302</f>
        <v>241</v>
      </c>
      <c r="EI19" s="84" t="s">
        <v>296</v>
      </c>
      <c r="EJ19" s="92"/>
      <c r="EP19" s="92"/>
      <c r="EQ19" s="84"/>
      <c r="ER19" s="84"/>
      <c r="ES19" s="92" t="s">
        <v>70</v>
      </c>
      <c r="ET19" s="163">
        <f>B200</f>
        <v>2.6999999999999999E-5</v>
      </c>
      <c r="EU19" s="84" t="s">
        <v>64</v>
      </c>
      <c r="EV19" s="84" t="s">
        <v>295</v>
      </c>
      <c r="EW19" s="142">
        <f>B302</f>
        <v>241</v>
      </c>
      <c r="EX19" s="84" t="s">
        <v>296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B200</f>
        <v>2.6999999999999999E-5</v>
      </c>
      <c r="FJ19" s="84" t="s">
        <v>64</v>
      </c>
      <c r="FK19" s="84" t="s">
        <v>295</v>
      </c>
      <c r="FL19" s="142">
        <f>B302</f>
        <v>241</v>
      </c>
      <c r="FM19" s="84" t="s">
        <v>296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84" t="s">
        <v>295</v>
      </c>
      <c r="GA19" s="142">
        <f>B302</f>
        <v>241</v>
      </c>
      <c r="GB19" s="84" t="s">
        <v>296</v>
      </c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B200</f>
        <v>2.6999999999999999E-5</v>
      </c>
      <c r="GN19" s="84" t="s">
        <v>64</v>
      </c>
      <c r="GO19" s="84" t="s">
        <v>293</v>
      </c>
      <c r="GP19" s="161">
        <f>B304</f>
        <v>2.8000000000000002E-12</v>
      </c>
      <c r="GQ19" s="84"/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B200</f>
        <v>2.6999999999999999E-5</v>
      </c>
      <c r="HC19" s="84" t="s">
        <v>64</v>
      </c>
    </row>
    <row r="20" spans="1:214" ht="19.5" thickTop="1" thickBot="1" x14ac:dyDescent="0.25">
      <c r="A20" s="91" t="s">
        <v>103</v>
      </c>
      <c r="B20" s="183">
        <f>PEF!G3</f>
        <v>776129.4078035407</v>
      </c>
      <c r="C20" s="52" t="s">
        <v>524</v>
      </c>
      <c r="D20" s="52" t="s">
        <v>271</v>
      </c>
      <c r="E20" s="144">
        <f>((E5)/((E15/E16)*E8*E17*(1/365)*E18))*E7*E27*E28</f>
        <v>2.4217956561639649E-12</v>
      </c>
      <c r="F20" s="52" t="s">
        <v>15</v>
      </c>
      <c r="G20" s="83" t="s">
        <v>367</v>
      </c>
      <c r="H20" s="146">
        <f>B39</f>
        <v>20</v>
      </c>
      <c r="I20" s="52" t="s">
        <v>407</v>
      </c>
      <c r="J20" s="83" t="s">
        <v>396</v>
      </c>
      <c r="K20" s="155">
        <f>(K31*K23*(K34/24)*K51)+(K32*K24*(K35/24)*K52)</f>
        <v>6195</v>
      </c>
      <c r="L20" s="52" t="s">
        <v>407</v>
      </c>
      <c r="M20" s="325" t="s">
        <v>533</v>
      </c>
      <c r="N20" s="326"/>
      <c r="O20" s="326"/>
      <c r="P20" s="327" t="s">
        <v>536</v>
      </c>
      <c r="Q20" s="326"/>
      <c r="R20" s="329"/>
      <c r="V20" s="84" t="s">
        <v>295</v>
      </c>
      <c r="W20" s="142">
        <f>B302</f>
        <v>241</v>
      </c>
      <c r="X20" s="84" t="s">
        <v>296</v>
      </c>
      <c r="Y20" s="84" t="s">
        <v>295</v>
      </c>
      <c r="Z20" s="142">
        <f>B302</f>
        <v>241</v>
      </c>
      <c r="AA20" s="84" t="s">
        <v>296</v>
      </c>
      <c r="AB20" s="83" t="s">
        <v>83</v>
      </c>
      <c r="AC20" s="139">
        <f>B238</f>
        <v>8</v>
      </c>
      <c r="AD20" s="139">
        <f>B250</f>
        <v>0</v>
      </c>
      <c r="AE20" s="139">
        <f>B262</f>
        <v>8</v>
      </c>
      <c r="AF20" s="139">
        <f>B274</f>
        <v>8</v>
      </c>
      <c r="AG20" s="139">
        <f>B297</f>
        <v>8</v>
      </c>
      <c r="AH20" s="84" t="s">
        <v>194</v>
      </c>
      <c r="AI20" s="658" t="s">
        <v>558</v>
      </c>
      <c r="AJ20" s="659"/>
      <c r="AK20" s="660"/>
      <c r="AL20" s="661" t="s">
        <v>545</v>
      </c>
      <c r="AM20" s="659"/>
      <c r="AN20" s="662"/>
      <c r="AR20" s="658" t="s">
        <v>560</v>
      </c>
      <c r="AS20" s="659"/>
      <c r="AT20" s="660"/>
      <c r="AU20" s="661" t="s">
        <v>550</v>
      </c>
      <c r="AV20" s="659"/>
      <c r="AW20" s="662"/>
      <c r="BA20" s="658" t="s">
        <v>562</v>
      </c>
      <c r="BB20" s="659"/>
      <c r="BC20" s="660"/>
      <c r="BD20" s="661" t="s">
        <v>553</v>
      </c>
      <c r="BE20" s="659"/>
      <c r="BF20" s="662"/>
      <c r="BJ20" s="658" t="s">
        <v>563</v>
      </c>
      <c r="BK20" s="659"/>
      <c r="BL20" s="660"/>
      <c r="BM20" s="661" t="s">
        <v>556</v>
      </c>
      <c r="BN20" s="659"/>
      <c r="BO20" s="662"/>
      <c r="BS20" s="52" t="s">
        <v>261</v>
      </c>
      <c r="BT20" s="144">
        <f>((BT5*BT24*BT6)/((1-EXP(-BT6*BT24))*BT9*BT10))*BT7*BT27*BT28</f>
        <v>1.4531588629282715E-11</v>
      </c>
      <c r="BU20" s="52" t="s">
        <v>16</v>
      </c>
      <c r="BV20" s="52" t="s">
        <v>443</v>
      </c>
      <c r="BW20" s="138">
        <f>B109</f>
        <v>1</v>
      </c>
      <c r="BX20" s="52" t="s">
        <v>89</v>
      </c>
      <c r="BY20" s="83" t="s">
        <v>429</v>
      </c>
      <c r="BZ20" s="141">
        <f>B93</f>
        <v>10</v>
      </c>
      <c r="CA20" s="92" t="s">
        <v>407</v>
      </c>
      <c r="CB20" s="268"/>
      <c r="CC20" s="262"/>
      <c r="CD20" s="279"/>
      <c r="CE20" s="259"/>
      <c r="CF20" s="262"/>
      <c r="CG20" s="265"/>
      <c r="CK20" s="268" t="s">
        <v>530</v>
      </c>
      <c r="CL20" s="262">
        <f>(CL23/(CL24*CL25*CL26))*CL27*CL28*CO33</f>
        <v>4.4138632750397454E-6</v>
      </c>
      <c r="CM20" s="279" t="s">
        <v>12</v>
      </c>
      <c r="CN20" s="259" t="s">
        <v>7</v>
      </c>
      <c r="CO20" s="262">
        <f>(CL20/(CO23*((CO28*CO30*CO31*(CO24+CO25))+(CO29*CO30))))*CO34</f>
        <v>7.0677228204670539E-3</v>
      </c>
      <c r="CP20" s="279" t="s">
        <v>12</v>
      </c>
      <c r="CQ20" s="259" t="s">
        <v>6</v>
      </c>
      <c r="CR20" s="262">
        <f>CL20/(CR23*CR24*(1/CR25))</f>
        <v>8.8277265500794915</v>
      </c>
      <c r="CS20" s="265" t="s">
        <v>12</v>
      </c>
      <c r="CT20" s="91" t="s">
        <v>273</v>
      </c>
      <c r="CU20" s="144">
        <f>GV2</f>
        <v>4.1908871885942363E-5</v>
      </c>
      <c r="CV20" s="92" t="s">
        <v>12</v>
      </c>
      <c r="CW20" s="52" t="s">
        <v>271</v>
      </c>
      <c r="CX20" s="144">
        <f>((CX5)/((CX15/CX16)*CX8*CX17*(1/365)*CX18))*CX7*CX27*CX28</f>
        <v>2.4217956561639649E-12</v>
      </c>
      <c r="CY20" s="52" t="s">
        <v>15</v>
      </c>
      <c r="CZ20" s="91" t="s">
        <v>274</v>
      </c>
      <c r="DA20" s="144">
        <f>EK2</f>
        <v>2.2687993375900028E-7</v>
      </c>
      <c r="DB20" s="83" t="s">
        <v>297</v>
      </c>
      <c r="DC20" s="83" t="s">
        <v>475</v>
      </c>
      <c r="DD20" s="146">
        <f>B165</f>
        <v>0.15</v>
      </c>
      <c r="DF20" s="92" t="s">
        <v>71</v>
      </c>
      <c r="DG20" s="137">
        <f>0.693/DG23</f>
        <v>4.3949771689497717E-6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R20" s="84" t="s">
        <v>293</v>
      </c>
      <c r="DS20" s="161">
        <f>B304</f>
        <v>2.8000000000000002E-12</v>
      </c>
      <c r="DT20" s="84"/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G20" s="84" t="s">
        <v>293</v>
      </c>
      <c r="EH20" s="161">
        <f>B304</f>
        <v>2.8000000000000002E-12</v>
      </c>
      <c r="EI20" s="84"/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V20" s="84" t="s">
        <v>293</v>
      </c>
      <c r="EW20" s="161">
        <f>B304</f>
        <v>2.8000000000000002E-12</v>
      </c>
      <c r="EX20" s="84"/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K20" s="84" t="s">
        <v>293</v>
      </c>
      <c r="FL20" s="161">
        <f>B304</f>
        <v>2.8000000000000002E-12</v>
      </c>
      <c r="FM20" s="84"/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FZ20" s="84" t="s">
        <v>293</v>
      </c>
      <c r="GA20" s="161">
        <f>B304</f>
        <v>2.8000000000000002E-12</v>
      </c>
      <c r="GB20" s="84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91" t="s">
        <v>104</v>
      </c>
      <c r="B21" s="183">
        <f>PEF!J3</f>
        <v>69557565.807898715</v>
      </c>
      <c r="C21" s="52" t="s">
        <v>524</v>
      </c>
      <c r="D21" s="52" t="s">
        <v>261</v>
      </c>
      <c r="E21" s="144">
        <f>((E5*E10*E6)/((1-EXP(-E6*E10))*E11*E12))*E7*E27*E28</f>
        <v>1.2974632704716713E-13</v>
      </c>
      <c r="F21" s="52" t="s">
        <v>16</v>
      </c>
      <c r="G21" s="83" t="s">
        <v>397</v>
      </c>
      <c r="H21" s="148">
        <f>(H29*H36*H32*H68)+(H30*H37*H33*H69)</f>
        <v>234.815</v>
      </c>
      <c r="I21" s="83" t="s">
        <v>356</v>
      </c>
      <c r="J21" s="83" t="s">
        <v>368</v>
      </c>
      <c r="K21" s="146">
        <f>B40</f>
        <v>200</v>
      </c>
      <c r="L21" s="84" t="s">
        <v>48</v>
      </c>
      <c r="M21" s="330" t="s">
        <v>537</v>
      </c>
      <c r="N21" s="333">
        <f>((N24*N25*N26)/((1-EXP(-N26*N25))*N34*N32*(N28/365)*(((N33/24)*N31)+((N35/24)*N30))))*N27*N36*N37</f>
        <v>3.4445490345758696E-8</v>
      </c>
      <c r="O21" s="336" t="s">
        <v>298</v>
      </c>
      <c r="P21" s="339" t="s">
        <v>537</v>
      </c>
      <c r="Q21" s="333">
        <f>((Q24*Q25*Q26)/((1-EXP(-Q26*Q25))*Q34*Q32*(Q28/365)*(((Q33/24)*Q31)+((Q35/24)*Q30))))*Q27*Q36*Q37</f>
        <v>2.5401231699443946E-5</v>
      </c>
      <c r="R21" s="342" t="s">
        <v>12</v>
      </c>
      <c r="V21" s="84" t="s">
        <v>293</v>
      </c>
      <c r="W21" s="161">
        <f>B303</f>
        <v>2.8000000000000001E-15</v>
      </c>
      <c r="X21" s="84"/>
      <c r="Y21" s="84" t="s">
        <v>293</v>
      </c>
      <c r="Z21" s="161">
        <f>B303</f>
        <v>2.8000000000000001E-15</v>
      </c>
      <c r="AA21" s="84"/>
      <c r="AB21" s="83" t="s">
        <v>85</v>
      </c>
      <c r="AC21" s="139">
        <f>B239</f>
        <v>8</v>
      </c>
      <c r="AD21" s="139">
        <f>B251</f>
        <v>8</v>
      </c>
      <c r="AE21" s="139">
        <f>B263</f>
        <v>0</v>
      </c>
      <c r="AF21" s="139">
        <f>B275</f>
        <v>8</v>
      </c>
      <c r="AG21" s="139">
        <f>B298</f>
        <v>8</v>
      </c>
      <c r="AH21" s="84" t="s">
        <v>194</v>
      </c>
      <c r="AI21" s="307" t="s">
        <v>537</v>
      </c>
      <c r="AJ21" s="304">
        <f>((AJ24*AJ25*AJ26)/((1-EXP(-AJ26*AJ25))*AJ34*(AJ28/365)*AJ29*(AJ35/24)*AJ30*AJ32))*AJ27*AJ36*AJ37</f>
        <v>1.2535747301531962E-7</v>
      </c>
      <c r="AK21" s="291" t="s">
        <v>298</v>
      </c>
      <c r="AL21" s="288" t="s">
        <v>537</v>
      </c>
      <c r="AM21" s="304">
        <f>((AM24*AM25*AM26)/((1-EXP(-AM26*AM25))*AM34*(AM28/365)*AM29*(AM35/24)*AM30*AM32))*AM27*AM36*AM37</f>
        <v>9.2442702523786357E-5</v>
      </c>
      <c r="AN21" s="282" t="s">
        <v>12</v>
      </c>
      <c r="AR21" s="665" t="s">
        <v>537</v>
      </c>
      <c r="AS21" s="304">
        <f>((AS24*AS25*AS26)/((1-EXP(-AS26*AS25))*AS34*(AS28/365)*AS29*(AS33/24)*AS31*AS32))*AS27*AS36*AS37</f>
        <v>5.571443245125318E-8</v>
      </c>
      <c r="AT21" s="667" t="s">
        <v>298</v>
      </c>
      <c r="AU21" s="663" t="s">
        <v>537</v>
      </c>
      <c r="AV21" s="304">
        <f>((AV24*AV25*AV26)/((1-EXP(-AV26*AV25))*AV34*(AV28/365)*AV29*(AV33/24)*AV31*AV32))*AV27*AV36*AV37</f>
        <v>4.1085645566127279E-5</v>
      </c>
      <c r="AW21" s="669" t="s">
        <v>12</v>
      </c>
      <c r="BA21" s="665" t="s">
        <v>537</v>
      </c>
      <c r="BB21" s="304">
        <f>((BB24*BB25*BB26)/((1-EXP(-BB26*BB25))*BB34*(BB28/365)*(BB33/24)*BB31*BB32))*BB27*BB36*BB37</f>
        <v>5.0142989206127857E-8</v>
      </c>
      <c r="BC21" s="667" t="s">
        <v>298</v>
      </c>
      <c r="BD21" s="663" t="s">
        <v>537</v>
      </c>
      <c r="BE21" s="304">
        <f>((BE24*BE25*BE26)/((1-EXP(-BE26*BE25))*BE34*(BE28/365)*(BE33/24)*BE31*BE32))*BE27*BE36*BE37</f>
        <v>3.6977081009514542E-5</v>
      </c>
      <c r="BF21" s="669" t="s">
        <v>12</v>
      </c>
      <c r="BJ21" s="665" t="s">
        <v>537</v>
      </c>
      <c r="BK21" s="285">
        <f>((BK24*BK25*BK26)/((1-EXP(-BK26*BK25))*BK35*(BK28/365)*(BK34/24)*BK32*BK33))*BK27*BK36*BK37</f>
        <v>3.947862754688722E-3</v>
      </c>
      <c r="BL21" s="667" t="s">
        <v>298</v>
      </c>
      <c r="BM21" s="663" t="s">
        <v>537</v>
      </c>
      <c r="BN21" s="285">
        <f>((BN24*BN25*BN26)/((1-EXP(-BN26*BN25))*BN35*(BN28/365)*(BN34/24)*BN32*BN33))*BN27*BN36*BN37</f>
        <v>0.38523812063879292</v>
      </c>
      <c r="BO21" s="669" t="s">
        <v>12</v>
      </c>
      <c r="BS21" s="52" t="s">
        <v>271</v>
      </c>
      <c r="BT21" s="145">
        <f>((BT5*BT24*BT6)/((1-EXP(-BT6*BT24))*BT16*BT8*(1/365)*BT15*(1/24)*BT17))*BT7*BT27*BT28</f>
        <v>2.7145872963334086E-10</v>
      </c>
      <c r="BU21" s="52" t="s">
        <v>16</v>
      </c>
      <c r="BV21" s="52" t="s">
        <v>444</v>
      </c>
      <c r="BW21" s="138">
        <f>B110</f>
        <v>1</v>
      </c>
      <c r="BX21" s="52" t="s">
        <v>89</v>
      </c>
      <c r="BY21" s="83" t="s">
        <v>430</v>
      </c>
      <c r="BZ21" s="141">
        <f>B94</f>
        <v>20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79"/>
      <c r="CN21" s="259"/>
      <c r="CO21" s="262"/>
      <c r="CP21" s="279"/>
      <c r="CQ21" s="259"/>
      <c r="CR21" s="262"/>
      <c r="CS21" s="265"/>
      <c r="CT21" s="91" t="s">
        <v>274</v>
      </c>
      <c r="CU21" s="144">
        <f>EN2</f>
        <v>3.495534842290707E-6</v>
      </c>
      <c r="CV21" s="92" t="s">
        <v>12</v>
      </c>
      <c r="CW21" s="52" t="s">
        <v>261</v>
      </c>
      <c r="CX21" s="144">
        <f>((CX5*CX10*CX6)/((CX15/CX16)*(1-EXP(-CX6*CX9))*CX11*CX12))*CX7*CX27*CX28</f>
        <v>1.2413567506674908E-13</v>
      </c>
      <c r="CY21" s="52" t="s">
        <v>16</v>
      </c>
      <c r="CZ21" s="91" t="s">
        <v>509</v>
      </c>
      <c r="DA21" s="144">
        <f>DV2</f>
        <v>5.8472082003905329E-2</v>
      </c>
      <c r="DB21" s="83" t="s">
        <v>297</v>
      </c>
      <c r="DC21" s="83" t="s">
        <v>476</v>
      </c>
      <c r="DD21" s="146">
        <f>B166</f>
        <v>0.85</v>
      </c>
      <c r="DF21" s="92" t="s">
        <v>73</v>
      </c>
      <c r="DG21" s="138">
        <f>B201</f>
        <v>1</v>
      </c>
      <c r="DH21" s="52" t="s">
        <v>41</v>
      </c>
      <c r="DL21" s="92"/>
      <c r="DO21" s="92" t="s">
        <v>73</v>
      </c>
      <c r="DP21" s="138">
        <f>B201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B201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B201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B201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B201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B201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91" t="s">
        <v>231</v>
      </c>
      <c r="B22" s="183">
        <f>B18*365</f>
        <v>157680</v>
      </c>
      <c r="C22" s="52" t="s">
        <v>222</v>
      </c>
      <c r="D22" s="52" t="s">
        <v>271</v>
      </c>
      <c r="E22" s="145">
        <f>((E5*E10*E6)/((E15/E16)*E8*(1-EXP(-E6*E10))*E17*(1/365)*E18))*E7*E27*E28</f>
        <v>2.4237386574405437E-12</v>
      </c>
      <c r="F22" s="52" t="s">
        <v>16</v>
      </c>
      <c r="G22" s="83" t="s">
        <v>398</v>
      </c>
      <c r="H22" s="149">
        <f>(H29*H23*H68)+(H30*H24*H69)</f>
        <v>56282.8</v>
      </c>
      <c r="I22" s="92" t="s">
        <v>347</v>
      </c>
      <c r="J22" s="83" t="s">
        <v>369</v>
      </c>
      <c r="K22" s="146">
        <f>B41</f>
        <v>100</v>
      </c>
      <c r="L22" s="84" t="s">
        <v>48</v>
      </c>
      <c r="M22" s="331"/>
      <c r="N22" s="334"/>
      <c r="O22" s="337"/>
      <c r="P22" s="340"/>
      <c r="Q22" s="334"/>
      <c r="R22" s="343"/>
      <c r="T22" s="85"/>
      <c r="AB22" s="83" t="s">
        <v>88</v>
      </c>
      <c r="AC22" s="150">
        <f>B240</f>
        <v>0.4</v>
      </c>
      <c r="AD22" s="150">
        <f>B252</f>
        <v>0.4</v>
      </c>
      <c r="AE22" s="150">
        <f>B264</f>
        <v>0.4</v>
      </c>
      <c r="AF22" s="150">
        <f>B276</f>
        <v>0.4</v>
      </c>
      <c r="AG22" s="150">
        <f>B299</f>
        <v>0.4</v>
      </c>
      <c r="AI22" s="307"/>
      <c r="AJ22" s="304"/>
      <c r="AK22" s="291"/>
      <c r="AL22" s="288"/>
      <c r="AM22" s="304"/>
      <c r="AN22" s="282"/>
      <c r="AR22" s="665"/>
      <c r="AS22" s="304"/>
      <c r="AT22" s="667"/>
      <c r="AU22" s="663"/>
      <c r="AV22" s="304"/>
      <c r="AW22" s="669"/>
      <c r="BA22" s="665"/>
      <c r="BB22" s="304"/>
      <c r="BC22" s="667"/>
      <c r="BD22" s="663"/>
      <c r="BE22" s="304"/>
      <c r="BF22" s="669"/>
      <c r="BJ22" s="665"/>
      <c r="BK22" s="285"/>
      <c r="BL22" s="667"/>
      <c r="BM22" s="663"/>
      <c r="BN22" s="285"/>
      <c r="BO22" s="669"/>
      <c r="BS22" s="52" t="s">
        <v>433</v>
      </c>
      <c r="BT22" s="138">
        <f>B104</f>
        <v>75</v>
      </c>
      <c r="BU22" s="52" t="s">
        <v>24</v>
      </c>
      <c r="BV22" s="83" t="s">
        <v>90</v>
      </c>
      <c r="BW22" s="150">
        <f>B108</f>
        <v>1</v>
      </c>
      <c r="BX22" s="52" t="s">
        <v>194</v>
      </c>
      <c r="BY22" s="83" t="s">
        <v>140</v>
      </c>
      <c r="BZ22" s="150">
        <f>B103</f>
        <v>75</v>
      </c>
      <c r="CA22" s="83" t="s">
        <v>24</v>
      </c>
      <c r="CB22" s="52" t="s">
        <v>267</v>
      </c>
      <c r="CC22" s="136">
        <f>B5</f>
        <v>1</v>
      </c>
      <c r="CD22" s="52" t="s">
        <v>344</v>
      </c>
      <c r="CE22" s="52" t="s">
        <v>267</v>
      </c>
      <c r="CF22" s="136">
        <f>B5</f>
        <v>1</v>
      </c>
      <c r="CG22" s="52" t="s">
        <v>344</v>
      </c>
      <c r="CK22" s="269"/>
      <c r="CL22" s="263"/>
      <c r="CM22" s="280"/>
      <c r="CN22" s="260"/>
      <c r="CO22" s="263"/>
      <c r="CP22" s="280"/>
      <c r="CQ22" s="260"/>
      <c r="CR22" s="263"/>
      <c r="CS22" s="266"/>
      <c r="CT22" s="91" t="s">
        <v>275</v>
      </c>
      <c r="CU22" s="144">
        <f>DY2</f>
        <v>9.8325266295914635E-4</v>
      </c>
      <c r="CV22" s="92" t="s">
        <v>12</v>
      </c>
      <c r="CW22" s="52" t="s">
        <v>271</v>
      </c>
      <c r="CX22" s="145">
        <f>((CX5*CX10*CX6)/((CX15/CX16)*CX8*(1-EXP(-CX6*CX10))*CX17*(1/365)*CX18))*CX7*CX27*CX28</f>
        <v>2.4237386574405437E-12</v>
      </c>
      <c r="CY22" s="52" t="s">
        <v>16</v>
      </c>
      <c r="CZ22" s="91" t="s">
        <v>510</v>
      </c>
      <c r="DA22" s="144">
        <f>GD2</f>
        <v>4.1858198116984154E-3</v>
      </c>
      <c r="DB22" s="83" t="s">
        <v>297</v>
      </c>
      <c r="DC22" s="84" t="s">
        <v>295</v>
      </c>
      <c r="DD22" s="142">
        <f>B302</f>
        <v>241</v>
      </c>
      <c r="DE22" s="84" t="s">
        <v>296</v>
      </c>
      <c r="DF22" s="92" t="s">
        <v>74</v>
      </c>
      <c r="DG22" s="138">
        <f>B202</f>
        <v>14</v>
      </c>
      <c r="DH22" s="52" t="s">
        <v>75</v>
      </c>
      <c r="DL22" s="92"/>
      <c r="DO22" s="92" t="s">
        <v>74</v>
      </c>
      <c r="DP22" s="138">
        <f>B202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B202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B202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B202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B202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B202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105</v>
      </c>
      <c r="B23" s="182">
        <v>240</v>
      </c>
      <c r="C23" s="84" t="s">
        <v>18</v>
      </c>
      <c r="D23" s="52" t="s">
        <v>380</v>
      </c>
      <c r="E23" s="138">
        <f>B54</f>
        <v>350</v>
      </c>
      <c r="F23" s="52" t="s">
        <v>24</v>
      </c>
      <c r="G23" s="83" t="s">
        <v>399</v>
      </c>
      <c r="H23" s="146">
        <f>B149</f>
        <v>68.099999999999994</v>
      </c>
      <c r="I23" s="92" t="s">
        <v>221</v>
      </c>
      <c r="J23" s="83" t="s">
        <v>366</v>
      </c>
      <c r="K23" s="141">
        <f>B38</f>
        <v>10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666"/>
      <c r="AS23" s="305"/>
      <c r="AT23" s="668"/>
      <c r="AU23" s="664"/>
      <c r="AV23" s="305"/>
      <c r="AW23" s="670"/>
      <c r="BA23" s="666"/>
      <c r="BB23" s="305"/>
      <c r="BC23" s="668"/>
      <c r="BD23" s="664"/>
      <c r="BE23" s="305"/>
      <c r="BF23" s="670"/>
      <c r="BJ23" s="666"/>
      <c r="BK23" s="286"/>
      <c r="BL23" s="668"/>
      <c r="BM23" s="664"/>
      <c r="BN23" s="286"/>
      <c r="BO23" s="670"/>
      <c r="BS23" s="52" t="s">
        <v>434</v>
      </c>
      <c r="BT23" s="138">
        <f>B105</f>
        <v>75</v>
      </c>
      <c r="BU23" s="52" t="s">
        <v>24</v>
      </c>
      <c r="BV23" s="83" t="s">
        <v>435</v>
      </c>
      <c r="BW23" s="138">
        <f>B114</f>
        <v>1</v>
      </c>
      <c r="BX23" s="52" t="s">
        <v>80</v>
      </c>
      <c r="BY23" s="83" t="s">
        <v>434</v>
      </c>
      <c r="BZ23" s="150">
        <f>B105</f>
        <v>75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B5</f>
        <v>1</v>
      </c>
      <c r="CM23" s="52" t="s">
        <v>344</v>
      </c>
      <c r="CN23" s="52" t="s">
        <v>229</v>
      </c>
      <c r="CO23" s="136">
        <f>B29</f>
        <v>5.0000000000000001E-4</v>
      </c>
      <c r="CP23" s="52" t="s">
        <v>268</v>
      </c>
      <c r="CQ23" s="83" t="s">
        <v>229</v>
      </c>
      <c r="CR23" s="136">
        <f>CO23</f>
        <v>5.0000000000000001E-4</v>
      </c>
      <c r="CS23" s="52" t="s">
        <v>268</v>
      </c>
      <c r="CT23" s="91" t="s">
        <v>276</v>
      </c>
      <c r="CU23" s="144">
        <f>GG2</f>
        <v>2.3271789421965366E-5</v>
      </c>
      <c r="CV23" s="92" t="s">
        <v>12</v>
      </c>
      <c r="CW23" s="52" t="s">
        <v>456</v>
      </c>
      <c r="CX23" s="138">
        <f>B167</f>
        <v>350</v>
      </c>
      <c r="CY23" s="52" t="s">
        <v>24</v>
      </c>
      <c r="CZ23" s="91" t="s">
        <v>277</v>
      </c>
      <c r="DA23" s="145">
        <f>FO2</f>
        <v>2.8763954110751464E-8</v>
      </c>
      <c r="DB23" s="83" t="s">
        <v>297</v>
      </c>
      <c r="DC23" s="84" t="s">
        <v>293</v>
      </c>
      <c r="DD23" s="161">
        <f>B304</f>
        <v>2.8000000000000002E-12</v>
      </c>
      <c r="DE23" s="84"/>
      <c r="DF23" s="83" t="s">
        <v>267</v>
      </c>
      <c r="DG23" s="136">
        <f>B22</f>
        <v>157680</v>
      </c>
      <c r="DH23" s="52" t="s">
        <v>222</v>
      </c>
      <c r="DO23" s="83" t="s">
        <v>19</v>
      </c>
      <c r="DP23" s="161">
        <f>DP25</f>
        <v>1.914E-5</v>
      </c>
      <c r="EA23" s="83"/>
      <c r="EB23" s="83"/>
      <c r="EC23" s="84"/>
      <c r="ED23" s="83" t="s">
        <v>19</v>
      </c>
      <c r="EE23" s="161">
        <f>EE25</f>
        <v>2.1999999999999999E-5</v>
      </c>
      <c r="EF23" s="84"/>
      <c r="EP23" s="83"/>
      <c r="EQ23" s="83"/>
      <c r="ER23" s="84"/>
      <c r="ES23" s="83" t="s">
        <v>19</v>
      </c>
      <c r="ET23" s="161">
        <f>ET25</f>
        <v>2.1999999999999999E-5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2.1999999999999999E-5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2.1999999999999999E-5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2.1999999999999999E-5</v>
      </c>
      <c r="HC23" s="84"/>
      <c r="HD23" s="67" t="s">
        <v>14</v>
      </c>
      <c r="HE23" s="222">
        <f>((HE25*HE42)*HE38*HE33*10^-3*HE32*HE27)/(HE31*HE41*(1-EXP(-HE27*HE32)))</f>
        <v>2.3236822137312114E-11</v>
      </c>
      <c r="HF23" s="220" t="s">
        <v>597</v>
      </c>
    </row>
    <row r="24" spans="1:214" ht="14.25" thickTop="1" thickBot="1" x14ac:dyDescent="0.25">
      <c r="A24" s="83" t="s">
        <v>239</v>
      </c>
      <c r="B24" s="183">
        <v>4.2E-7</v>
      </c>
      <c r="C24" s="52" t="s">
        <v>601</v>
      </c>
      <c r="D24" s="52" t="s">
        <v>381</v>
      </c>
      <c r="E24" s="138">
        <f>B55</f>
        <v>350</v>
      </c>
      <c r="F24" s="52" t="s">
        <v>24</v>
      </c>
      <c r="G24" s="83" t="s">
        <v>310</v>
      </c>
      <c r="H24" s="146">
        <f>B46</f>
        <v>188.5</v>
      </c>
      <c r="I24" s="92" t="s">
        <v>221</v>
      </c>
      <c r="J24" s="83" t="s">
        <v>367</v>
      </c>
      <c r="K24" s="141">
        <f>B39</f>
        <v>20</v>
      </c>
      <c r="L24" s="52" t="s">
        <v>407</v>
      </c>
      <c r="M24" s="52" t="s">
        <v>267</v>
      </c>
      <c r="N24" s="136">
        <f>B5</f>
        <v>1</v>
      </c>
      <c r="O24" s="52" t="s">
        <v>344</v>
      </c>
      <c r="P24" s="52" t="s">
        <v>267</v>
      </c>
      <c r="Q24" s="136">
        <f>B5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1.6041666666666665E-3</v>
      </c>
      <c r="AD24" s="137">
        <f>0.693/AD25</f>
        <v>1.6041666666666665E-3</v>
      </c>
      <c r="AE24" s="137">
        <f>0.693/AE25</f>
        <v>1.6041666666666665E-3</v>
      </c>
      <c r="AF24" s="137">
        <f>0.693/AF25</f>
        <v>1.6041666666666665E-3</v>
      </c>
      <c r="AG24" s="137">
        <f>0.693/AG25</f>
        <v>1.6041666666666665E-3</v>
      </c>
      <c r="AI24" s="52" t="s">
        <v>267</v>
      </c>
      <c r="AJ24" s="136">
        <f>B5</f>
        <v>1</v>
      </c>
      <c r="AK24" s="52" t="s">
        <v>344</v>
      </c>
      <c r="AL24" s="52" t="s">
        <v>267</v>
      </c>
      <c r="AM24" s="136">
        <f>B5</f>
        <v>1</v>
      </c>
      <c r="AN24" s="52" t="s">
        <v>344</v>
      </c>
      <c r="AR24" s="52" t="s">
        <v>267</v>
      </c>
      <c r="AS24" s="136">
        <f>B5</f>
        <v>1</v>
      </c>
      <c r="AT24" s="52" t="s">
        <v>344</v>
      </c>
      <c r="AU24" s="52" t="s">
        <v>267</v>
      </c>
      <c r="AV24" s="136">
        <f>B5</f>
        <v>1</v>
      </c>
      <c r="AW24" s="52" t="s">
        <v>344</v>
      </c>
      <c r="BA24" s="52" t="s">
        <v>267</v>
      </c>
      <c r="BB24" s="136">
        <f>B5</f>
        <v>1</v>
      </c>
      <c r="BC24" s="52" t="s">
        <v>344</v>
      </c>
      <c r="BD24" s="52" t="s">
        <v>267</v>
      </c>
      <c r="BE24" s="136">
        <f>B5</f>
        <v>1</v>
      </c>
      <c r="BF24" s="52" t="s">
        <v>344</v>
      </c>
      <c r="BJ24" s="52" t="s">
        <v>267</v>
      </c>
      <c r="BK24" s="136">
        <f>B5</f>
        <v>1</v>
      </c>
      <c r="BL24" s="52" t="s">
        <v>344</v>
      </c>
      <c r="BM24" s="52" t="s">
        <v>267</v>
      </c>
      <c r="BN24" s="136">
        <f>B5</f>
        <v>1</v>
      </c>
      <c r="BO24" s="52" t="s">
        <v>344</v>
      </c>
      <c r="BS24" s="91" t="s">
        <v>95</v>
      </c>
      <c r="BT24" s="158">
        <f>B117</f>
        <v>1</v>
      </c>
      <c r="BU24" s="91" t="s">
        <v>60</v>
      </c>
      <c r="BV24" s="83" t="s">
        <v>436</v>
      </c>
      <c r="BW24" s="138">
        <f>B115</f>
        <v>1</v>
      </c>
      <c r="BX24" s="52" t="s">
        <v>80</v>
      </c>
      <c r="BY24" s="83" t="s">
        <v>433</v>
      </c>
      <c r="BZ24" s="150">
        <f>B104</f>
        <v>75</v>
      </c>
      <c r="CA24" s="83" t="s">
        <v>24</v>
      </c>
      <c r="CB24" s="83" t="s">
        <v>22</v>
      </c>
      <c r="CC24" s="137">
        <f>0.693/CC25</f>
        <v>1.6041666666666665E-3</v>
      </c>
      <c r="CE24" s="83" t="s">
        <v>22</v>
      </c>
      <c r="CF24" s="137">
        <f>0.693/CF25</f>
        <v>1.6041666666666665E-3</v>
      </c>
      <c r="CK24" s="52" t="s">
        <v>258</v>
      </c>
      <c r="CL24" s="136">
        <f>B17</f>
        <v>8.8060000000000005E-4</v>
      </c>
      <c r="CM24" s="92" t="s">
        <v>259</v>
      </c>
      <c r="CN24" s="52" t="s">
        <v>20</v>
      </c>
      <c r="CO24" s="139">
        <f>CO26</f>
        <v>2.1999999999999999E-5</v>
      </c>
      <c r="CQ24" s="84" t="s">
        <v>170</v>
      </c>
      <c r="CR24" s="162">
        <f>B139</f>
        <v>1</v>
      </c>
      <c r="CS24" s="52" t="s">
        <v>28</v>
      </c>
      <c r="CT24" s="91" t="s">
        <v>277</v>
      </c>
      <c r="CU24" s="145">
        <f>FR2</f>
        <v>1.1514812546902033E-10</v>
      </c>
      <c r="CV24" s="92" t="s">
        <v>12</v>
      </c>
      <c r="CW24" s="52" t="s">
        <v>465</v>
      </c>
      <c r="CX24" s="138">
        <f>B168</f>
        <v>350</v>
      </c>
      <c r="CY24" s="52" t="s">
        <v>24</v>
      </c>
      <c r="CZ24" s="83" t="s">
        <v>45</v>
      </c>
      <c r="DA24" s="149">
        <f>(DA35*DA27*DA49)+(DA36*DA28*DA50)</f>
        <v>784.7</v>
      </c>
      <c r="DB24" s="52" t="s">
        <v>345</v>
      </c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223">
        <f>((HE26*HE42)*HE38*HE33*10^-3*HE32*HE27)/(HE31*HE41*(1-EXP(-HE27*HE32)))</f>
        <v>1.6824508516863299E-12</v>
      </c>
      <c r="HF24" s="221" t="s">
        <v>598</v>
      </c>
    </row>
    <row r="25" spans="1:214" ht="15" thickTop="1" x14ac:dyDescent="0.2">
      <c r="A25" s="83" t="s">
        <v>236</v>
      </c>
      <c r="B25" s="183">
        <v>5.0000000000000001E-4</v>
      </c>
      <c r="C25" s="52" t="s">
        <v>388</v>
      </c>
      <c r="D25" s="83" t="s">
        <v>376</v>
      </c>
      <c r="E25" s="146">
        <f>B49</f>
        <v>0.23</v>
      </c>
      <c r="G25" s="83" t="s">
        <v>400</v>
      </c>
      <c r="H25" s="149">
        <f>(H29*H26*H68)+(H30*H27*H69)</f>
        <v>38095.4</v>
      </c>
      <c r="I25" s="92" t="s">
        <v>347</v>
      </c>
      <c r="J25" s="83" t="s">
        <v>446</v>
      </c>
      <c r="K25" s="149">
        <f>(K31*K26*K51)+(K32*K27*K52)</f>
        <v>56282.8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1.5825654543335251E-13</v>
      </c>
      <c r="X25" s="62" t="s">
        <v>294</v>
      </c>
      <c r="Y25" s="202" t="s">
        <v>16</v>
      </c>
      <c r="Z25" s="187">
        <f>1/((1/Z41)+(1/Z40))</f>
        <v>1.5825654543335251E-13</v>
      </c>
      <c r="AA25" s="63" t="s">
        <v>294</v>
      </c>
      <c r="AB25" s="91" t="s">
        <v>231</v>
      </c>
      <c r="AC25" s="136">
        <f>B18</f>
        <v>432</v>
      </c>
      <c r="AD25" s="136">
        <f>B18</f>
        <v>432</v>
      </c>
      <c r="AE25" s="136">
        <f>B18</f>
        <v>432</v>
      </c>
      <c r="AF25" s="136">
        <f>B18</f>
        <v>432</v>
      </c>
      <c r="AG25" s="136">
        <f>B18</f>
        <v>432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B101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B108</f>
        <v>1</v>
      </c>
      <c r="CA25" s="94" t="s">
        <v>194</v>
      </c>
      <c r="CB25" s="91" t="s">
        <v>231</v>
      </c>
      <c r="CC25" s="136">
        <f>B18</f>
        <v>432</v>
      </c>
      <c r="CD25" s="52" t="s">
        <v>60</v>
      </c>
      <c r="CE25" s="91" t="s">
        <v>231</v>
      </c>
      <c r="CF25" s="136">
        <f>B18</f>
        <v>432</v>
      </c>
      <c r="CG25" s="52" t="s">
        <v>60</v>
      </c>
      <c r="CK25" s="52" t="s">
        <v>140</v>
      </c>
      <c r="CL25" s="138">
        <f>B103</f>
        <v>75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40250</v>
      </c>
      <c r="CV25" s="83" t="s">
        <v>346</v>
      </c>
      <c r="CW25" s="83" t="s">
        <v>475</v>
      </c>
      <c r="CX25" s="146">
        <f>B165</f>
        <v>0.15</v>
      </c>
      <c r="CZ25" s="83" t="s">
        <v>43</v>
      </c>
      <c r="DA25" s="140">
        <f>(DA35*DA29*(DA38/24)*DA49)+(DA36*DA30*(DA39/24)*DA50)</f>
        <v>6475</v>
      </c>
      <c r="DB25" s="83" t="s">
        <v>426</v>
      </c>
      <c r="DF25" s="52" t="s">
        <v>33</v>
      </c>
      <c r="DG25" s="136">
        <f>B32</f>
        <v>2.1999999999999999E-5</v>
      </c>
      <c r="DO25" s="83" t="s">
        <v>32</v>
      </c>
      <c r="DP25" s="136">
        <f>B31</f>
        <v>1.914E-5</v>
      </c>
      <c r="EA25" s="83"/>
      <c r="EC25" s="84"/>
      <c r="ED25" s="83" t="s">
        <v>33</v>
      </c>
      <c r="EE25" s="136">
        <f>B32</f>
        <v>2.1999999999999999E-5</v>
      </c>
      <c r="EF25" s="84"/>
      <c r="EP25" s="83"/>
      <c r="ER25" s="84"/>
      <c r="ES25" s="83" t="s">
        <v>33</v>
      </c>
      <c r="ET25" s="136">
        <f>B32</f>
        <v>2.1999999999999999E-5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B32</f>
        <v>2.1999999999999999E-5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B32</f>
        <v>2.1999999999999999E-5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B32</f>
        <v>2.1999999999999999E-5</v>
      </c>
      <c r="HC25" s="84"/>
      <c r="HD25" s="89" t="s">
        <v>21</v>
      </c>
      <c r="HE25" s="139">
        <f>B34</f>
        <v>4.3727040000000005E-9</v>
      </c>
      <c r="HF25" s="83" t="s">
        <v>13</v>
      </c>
    </row>
    <row r="26" spans="1:214" ht="13.5" thickBot="1" x14ac:dyDescent="0.25">
      <c r="A26" s="83" t="s">
        <v>237</v>
      </c>
      <c r="B26" s="183">
        <v>6.0000000000000001E-3</v>
      </c>
      <c r="C26" s="52" t="s">
        <v>388</v>
      </c>
      <c r="D26" s="83" t="s">
        <v>377</v>
      </c>
      <c r="E26" s="146">
        <f>B50</f>
        <v>0.77</v>
      </c>
      <c r="G26" s="83" t="s">
        <v>401</v>
      </c>
      <c r="H26" s="146">
        <f>B151</f>
        <v>41.7</v>
      </c>
      <c r="I26" s="92" t="s">
        <v>221</v>
      </c>
      <c r="J26" s="83" t="s">
        <v>399</v>
      </c>
      <c r="K26" s="146">
        <f>B45</f>
        <v>68.099999999999994</v>
      </c>
      <c r="L26" s="92" t="s">
        <v>221</v>
      </c>
      <c r="M26" s="83" t="s">
        <v>22</v>
      </c>
      <c r="N26" s="137">
        <f>0.693/N27</f>
        <v>1.6041666666666665E-3</v>
      </c>
      <c r="P26" s="83" t="s">
        <v>22</v>
      </c>
      <c r="Q26" s="137">
        <f>0.693/Q27</f>
        <v>1.6041666666666665E-3</v>
      </c>
      <c r="V26" s="201" t="s">
        <v>15</v>
      </c>
      <c r="W26" s="75">
        <f>1/((1/W38)+(1/W39))</f>
        <v>1.5812967834359434E-13</v>
      </c>
      <c r="X26" s="76" t="s">
        <v>294</v>
      </c>
      <c r="Y26" s="203" t="s">
        <v>15</v>
      </c>
      <c r="Z26" s="185">
        <f>1/((1/Z38)+(1/Z39))</f>
        <v>1.5812967834359434E-13</v>
      </c>
      <c r="AA26" s="77" t="s">
        <v>294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1.6041666666666665E-3</v>
      </c>
      <c r="AL26" s="83" t="s">
        <v>22</v>
      </c>
      <c r="AM26" s="137">
        <f>0.693/AM27</f>
        <v>1.6041666666666665E-3</v>
      </c>
      <c r="AR26" s="83" t="s">
        <v>22</v>
      </c>
      <c r="AS26" s="137">
        <f>0.693/AS27</f>
        <v>1.6041666666666665E-3</v>
      </c>
      <c r="AU26" s="83" t="s">
        <v>22</v>
      </c>
      <c r="AV26" s="137">
        <f>0.693/AV27</f>
        <v>1.6041666666666665E-3</v>
      </c>
      <c r="BA26" s="83" t="s">
        <v>22</v>
      </c>
      <c r="BB26" s="137">
        <f>0.693/BB27</f>
        <v>1.6041666666666665E-3</v>
      </c>
      <c r="BD26" s="83" t="s">
        <v>22</v>
      </c>
      <c r="BE26" s="137">
        <f>0.693/BE27</f>
        <v>1.6041666666666665E-3</v>
      </c>
      <c r="BJ26" s="83" t="s">
        <v>22</v>
      </c>
      <c r="BK26" s="137">
        <f>0.693/BK27</f>
        <v>1.6041666666666665E-3</v>
      </c>
      <c r="BM26" s="83" t="s">
        <v>22</v>
      </c>
      <c r="BN26" s="137">
        <f>0.693/BN27</f>
        <v>1.6041666666666665E-3</v>
      </c>
      <c r="BS26" s="91" t="s">
        <v>309</v>
      </c>
      <c r="BT26" s="177">
        <f>B102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B106</f>
        <v>1</v>
      </c>
      <c r="CA26" s="94" t="s">
        <v>194</v>
      </c>
      <c r="CB26" s="52" t="s">
        <v>140</v>
      </c>
      <c r="CC26" s="138">
        <f>B103</f>
        <v>75</v>
      </c>
      <c r="CD26" s="52" t="s">
        <v>24</v>
      </c>
      <c r="CE26" s="52" t="s">
        <v>140</v>
      </c>
      <c r="CF26" s="138">
        <f>B103</f>
        <v>75</v>
      </c>
      <c r="CG26" s="52" t="s">
        <v>24</v>
      </c>
      <c r="CK26" s="52" t="s">
        <v>160</v>
      </c>
      <c r="CL26" s="162">
        <f>B134</f>
        <v>1</v>
      </c>
      <c r="CM26" s="52" t="s">
        <v>221</v>
      </c>
      <c r="CN26" s="52" t="s">
        <v>33</v>
      </c>
      <c r="CO26" s="136">
        <f>B32</f>
        <v>2.1999999999999999E-5</v>
      </c>
      <c r="CT26" s="83" t="s">
        <v>506</v>
      </c>
      <c r="CU26" s="155">
        <f>((CU31*CU29*CU47)+(CU32*CU30*CU48))</f>
        <v>6475</v>
      </c>
      <c r="CV26" s="52" t="s">
        <v>426</v>
      </c>
      <c r="CW26" s="83" t="s">
        <v>476</v>
      </c>
      <c r="CX26" s="141">
        <f>B166</f>
        <v>0.85</v>
      </c>
      <c r="CY26" s="83"/>
      <c r="CZ26" s="83" t="s">
        <v>142</v>
      </c>
      <c r="DA26" s="149">
        <f>(DA35*DA40*DA42*DA49)+(DA36*DA41*DA43*DA50)</f>
        <v>239.57499999999999</v>
      </c>
      <c r="DB26" s="52" t="s">
        <v>356</v>
      </c>
      <c r="DF26" s="95"/>
      <c r="DG26" s="176"/>
      <c r="DO26" s="83" t="s">
        <v>393</v>
      </c>
      <c r="DP26" s="138">
        <f>B35</f>
        <v>0.26</v>
      </c>
      <c r="EA26" s="83"/>
      <c r="EB26" s="84"/>
      <c r="EC26" s="84"/>
      <c r="ED26" s="83" t="s">
        <v>392</v>
      </c>
      <c r="EE26" s="163">
        <f>B36</f>
        <v>0.25</v>
      </c>
      <c r="EF26" s="84"/>
      <c r="EP26" s="83"/>
      <c r="EQ26" s="84"/>
      <c r="ER26" s="84"/>
      <c r="ES26" s="83" t="s">
        <v>392</v>
      </c>
      <c r="ET26" s="163">
        <f>B36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B36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B36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B36</f>
        <v>0.25</v>
      </c>
      <c r="HC26" s="84"/>
      <c r="HD26" s="84" t="s">
        <v>265</v>
      </c>
      <c r="HE26" s="139">
        <f>H2</f>
        <v>3.1660351512348485E-10</v>
      </c>
      <c r="HF26" s="83" t="s">
        <v>13</v>
      </c>
    </row>
    <row r="27" spans="1:214" ht="13.5" thickTop="1" x14ac:dyDescent="0.2">
      <c r="A27" s="83" t="s">
        <v>171</v>
      </c>
      <c r="B27" s="183">
        <v>3.0000000000000001E-3</v>
      </c>
      <c r="C27" s="52" t="s">
        <v>388</v>
      </c>
      <c r="D27" s="84" t="s">
        <v>295</v>
      </c>
      <c r="E27" s="142">
        <f>B302</f>
        <v>241</v>
      </c>
      <c r="F27" s="84" t="s">
        <v>296</v>
      </c>
      <c r="G27" s="83" t="s">
        <v>402</v>
      </c>
      <c r="H27" s="146">
        <f>B48</f>
        <v>128.9</v>
      </c>
      <c r="I27" s="92" t="s">
        <v>221</v>
      </c>
      <c r="J27" s="83" t="s">
        <v>310</v>
      </c>
      <c r="K27" s="146">
        <f>B46</f>
        <v>188.5</v>
      </c>
      <c r="L27" s="92" t="s">
        <v>221</v>
      </c>
      <c r="M27" s="91" t="s">
        <v>231</v>
      </c>
      <c r="N27" s="136">
        <f>B18</f>
        <v>432</v>
      </c>
      <c r="O27" s="52" t="s">
        <v>60</v>
      </c>
      <c r="P27" s="91" t="s">
        <v>231</v>
      </c>
      <c r="Q27" s="136">
        <f>B18</f>
        <v>432</v>
      </c>
      <c r="R27" s="52" t="s">
        <v>60</v>
      </c>
      <c r="V27" s="52" t="s">
        <v>267</v>
      </c>
      <c r="W27" s="136">
        <f>B5</f>
        <v>1</v>
      </c>
      <c r="X27" s="52" t="s">
        <v>344</v>
      </c>
      <c r="Y27" s="52" t="s">
        <v>267</v>
      </c>
      <c r="Z27" s="136">
        <f>B5</f>
        <v>1</v>
      </c>
      <c r="AA27" s="52" t="s">
        <v>344</v>
      </c>
      <c r="AB27" s="84" t="s">
        <v>16</v>
      </c>
      <c r="AC27" s="156">
        <f>(AC23*AC24)/(1-EXP(-AC24*AC23))</f>
        <v>1.0008022977791844</v>
      </c>
      <c r="AD27" s="156">
        <f>(AD23*AD24)/(1-EXP(-AD24*AD23))</f>
        <v>1.0008022977791844</v>
      </c>
      <c r="AE27" s="156">
        <f>(AE23*AE24)/(1-EXP(-AE24*AE23))</f>
        <v>1.0008022977791844</v>
      </c>
      <c r="AF27" s="156">
        <f>(AF23*AF24)/(1-EXP(-AF24*AF23))</f>
        <v>1.0008022977791844</v>
      </c>
      <c r="AG27" s="156">
        <f>(AG23*AG24)/(1-EXP(-AG24*AG23))</f>
        <v>1.0008022977791844</v>
      </c>
      <c r="AI27" s="91" t="s">
        <v>231</v>
      </c>
      <c r="AJ27" s="136">
        <f>B18</f>
        <v>432</v>
      </c>
      <c r="AK27" s="52" t="s">
        <v>60</v>
      </c>
      <c r="AL27" s="91" t="s">
        <v>231</v>
      </c>
      <c r="AM27" s="136">
        <f>B18</f>
        <v>432</v>
      </c>
      <c r="AN27" s="52" t="s">
        <v>60</v>
      </c>
      <c r="AR27" s="91" t="s">
        <v>231</v>
      </c>
      <c r="AS27" s="136">
        <f>B18</f>
        <v>432</v>
      </c>
      <c r="AT27" s="52" t="s">
        <v>60</v>
      </c>
      <c r="AU27" s="91" t="s">
        <v>231</v>
      </c>
      <c r="AV27" s="136">
        <f>B18</f>
        <v>432</v>
      </c>
      <c r="AW27" s="52" t="s">
        <v>60</v>
      </c>
      <c r="BA27" s="91" t="s">
        <v>231</v>
      </c>
      <c r="BB27" s="136">
        <f>B18</f>
        <v>432</v>
      </c>
      <c r="BC27" s="52" t="s">
        <v>60</v>
      </c>
      <c r="BD27" s="91" t="s">
        <v>231</v>
      </c>
      <c r="BE27" s="136">
        <f>B18</f>
        <v>432</v>
      </c>
      <c r="BF27" s="52" t="s">
        <v>60</v>
      </c>
      <c r="BJ27" s="91" t="s">
        <v>231</v>
      </c>
      <c r="BK27" s="136">
        <f>B18</f>
        <v>432</v>
      </c>
      <c r="BL27" s="52" t="s">
        <v>60</v>
      </c>
      <c r="BM27" s="91" t="s">
        <v>231</v>
      </c>
      <c r="BN27" s="136">
        <f>B18</f>
        <v>432</v>
      </c>
      <c r="BO27" s="52" t="s">
        <v>60</v>
      </c>
      <c r="BS27" s="84" t="s">
        <v>295</v>
      </c>
      <c r="BT27" s="142">
        <f>B302</f>
        <v>241</v>
      </c>
      <c r="BU27" s="84" t="s">
        <v>296</v>
      </c>
      <c r="BW27" s="138">
        <v>1000</v>
      </c>
      <c r="BX27" s="52" t="s">
        <v>218</v>
      </c>
      <c r="BY27" s="83" t="s">
        <v>90</v>
      </c>
      <c r="BZ27" s="150">
        <f>B107</f>
        <v>1</v>
      </c>
      <c r="CA27" s="52" t="s">
        <v>194</v>
      </c>
      <c r="CB27" s="52" t="s">
        <v>51</v>
      </c>
      <c r="CC27" s="138">
        <f>B117</f>
        <v>1</v>
      </c>
      <c r="CD27" s="52" t="s">
        <v>146</v>
      </c>
      <c r="CE27" s="52" t="s">
        <v>51</v>
      </c>
      <c r="CF27" s="138">
        <f>B117</f>
        <v>1</v>
      </c>
      <c r="CG27" s="52" t="s">
        <v>146</v>
      </c>
      <c r="CK27" s="84" t="s">
        <v>295</v>
      </c>
      <c r="CL27" s="142">
        <f>B302</f>
        <v>241</v>
      </c>
      <c r="CM27" s="84" t="s">
        <v>296</v>
      </c>
      <c r="CN27" s="52" t="s">
        <v>392</v>
      </c>
      <c r="CO27" s="162">
        <f>B36</f>
        <v>0.25</v>
      </c>
      <c r="CT27" s="83" t="s">
        <v>449</v>
      </c>
      <c r="CU27" s="146">
        <f>B141</f>
        <v>200</v>
      </c>
      <c r="CV27" s="84" t="s">
        <v>48</v>
      </c>
      <c r="CW27" s="84" t="s">
        <v>295</v>
      </c>
      <c r="CX27" s="142">
        <f>B302</f>
        <v>241</v>
      </c>
      <c r="CY27" s="84" t="s">
        <v>296</v>
      </c>
      <c r="CZ27" s="92" t="s">
        <v>451</v>
      </c>
      <c r="DA27" s="142">
        <f t="shared" ref="DA27:DA34" si="0">B145</f>
        <v>0.78</v>
      </c>
      <c r="DB27" s="83" t="s">
        <v>28</v>
      </c>
      <c r="DO27" s="95"/>
      <c r="DP27" s="176"/>
      <c r="DW27" s="88"/>
      <c r="DX27" s="88"/>
      <c r="DY27" s="88"/>
      <c r="DZ27" s="88"/>
      <c r="EA27" s="83"/>
      <c r="EB27" s="85"/>
      <c r="ED27" s="83" t="s">
        <v>517</v>
      </c>
      <c r="EE27" s="136">
        <f>B24</f>
        <v>4.2E-7</v>
      </c>
      <c r="EF27" s="52" t="s">
        <v>388</v>
      </c>
      <c r="EP27" s="83"/>
      <c r="EQ27" s="86"/>
      <c r="ES27" s="83" t="s">
        <v>236</v>
      </c>
      <c r="ET27" s="169">
        <f>B25</f>
        <v>5.0000000000000001E-4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B27</f>
        <v>3.0000000000000001E-3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B26</f>
        <v>6.0000000000000001E-3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B28</f>
        <v>1.7000000000000001E-4</v>
      </c>
      <c r="HC27" s="52" t="s">
        <v>388</v>
      </c>
      <c r="HD27" s="83" t="s">
        <v>22</v>
      </c>
      <c r="HE27" s="137">
        <f>0.693/HE29</f>
        <v>1.6041666666666665E-3</v>
      </c>
    </row>
    <row r="28" spans="1:214" x14ac:dyDescent="0.2">
      <c r="A28" s="83" t="s">
        <v>238</v>
      </c>
      <c r="B28" s="183">
        <v>1.7000000000000001E-4</v>
      </c>
      <c r="C28" s="52" t="s">
        <v>388</v>
      </c>
      <c r="D28" s="84" t="s">
        <v>293</v>
      </c>
      <c r="E28" s="161">
        <f>B303</f>
        <v>2.8000000000000001E-15</v>
      </c>
      <c r="F28" s="84"/>
      <c r="G28" s="83" t="s">
        <v>65</v>
      </c>
      <c r="H28" s="141">
        <f>B65</f>
        <v>0.5</v>
      </c>
      <c r="I28" s="52" t="s">
        <v>66</v>
      </c>
      <c r="J28" s="83" t="s">
        <v>447</v>
      </c>
      <c r="K28" s="149">
        <f>(K31*K29*K51)+(K32*K30*K52)</f>
        <v>38095.4</v>
      </c>
      <c r="L28" s="92" t="s">
        <v>347</v>
      </c>
      <c r="M28" s="52" t="s">
        <v>382</v>
      </c>
      <c r="N28" s="138">
        <f>B56</f>
        <v>350</v>
      </c>
      <c r="O28" s="52" t="s">
        <v>24</v>
      </c>
      <c r="P28" s="52" t="s">
        <v>382</v>
      </c>
      <c r="Q28" s="138">
        <f>B56</f>
        <v>350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B243</f>
        <v>250</v>
      </c>
      <c r="AK28" s="52" t="s">
        <v>24</v>
      </c>
      <c r="AL28" s="52" t="s">
        <v>35</v>
      </c>
      <c r="AM28" s="138">
        <f>B243</f>
        <v>250</v>
      </c>
      <c r="AN28" s="52" t="s">
        <v>24</v>
      </c>
      <c r="AR28" s="52" t="s">
        <v>423</v>
      </c>
      <c r="AS28" s="138">
        <f>B255</f>
        <v>225</v>
      </c>
      <c r="AT28" s="52" t="s">
        <v>24</v>
      </c>
      <c r="AU28" s="52" t="s">
        <v>423</v>
      </c>
      <c r="AV28" s="138">
        <f>B255</f>
        <v>225</v>
      </c>
      <c r="AW28" s="52" t="s">
        <v>24</v>
      </c>
      <c r="BA28" s="52" t="s">
        <v>316</v>
      </c>
      <c r="BB28" s="138">
        <f>B231</f>
        <v>250</v>
      </c>
      <c r="BC28" s="52" t="s">
        <v>24</v>
      </c>
      <c r="BD28" s="52" t="s">
        <v>316</v>
      </c>
      <c r="BE28" s="138">
        <f>B231</f>
        <v>250</v>
      </c>
      <c r="BF28" s="52" t="s">
        <v>24</v>
      </c>
      <c r="BJ28" s="52" t="s">
        <v>191</v>
      </c>
      <c r="BK28" s="138">
        <f>BK29*BK30</f>
        <v>250</v>
      </c>
      <c r="BL28" s="52" t="s">
        <v>24</v>
      </c>
      <c r="BM28" s="52" t="s">
        <v>191</v>
      </c>
      <c r="BN28" s="138">
        <f>BN29*BN30</f>
        <v>250</v>
      </c>
      <c r="BO28" s="52" t="s">
        <v>24</v>
      </c>
      <c r="BS28" s="84" t="s">
        <v>293</v>
      </c>
      <c r="BT28" s="161">
        <f>B303</f>
        <v>2.8000000000000001E-15</v>
      </c>
      <c r="BU28" s="84"/>
      <c r="BV28" s="83"/>
      <c r="BW28" s="146">
        <v>365</v>
      </c>
      <c r="BX28" s="84" t="s">
        <v>24</v>
      </c>
      <c r="BY28" s="83" t="s">
        <v>302</v>
      </c>
      <c r="BZ28" s="141">
        <f>B118</f>
        <v>2.41E-4</v>
      </c>
      <c r="CB28" s="52" t="s">
        <v>300</v>
      </c>
      <c r="CC28" s="138">
        <f>B126</f>
        <v>1.5699999999999999E-5</v>
      </c>
      <c r="CE28" s="52" t="s">
        <v>300</v>
      </c>
      <c r="CF28" s="138">
        <f>B122</f>
        <v>1.35E-4</v>
      </c>
      <c r="CK28" s="84" t="s">
        <v>293</v>
      </c>
      <c r="CL28" s="161">
        <f>B304</f>
        <v>2.8000000000000002E-12</v>
      </c>
      <c r="CM28" s="84"/>
      <c r="CN28" s="52" t="s">
        <v>165</v>
      </c>
      <c r="CO28" s="162">
        <f>B135</f>
        <v>1</v>
      </c>
      <c r="CP28" s="52" t="s">
        <v>246</v>
      </c>
      <c r="CT28" s="83" t="s">
        <v>458</v>
      </c>
      <c r="CU28" s="146">
        <f>B142</f>
        <v>100</v>
      </c>
      <c r="CV28" s="84" t="s">
        <v>48</v>
      </c>
      <c r="CW28" s="84" t="s">
        <v>293</v>
      </c>
      <c r="CX28" s="161">
        <f>B303</f>
        <v>2.8000000000000001E-15</v>
      </c>
      <c r="CY28" s="84"/>
      <c r="CZ28" s="92" t="s">
        <v>460</v>
      </c>
      <c r="DA28" s="142">
        <f t="shared" si="0"/>
        <v>2.5</v>
      </c>
      <c r="DB28" s="83" t="s">
        <v>28</v>
      </c>
      <c r="DW28" s="88"/>
      <c r="DX28" s="88"/>
      <c r="DY28" s="88"/>
      <c r="DZ28" s="88"/>
      <c r="ED28" s="95"/>
      <c r="EE28" s="176"/>
      <c r="ES28" s="95"/>
      <c r="ET28" s="176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95"/>
      <c r="FI28" s="176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95"/>
      <c r="GM28" s="176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95"/>
      <c r="HB28" s="176"/>
      <c r="HD28" s="52" t="s">
        <v>16</v>
      </c>
      <c r="HE28" s="137">
        <f>1-EXP(-HE27*HE32)</f>
        <v>1.6028806790575612E-3</v>
      </c>
    </row>
    <row r="29" spans="1:214" ht="15.75" thickBot="1" x14ac:dyDescent="0.25">
      <c r="A29" s="52" t="s">
        <v>229</v>
      </c>
      <c r="B29" s="183">
        <v>5.0000000000000001E-4</v>
      </c>
      <c r="C29" s="52" t="s">
        <v>388</v>
      </c>
      <c r="G29" s="83" t="s">
        <v>380</v>
      </c>
      <c r="H29" s="150">
        <f>B54</f>
        <v>350</v>
      </c>
      <c r="I29" s="83" t="s">
        <v>24</v>
      </c>
      <c r="J29" s="83" t="s">
        <v>401</v>
      </c>
      <c r="K29" s="146">
        <f>B47</f>
        <v>41.7</v>
      </c>
      <c r="L29" s="92" t="s">
        <v>221</v>
      </c>
      <c r="M29" s="52" t="s">
        <v>379</v>
      </c>
      <c r="N29" s="138">
        <f>B53</f>
        <v>1</v>
      </c>
      <c r="O29" s="52" t="s">
        <v>146</v>
      </c>
      <c r="P29" s="52" t="s">
        <v>379</v>
      </c>
      <c r="Q29" s="138">
        <f>B53</f>
        <v>1</v>
      </c>
      <c r="R29" s="52" t="s">
        <v>146</v>
      </c>
      <c r="V29" s="83" t="s">
        <v>22</v>
      </c>
      <c r="W29" s="137">
        <f>0.693/W30</f>
        <v>1.6041666666666665E-3</v>
      </c>
      <c r="Y29" s="83" t="s">
        <v>22</v>
      </c>
      <c r="Z29" s="137">
        <f>0.693/Z30</f>
        <v>1.6041666666666665E-3</v>
      </c>
      <c r="AB29" s="83" t="s">
        <v>260</v>
      </c>
      <c r="AC29" s="143">
        <f>((AC5/(AC8*AC13*AC7*AC9*(1/AC6)))*AC27)*AC25*AC35*AC36</f>
        <v>1.5460915777100268E-5</v>
      </c>
      <c r="AD29" s="143">
        <f>((AD5/(AD8*AD13*AD7*AD9*(1/AD6)))*AD27)*AD25*AD35*AD36</f>
        <v>3.0921831554200536E-5</v>
      </c>
      <c r="AE29" s="143">
        <f>((AE5/(AE8*AE13*AE7*AE9*(1/AE6)))*AE27)*AE25*AE35*AE36</f>
        <v>1.7178795307889187E-5</v>
      </c>
      <c r="AF29" s="143">
        <f>((AF5*AF23*AF24)/((1-EXP(-AF24*AF23))*AF8*AF7*AF9*AF13*(1/AF28)))*AF25*AF35*AF36</f>
        <v>4.6851259930606865E-6</v>
      </c>
      <c r="AG29" s="143">
        <f>((AG5*AG23*AG24)/((1-EXP(-AG24*AG23))*AG8*AG7*AG9*AG13*(1/AG28)))*AG25*AG35*AG36</f>
        <v>4.6851259930606865E-6</v>
      </c>
      <c r="AH29" s="83" t="s">
        <v>297</v>
      </c>
      <c r="AI29" s="52" t="s">
        <v>420</v>
      </c>
      <c r="AJ29" s="138">
        <f>B244</f>
        <v>1</v>
      </c>
      <c r="AK29" s="52" t="s">
        <v>146</v>
      </c>
      <c r="AL29" s="52" t="s">
        <v>420</v>
      </c>
      <c r="AM29" s="138">
        <f>B244</f>
        <v>1</v>
      </c>
      <c r="AN29" s="52" t="s">
        <v>146</v>
      </c>
      <c r="AR29" s="52" t="s">
        <v>424</v>
      </c>
      <c r="AS29" s="138">
        <f>B256</f>
        <v>1</v>
      </c>
      <c r="AT29" s="52" t="s">
        <v>146</v>
      </c>
      <c r="AU29" s="52" t="s">
        <v>424</v>
      </c>
      <c r="AV29" s="138">
        <f>B256</f>
        <v>1</v>
      </c>
      <c r="AW29" s="52" t="s">
        <v>146</v>
      </c>
      <c r="BA29" s="52" t="s">
        <v>422</v>
      </c>
      <c r="BB29" s="138">
        <f>B232</f>
        <v>1</v>
      </c>
      <c r="BC29" s="52" t="s">
        <v>146</v>
      </c>
      <c r="BD29" s="52" t="s">
        <v>422</v>
      </c>
      <c r="BE29" s="138">
        <f>B232</f>
        <v>1</v>
      </c>
      <c r="BF29" s="52" t="s">
        <v>146</v>
      </c>
      <c r="BJ29" s="52" t="s">
        <v>220</v>
      </c>
      <c r="BK29" s="138">
        <f>B278</f>
        <v>50</v>
      </c>
      <c r="BL29" s="52" t="s">
        <v>113</v>
      </c>
      <c r="BM29" s="52" t="s">
        <v>220</v>
      </c>
      <c r="BN29" s="138">
        <f>B278</f>
        <v>50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41">
        <f>B119</f>
        <v>0.753</v>
      </c>
      <c r="CB29" s="52" t="s">
        <v>411</v>
      </c>
      <c r="CC29" s="138">
        <f>B127</f>
        <v>0.80900000000000005</v>
      </c>
      <c r="CE29" s="52" t="s">
        <v>418</v>
      </c>
      <c r="CF29" s="138">
        <f>B123</f>
        <v>0.71099999999999997</v>
      </c>
      <c r="CN29" s="52" t="s">
        <v>166</v>
      </c>
      <c r="CO29" s="162">
        <f>B136</f>
        <v>1</v>
      </c>
      <c r="CP29" s="52" t="s">
        <v>246</v>
      </c>
      <c r="CT29" s="83" t="s">
        <v>450</v>
      </c>
      <c r="CU29" s="141">
        <f>B147</f>
        <v>10</v>
      </c>
      <c r="CV29" s="92" t="s">
        <v>407</v>
      </c>
      <c r="CZ29" s="92" t="s">
        <v>450</v>
      </c>
      <c r="DA29" s="142">
        <f t="shared" si="0"/>
        <v>10</v>
      </c>
      <c r="DB29" s="83" t="s">
        <v>143</v>
      </c>
      <c r="DW29" s="88"/>
      <c r="DX29" s="88"/>
      <c r="DY29" s="88"/>
      <c r="DZ29" s="8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B18</f>
        <v>432</v>
      </c>
      <c r="HF29" s="52" t="s">
        <v>60</v>
      </c>
    </row>
    <row r="30" spans="1:214" ht="19.5" thickTop="1" thickBot="1" x14ac:dyDescent="0.25">
      <c r="A30" s="83" t="s">
        <v>228</v>
      </c>
      <c r="B30" s="183">
        <v>6.0000000000000001E-3</v>
      </c>
      <c r="C30" s="52" t="s">
        <v>388</v>
      </c>
      <c r="D30" s="353" t="s">
        <v>528</v>
      </c>
      <c r="E30" s="354"/>
      <c r="F30" s="355"/>
      <c r="G30" s="83" t="s">
        <v>381</v>
      </c>
      <c r="H30" s="150">
        <f>B55</f>
        <v>350</v>
      </c>
      <c r="I30" s="83" t="s">
        <v>24</v>
      </c>
      <c r="J30" s="83" t="s">
        <v>402</v>
      </c>
      <c r="K30" s="146">
        <f>B48</f>
        <v>128.9</v>
      </c>
      <c r="L30" s="92" t="s">
        <v>221</v>
      </c>
      <c r="M30" s="52" t="s">
        <v>299</v>
      </c>
      <c r="N30" s="138">
        <f>B61</f>
        <v>0.4</v>
      </c>
      <c r="P30" s="52" t="s">
        <v>299</v>
      </c>
      <c r="Q30" s="138">
        <f>B61</f>
        <v>0.4</v>
      </c>
      <c r="V30" s="91" t="s">
        <v>231</v>
      </c>
      <c r="W30" s="136">
        <f>B18</f>
        <v>432</v>
      </c>
      <c r="X30" s="52" t="s">
        <v>60</v>
      </c>
      <c r="Y30" s="91" t="s">
        <v>231</v>
      </c>
      <c r="Z30" s="136">
        <f>B18</f>
        <v>432</v>
      </c>
      <c r="AA30" s="52" t="s">
        <v>60</v>
      </c>
      <c r="AB30" s="83" t="s">
        <v>261</v>
      </c>
      <c r="AC30" s="144">
        <f>((AC5/(AC19*AC15*AC7*AC9*(1/AC32)*((8/1)/(24/1))*AC28))*AC27)*AC25*AC35*AC36</f>
        <v>2.1852237131979031E-4</v>
      </c>
      <c r="AD30" s="144">
        <f>((AD5/(AD19*AD15*AD7*((8/1)/(24/1))*AD9*(1/AD32)*AD28))*AD27)*AD25*AD35*AD36</f>
        <v>2.1852237131979034E-4</v>
      </c>
      <c r="AE30" s="144">
        <f>((AE5/(AE19*AE15*AE7*((8/1)/(24/1))*AE9*(1/AE32)*AE28))*AE27)*AE25*AE35*AE36</f>
        <v>2.42802634799767E-4</v>
      </c>
      <c r="AF30" s="144">
        <f>((AF5*AF23*AF24)/((1-EXP(-AF24*AF23))*AF19*AF7*AF9*(AF12/24)*AF15*(1/AF33)*AF28))*AF25*AF35*AF36</f>
        <v>1.2476722563001913E-7</v>
      </c>
      <c r="AG30" s="144">
        <f>((AG5*AG23*AG24)/((1-EXP(-AG24*AG23))*AG19*AG7*AG9*(AG12/24)*AG15*(1/AG34)*AG28))*AG25*AG35*AG36</f>
        <v>1.1181775126894516E-5</v>
      </c>
      <c r="AH30" s="83" t="s">
        <v>297</v>
      </c>
      <c r="AI30" s="52" t="s">
        <v>299</v>
      </c>
      <c r="AJ30" s="138">
        <f>B248</f>
        <v>0.4</v>
      </c>
      <c r="AL30" s="52" t="s">
        <v>299</v>
      </c>
      <c r="AM30" s="138">
        <f>B248</f>
        <v>0.4</v>
      </c>
      <c r="AR30" s="52" t="s">
        <v>299</v>
      </c>
      <c r="AS30" s="138">
        <f>B260</f>
        <v>0.4</v>
      </c>
      <c r="AV30" s="138"/>
      <c r="BA30" s="52" t="s">
        <v>299</v>
      </c>
      <c r="BB30" s="138">
        <f>B236</f>
        <v>0.4</v>
      </c>
      <c r="BD30" s="52" t="s">
        <v>299</v>
      </c>
      <c r="BE30" s="138">
        <f>B236</f>
        <v>0.4</v>
      </c>
      <c r="BJ30" s="52" t="s">
        <v>219</v>
      </c>
      <c r="BK30" s="138">
        <f>B277</f>
        <v>5</v>
      </c>
      <c r="BL30" s="52" t="s">
        <v>112</v>
      </c>
      <c r="BM30" s="52" t="s">
        <v>219</v>
      </c>
      <c r="BN30" s="138">
        <f>B277</f>
        <v>5</v>
      </c>
      <c r="BO30" s="52" t="s">
        <v>112</v>
      </c>
      <c r="BS30" s="91"/>
      <c r="BT30" s="97"/>
      <c r="BU30" s="91"/>
      <c r="BV30" s="91" t="s">
        <v>308</v>
      </c>
      <c r="BW30" s="146">
        <f>B101</f>
        <v>0.23</v>
      </c>
      <c r="BY30" s="94" t="s">
        <v>95</v>
      </c>
      <c r="BZ30" s="150">
        <f>B117</f>
        <v>1</v>
      </c>
      <c r="CA30" s="94" t="s">
        <v>60</v>
      </c>
      <c r="CB30" s="52" t="s">
        <v>90</v>
      </c>
      <c r="CC30" s="138">
        <f>B108</f>
        <v>1</v>
      </c>
      <c r="CD30" s="52" t="s">
        <v>194</v>
      </c>
      <c r="CE30" s="52" t="s">
        <v>90</v>
      </c>
      <c r="CF30" s="138">
        <f>B108</f>
        <v>1</v>
      </c>
      <c r="CG30" s="52" t="s">
        <v>194</v>
      </c>
      <c r="CM30" s="83"/>
      <c r="CN30" s="93" t="s">
        <v>167</v>
      </c>
      <c r="CO30" s="162">
        <f>B137</f>
        <v>1</v>
      </c>
      <c r="CP30" s="52" t="s">
        <v>41</v>
      </c>
      <c r="CQ30" s="88"/>
      <c r="CR30" s="83"/>
      <c r="CS30" s="83"/>
      <c r="CT30" s="83" t="s">
        <v>459</v>
      </c>
      <c r="CU30" s="141">
        <f>B148</f>
        <v>20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20</v>
      </c>
      <c r="DB30" s="83" t="s">
        <v>143</v>
      </c>
      <c r="DW30" s="88"/>
      <c r="DX30" s="88"/>
      <c r="DY30" s="88"/>
      <c r="DZ30" s="8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B83</f>
        <v>0.3</v>
      </c>
    </row>
    <row r="31" spans="1:214" x14ac:dyDescent="0.2">
      <c r="A31" s="84" t="s">
        <v>32</v>
      </c>
      <c r="B31" s="183">
        <f>0.00001914</f>
        <v>1.914E-5</v>
      </c>
      <c r="D31" s="323" t="s">
        <v>530</v>
      </c>
      <c r="E31" s="347">
        <f>E38</f>
        <v>1.7515330456506926E-8</v>
      </c>
      <c r="F31" s="345" t="s">
        <v>12</v>
      </c>
      <c r="G31" s="83" t="s">
        <v>379</v>
      </c>
      <c r="H31" s="150">
        <f>B53</f>
        <v>1</v>
      </c>
      <c r="I31" s="84" t="s">
        <v>60</v>
      </c>
      <c r="J31" s="83" t="s">
        <v>380</v>
      </c>
      <c r="K31" s="150">
        <f>B54</f>
        <v>350</v>
      </c>
      <c r="L31" s="83" t="s">
        <v>24</v>
      </c>
      <c r="M31" s="52" t="s">
        <v>300</v>
      </c>
      <c r="N31" s="138">
        <f>B62</f>
        <v>1</v>
      </c>
      <c r="P31" s="52" t="s">
        <v>300</v>
      </c>
      <c r="Q31" s="138">
        <f>B62</f>
        <v>1</v>
      </c>
      <c r="V31" s="52" t="s">
        <v>35</v>
      </c>
      <c r="W31" s="138">
        <f>B243</f>
        <v>250</v>
      </c>
      <c r="X31" s="52" t="s">
        <v>24</v>
      </c>
      <c r="Y31" s="52" t="s">
        <v>191</v>
      </c>
      <c r="Z31" s="138">
        <f>B267</f>
        <v>250</v>
      </c>
      <c r="AA31" s="52" t="s">
        <v>24</v>
      </c>
      <c r="AB31" s="83" t="s">
        <v>262</v>
      </c>
      <c r="AC31" s="145">
        <f>((AC5*AC23*AC24)/((1-EXP(-AC24*AC23))*AC18*AC7*(1/365)*AC12*(1/24)*AC14*AC17))*AC25*AC35*AC36</f>
        <v>3.437567832542809E-5</v>
      </c>
      <c r="AD31" s="145">
        <f>((AD5*AD23*AD24)/((1-EXP(-AD24*AD23))*AD18*AD7*(1/365)*AD12*(1/24)*AD16*AD17))*AD25*AD35*AD36</f>
        <v>8.5939195813570225E-5</v>
      </c>
      <c r="AE31" s="145">
        <f>((AE5*AE23*AE24)/((1-EXP(-AE24*AE23))*AE18*AE7*(1/365)*AE12*(1/24)*AE14*AE17))*AE25*AE35*AE36</f>
        <v>3.8195198139364538E-5</v>
      </c>
      <c r="AF31" s="145">
        <f>((AF5*AF23*AF24)/((1-EXP(-AF24*AF23))*AF18*(AF11*AF10)*(1/365)*AF12*(1/24)*AF14*AF17))*AF25*AF35*AF36</f>
        <v>0.18942585577704721</v>
      </c>
      <c r="AG31" s="145">
        <f>((AG5*AG23*AG24)/((1-EXP(-AG24*AG23))*AG18*AG7*(1/365)*AG9*(AG12/24)*AG14*AG17))*AG25*AG35*AG36</f>
        <v>0.18942585577704721</v>
      </c>
      <c r="AH31" s="83" t="s">
        <v>297</v>
      </c>
      <c r="AI31" s="52" t="s">
        <v>300</v>
      </c>
      <c r="AJ31" s="138">
        <f>B235</f>
        <v>1</v>
      </c>
      <c r="AL31" s="52" t="s">
        <v>300</v>
      </c>
      <c r="AM31" s="138">
        <f>B235</f>
        <v>1</v>
      </c>
      <c r="AR31" s="52" t="s">
        <v>300</v>
      </c>
      <c r="AS31" s="138">
        <f>B259</f>
        <v>1</v>
      </c>
      <c r="AU31" s="52" t="s">
        <v>300</v>
      </c>
      <c r="AV31" s="138">
        <f>B259</f>
        <v>1</v>
      </c>
      <c r="BA31" s="52" t="s">
        <v>300</v>
      </c>
      <c r="BB31" s="138">
        <f>B235</f>
        <v>1</v>
      </c>
      <c r="BD31" s="52" t="s">
        <v>300</v>
      </c>
      <c r="BE31" s="138">
        <f>B235</f>
        <v>1</v>
      </c>
      <c r="BJ31" s="52" t="s">
        <v>158</v>
      </c>
      <c r="BK31" s="138">
        <f>B268</f>
        <v>1</v>
      </c>
      <c r="BL31" s="52" t="s">
        <v>146</v>
      </c>
      <c r="BM31" s="52" t="s">
        <v>158</v>
      </c>
      <c r="BN31" s="138">
        <f>B268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B102</f>
        <v>0.77</v>
      </c>
      <c r="BZ31" s="150">
        <v>365</v>
      </c>
      <c r="CA31" s="52" t="s">
        <v>24</v>
      </c>
      <c r="CB31" s="52" t="s">
        <v>410</v>
      </c>
      <c r="CC31" s="139">
        <f>B11</f>
        <v>2.5484199999999999E-2</v>
      </c>
      <c r="CD31" s="84" t="s">
        <v>353</v>
      </c>
      <c r="CE31" s="52" t="s">
        <v>419</v>
      </c>
      <c r="CF31" s="139">
        <f>B13</f>
        <v>3.4557999999999998E-2</v>
      </c>
      <c r="CG31" s="84" t="s">
        <v>353</v>
      </c>
      <c r="CM31" s="83"/>
      <c r="CN31" s="83" t="s">
        <v>168</v>
      </c>
      <c r="CO31" s="162">
        <f>B138</f>
        <v>1</v>
      </c>
      <c r="CP31" s="52" t="s">
        <v>41</v>
      </c>
      <c r="CQ31" s="83"/>
      <c r="CR31" s="83"/>
      <c r="CS31" s="83"/>
      <c r="CT31" s="83" t="s">
        <v>456</v>
      </c>
      <c r="CU31" s="150">
        <f>B167</f>
        <v>350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68.099999999999994</v>
      </c>
      <c r="DB31" s="83" t="s">
        <v>221</v>
      </c>
      <c r="DW31" s="88"/>
      <c r="DX31" s="88"/>
      <c r="DY31" s="88"/>
      <c r="DZ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B84</f>
        <v>1.5</v>
      </c>
    </row>
    <row r="32" spans="1:214" ht="13.5" thickBot="1" x14ac:dyDescent="0.25">
      <c r="A32" s="52" t="s">
        <v>33</v>
      </c>
      <c r="B32" s="183">
        <v>2.1999999999999999E-5</v>
      </c>
      <c r="D32" s="324"/>
      <c r="E32" s="348"/>
      <c r="F32" s="346"/>
      <c r="G32" s="52" t="s">
        <v>403</v>
      </c>
      <c r="H32" s="138">
        <f>B57</f>
        <v>0.54</v>
      </c>
      <c r="I32" s="52" t="s">
        <v>89</v>
      </c>
      <c r="J32" s="83" t="s">
        <v>381</v>
      </c>
      <c r="K32" s="150">
        <f>B55</f>
        <v>350</v>
      </c>
      <c r="L32" s="83" t="s">
        <v>24</v>
      </c>
      <c r="M32" s="52" t="s">
        <v>54</v>
      </c>
      <c r="N32" s="138">
        <f>B63</f>
        <v>1</v>
      </c>
      <c r="P32" s="52" t="s">
        <v>54</v>
      </c>
      <c r="Q32" s="138">
        <f>B63</f>
        <v>1</v>
      </c>
      <c r="V32" s="52" t="s">
        <v>420</v>
      </c>
      <c r="W32" s="138">
        <f>B244</f>
        <v>1</v>
      </c>
      <c r="X32" s="52" t="s">
        <v>146</v>
      </c>
      <c r="Y32" s="52" t="s">
        <v>158</v>
      </c>
      <c r="Z32" s="138">
        <f>B268</f>
        <v>1</v>
      </c>
      <c r="AA32" s="52" t="s">
        <v>146</v>
      </c>
      <c r="AB32" s="83" t="s">
        <v>77</v>
      </c>
      <c r="AC32" s="136">
        <f>B19</f>
        <v>1359344473.5814338</v>
      </c>
      <c r="AD32" s="136">
        <f>B19</f>
        <v>1359344473.5814338</v>
      </c>
      <c r="AE32" s="136">
        <f>B19</f>
        <v>1359344473.5814338</v>
      </c>
      <c r="AF32" s="136"/>
      <c r="AG32" s="136"/>
      <c r="AH32" s="104" t="s">
        <v>78</v>
      </c>
      <c r="AI32" s="52" t="s">
        <v>54</v>
      </c>
      <c r="AJ32" s="138">
        <f>B249</f>
        <v>1</v>
      </c>
      <c r="AL32" s="52" t="s">
        <v>54</v>
      </c>
      <c r="AM32" s="138">
        <f>B249</f>
        <v>1</v>
      </c>
      <c r="AR32" s="52" t="s">
        <v>54</v>
      </c>
      <c r="AS32" s="138">
        <f>B261</f>
        <v>1</v>
      </c>
      <c r="AU32" s="52" t="s">
        <v>54</v>
      </c>
      <c r="AV32" s="138">
        <f>B261</f>
        <v>1</v>
      </c>
      <c r="BA32" s="52" t="s">
        <v>54</v>
      </c>
      <c r="BB32" s="138">
        <f>B237</f>
        <v>1</v>
      </c>
      <c r="BD32" s="52" t="s">
        <v>54</v>
      </c>
      <c r="BE32" s="138">
        <f>B237</f>
        <v>1</v>
      </c>
      <c r="BJ32" s="52" t="s">
        <v>300</v>
      </c>
      <c r="BK32" s="136">
        <f>B281</f>
        <v>1.5699999999999999E-5</v>
      </c>
      <c r="BM32" s="52" t="s">
        <v>300</v>
      </c>
      <c r="BN32" s="136">
        <f>B285</f>
        <v>1.35E-4</v>
      </c>
      <c r="BS32" s="91"/>
      <c r="BT32" s="99"/>
      <c r="BU32" s="100"/>
      <c r="BV32" s="84" t="s">
        <v>295</v>
      </c>
      <c r="BW32" s="142">
        <f>B302</f>
        <v>241</v>
      </c>
      <c r="BX32" s="84" t="s">
        <v>296</v>
      </c>
      <c r="BZ32" s="138">
        <v>1000</v>
      </c>
      <c r="CA32" s="52" t="s">
        <v>99</v>
      </c>
      <c r="CB32" s="84" t="s">
        <v>295</v>
      </c>
      <c r="CC32" s="142">
        <f>B302</f>
        <v>241</v>
      </c>
      <c r="CD32" s="84" t="s">
        <v>296</v>
      </c>
      <c r="CE32" s="84" t="s">
        <v>295</v>
      </c>
      <c r="CF32" s="142">
        <f>B302</f>
        <v>241</v>
      </c>
      <c r="CG32" s="84" t="s">
        <v>296</v>
      </c>
      <c r="CM32" s="83"/>
      <c r="CN32" s="83" t="s">
        <v>22</v>
      </c>
      <c r="CO32" s="137">
        <f>0.693/CO33</f>
        <v>1.6041666666666665E-3</v>
      </c>
      <c r="CR32" s="83"/>
      <c r="CS32" s="83"/>
      <c r="CT32" s="83" t="s">
        <v>465</v>
      </c>
      <c r="CU32" s="150">
        <f>B168</f>
        <v>350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176.8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5" thickTop="1" x14ac:dyDescent="0.2">
      <c r="A33" s="83" t="s">
        <v>156</v>
      </c>
      <c r="B33" s="182">
        <v>4</v>
      </c>
      <c r="C33" s="83" t="s">
        <v>18</v>
      </c>
      <c r="D33" s="83" t="s">
        <v>267</v>
      </c>
      <c r="E33" s="136">
        <f>B5</f>
        <v>1</v>
      </c>
      <c r="F33" s="52" t="s">
        <v>344</v>
      </c>
      <c r="G33" s="52" t="s">
        <v>404</v>
      </c>
      <c r="H33" s="138">
        <f>B58</f>
        <v>0.71</v>
      </c>
      <c r="I33" s="52" t="s">
        <v>89</v>
      </c>
      <c r="J33" s="83" t="s">
        <v>379</v>
      </c>
      <c r="K33" s="141">
        <f>B53</f>
        <v>1</v>
      </c>
      <c r="L33" s="92" t="s">
        <v>60</v>
      </c>
      <c r="M33" s="52" t="s">
        <v>408</v>
      </c>
      <c r="N33" s="150">
        <f>B78</f>
        <v>1.752</v>
      </c>
      <c r="O33" s="52" t="s">
        <v>194</v>
      </c>
      <c r="P33" s="52" t="s">
        <v>408</v>
      </c>
      <c r="Q33" s="150">
        <f>B78</f>
        <v>1.752</v>
      </c>
      <c r="R33" s="52" t="s">
        <v>194</v>
      </c>
      <c r="V33" s="52" t="s">
        <v>247</v>
      </c>
      <c r="W33" s="139">
        <f>B6</f>
        <v>0.36297000000000001</v>
      </c>
      <c r="X33" s="84" t="s">
        <v>39</v>
      </c>
      <c r="Y33" s="52" t="s">
        <v>247</v>
      </c>
      <c r="Z33" s="139">
        <f>B6</f>
        <v>0.36297000000000001</v>
      </c>
      <c r="AA33" s="84" t="s">
        <v>39</v>
      </c>
      <c r="AB33" s="104" t="s">
        <v>103</v>
      </c>
      <c r="AC33" s="136"/>
      <c r="AD33" s="136"/>
      <c r="AE33" s="136"/>
      <c r="AF33" s="157">
        <f>B20</f>
        <v>776129.4078035407</v>
      </c>
      <c r="AG33" s="136"/>
      <c r="AH33" s="104" t="s">
        <v>78</v>
      </c>
      <c r="AI33" s="52" t="s">
        <v>57</v>
      </c>
      <c r="AJ33" s="136">
        <f>B250</f>
        <v>0</v>
      </c>
      <c r="AK33" s="52" t="s">
        <v>194</v>
      </c>
      <c r="AL33" s="52" t="s">
        <v>57</v>
      </c>
      <c r="AM33" s="136">
        <f>B250</f>
        <v>0</v>
      </c>
      <c r="AN33" s="52" t="s">
        <v>194</v>
      </c>
      <c r="AR33" s="52" t="s">
        <v>57</v>
      </c>
      <c r="AS33" s="136">
        <f>B262</f>
        <v>8</v>
      </c>
      <c r="AT33" s="52" t="s">
        <v>194</v>
      </c>
      <c r="AU33" s="52" t="s">
        <v>57</v>
      </c>
      <c r="AV33" s="136">
        <f>B262</f>
        <v>8</v>
      </c>
      <c r="AW33" s="52" t="s">
        <v>194</v>
      </c>
      <c r="BA33" s="52" t="s">
        <v>58</v>
      </c>
      <c r="BB33" s="136">
        <f>B238</f>
        <v>8</v>
      </c>
      <c r="BC33" s="52" t="s">
        <v>194</v>
      </c>
      <c r="BD33" s="52" t="s">
        <v>57</v>
      </c>
      <c r="BE33" s="136">
        <f>B238</f>
        <v>8</v>
      </c>
      <c r="BF33" s="52" t="s">
        <v>194</v>
      </c>
      <c r="BJ33" s="52" t="s">
        <v>411</v>
      </c>
      <c r="BK33" s="136">
        <f>B282</f>
        <v>0.80900000000000005</v>
      </c>
      <c r="BM33" s="52" t="s">
        <v>418</v>
      </c>
      <c r="BN33" s="136">
        <f>B286</f>
        <v>0.71099999999999997</v>
      </c>
      <c r="BS33" s="91"/>
      <c r="BT33" s="99"/>
      <c r="BU33" s="100"/>
      <c r="BV33" s="84" t="s">
        <v>293</v>
      </c>
      <c r="BW33" s="161">
        <f>B303</f>
        <v>2.8000000000000001E-15</v>
      </c>
      <c r="BX33" s="84"/>
      <c r="BZ33" s="146">
        <v>1000</v>
      </c>
      <c r="CA33" s="52" t="s">
        <v>23</v>
      </c>
      <c r="CB33" s="84" t="s">
        <v>293</v>
      </c>
      <c r="CC33" s="161">
        <f>B303</f>
        <v>2.8000000000000001E-15</v>
      </c>
      <c r="CD33" s="84"/>
      <c r="CE33" s="84" t="s">
        <v>293</v>
      </c>
      <c r="CF33" s="161">
        <f>B304</f>
        <v>2.8000000000000002E-12</v>
      </c>
      <c r="CG33" s="84"/>
      <c r="CM33" s="83"/>
      <c r="CN33" s="91" t="s">
        <v>231</v>
      </c>
      <c r="CO33" s="136">
        <f>B18</f>
        <v>432</v>
      </c>
      <c r="CP33" s="52" t="s">
        <v>60</v>
      </c>
      <c r="CR33" s="83"/>
      <c r="CS33" s="83"/>
      <c r="CT33" s="83" t="s">
        <v>363</v>
      </c>
      <c r="CU33" s="141">
        <f t="shared" ref="CU33:CU42" si="1">B170</f>
        <v>1</v>
      </c>
      <c r="CV33" s="92" t="s">
        <v>60</v>
      </c>
      <c r="CZ33" s="92" t="s">
        <v>513</v>
      </c>
      <c r="DA33" s="141">
        <f t="shared" si="0"/>
        <v>41.7</v>
      </c>
      <c r="DB33" s="83" t="s">
        <v>221</v>
      </c>
      <c r="DS33" s="94"/>
      <c r="DW33" s="88"/>
      <c r="DX33" s="83"/>
      <c r="DY33" s="101"/>
      <c r="DZ33" s="92"/>
      <c r="EH33" s="94"/>
      <c r="GT33" s="52">
        <f>1.54/(0.504)</f>
        <v>3.0555555555555558</v>
      </c>
      <c r="GU33" s="52">
        <f>1/GT33</f>
        <v>0.32727272727272727</v>
      </c>
      <c r="HD33" s="84" t="s">
        <v>34</v>
      </c>
      <c r="HE33" s="150">
        <f>B82</f>
        <v>70</v>
      </c>
    </row>
    <row r="34" spans="1:214" x14ac:dyDescent="0.2">
      <c r="A34" s="84" t="s">
        <v>21</v>
      </c>
      <c r="B34" s="188">
        <f>15*B302*B18*B303</f>
        <v>4.3727040000000005E-9</v>
      </c>
      <c r="C34" s="52" t="s">
        <v>13</v>
      </c>
      <c r="D34" s="83" t="s">
        <v>382</v>
      </c>
      <c r="E34" s="150">
        <f>B56</f>
        <v>350</v>
      </c>
      <c r="F34" s="83" t="s">
        <v>24</v>
      </c>
      <c r="G34" s="83" t="s">
        <v>383</v>
      </c>
      <c r="H34" s="150">
        <f>B59</f>
        <v>24</v>
      </c>
      <c r="I34" s="94" t="s">
        <v>194</v>
      </c>
      <c r="J34" s="83" t="s">
        <v>383</v>
      </c>
      <c r="K34" s="150">
        <f>B59</f>
        <v>24</v>
      </c>
      <c r="L34" s="94" t="s">
        <v>194</v>
      </c>
      <c r="M34" s="52" t="s">
        <v>410</v>
      </c>
      <c r="N34" s="139">
        <f>B11</f>
        <v>2.5484199999999999E-2</v>
      </c>
      <c r="O34" s="84" t="s">
        <v>354</v>
      </c>
      <c r="P34" s="52" t="s">
        <v>419</v>
      </c>
      <c r="Q34" s="139">
        <f>B13</f>
        <v>3.4557999999999998E-2</v>
      </c>
      <c r="R34" s="84" t="s">
        <v>353</v>
      </c>
      <c r="V34" s="52" t="s">
        <v>421</v>
      </c>
      <c r="W34" s="150">
        <f>B251</f>
        <v>8</v>
      </c>
      <c r="X34" s="84" t="s">
        <v>194</v>
      </c>
      <c r="Y34" s="52" t="s">
        <v>192</v>
      </c>
      <c r="Z34" s="150">
        <f>B274</f>
        <v>8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B21</f>
        <v>69557565.807898715</v>
      </c>
      <c r="AH34" s="104" t="s">
        <v>78</v>
      </c>
      <c r="AI34" s="52" t="s">
        <v>410</v>
      </c>
      <c r="AJ34" s="139">
        <f>B11</f>
        <v>2.5484199999999999E-2</v>
      </c>
      <c r="AK34" s="84" t="s">
        <v>353</v>
      </c>
      <c r="AL34" s="52" t="s">
        <v>419</v>
      </c>
      <c r="AM34" s="139">
        <f>B13</f>
        <v>3.4557999999999998E-2</v>
      </c>
      <c r="AN34" s="84" t="s">
        <v>353</v>
      </c>
      <c r="AR34" s="52" t="s">
        <v>410</v>
      </c>
      <c r="AS34" s="139">
        <f>B11</f>
        <v>2.5484199999999999E-2</v>
      </c>
      <c r="AT34" s="84" t="s">
        <v>353</v>
      </c>
      <c r="AU34" s="52" t="s">
        <v>419</v>
      </c>
      <c r="AV34" s="139">
        <f>B13</f>
        <v>3.4557999999999998E-2</v>
      </c>
      <c r="AW34" s="84" t="s">
        <v>353</v>
      </c>
      <c r="BA34" s="52" t="s">
        <v>410</v>
      </c>
      <c r="BB34" s="139">
        <f>B11</f>
        <v>2.5484199999999999E-2</v>
      </c>
      <c r="BC34" s="84" t="s">
        <v>353</v>
      </c>
      <c r="BD34" s="52" t="s">
        <v>419</v>
      </c>
      <c r="BE34" s="139">
        <f>B13</f>
        <v>3.4557999999999998E-2</v>
      </c>
      <c r="BF34" s="84" t="s">
        <v>353</v>
      </c>
      <c r="BJ34" s="52" t="s">
        <v>57</v>
      </c>
      <c r="BK34" s="136">
        <f>B274</f>
        <v>8</v>
      </c>
      <c r="BL34" s="52" t="s">
        <v>194</v>
      </c>
      <c r="BM34" s="52" t="s">
        <v>57</v>
      </c>
      <c r="BN34" s="136">
        <f>B274</f>
        <v>8</v>
      </c>
      <c r="BO34" s="52" t="s">
        <v>194</v>
      </c>
      <c r="BT34" s="102"/>
      <c r="BU34" s="91"/>
      <c r="BV34" s="91" t="s">
        <v>231</v>
      </c>
      <c r="BW34" s="136">
        <f>B18</f>
        <v>432</v>
      </c>
      <c r="BX34" s="52" t="s">
        <v>60</v>
      </c>
      <c r="BY34" s="91" t="s">
        <v>308</v>
      </c>
      <c r="BZ34" s="146">
        <f>B101</f>
        <v>0.23</v>
      </c>
      <c r="CM34" s="83"/>
      <c r="CN34" s="84" t="s">
        <v>16</v>
      </c>
      <c r="CO34" s="137">
        <f>(CO31*CO32)/(1-EXP(-CO32*CO31))</f>
        <v>1.0008022977791844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125.7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B33</f>
        <v>4</v>
      </c>
    </row>
    <row r="35" spans="1:214" x14ac:dyDescent="0.2">
      <c r="A35" s="52" t="s">
        <v>393</v>
      </c>
      <c r="B35" s="131">
        <v>0.26</v>
      </c>
      <c r="D35" s="83" t="s">
        <v>258</v>
      </c>
      <c r="E35" s="136">
        <f>B17</f>
        <v>8.8060000000000005E-4</v>
      </c>
      <c r="F35" s="83" t="s">
        <v>87</v>
      </c>
      <c r="G35" s="83" t="s">
        <v>384</v>
      </c>
      <c r="H35" s="150">
        <f>B59</f>
        <v>24</v>
      </c>
      <c r="I35" s="52" t="s">
        <v>194</v>
      </c>
      <c r="J35" s="83" t="s">
        <v>384</v>
      </c>
      <c r="K35" s="150">
        <f>B59</f>
        <v>24</v>
      </c>
      <c r="L35" s="52" t="s">
        <v>194</v>
      </c>
      <c r="M35" s="52" t="s">
        <v>409</v>
      </c>
      <c r="N35" s="150">
        <f>B79</f>
        <v>16.416</v>
      </c>
      <c r="O35" s="52" t="s">
        <v>194</v>
      </c>
      <c r="P35" s="52" t="s">
        <v>409</v>
      </c>
      <c r="Q35" s="150">
        <f>B79</f>
        <v>16.416</v>
      </c>
      <c r="R35" s="52" t="s">
        <v>194</v>
      </c>
      <c r="V35" s="52" t="s">
        <v>304</v>
      </c>
      <c r="W35" s="146">
        <f>B242</f>
        <v>60</v>
      </c>
      <c r="X35" s="84" t="s">
        <v>407</v>
      </c>
      <c r="Y35" s="52" t="s">
        <v>348</v>
      </c>
      <c r="Z35" s="146">
        <f>B266</f>
        <v>60</v>
      </c>
      <c r="AA35" s="84" t="s">
        <v>407</v>
      </c>
      <c r="AB35" s="84" t="s">
        <v>295</v>
      </c>
      <c r="AC35" s="141">
        <f>B302</f>
        <v>241</v>
      </c>
      <c r="AD35" s="150">
        <f>B302</f>
        <v>241</v>
      </c>
      <c r="AE35" s="150">
        <f>B302</f>
        <v>241</v>
      </c>
      <c r="AF35" s="150">
        <f>B302</f>
        <v>241</v>
      </c>
      <c r="AG35" s="150">
        <f>B302</f>
        <v>241</v>
      </c>
      <c r="AH35" s="84" t="s">
        <v>296</v>
      </c>
      <c r="AI35" s="52" t="s">
        <v>69</v>
      </c>
      <c r="AJ35" s="136">
        <f>B251</f>
        <v>8</v>
      </c>
      <c r="AK35" s="52" t="s">
        <v>194</v>
      </c>
      <c r="AL35" s="52" t="s">
        <v>69</v>
      </c>
      <c r="AM35" s="136">
        <f>B251</f>
        <v>8</v>
      </c>
      <c r="AN35" s="52" t="s">
        <v>194</v>
      </c>
      <c r="AR35" s="52" t="s">
        <v>69</v>
      </c>
      <c r="AS35" s="136">
        <f>B263</f>
        <v>0</v>
      </c>
      <c r="AT35" s="52" t="s">
        <v>194</v>
      </c>
      <c r="AU35" s="52" t="s">
        <v>69</v>
      </c>
      <c r="AV35" s="136">
        <f>B263</f>
        <v>0</v>
      </c>
      <c r="AW35" s="52" t="s">
        <v>194</v>
      </c>
      <c r="BA35" s="52" t="s">
        <v>69</v>
      </c>
      <c r="BB35" s="136">
        <f>B239</f>
        <v>8</v>
      </c>
      <c r="BC35" s="52" t="s">
        <v>194</v>
      </c>
      <c r="BD35" s="52" t="s">
        <v>69</v>
      </c>
      <c r="BE35" s="136">
        <f>B239</f>
        <v>8</v>
      </c>
      <c r="BF35" s="52" t="s">
        <v>194</v>
      </c>
      <c r="BJ35" s="52" t="s">
        <v>410</v>
      </c>
      <c r="BK35" s="139">
        <f>B11</f>
        <v>2.5484199999999999E-2</v>
      </c>
      <c r="BL35" s="84" t="s">
        <v>353</v>
      </c>
      <c r="BM35" s="52" t="s">
        <v>419</v>
      </c>
      <c r="BN35" s="139">
        <f>B13</f>
        <v>3.4557999999999998E-2</v>
      </c>
      <c r="BO35" s="84" t="s">
        <v>353</v>
      </c>
      <c r="BY35" s="91" t="s">
        <v>309</v>
      </c>
      <c r="BZ35" s="146">
        <f>B102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B167</f>
        <v>350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B65</f>
        <v>0.5</v>
      </c>
      <c r="HF35" s="52" t="s">
        <v>355</v>
      </c>
    </row>
    <row r="36" spans="1:214" x14ac:dyDescent="0.2">
      <c r="A36" s="52" t="s">
        <v>392</v>
      </c>
      <c r="B36" s="131">
        <v>0.25</v>
      </c>
      <c r="D36" s="83" t="s">
        <v>389</v>
      </c>
      <c r="E36" s="146">
        <f>B80</f>
        <v>1</v>
      </c>
      <c r="G36" s="83" t="s">
        <v>405</v>
      </c>
      <c r="H36" s="138">
        <f>B66</f>
        <v>1</v>
      </c>
      <c r="I36" s="52" t="s">
        <v>80</v>
      </c>
      <c r="J36" s="83" t="s">
        <v>390</v>
      </c>
      <c r="K36" s="141">
        <f>B68</f>
        <v>0.25</v>
      </c>
      <c r="M36" s="84" t="s">
        <v>295</v>
      </c>
      <c r="N36" s="142">
        <f>B302</f>
        <v>241</v>
      </c>
      <c r="O36" s="84" t="s">
        <v>296</v>
      </c>
      <c r="P36" s="84" t="s">
        <v>295</v>
      </c>
      <c r="Q36" s="142">
        <f>B302</f>
        <v>241</v>
      </c>
      <c r="R36" s="84" t="s">
        <v>296</v>
      </c>
      <c r="V36" s="83" t="s">
        <v>256</v>
      </c>
      <c r="W36" s="136">
        <f>B15</f>
        <v>125.5296</v>
      </c>
      <c r="X36" s="83" t="s">
        <v>343</v>
      </c>
      <c r="Y36" s="83" t="s">
        <v>256</v>
      </c>
      <c r="Z36" s="136">
        <f>B15</f>
        <v>125.5296</v>
      </c>
      <c r="AA36" s="83" t="s">
        <v>343</v>
      </c>
      <c r="AB36" s="84" t="s">
        <v>293</v>
      </c>
      <c r="AC36" s="161">
        <f>B304</f>
        <v>2.8000000000000002E-12</v>
      </c>
      <c r="AD36" s="136">
        <f>B304</f>
        <v>2.8000000000000002E-12</v>
      </c>
      <c r="AE36" s="136">
        <f>B304</f>
        <v>2.8000000000000002E-12</v>
      </c>
      <c r="AF36" s="136">
        <f>B304</f>
        <v>2.8000000000000002E-12</v>
      </c>
      <c r="AG36" s="136">
        <f>B304</f>
        <v>2.8000000000000002E-12</v>
      </c>
      <c r="AI36" s="84" t="s">
        <v>295</v>
      </c>
      <c r="AJ36" s="142">
        <f>B302</f>
        <v>241</v>
      </c>
      <c r="AK36" s="84" t="s">
        <v>296</v>
      </c>
      <c r="AL36" s="84" t="s">
        <v>295</v>
      </c>
      <c r="AM36" s="142">
        <f>B302</f>
        <v>241</v>
      </c>
      <c r="AN36" s="84" t="s">
        <v>296</v>
      </c>
      <c r="AR36" s="84" t="s">
        <v>295</v>
      </c>
      <c r="AS36" s="142">
        <f>B302</f>
        <v>241</v>
      </c>
      <c r="AT36" s="84" t="s">
        <v>296</v>
      </c>
      <c r="AU36" s="84" t="s">
        <v>295</v>
      </c>
      <c r="AV36" s="142">
        <f>B302</f>
        <v>241</v>
      </c>
      <c r="AW36" s="84" t="s">
        <v>296</v>
      </c>
      <c r="BA36" s="84" t="s">
        <v>295</v>
      </c>
      <c r="BB36" s="142">
        <f>B302</f>
        <v>241</v>
      </c>
      <c r="BC36" s="84" t="s">
        <v>296</v>
      </c>
      <c r="BD36" s="84" t="s">
        <v>295</v>
      </c>
      <c r="BE36" s="142">
        <f>B302</f>
        <v>241</v>
      </c>
      <c r="BF36" s="84" t="s">
        <v>296</v>
      </c>
      <c r="BJ36" s="84" t="s">
        <v>295</v>
      </c>
      <c r="BK36" s="142">
        <f>B302</f>
        <v>241</v>
      </c>
      <c r="BL36" s="84" t="s">
        <v>296</v>
      </c>
      <c r="BM36" s="84" t="s">
        <v>295</v>
      </c>
      <c r="BN36" s="142">
        <f>B302</f>
        <v>241</v>
      </c>
      <c r="BO36" s="84" t="s">
        <v>296</v>
      </c>
      <c r="BS36" s="100"/>
      <c r="BT36" s="100"/>
      <c r="BU36" s="91"/>
      <c r="BY36" s="84" t="s">
        <v>295</v>
      </c>
      <c r="BZ36" s="142">
        <f>B302</f>
        <v>241</v>
      </c>
      <c r="CA36" s="84" t="s">
        <v>296</v>
      </c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B168</f>
        <v>350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B87</f>
        <v>5</v>
      </c>
      <c r="HF36" s="52" t="s">
        <v>94</v>
      </c>
    </row>
    <row r="37" spans="1:214" x14ac:dyDescent="0.2">
      <c r="A37" s="381" t="s">
        <v>2</v>
      </c>
      <c r="B37" s="382"/>
      <c r="C37" s="383"/>
      <c r="D37" s="83" t="s">
        <v>394</v>
      </c>
      <c r="E37" s="146">
        <f>B44</f>
        <v>54</v>
      </c>
      <c r="F37" s="52" t="s">
        <v>48</v>
      </c>
      <c r="G37" s="83" t="s">
        <v>406</v>
      </c>
      <c r="H37" s="138">
        <f>B67</f>
        <v>1</v>
      </c>
      <c r="I37" s="52" t="s">
        <v>80</v>
      </c>
      <c r="J37" s="83" t="s">
        <v>408</v>
      </c>
      <c r="K37" s="150">
        <f>B78</f>
        <v>1.752</v>
      </c>
      <c r="L37" s="84" t="s">
        <v>194</v>
      </c>
      <c r="M37" s="84" t="s">
        <v>293</v>
      </c>
      <c r="N37" s="161">
        <f>B303</f>
        <v>2.8000000000000001E-15</v>
      </c>
      <c r="O37" s="84"/>
      <c r="P37" s="84" t="s">
        <v>293</v>
      </c>
      <c r="Q37" s="161">
        <f>B304</f>
        <v>2.8000000000000002E-12</v>
      </c>
      <c r="R37" s="84"/>
      <c r="V37" s="83" t="s">
        <v>301</v>
      </c>
      <c r="W37" s="142">
        <f>B246</f>
        <v>1</v>
      </c>
      <c r="Y37" s="83" t="s">
        <v>301</v>
      </c>
      <c r="Z37" s="142">
        <f>B270</f>
        <v>1</v>
      </c>
      <c r="AI37" s="84" t="s">
        <v>293</v>
      </c>
      <c r="AJ37" s="161">
        <f>B303</f>
        <v>2.8000000000000001E-15</v>
      </c>
      <c r="AK37" s="84"/>
      <c r="AL37" s="84" t="s">
        <v>293</v>
      </c>
      <c r="AM37" s="161">
        <f>B304</f>
        <v>2.8000000000000002E-12</v>
      </c>
      <c r="AN37" s="84"/>
      <c r="AR37" s="84" t="s">
        <v>293</v>
      </c>
      <c r="AS37" s="161">
        <f>B303</f>
        <v>2.8000000000000001E-15</v>
      </c>
      <c r="AT37" s="84"/>
      <c r="AU37" s="84" t="s">
        <v>293</v>
      </c>
      <c r="AV37" s="161">
        <f>B304</f>
        <v>2.8000000000000002E-12</v>
      </c>
      <c r="AW37" s="84"/>
      <c r="BA37" s="84" t="s">
        <v>293</v>
      </c>
      <c r="BB37" s="161">
        <f>B303</f>
        <v>2.8000000000000001E-15</v>
      </c>
      <c r="BC37" s="84"/>
      <c r="BD37" s="84" t="s">
        <v>293</v>
      </c>
      <c r="BE37" s="161">
        <f>B304</f>
        <v>2.8000000000000002E-12</v>
      </c>
      <c r="BF37" s="84"/>
      <c r="BJ37" s="84" t="s">
        <v>293</v>
      </c>
      <c r="BK37" s="161">
        <f>B303</f>
        <v>2.8000000000000001E-15</v>
      </c>
      <c r="BL37" s="84"/>
      <c r="BM37" s="84" t="s">
        <v>293</v>
      </c>
      <c r="BN37" s="161">
        <f>B304</f>
        <v>2.8000000000000002E-12</v>
      </c>
      <c r="BO37" s="84"/>
      <c r="BS37" s="91"/>
      <c r="BT37" s="91"/>
      <c r="BU37" s="91"/>
      <c r="BY37" s="84" t="s">
        <v>293</v>
      </c>
      <c r="BZ37" s="161">
        <f>B304</f>
        <v>2.8000000000000002E-12</v>
      </c>
      <c r="CA37" s="84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12.167999999999999</v>
      </c>
      <c r="CV37" s="84" t="s">
        <v>194</v>
      </c>
      <c r="CZ37" s="92" t="s">
        <v>363</v>
      </c>
      <c r="DA37" s="141">
        <f>B170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4.25" x14ac:dyDescent="0.2">
      <c r="A38" s="83" t="s">
        <v>366</v>
      </c>
      <c r="B38" s="130">
        <v>10</v>
      </c>
      <c r="C38" s="92" t="s">
        <v>407</v>
      </c>
      <c r="D38" s="83" t="s">
        <v>260</v>
      </c>
      <c r="E38" s="152">
        <f>(E33/(E35*E34*E37*E36))*E7*E39*E40</f>
        <v>1.7515330456506926E-8</v>
      </c>
      <c r="F38" s="84" t="s">
        <v>297</v>
      </c>
      <c r="H38" s="138">
        <f>1/1000</f>
        <v>1E-3</v>
      </c>
      <c r="I38" s="52" t="s">
        <v>82</v>
      </c>
      <c r="J38" s="83" t="s">
        <v>409</v>
      </c>
      <c r="K38" s="150">
        <f>B79</f>
        <v>16.416</v>
      </c>
      <c r="L38" s="84" t="s">
        <v>194</v>
      </c>
      <c r="V38" s="52" t="s">
        <v>261</v>
      </c>
      <c r="W38" s="143">
        <f>((W27)/((W34/24)*W31*W32*W33*W35))*W30*W42*W43</f>
        <v>1.6062682866352594E-13</v>
      </c>
      <c r="X38" s="52" t="s">
        <v>15</v>
      </c>
      <c r="Y38" s="52" t="s">
        <v>261</v>
      </c>
      <c r="Z38" s="143">
        <f>((Z27)/((Z34/24)*Z31*Z32*Z33*Z35))*Z30*Z45*Z46</f>
        <v>1.6062682866352594E-13</v>
      </c>
      <c r="AA38" s="52" t="s">
        <v>15</v>
      </c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10.007999999999999</v>
      </c>
      <c r="CV38" s="84" t="s">
        <v>194</v>
      </c>
      <c r="CZ38" s="92" t="s">
        <v>364</v>
      </c>
      <c r="DA38" s="141">
        <f>B171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B88</f>
        <v>0.18</v>
      </c>
      <c r="HF38" s="52" t="s">
        <v>355</v>
      </c>
    </row>
    <row r="39" spans="1:214" x14ac:dyDescent="0.2">
      <c r="A39" s="83" t="s">
        <v>367</v>
      </c>
      <c r="B39" s="130">
        <v>20</v>
      </c>
      <c r="C39" s="92" t="s">
        <v>407</v>
      </c>
      <c r="D39" s="84" t="s">
        <v>295</v>
      </c>
      <c r="E39" s="142">
        <f>B302</f>
        <v>241</v>
      </c>
      <c r="F39" s="84" t="s">
        <v>296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((W27)/((W34/24)*W31*W36*(1/365)))*W30*W42*W43</f>
        <v>1.0171541755888652E-11</v>
      </c>
      <c r="X39" s="52" t="s">
        <v>15</v>
      </c>
      <c r="Y39" s="52" t="s">
        <v>271</v>
      </c>
      <c r="Z39" s="144">
        <f>((Z27)/((Z34/24)*Z31*Z36*(1/365)))*Z30*Z45*Z46</f>
        <v>1.0171541755888652E-11</v>
      </c>
      <c r="AA39" s="52" t="s">
        <v>15</v>
      </c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B172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B89</f>
        <v>55</v>
      </c>
      <c r="HF39" s="52" t="s">
        <v>97</v>
      </c>
    </row>
    <row r="40" spans="1:214" x14ac:dyDescent="0.2">
      <c r="A40" s="83" t="s">
        <v>368</v>
      </c>
      <c r="B40" s="130">
        <v>200</v>
      </c>
      <c r="C40" s="84" t="s">
        <v>48</v>
      </c>
      <c r="D40" s="84" t="s">
        <v>293</v>
      </c>
      <c r="E40" s="161">
        <f>B304</f>
        <v>2.8000000000000002E-12</v>
      </c>
      <c r="F40" s="84"/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((W27*W29*W28)/((W34/24)*(1-EXP(-W29*W32))*W33*W35*W31*W32))*W30*W42*W43</f>
        <v>1.6075569921144008E-13</v>
      </c>
      <c r="X40" s="52" t="s">
        <v>16</v>
      </c>
      <c r="Y40" s="52" t="s">
        <v>261</v>
      </c>
      <c r="Z40" s="144">
        <f>((Z27*Z29*Z28)/((Z34/24)*(1-EXP(-Z29*Z32))*Z33*Z35*Z31*Z32))*Z30*Z45*Z46</f>
        <v>1.6075569921144008E-13</v>
      </c>
      <c r="AA40" s="52" t="s">
        <v>16</v>
      </c>
      <c r="BK40" s="352" t="s">
        <v>230</v>
      </c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0.4</v>
      </c>
      <c r="CZ40" s="92" t="s">
        <v>457</v>
      </c>
      <c r="DA40" s="141">
        <f>B181</f>
        <v>1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B90</f>
        <v>5</v>
      </c>
      <c r="HF40" s="52" t="s">
        <v>97</v>
      </c>
    </row>
    <row r="41" spans="1:214" ht="13.5" thickBot="1" x14ac:dyDescent="0.25">
      <c r="A41" s="83" t="s">
        <v>369</v>
      </c>
      <c r="B41" s="130">
        <v>100</v>
      </c>
      <c r="C41" s="84" t="s">
        <v>48</v>
      </c>
      <c r="E41" s="138"/>
      <c r="G41" s="83" t="s">
        <v>390</v>
      </c>
      <c r="H41" s="141">
        <f>B68</f>
        <v>0.25</v>
      </c>
      <c r="I41" s="84"/>
      <c r="J41" s="83" t="s">
        <v>302</v>
      </c>
      <c r="K41" s="141">
        <v>1</v>
      </c>
      <c r="V41" s="52" t="s">
        <v>271</v>
      </c>
      <c r="W41" s="145">
        <f>((W27*W29*W28)/((W34/24)*(1-EXP(-W29*W28))*W36*W31*(1/365)))*W30*W42*W43</f>
        <v>1.0179702361250283E-11</v>
      </c>
      <c r="X41" s="52" t="s">
        <v>16</v>
      </c>
      <c r="Y41" s="52" t="s">
        <v>271</v>
      </c>
      <c r="Z41" s="145">
        <f>((Z27*Z29*Z28)/((Z34/24)*(1-EXP(-Z29*Z28))*Z36*Z31*(1/365)))*Z30*Z45*Z46</f>
        <v>1.0179702361250283E-11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41">
        <f t="shared" si="1"/>
        <v>1</v>
      </c>
      <c r="CZ41" s="92" t="s">
        <v>466</v>
      </c>
      <c r="DA41" s="141">
        <f>B182</f>
        <v>1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B91</f>
        <v>5</v>
      </c>
      <c r="HF41" s="52" t="s">
        <v>97</v>
      </c>
    </row>
    <row r="42" spans="1:214" ht="19.5" thickTop="1" thickBot="1" x14ac:dyDescent="0.25">
      <c r="A42" s="83" t="s">
        <v>370</v>
      </c>
      <c r="B42" s="130">
        <v>0.78</v>
      </c>
      <c r="C42" s="83" t="s">
        <v>28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41">
        <v>1</v>
      </c>
      <c r="V42" s="84" t="s">
        <v>295</v>
      </c>
      <c r="W42" s="142">
        <f>B302</f>
        <v>241</v>
      </c>
      <c r="X42" s="84" t="s">
        <v>296</v>
      </c>
      <c r="Y42" s="52" t="s">
        <v>220</v>
      </c>
      <c r="Z42" s="138">
        <f>B278</f>
        <v>50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41">
        <f t="shared" si="1"/>
        <v>1</v>
      </c>
      <c r="CW42" s="84"/>
      <c r="CX42" s="84"/>
      <c r="CY42" s="84"/>
      <c r="CZ42" s="52" t="s">
        <v>477</v>
      </c>
      <c r="DA42" s="141">
        <f>B183</f>
        <v>0.54</v>
      </c>
      <c r="DB42" s="92" t="s">
        <v>358</v>
      </c>
      <c r="DW42" s="88"/>
      <c r="DX42" s="88"/>
      <c r="DY42" s="88"/>
      <c r="DZ42" s="88"/>
      <c r="HD42" s="52" t="s">
        <v>225</v>
      </c>
      <c r="HE42" s="241">
        <f>1+((HE35*HE36*HE37)/(HE38*HE39))</f>
        <v>3.1605966718331597</v>
      </c>
    </row>
    <row r="43" spans="1:214" x14ac:dyDescent="0.2">
      <c r="A43" s="83" t="s">
        <v>371</v>
      </c>
      <c r="B43" s="130">
        <v>2.5</v>
      </c>
      <c r="C43" s="52" t="s">
        <v>28</v>
      </c>
      <c r="D43" s="323" t="s">
        <v>530</v>
      </c>
      <c r="E43" s="347">
        <f>E53</f>
        <v>1.0387983004415467E-3</v>
      </c>
      <c r="F43" s="345" t="s">
        <v>13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V43" s="84" t="s">
        <v>293</v>
      </c>
      <c r="W43" s="161">
        <f>B303</f>
        <v>2.8000000000000001E-15</v>
      </c>
      <c r="X43" s="84"/>
      <c r="Y43" s="52" t="s">
        <v>219</v>
      </c>
      <c r="Z43" s="138">
        <f>B277</f>
        <v>5</v>
      </c>
      <c r="AA43" s="52" t="s">
        <v>157</v>
      </c>
      <c r="AE43" s="352" t="s">
        <v>226</v>
      </c>
      <c r="AF43" s="352"/>
      <c r="AG43" s="352"/>
      <c r="AI43" s="104"/>
      <c r="AJ43" s="104"/>
      <c r="AK43" s="104"/>
      <c r="BK43" s="352"/>
      <c r="BL43" s="352"/>
      <c r="BM43" s="352"/>
      <c r="BN43" s="352"/>
      <c r="BO43" s="352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B184</f>
        <v>0.71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83" t="s">
        <v>310</v>
      </c>
      <c r="B44" s="130">
        <v>54</v>
      </c>
      <c r="C44" s="52" t="s">
        <v>48</v>
      </c>
      <c r="D44" s="324"/>
      <c r="E44" s="348"/>
      <c r="F44" s="346"/>
      <c r="G44" s="52" t="s">
        <v>19</v>
      </c>
      <c r="H44" s="136">
        <f>H46</f>
        <v>1.914E-5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AE44" s="352"/>
      <c r="AF44" s="352"/>
      <c r="AG44" s="352"/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5.75" thickTop="1" x14ac:dyDescent="0.2">
      <c r="A45" s="83" t="s">
        <v>372</v>
      </c>
      <c r="B45" s="130">
        <v>68.099999999999994</v>
      </c>
      <c r="C45" s="92" t="s">
        <v>221</v>
      </c>
      <c r="D45" s="83" t="s">
        <v>267</v>
      </c>
      <c r="E45" s="136">
        <f>B5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Y45" s="84" t="s">
        <v>295</v>
      </c>
      <c r="Z45" s="142">
        <f>B302</f>
        <v>241</v>
      </c>
      <c r="AA45" s="84" t="s">
        <v>296</v>
      </c>
      <c r="AB45" s="104"/>
      <c r="AC45" s="105"/>
      <c r="AE45" s="352"/>
      <c r="AF45" s="352"/>
      <c r="AG45" s="352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B185</f>
        <v>0.5</v>
      </c>
      <c r="DB45" s="92" t="s">
        <v>145</v>
      </c>
      <c r="DW45" s="88"/>
      <c r="DX45" s="88"/>
      <c r="DY45" s="88"/>
      <c r="DZ45" s="88"/>
    </row>
    <row r="46" spans="1:214" x14ac:dyDescent="0.2">
      <c r="A46" s="83" t="s">
        <v>373</v>
      </c>
      <c r="B46" s="130">
        <v>188.5</v>
      </c>
      <c r="C46" s="92" t="s">
        <v>221</v>
      </c>
      <c r="D46" s="83" t="s">
        <v>382</v>
      </c>
      <c r="E46" s="150">
        <f>B56</f>
        <v>350</v>
      </c>
      <c r="F46" s="83" t="s">
        <v>24</v>
      </c>
      <c r="G46" s="84" t="s">
        <v>32</v>
      </c>
      <c r="H46" s="139">
        <f>B31</f>
        <v>1.914E-5</v>
      </c>
      <c r="K46" s="146">
        <v>1000</v>
      </c>
      <c r="L46" s="52" t="s">
        <v>23</v>
      </c>
      <c r="Y46" s="84" t="s">
        <v>293</v>
      </c>
      <c r="Z46" s="161">
        <f>B303</f>
        <v>2.8000000000000001E-15</v>
      </c>
      <c r="AA46" s="84"/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83" t="s">
        <v>374</v>
      </c>
      <c r="B47" s="130">
        <v>41.7</v>
      </c>
      <c r="C47" s="92" t="s">
        <v>221</v>
      </c>
      <c r="D47" s="83" t="s">
        <v>258</v>
      </c>
      <c r="E47" s="136">
        <f>B17</f>
        <v>8.8060000000000005E-4</v>
      </c>
      <c r="F47" s="83" t="s">
        <v>87</v>
      </c>
      <c r="G47" s="83" t="s">
        <v>393</v>
      </c>
      <c r="H47" s="142">
        <f>B35</f>
        <v>0.26</v>
      </c>
      <c r="J47" s="52" t="s">
        <v>19</v>
      </c>
      <c r="K47" s="136">
        <f>K49</f>
        <v>1.914E-5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B165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83" t="s">
        <v>375</v>
      </c>
      <c r="B48" s="130">
        <v>128.9</v>
      </c>
      <c r="C48" s="92" t="s">
        <v>221</v>
      </c>
      <c r="D48" s="83" t="s">
        <v>379</v>
      </c>
      <c r="E48" s="146">
        <f>B53</f>
        <v>1</v>
      </c>
      <c r="F48" s="52" t="s">
        <v>60</v>
      </c>
      <c r="G48" s="52" t="s">
        <v>17</v>
      </c>
      <c r="H48" s="137">
        <f>((H51*H52*H53)*((1-EXP(-H54*H55))))/(H56*H54)</f>
        <v>6.6877504027585484E-4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B166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83" t="s">
        <v>376</v>
      </c>
      <c r="B49" s="130">
        <v>0.23</v>
      </c>
      <c r="D49" s="83" t="s">
        <v>394</v>
      </c>
      <c r="E49" s="146">
        <f>B44</f>
        <v>54</v>
      </c>
      <c r="F49" s="52" t="s">
        <v>48</v>
      </c>
      <c r="G49" s="52" t="s">
        <v>25</v>
      </c>
      <c r="H49" s="137">
        <f>(H51*H52*H57*((1-EXP(-H54*H55))))/(H56*H54)</f>
        <v>9.0847184154504852</v>
      </c>
      <c r="I49" s="52" t="s">
        <v>18</v>
      </c>
      <c r="J49" s="84" t="s">
        <v>32</v>
      </c>
      <c r="K49" s="139">
        <f>B31</f>
        <v>1.914E-5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T49" s="84" t="s">
        <v>295</v>
      </c>
      <c r="CU49" s="142">
        <f>B302</f>
        <v>241</v>
      </c>
      <c r="CV49" s="84" t="s">
        <v>296</v>
      </c>
      <c r="CZ49" s="83" t="s">
        <v>475</v>
      </c>
      <c r="DA49" s="146">
        <f>B165</f>
        <v>0.15</v>
      </c>
      <c r="DW49" s="88"/>
      <c r="DX49" s="88"/>
      <c r="DY49" s="88"/>
      <c r="DZ49" s="88"/>
    </row>
    <row r="50" spans="1:130" x14ac:dyDescent="0.2">
      <c r="A50" s="83" t="s">
        <v>377</v>
      </c>
      <c r="B50" s="130">
        <v>0.77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3.6421488784670224</v>
      </c>
      <c r="I50" s="52" t="s">
        <v>18</v>
      </c>
      <c r="J50" s="83" t="s">
        <v>393</v>
      </c>
      <c r="K50" s="142">
        <f>B35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T50" s="84" t="s">
        <v>293</v>
      </c>
      <c r="CU50" s="161">
        <f>B304</f>
        <v>2.8000000000000002E-12</v>
      </c>
      <c r="CV50" s="84"/>
      <c r="CZ50" s="83" t="s">
        <v>476</v>
      </c>
      <c r="DA50" s="146">
        <f>B166</f>
        <v>0.85</v>
      </c>
      <c r="DW50" s="88"/>
      <c r="DX50" s="88"/>
      <c r="DY50" s="88"/>
      <c r="DZ50" s="88"/>
    </row>
    <row r="51" spans="1:130" x14ac:dyDescent="0.2">
      <c r="A51" s="52" t="s">
        <v>378</v>
      </c>
      <c r="B51" s="131">
        <v>1</v>
      </c>
      <c r="C51" s="52" t="s">
        <v>60</v>
      </c>
      <c r="D51" s="83" t="s">
        <v>105</v>
      </c>
      <c r="E51" s="150">
        <f>B23</f>
        <v>240</v>
      </c>
      <c r="F51" s="84" t="s">
        <v>18</v>
      </c>
      <c r="G51" s="83" t="s">
        <v>36</v>
      </c>
      <c r="H51" s="138">
        <f>B69</f>
        <v>3.62</v>
      </c>
      <c r="I51" s="52" t="s">
        <v>37</v>
      </c>
      <c r="J51" s="83" t="s">
        <v>376</v>
      </c>
      <c r="K51" s="146">
        <f>B49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CZ51" s="84" t="s">
        <v>295</v>
      </c>
      <c r="DA51" s="142">
        <f>B302</f>
        <v>241</v>
      </c>
      <c r="DB51" s="84" t="s">
        <v>296</v>
      </c>
      <c r="DW51" s="88"/>
      <c r="DX51" s="88"/>
      <c r="DY51" s="88"/>
      <c r="DZ51" s="88"/>
    </row>
    <row r="52" spans="1:130" x14ac:dyDescent="0.2">
      <c r="A52" s="52" t="s">
        <v>448</v>
      </c>
      <c r="B52" s="131">
        <v>1</v>
      </c>
      <c r="C52" s="52" t="s">
        <v>60</v>
      </c>
      <c r="D52" s="83" t="s">
        <v>107</v>
      </c>
      <c r="E52" s="138">
        <f>B64</f>
        <v>1</v>
      </c>
      <c r="F52" s="84" t="s">
        <v>108</v>
      </c>
      <c r="G52" s="83" t="s">
        <v>40</v>
      </c>
      <c r="H52" s="138">
        <f>B70</f>
        <v>0.25</v>
      </c>
      <c r="I52" s="52" t="s">
        <v>41</v>
      </c>
      <c r="J52" s="83" t="s">
        <v>377</v>
      </c>
      <c r="K52" s="146">
        <f>B50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CZ52" s="84" t="s">
        <v>293</v>
      </c>
      <c r="DA52" s="161">
        <f>B303</f>
        <v>2.8000000000000001E-15</v>
      </c>
      <c r="DB52" s="84"/>
      <c r="DW52" s="88"/>
      <c r="DX52" s="88"/>
      <c r="DY52" s="88"/>
      <c r="DZ52" s="88"/>
    </row>
    <row r="53" spans="1:130" x14ac:dyDescent="0.2">
      <c r="A53" s="52" t="s">
        <v>379</v>
      </c>
      <c r="B53" s="131">
        <v>1</v>
      </c>
      <c r="C53" s="52" t="s">
        <v>60</v>
      </c>
      <c r="D53" s="83" t="s">
        <v>260</v>
      </c>
      <c r="E53" s="152">
        <f>(E45/(E47*E46*E48*E49*E51*E52*(1/E50)))/E54</f>
        <v>1.0387983004415467E-3</v>
      </c>
      <c r="F53" s="52" t="s">
        <v>13</v>
      </c>
      <c r="G53" s="92" t="s">
        <v>32</v>
      </c>
      <c r="H53" s="136">
        <f>B31</f>
        <v>1.914E-5</v>
      </c>
      <c r="J53" s="84" t="s">
        <v>295</v>
      </c>
      <c r="K53" s="142">
        <f>B302</f>
        <v>241</v>
      </c>
      <c r="L53" s="84" t="s">
        <v>296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52" t="s">
        <v>380</v>
      </c>
      <c r="B54" s="131">
        <v>350</v>
      </c>
      <c r="C54" s="83" t="s">
        <v>24</v>
      </c>
      <c r="D54" s="84" t="s">
        <v>295</v>
      </c>
      <c r="E54" s="142">
        <f>B302</f>
        <v>241</v>
      </c>
      <c r="F54" s="84" t="s">
        <v>296</v>
      </c>
      <c r="G54" s="92" t="s">
        <v>49</v>
      </c>
      <c r="H54" s="137">
        <f>H62+H63</f>
        <v>3.1394977168949772E-5</v>
      </c>
      <c r="J54" s="84" t="s">
        <v>293</v>
      </c>
      <c r="K54" s="161">
        <f>B304</f>
        <v>2.8000000000000002E-12</v>
      </c>
      <c r="L54" s="84"/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52" t="s">
        <v>381</v>
      </c>
      <c r="B55" s="131">
        <v>350</v>
      </c>
      <c r="C55" s="83" t="s">
        <v>24</v>
      </c>
      <c r="D55" s="84" t="s">
        <v>293</v>
      </c>
      <c r="E55" s="161">
        <f>B303</f>
        <v>2.8000000000000001E-15</v>
      </c>
      <c r="F55" s="84"/>
      <c r="G55" s="92" t="s">
        <v>52</v>
      </c>
      <c r="H55" s="138">
        <f>B71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52" t="s">
        <v>382</v>
      </c>
      <c r="B56" s="131">
        <v>350</v>
      </c>
      <c r="C56" s="83" t="s">
        <v>24</v>
      </c>
      <c r="G56" s="92" t="s">
        <v>55</v>
      </c>
      <c r="H56" s="138">
        <f>B72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52" t="s">
        <v>403</v>
      </c>
      <c r="B57" s="131">
        <v>0.54</v>
      </c>
      <c r="C57" s="52" t="s">
        <v>89</v>
      </c>
      <c r="G57" s="92" t="s">
        <v>393</v>
      </c>
      <c r="H57" s="138">
        <f>B35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52" t="s">
        <v>404</v>
      </c>
      <c r="B58" s="131">
        <v>0.71</v>
      </c>
      <c r="C58" s="52" t="s">
        <v>89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52" t="s">
        <v>385</v>
      </c>
      <c r="B59" s="131">
        <v>24</v>
      </c>
      <c r="C59" s="52" t="s">
        <v>194</v>
      </c>
      <c r="G59" s="92" t="s">
        <v>63</v>
      </c>
      <c r="H59" s="151">
        <f>H63+(0.693/H65)</f>
        <v>4.9504394977168943E-2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52" t="s">
        <v>318</v>
      </c>
      <c r="B60" s="131">
        <v>1</v>
      </c>
      <c r="G60" s="92" t="s">
        <v>67</v>
      </c>
      <c r="H60" s="142">
        <f>B73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52" t="s">
        <v>303</v>
      </c>
      <c r="B61" s="131">
        <v>0.4</v>
      </c>
      <c r="G61" s="92" t="s">
        <v>68</v>
      </c>
      <c r="H61" s="142">
        <f>B74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52" t="s">
        <v>302</v>
      </c>
      <c r="B62" s="131">
        <v>1</v>
      </c>
      <c r="G62" s="92" t="s">
        <v>70</v>
      </c>
      <c r="H62" s="138">
        <f>B75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386</v>
      </c>
      <c r="B63" s="131">
        <v>1</v>
      </c>
      <c r="G63" s="92" t="s">
        <v>71</v>
      </c>
      <c r="H63" s="137">
        <f>0.693/H67</f>
        <v>4.3949771689497717E-6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83" t="s">
        <v>107</v>
      </c>
      <c r="B64" s="131">
        <v>1</v>
      </c>
      <c r="C64" s="84" t="s">
        <v>108</v>
      </c>
      <c r="G64" s="92" t="s">
        <v>73</v>
      </c>
      <c r="H64" s="138">
        <f>B76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65</v>
      </c>
      <c r="B65" s="131">
        <v>0.5</v>
      </c>
      <c r="C65" s="52" t="s">
        <v>66</v>
      </c>
      <c r="G65" s="92" t="s">
        <v>74</v>
      </c>
      <c r="H65" s="138">
        <f>B77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79</v>
      </c>
      <c r="B66" s="131">
        <v>1</v>
      </c>
      <c r="C66" s="52" t="s">
        <v>80</v>
      </c>
      <c r="G66" s="52" t="s">
        <v>33</v>
      </c>
      <c r="H66" s="136">
        <f>B32</f>
        <v>2.1999999999999999E-5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81</v>
      </c>
      <c r="B67" s="131">
        <v>1</v>
      </c>
      <c r="C67" s="52" t="s">
        <v>80</v>
      </c>
      <c r="G67" s="83" t="s">
        <v>234</v>
      </c>
      <c r="H67" s="136">
        <f>B22</f>
        <v>157680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390</v>
      </c>
      <c r="B68" s="131">
        <v>0.25</v>
      </c>
      <c r="G68" s="83" t="s">
        <v>376</v>
      </c>
      <c r="H68" s="146">
        <f>B49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83" t="s">
        <v>36</v>
      </c>
      <c r="B69" s="131">
        <v>3.62</v>
      </c>
      <c r="C69" s="52" t="s">
        <v>37</v>
      </c>
      <c r="G69" s="83" t="s">
        <v>377</v>
      </c>
      <c r="H69" s="146">
        <f>B50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83" t="s">
        <v>40</v>
      </c>
      <c r="B70" s="131">
        <v>0.25</v>
      </c>
      <c r="C70" s="52" t="s">
        <v>41</v>
      </c>
      <c r="G70" s="84" t="s">
        <v>295</v>
      </c>
      <c r="H70" s="142">
        <f>B302</f>
        <v>241</v>
      </c>
      <c r="I70" s="84" t="s">
        <v>296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92" t="s">
        <v>52</v>
      </c>
      <c r="B71" s="131">
        <v>10950</v>
      </c>
      <c r="C71" s="52" t="s">
        <v>53</v>
      </c>
      <c r="G71" s="84" t="s">
        <v>293</v>
      </c>
      <c r="H71" s="161">
        <f>B303</f>
        <v>2.8000000000000001E-15</v>
      </c>
      <c r="I71" s="84"/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92" t="s">
        <v>55</v>
      </c>
      <c r="B72" s="131">
        <v>240</v>
      </c>
      <c r="C72" s="52" t="s">
        <v>56</v>
      </c>
      <c r="G72" s="84" t="s">
        <v>293</v>
      </c>
      <c r="H72" s="161">
        <f>B304</f>
        <v>2.8000000000000002E-12</v>
      </c>
      <c r="AF72" s="109"/>
      <c r="AG72" s="106"/>
      <c r="AH72" s="106"/>
      <c r="AI72" s="106"/>
      <c r="AJ72" s="106"/>
      <c r="AK72" s="106"/>
    </row>
    <row r="73" spans="1:105" x14ac:dyDescent="0.2">
      <c r="A73" s="92" t="s">
        <v>67</v>
      </c>
      <c r="B73" s="131">
        <v>60</v>
      </c>
      <c r="C73" s="83" t="s">
        <v>53</v>
      </c>
      <c r="G73" s="91" t="s">
        <v>231</v>
      </c>
      <c r="H73" s="85">
        <f>B18</f>
        <v>432</v>
      </c>
      <c r="I73" s="52" t="s">
        <v>235</v>
      </c>
      <c r="AF73" s="109"/>
      <c r="AG73" s="106"/>
      <c r="AH73" s="106"/>
      <c r="AI73" s="106"/>
      <c r="AJ73" s="106"/>
      <c r="AK73" s="106"/>
    </row>
    <row r="74" spans="1:105" x14ac:dyDescent="0.2">
      <c r="A74" s="92" t="s">
        <v>68</v>
      </c>
      <c r="B74" s="131">
        <v>2</v>
      </c>
      <c r="C74" s="83" t="s">
        <v>56</v>
      </c>
      <c r="AF74" s="109"/>
      <c r="AG74" s="106"/>
      <c r="AH74" s="106"/>
      <c r="AI74" s="106"/>
      <c r="AJ74" s="106"/>
      <c r="AK74" s="106"/>
    </row>
    <row r="75" spans="1:105" x14ac:dyDescent="0.2">
      <c r="A75" s="92" t="s">
        <v>70</v>
      </c>
      <c r="B75" s="131">
        <v>2.6999999999999999E-5</v>
      </c>
      <c r="C75" s="52" t="s">
        <v>64</v>
      </c>
      <c r="AF75" s="108"/>
      <c r="AG75" s="106"/>
      <c r="AH75" s="106"/>
      <c r="AI75" s="106"/>
      <c r="AJ75" s="106"/>
      <c r="AK75" s="106"/>
    </row>
    <row r="76" spans="1:105" x14ac:dyDescent="0.2">
      <c r="A76" s="92" t="s">
        <v>73</v>
      </c>
      <c r="B76" s="131">
        <v>1</v>
      </c>
      <c r="C76" s="52" t="s">
        <v>41</v>
      </c>
      <c r="AF76" s="109"/>
      <c r="AG76" s="106"/>
      <c r="AH76" s="106"/>
      <c r="AI76" s="106"/>
      <c r="AJ76" s="106"/>
      <c r="AK76" s="106"/>
    </row>
    <row r="77" spans="1:105" x14ac:dyDescent="0.2">
      <c r="A77" s="92" t="s">
        <v>74</v>
      </c>
      <c r="B77" s="131">
        <v>14</v>
      </c>
      <c r="C77" s="52" t="s">
        <v>75</v>
      </c>
      <c r="AF77" s="109"/>
      <c r="AG77" s="106"/>
      <c r="AH77" s="106"/>
      <c r="AI77" s="106"/>
      <c r="AJ77" s="106"/>
      <c r="AK77" s="106"/>
    </row>
    <row r="78" spans="1:105" x14ac:dyDescent="0.2">
      <c r="A78" s="83" t="s">
        <v>408</v>
      </c>
      <c r="B78" s="130">
        <v>1.752</v>
      </c>
      <c r="C78" s="84" t="s">
        <v>194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409</v>
      </c>
      <c r="B79" s="130">
        <v>16.416</v>
      </c>
      <c r="C79" s="84" t="s">
        <v>194</v>
      </c>
      <c r="AF79" s="109"/>
      <c r="AG79" s="106"/>
    </row>
    <row r="80" spans="1:105" x14ac:dyDescent="0.2">
      <c r="A80" s="83" t="s">
        <v>389</v>
      </c>
      <c r="B80" s="130">
        <v>1</v>
      </c>
      <c r="C80" s="84"/>
      <c r="AF80" s="109"/>
      <c r="AG80" s="106"/>
      <c r="AH80" s="106"/>
      <c r="AI80" s="106"/>
      <c r="AJ80" s="106"/>
      <c r="AK80" s="106"/>
    </row>
    <row r="81" spans="1:37" x14ac:dyDescent="0.2">
      <c r="A81" s="385" t="s">
        <v>387</v>
      </c>
      <c r="B81" s="385"/>
      <c r="C81" s="385"/>
      <c r="AF81" s="109"/>
      <c r="AG81" s="106"/>
      <c r="AH81" s="106"/>
      <c r="AI81" s="106"/>
      <c r="AJ81" s="106"/>
      <c r="AK81" s="106"/>
    </row>
    <row r="82" spans="1:37" x14ac:dyDescent="0.2">
      <c r="A82" s="52" t="s">
        <v>34</v>
      </c>
      <c r="B82" s="131">
        <v>70</v>
      </c>
      <c r="C82" s="52" t="s">
        <v>60</v>
      </c>
      <c r="AF82" s="109"/>
      <c r="AG82" s="106"/>
      <c r="AH82" s="106"/>
      <c r="AI82" s="106"/>
      <c r="AJ82" s="106"/>
      <c r="AK82" s="106"/>
    </row>
    <row r="83" spans="1:37" x14ac:dyDescent="0.2">
      <c r="A83" s="84" t="s">
        <v>38</v>
      </c>
      <c r="B83" s="131">
        <v>0.3</v>
      </c>
      <c r="C83" s="52" t="s">
        <v>391</v>
      </c>
      <c r="AF83" s="109"/>
      <c r="AG83" s="106"/>
      <c r="AH83" s="106"/>
      <c r="AI83" s="106"/>
      <c r="AJ83" s="106"/>
      <c r="AK83" s="106"/>
    </row>
    <row r="84" spans="1:37" x14ac:dyDescent="0.2">
      <c r="A84" s="84" t="s">
        <v>42</v>
      </c>
      <c r="B84" s="130">
        <v>1.5</v>
      </c>
      <c r="C84" s="52" t="s">
        <v>286</v>
      </c>
      <c r="AF84" s="108"/>
      <c r="AG84" s="106"/>
    </row>
    <row r="85" spans="1:37" x14ac:dyDescent="0.2">
      <c r="A85" s="84" t="s">
        <v>47</v>
      </c>
      <c r="B85" s="131">
        <v>1</v>
      </c>
      <c r="C85" s="52" t="s">
        <v>60</v>
      </c>
      <c r="AF85" s="108"/>
      <c r="AG85" s="106"/>
      <c r="AH85" s="106"/>
      <c r="AI85" s="106"/>
      <c r="AJ85" s="106"/>
      <c r="AK85" s="106"/>
    </row>
    <row r="86" spans="1:37" x14ac:dyDescent="0.2">
      <c r="A86" s="84" t="s">
        <v>225</v>
      </c>
      <c r="B86" s="130">
        <v>1</v>
      </c>
      <c r="AF86" s="108"/>
      <c r="AG86" s="106"/>
    </row>
    <row r="87" spans="1:37" x14ac:dyDescent="0.2">
      <c r="A87" s="52" t="s">
        <v>93</v>
      </c>
      <c r="B87" s="130">
        <v>5</v>
      </c>
      <c r="C87" s="52" t="s">
        <v>94</v>
      </c>
      <c r="AH87" s="108"/>
      <c r="AI87" s="108"/>
      <c r="AJ87" s="108"/>
      <c r="AK87" s="108"/>
    </row>
    <row r="88" spans="1:37" x14ac:dyDescent="0.2">
      <c r="A88" s="52" t="s">
        <v>98</v>
      </c>
      <c r="B88" s="130">
        <v>0.18</v>
      </c>
      <c r="C88" s="52" t="s">
        <v>355</v>
      </c>
    </row>
    <row r="89" spans="1:37" x14ac:dyDescent="0.2">
      <c r="A89" s="52" t="s">
        <v>100</v>
      </c>
      <c r="B89" s="130">
        <v>55</v>
      </c>
      <c r="C89" s="52" t="s">
        <v>97</v>
      </c>
    </row>
    <row r="90" spans="1:37" x14ac:dyDescent="0.2">
      <c r="A90" s="52" t="s">
        <v>101</v>
      </c>
      <c r="B90" s="130">
        <v>5</v>
      </c>
      <c r="C90" s="52" t="s">
        <v>97</v>
      </c>
    </row>
    <row r="91" spans="1:37" x14ac:dyDescent="0.2">
      <c r="A91" s="52" t="s">
        <v>102</v>
      </c>
      <c r="B91" s="130">
        <v>5</v>
      </c>
      <c r="C91" s="52" t="s">
        <v>97</v>
      </c>
    </row>
    <row r="92" spans="1:37" x14ac:dyDescent="0.2">
      <c r="A92" s="384" t="s">
        <v>5</v>
      </c>
      <c r="B92" s="384"/>
      <c r="C92" s="384"/>
    </row>
    <row r="93" spans="1:37" x14ac:dyDescent="0.2">
      <c r="A93" s="83" t="s">
        <v>429</v>
      </c>
      <c r="B93" s="131">
        <v>10</v>
      </c>
      <c r="C93" s="92" t="s">
        <v>407</v>
      </c>
    </row>
    <row r="94" spans="1:37" x14ac:dyDescent="0.2">
      <c r="A94" s="83" t="s">
        <v>430</v>
      </c>
      <c r="B94" s="131">
        <v>20</v>
      </c>
      <c r="C94" s="92" t="s">
        <v>407</v>
      </c>
    </row>
    <row r="95" spans="1:37" x14ac:dyDescent="0.2">
      <c r="A95" s="83" t="s">
        <v>439</v>
      </c>
      <c r="B95" s="130">
        <v>0.05</v>
      </c>
      <c r="C95" s="83" t="s">
        <v>357</v>
      </c>
    </row>
    <row r="96" spans="1:37" x14ac:dyDescent="0.2">
      <c r="A96" s="83" t="s">
        <v>438</v>
      </c>
      <c r="B96" s="130">
        <v>0.05</v>
      </c>
      <c r="C96" s="83" t="s">
        <v>357</v>
      </c>
    </row>
    <row r="97" spans="1:3" x14ac:dyDescent="0.2">
      <c r="A97" s="83" t="s">
        <v>441</v>
      </c>
      <c r="B97" s="131">
        <v>200</v>
      </c>
      <c r="C97" s="84" t="s">
        <v>48</v>
      </c>
    </row>
    <row r="98" spans="1:3" x14ac:dyDescent="0.2">
      <c r="A98" s="83" t="s">
        <v>442</v>
      </c>
      <c r="B98" s="131">
        <v>100</v>
      </c>
      <c r="C98" s="84" t="s">
        <v>48</v>
      </c>
    </row>
    <row r="99" spans="1:3" x14ac:dyDescent="0.2">
      <c r="A99" s="52" t="s">
        <v>159</v>
      </c>
      <c r="B99" s="131">
        <v>1</v>
      </c>
      <c r="C99" s="52" t="s">
        <v>221</v>
      </c>
    </row>
    <row r="100" spans="1:3" x14ac:dyDescent="0.2">
      <c r="A100" s="52" t="s">
        <v>160</v>
      </c>
      <c r="B100" s="131">
        <v>1</v>
      </c>
      <c r="C100" s="52" t="s">
        <v>221</v>
      </c>
    </row>
    <row r="101" spans="1:3" x14ac:dyDescent="0.2">
      <c r="A101" s="83" t="s">
        <v>308</v>
      </c>
      <c r="B101" s="130">
        <v>0.23</v>
      </c>
    </row>
    <row r="102" spans="1:3" x14ac:dyDescent="0.2">
      <c r="A102" s="83" t="s">
        <v>309</v>
      </c>
      <c r="B102" s="130">
        <v>0.77</v>
      </c>
    </row>
    <row r="103" spans="1:3" x14ac:dyDescent="0.2">
      <c r="A103" s="52" t="s">
        <v>140</v>
      </c>
      <c r="B103" s="131">
        <v>75</v>
      </c>
      <c r="C103" s="52" t="s">
        <v>24</v>
      </c>
    </row>
    <row r="104" spans="1:3" x14ac:dyDescent="0.2">
      <c r="A104" s="52" t="s">
        <v>433</v>
      </c>
      <c r="B104" s="131">
        <v>75</v>
      </c>
      <c r="C104" s="52" t="s">
        <v>24</v>
      </c>
    </row>
    <row r="105" spans="1:3" x14ac:dyDescent="0.2">
      <c r="A105" s="52" t="s">
        <v>434</v>
      </c>
      <c r="B105" s="131">
        <v>75</v>
      </c>
      <c r="C105" s="52" t="s">
        <v>24</v>
      </c>
    </row>
    <row r="106" spans="1:3" x14ac:dyDescent="0.2">
      <c r="A106" s="52" t="s">
        <v>431</v>
      </c>
      <c r="B106" s="130">
        <v>1</v>
      </c>
      <c r="C106" s="52" t="s">
        <v>194</v>
      </c>
    </row>
    <row r="107" spans="1:3" x14ac:dyDescent="0.2">
      <c r="A107" s="52" t="s">
        <v>432</v>
      </c>
      <c r="B107" s="130">
        <v>1</v>
      </c>
      <c r="C107" s="52" t="s">
        <v>194</v>
      </c>
    </row>
    <row r="108" spans="1:3" x14ac:dyDescent="0.2">
      <c r="A108" s="52" t="s">
        <v>90</v>
      </c>
      <c r="B108" s="131">
        <v>1</v>
      </c>
      <c r="C108" s="52" t="s">
        <v>194</v>
      </c>
    </row>
    <row r="109" spans="1:3" x14ac:dyDescent="0.2">
      <c r="A109" s="52" t="s">
        <v>443</v>
      </c>
      <c r="B109" s="131">
        <v>1</v>
      </c>
      <c r="C109" s="52" t="s">
        <v>89</v>
      </c>
    </row>
    <row r="110" spans="1:3" x14ac:dyDescent="0.2">
      <c r="A110" s="52" t="s">
        <v>444</v>
      </c>
      <c r="B110" s="131">
        <v>1</v>
      </c>
      <c r="C110" s="52" t="s">
        <v>89</v>
      </c>
    </row>
    <row r="111" spans="1:3" x14ac:dyDescent="0.2">
      <c r="A111" s="83" t="s">
        <v>301</v>
      </c>
      <c r="B111" s="131">
        <v>1</v>
      </c>
    </row>
    <row r="112" spans="1:3" x14ac:dyDescent="0.2">
      <c r="A112" s="83" t="s">
        <v>433</v>
      </c>
      <c r="B112" s="130">
        <v>45</v>
      </c>
      <c r="C112" s="83" t="s">
        <v>24</v>
      </c>
    </row>
    <row r="113" spans="1:3" x14ac:dyDescent="0.2">
      <c r="A113" s="83" t="s">
        <v>434</v>
      </c>
      <c r="B113" s="130">
        <v>45</v>
      </c>
      <c r="C113" s="83" t="s">
        <v>24</v>
      </c>
    </row>
    <row r="114" spans="1:3" x14ac:dyDescent="0.2">
      <c r="A114" s="83" t="s">
        <v>435</v>
      </c>
      <c r="B114" s="131">
        <v>1</v>
      </c>
      <c r="C114" s="52" t="s">
        <v>80</v>
      </c>
    </row>
    <row r="115" spans="1:3" x14ac:dyDescent="0.2">
      <c r="A115" s="83" t="s">
        <v>436</v>
      </c>
      <c r="B115" s="131">
        <v>1</v>
      </c>
      <c r="C115" s="52" t="s">
        <v>80</v>
      </c>
    </row>
    <row r="116" spans="1:3" x14ac:dyDescent="0.2">
      <c r="A116" s="83" t="s">
        <v>65</v>
      </c>
      <c r="B116" s="130">
        <v>0.5</v>
      </c>
      <c r="C116" s="52" t="s">
        <v>66</v>
      </c>
    </row>
    <row r="117" spans="1:3" x14ac:dyDescent="0.2">
      <c r="A117" s="52" t="s">
        <v>51</v>
      </c>
      <c r="B117" s="131">
        <v>1</v>
      </c>
      <c r="C117" s="52" t="s">
        <v>60</v>
      </c>
    </row>
    <row r="118" spans="1:3" x14ac:dyDescent="0.2">
      <c r="A118" s="52" t="s">
        <v>329</v>
      </c>
      <c r="B118" s="131">
        <v>2.41E-4</v>
      </c>
    </row>
    <row r="119" spans="1:3" x14ac:dyDescent="0.2">
      <c r="A119" s="52" t="s">
        <v>330</v>
      </c>
      <c r="B119" s="131">
        <v>0.753</v>
      </c>
    </row>
    <row r="120" spans="1:3" x14ac:dyDescent="0.2">
      <c r="A120" s="52" t="s">
        <v>331</v>
      </c>
      <c r="B120" s="131">
        <v>1.17E-4</v>
      </c>
    </row>
    <row r="121" spans="1:3" x14ac:dyDescent="0.2">
      <c r="A121" s="52" t="s">
        <v>332</v>
      </c>
      <c r="B121" s="131">
        <v>0.74299999999999999</v>
      </c>
    </row>
    <row r="122" spans="1:3" x14ac:dyDescent="0.2">
      <c r="A122" s="52" t="s">
        <v>333</v>
      </c>
      <c r="B122" s="131">
        <v>1.35E-4</v>
      </c>
    </row>
    <row r="123" spans="1:3" x14ac:dyDescent="0.2">
      <c r="A123" s="52" t="s">
        <v>334</v>
      </c>
      <c r="B123" s="131">
        <v>0.71099999999999997</v>
      </c>
    </row>
    <row r="124" spans="1:3" x14ac:dyDescent="0.2">
      <c r="A124" s="52" t="s">
        <v>335</v>
      </c>
      <c r="B124" s="131">
        <v>2.2599999999999999E-4</v>
      </c>
    </row>
    <row r="125" spans="1:3" x14ac:dyDescent="0.2">
      <c r="A125" s="52" t="s">
        <v>336</v>
      </c>
      <c r="B125" s="131">
        <v>0.66200000000000003</v>
      </c>
    </row>
    <row r="126" spans="1:3" x14ac:dyDescent="0.2">
      <c r="A126" s="52" t="s">
        <v>337</v>
      </c>
      <c r="B126" s="131">
        <v>1.5699999999999999E-5</v>
      </c>
    </row>
    <row r="127" spans="1:3" x14ac:dyDescent="0.2">
      <c r="A127" s="52" t="s">
        <v>338</v>
      </c>
      <c r="B127" s="131">
        <v>0.80900000000000005</v>
      </c>
    </row>
    <row r="128" spans="1:3" x14ac:dyDescent="0.2">
      <c r="A128" s="52" t="s">
        <v>159</v>
      </c>
      <c r="B128" s="130">
        <v>1</v>
      </c>
      <c r="C128" s="52" t="s">
        <v>221</v>
      </c>
    </row>
    <row r="129" spans="1:3" x14ac:dyDescent="0.2">
      <c r="A129" s="84" t="s">
        <v>164</v>
      </c>
      <c r="B129" s="130">
        <v>1</v>
      </c>
      <c r="C129" s="52" t="s">
        <v>246</v>
      </c>
    </row>
    <row r="130" spans="1:3" x14ac:dyDescent="0.2">
      <c r="A130" s="84" t="s">
        <v>161</v>
      </c>
      <c r="B130" s="130">
        <v>1</v>
      </c>
      <c r="C130" s="52" t="s">
        <v>246</v>
      </c>
    </row>
    <row r="131" spans="1:3" x14ac:dyDescent="0.2">
      <c r="A131" s="84" t="s">
        <v>162</v>
      </c>
      <c r="B131" s="130">
        <v>1</v>
      </c>
      <c r="C131" s="52" t="s">
        <v>41</v>
      </c>
    </row>
    <row r="132" spans="1:3" x14ac:dyDescent="0.2">
      <c r="A132" s="84" t="s">
        <v>163</v>
      </c>
      <c r="B132" s="130">
        <v>1</v>
      </c>
      <c r="C132" s="52" t="s">
        <v>41</v>
      </c>
    </row>
    <row r="133" spans="1:3" x14ac:dyDescent="0.2">
      <c r="A133" s="84" t="s">
        <v>169</v>
      </c>
      <c r="B133" s="130">
        <v>1</v>
      </c>
      <c r="C133" s="52" t="s">
        <v>28</v>
      </c>
    </row>
    <row r="134" spans="1:3" x14ac:dyDescent="0.2">
      <c r="A134" s="52" t="s">
        <v>160</v>
      </c>
      <c r="B134" s="130">
        <v>1</v>
      </c>
      <c r="C134" s="52" t="s">
        <v>221</v>
      </c>
    </row>
    <row r="135" spans="1:3" x14ac:dyDescent="0.2">
      <c r="A135" s="52" t="s">
        <v>165</v>
      </c>
      <c r="B135" s="130">
        <v>1</v>
      </c>
      <c r="C135" s="52" t="s">
        <v>246</v>
      </c>
    </row>
    <row r="136" spans="1:3" x14ac:dyDescent="0.2">
      <c r="A136" s="52" t="s">
        <v>166</v>
      </c>
      <c r="B136" s="130">
        <v>1</v>
      </c>
      <c r="C136" s="52" t="s">
        <v>246</v>
      </c>
    </row>
    <row r="137" spans="1:3" x14ac:dyDescent="0.2">
      <c r="A137" s="93" t="s">
        <v>167</v>
      </c>
      <c r="B137" s="130">
        <v>1</v>
      </c>
      <c r="C137" s="52" t="s">
        <v>41</v>
      </c>
    </row>
    <row r="138" spans="1:3" x14ac:dyDescent="0.2">
      <c r="A138" s="83" t="s">
        <v>168</v>
      </c>
      <c r="B138" s="130">
        <v>1</v>
      </c>
      <c r="C138" s="52" t="s">
        <v>41</v>
      </c>
    </row>
    <row r="139" spans="1:3" x14ac:dyDescent="0.2">
      <c r="A139" s="84" t="s">
        <v>170</v>
      </c>
      <c r="B139" s="130">
        <v>1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200</v>
      </c>
      <c r="C141" s="84" t="s">
        <v>48</v>
      </c>
    </row>
    <row r="142" spans="1:3" x14ac:dyDescent="0.2">
      <c r="A142" s="83" t="s">
        <v>458</v>
      </c>
      <c r="B142" s="130">
        <v>100</v>
      </c>
      <c r="C142" s="84" t="s">
        <v>48</v>
      </c>
    </row>
    <row r="143" spans="1:3" x14ac:dyDescent="0.2">
      <c r="A143" s="83" t="s">
        <v>450</v>
      </c>
      <c r="B143" s="130">
        <v>10</v>
      </c>
      <c r="C143" s="92" t="s">
        <v>407</v>
      </c>
    </row>
    <row r="144" spans="1:3" x14ac:dyDescent="0.2">
      <c r="A144" s="83" t="s">
        <v>459</v>
      </c>
      <c r="B144" s="130">
        <v>20</v>
      </c>
      <c r="C144" s="92" t="s">
        <v>407</v>
      </c>
    </row>
    <row r="145" spans="1:3" x14ac:dyDescent="0.2">
      <c r="A145" s="92" t="s">
        <v>451</v>
      </c>
      <c r="B145" s="131">
        <v>0.78</v>
      </c>
      <c r="C145" s="83" t="s">
        <v>28</v>
      </c>
    </row>
    <row r="146" spans="1:3" x14ac:dyDescent="0.2">
      <c r="A146" s="92" t="s">
        <v>460</v>
      </c>
      <c r="B146" s="131">
        <v>2.5</v>
      </c>
      <c r="C146" s="83" t="s">
        <v>28</v>
      </c>
    </row>
    <row r="147" spans="1:3" ht="15" x14ac:dyDescent="0.2">
      <c r="A147" s="92" t="s">
        <v>450</v>
      </c>
      <c r="B147" s="131">
        <v>10</v>
      </c>
      <c r="C147" s="83" t="s">
        <v>143</v>
      </c>
    </row>
    <row r="148" spans="1:3" ht="15" x14ac:dyDescent="0.2">
      <c r="A148" s="92" t="s">
        <v>459</v>
      </c>
      <c r="B148" s="131">
        <v>20</v>
      </c>
      <c r="C148" s="83" t="s">
        <v>143</v>
      </c>
    </row>
    <row r="149" spans="1:3" x14ac:dyDescent="0.2">
      <c r="A149" s="83" t="s">
        <v>467</v>
      </c>
      <c r="B149" s="130">
        <v>68.099999999999994</v>
      </c>
      <c r="C149" s="92" t="s">
        <v>221</v>
      </c>
    </row>
    <row r="150" spans="1:3" x14ac:dyDescent="0.2">
      <c r="A150" s="83" t="s">
        <v>468</v>
      </c>
      <c r="B150" s="130">
        <v>176.8</v>
      </c>
      <c r="C150" s="92" t="s">
        <v>221</v>
      </c>
    </row>
    <row r="151" spans="1:3" x14ac:dyDescent="0.2">
      <c r="A151" s="83" t="s">
        <v>469</v>
      </c>
      <c r="B151" s="130">
        <v>41.7</v>
      </c>
      <c r="C151" s="92" t="s">
        <v>221</v>
      </c>
    </row>
    <row r="152" spans="1:3" x14ac:dyDescent="0.2">
      <c r="A152" s="83" t="s">
        <v>470</v>
      </c>
      <c r="B152" s="130">
        <v>125.7</v>
      </c>
      <c r="C152" s="92" t="s">
        <v>221</v>
      </c>
    </row>
    <row r="153" spans="1:3" x14ac:dyDescent="0.2">
      <c r="A153" s="83" t="s">
        <v>452</v>
      </c>
      <c r="B153" s="130">
        <v>349.5</v>
      </c>
      <c r="C153" s="92" t="s">
        <v>221</v>
      </c>
    </row>
    <row r="154" spans="1:3" x14ac:dyDescent="0.2">
      <c r="A154" s="83" t="s">
        <v>461</v>
      </c>
      <c r="B154" s="130">
        <v>445.6</v>
      </c>
      <c r="C154" s="92" t="s">
        <v>221</v>
      </c>
    </row>
    <row r="155" spans="1:3" x14ac:dyDescent="0.2">
      <c r="A155" s="83" t="s">
        <v>453</v>
      </c>
      <c r="B155" s="132">
        <v>40.1</v>
      </c>
      <c r="C155" s="92" t="s">
        <v>221</v>
      </c>
    </row>
    <row r="156" spans="1:3" x14ac:dyDescent="0.2">
      <c r="A156" s="83" t="s">
        <v>462</v>
      </c>
      <c r="B156" s="132">
        <v>178</v>
      </c>
      <c r="C156" s="92" t="s">
        <v>221</v>
      </c>
    </row>
    <row r="157" spans="1:3" x14ac:dyDescent="0.2">
      <c r="A157" s="83" t="s">
        <v>454</v>
      </c>
      <c r="B157" s="133">
        <v>10.95</v>
      </c>
      <c r="C157" s="92" t="s">
        <v>221</v>
      </c>
    </row>
    <row r="158" spans="1:3" x14ac:dyDescent="0.2">
      <c r="A158" s="83" t="s">
        <v>463</v>
      </c>
      <c r="B158" s="132">
        <v>53.4</v>
      </c>
      <c r="C158" s="92" t="s">
        <v>221</v>
      </c>
    </row>
    <row r="159" spans="1:3" x14ac:dyDescent="0.2">
      <c r="A159" s="83" t="s">
        <v>471</v>
      </c>
      <c r="B159" s="130">
        <v>32.799999999999997</v>
      </c>
      <c r="C159" s="92" t="s">
        <v>221</v>
      </c>
    </row>
    <row r="160" spans="1:3" x14ac:dyDescent="0.2">
      <c r="A160" s="83" t="s">
        <v>472</v>
      </c>
      <c r="B160" s="130">
        <v>155.4</v>
      </c>
      <c r="C160" s="92" t="s">
        <v>221</v>
      </c>
    </row>
    <row r="161" spans="1:3" x14ac:dyDescent="0.2">
      <c r="A161" s="83" t="s">
        <v>473</v>
      </c>
      <c r="B161" s="132">
        <v>23.6</v>
      </c>
      <c r="C161" s="92" t="s">
        <v>221</v>
      </c>
    </row>
    <row r="162" spans="1:3" x14ac:dyDescent="0.2">
      <c r="A162" s="83" t="s">
        <v>474</v>
      </c>
      <c r="B162" s="132">
        <v>106.6</v>
      </c>
      <c r="C162" s="92" t="s">
        <v>221</v>
      </c>
    </row>
    <row r="163" spans="1:3" x14ac:dyDescent="0.2">
      <c r="A163" s="83" t="s">
        <v>455</v>
      </c>
      <c r="B163" s="130">
        <v>18.5</v>
      </c>
      <c r="C163" s="92" t="s">
        <v>221</v>
      </c>
    </row>
    <row r="164" spans="1:3" x14ac:dyDescent="0.2">
      <c r="A164" s="83" t="s">
        <v>464</v>
      </c>
      <c r="B164" s="130">
        <v>97.9</v>
      </c>
      <c r="C164" s="92" t="s">
        <v>221</v>
      </c>
    </row>
    <row r="165" spans="1:3" x14ac:dyDescent="0.2">
      <c r="A165" s="83" t="s">
        <v>475</v>
      </c>
      <c r="B165" s="130">
        <v>0.15</v>
      </c>
      <c r="C165" s="88"/>
    </row>
    <row r="166" spans="1:3" x14ac:dyDescent="0.2">
      <c r="A166" s="83" t="s">
        <v>476</v>
      </c>
      <c r="B166" s="130">
        <v>0.85</v>
      </c>
      <c r="C166" s="88"/>
    </row>
    <row r="167" spans="1:3" x14ac:dyDescent="0.2">
      <c r="A167" s="83" t="s">
        <v>456</v>
      </c>
      <c r="B167" s="130">
        <v>350</v>
      </c>
      <c r="C167" s="83" t="s">
        <v>24</v>
      </c>
    </row>
    <row r="168" spans="1:3" x14ac:dyDescent="0.2">
      <c r="A168" s="83" t="s">
        <v>465</v>
      </c>
      <c r="B168" s="130">
        <v>350</v>
      </c>
      <c r="C168" s="83" t="s">
        <v>24</v>
      </c>
    </row>
    <row r="169" spans="1:3" x14ac:dyDescent="0.2">
      <c r="A169" s="52" t="s">
        <v>362</v>
      </c>
      <c r="B169" s="131">
        <v>350</v>
      </c>
      <c r="C169" s="83" t="s">
        <v>24</v>
      </c>
    </row>
    <row r="170" spans="1:3" x14ac:dyDescent="0.2">
      <c r="A170" s="83" t="s">
        <v>363</v>
      </c>
      <c r="B170" s="130">
        <v>1</v>
      </c>
      <c r="C170" s="92" t="s">
        <v>60</v>
      </c>
    </row>
    <row r="171" spans="1:3" x14ac:dyDescent="0.2">
      <c r="A171" s="83" t="s">
        <v>364</v>
      </c>
      <c r="B171" s="130">
        <v>24</v>
      </c>
      <c r="C171" s="94" t="s">
        <v>194</v>
      </c>
    </row>
    <row r="172" spans="1:3" x14ac:dyDescent="0.2">
      <c r="A172" s="83" t="s">
        <v>365</v>
      </c>
      <c r="B172" s="130">
        <v>24</v>
      </c>
      <c r="C172" s="52" t="s">
        <v>194</v>
      </c>
    </row>
    <row r="173" spans="1:3" x14ac:dyDescent="0.2">
      <c r="A173" s="83" t="s">
        <v>361</v>
      </c>
      <c r="B173" s="130">
        <v>1</v>
      </c>
    </row>
    <row r="174" spans="1:3" x14ac:dyDescent="0.2">
      <c r="A174" s="83" t="s">
        <v>83</v>
      </c>
      <c r="B174" s="130">
        <v>12.167999999999999</v>
      </c>
      <c r="C174" s="84" t="s">
        <v>194</v>
      </c>
    </row>
    <row r="175" spans="1:3" x14ac:dyDescent="0.2">
      <c r="A175" s="83" t="s">
        <v>85</v>
      </c>
      <c r="B175" s="130">
        <v>10.007999999999999</v>
      </c>
      <c r="C175" s="84" t="s">
        <v>194</v>
      </c>
    </row>
    <row r="176" spans="1:3" x14ac:dyDescent="0.2">
      <c r="A176" s="83" t="s">
        <v>88</v>
      </c>
      <c r="B176" s="130">
        <v>0.4</v>
      </c>
    </row>
    <row r="177" spans="1:3" x14ac:dyDescent="0.2">
      <c r="A177" s="83" t="s">
        <v>303</v>
      </c>
      <c r="B177" s="130">
        <v>0.4</v>
      </c>
    </row>
    <row r="178" spans="1:3" x14ac:dyDescent="0.2">
      <c r="A178" s="83" t="s">
        <v>302</v>
      </c>
      <c r="B178" s="130">
        <v>1</v>
      </c>
    </row>
    <row r="179" spans="1:3" x14ac:dyDescent="0.2">
      <c r="A179" s="83" t="s">
        <v>54</v>
      </c>
      <c r="B179" s="130">
        <v>1</v>
      </c>
    </row>
    <row r="180" spans="1:3" x14ac:dyDescent="0.2">
      <c r="A180" s="83" t="s">
        <v>301</v>
      </c>
      <c r="B180" s="131">
        <v>1</v>
      </c>
    </row>
    <row r="181" spans="1:3" x14ac:dyDescent="0.2">
      <c r="A181" s="92" t="s">
        <v>457</v>
      </c>
      <c r="B181" s="130">
        <v>1</v>
      </c>
      <c r="C181" s="92" t="s">
        <v>144</v>
      </c>
    </row>
    <row r="182" spans="1:3" x14ac:dyDescent="0.2">
      <c r="A182" s="92" t="s">
        <v>466</v>
      </c>
      <c r="B182" s="130">
        <v>1</v>
      </c>
      <c r="C182" s="92" t="s">
        <v>144</v>
      </c>
    </row>
    <row r="183" spans="1:3" x14ac:dyDescent="0.2">
      <c r="A183" s="52" t="s">
        <v>477</v>
      </c>
      <c r="B183" s="130">
        <v>0.54</v>
      </c>
      <c r="C183" s="92" t="s">
        <v>358</v>
      </c>
    </row>
    <row r="184" spans="1:3" x14ac:dyDescent="0.2">
      <c r="A184" s="52" t="s">
        <v>478</v>
      </c>
      <c r="B184" s="130">
        <v>0.71</v>
      </c>
      <c r="C184" s="92" t="s">
        <v>358</v>
      </c>
    </row>
    <row r="185" spans="1:3" ht="15" x14ac:dyDescent="0.2">
      <c r="A185" s="84" t="s">
        <v>65</v>
      </c>
      <c r="B185" s="130">
        <v>0.5</v>
      </c>
      <c r="C185" s="92" t="s">
        <v>145</v>
      </c>
    </row>
    <row r="186" spans="1:3" x14ac:dyDescent="0.2">
      <c r="A186" s="92" t="s">
        <v>361</v>
      </c>
      <c r="B186" s="130">
        <v>1</v>
      </c>
    </row>
    <row r="187" spans="1:3" x14ac:dyDescent="0.2">
      <c r="A187" s="92" t="s">
        <v>479</v>
      </c>
      <c r="B187" s="130">
        <v>1</v>
      </c>
    </row>
    <row r="188" spans="1:3" x14ac:dyDescent="0.2">
      <c r="A188" s="92" t="s">
        <v>480</v>
      </c>
      <c r="B188" s="130">
        <v>1</v>
      </c>
    </row>
    <row r="189" spans="1:3" x14ac:dyDescent="0.2">
      <c r="A189" s="92" t="s">
        <v>481</v>
      </c>
      <c r="B189" s="130">
        <v>1</v>
      </c>
    </row>
    <row r="190" spans="1:3" x14ac:dyDescent="0.2">
      <c r="A190" s="92" t="s">
        <v>482</v>
      </c>
      <c r="B190" s="130">
        <v>1</v>
      </c>
    </row>
    <row r="191" spans="1:3" x14ac:dyDescent="0.2">
      <c r="A191" s="92" t="s">
        <v>483</v>
      </c>
      <c r="B191" s="130">
        <v>1</v>
      </c>
    </row>
    <row r="192" spans="1:3" x14ac:dyDescent="0.2">
      <c r="A192" s="92" t="s">
        <v>484</v>
      </c>
      <c r="B192" s="131">
        <v>1</v>
      </c>
    </row>
    <row r="193" spans="1:3" x14ac:dyDescent="0.2">
      <c r="A193" s="83" t="s">
        <v>36</v>
      </c>
      <c r="B193" s="131">
        <v>3.62</v>
      </c>
      <c r="C193" s="52" t="s">
        <v>37</v>
      </c>
    </row>
    <row r="194" spans="1:3" x14ac:dyDescent="0.2">
      <c r="A194" s="83" t="s">
        <v>40</v>
      </c>
      <c r="B194" s="131">
        <v>0.25</v>
      </c>
      <c r="C194" s="52" t="s">
        <v>41</v>
      </c>
    </row>
    <row r="195" spans="1:3" x14ac:dyDescent="0.2">
      <c r="A195" s="92" t="s">
        <v>52</v>
      </c>
      <c r="B195" s="131">
        <v>10950</v>
      </c>
      <c r="C195" s="52" t="s">
        <v>53</v>
      </c>
    </row>
    <row r="196" spans="1:3" x14ac:dyDescent="0.2">
      <c r="A196" s="92" t="s">
        <v>55</v>
      </c>
      <c r="B196" s="131">
        <v>240</v>
      </c>
      <c r="C196" s="52" t="s">
        <v>56</v>
      </c>
    </row>
    <row r="197" spans="1:3" x14ac:dyDescent="0.2">
      <c r="A197" s="92" t="s">
        <v>61</v>
      </c>
      <c r="B197" s="131">
        <v>0.42</v>
      </c>
      <c r="C197" s="52" t="s">
        <v>41</v>
      </c>
    </row>
    <row r="198" spans="1:3" x14ac:dyDescent="0.2">
      <c r="A198" s="92" t="s">
        <v>67</v>
      </c>
      <c r="B198" s="131">
        <v>60</v>
      </c>
      <c r="C198" s="83" t="s">
        <v>53</v>
      </c>
    </row>
    <row r="199" spans="1:3" x14ac:dyDescent="0.2">
      <c r="A199" s="92" t="s">
        <v>68</v>
      </c>
      <c r="B199" s="131">
        <v>2</v>
      </c>
      <c r="C199" s="83" t="s">
        <v>56</v>
      </c>
    </row>
    <row r="200" spans="1:3" x14ac:dyDescent="0.2">
      <c r="A200" s="92" t="s">
        <v>70</v>
      </c>
      <c r="B200" s="131">
        <v>2.6999999999999999E-5</v>
      </c>
      <c r="C200" s="52" t="s">
        <v>64</v>
      </c>
    </row>
    <row r="201" spans="1:3" x14ac:dyDescent="0.2">
      <c r="A201" s="92" t="s">
        <v>73</v>
      </c>
      <c r="B201" s="131">
        <v>1</v>
      </c>
      <c r="C201" s="52" t="s">
        <v>41</v>
      </c>
    </row>
    <row r="202" spans="1:3" x14ac:dyDescent="0.2">
      <c r="A202" s="92" t="s">
        <v>74</v>
      </c>
      <c r="B202" s="131">
        <v>14</v>
      </c>
      <c r="C202" s="52" t="s">
        <v>75</v>
      </c>
    </row>
    <row r="203" spans="1:3" x14ac:dyDescent="0.2">
      <c r="A203" s="83" t="s">
        <v>27</v>
      </c>
      <c r="B203" s="131">
        <v>92</v>
      </c>
      <c r="C203" s="83" t="s">
        <v>28</v>
      </c>
    </row>
    <row r="204" spans="1:3" x14ac:dyDescent="0.2">
      <c r="A204" s="52" t="s">
        <v>285</v>
      </c>
      <c r="B204" s="130">
        <v>1.03</v>
      </c>
      <c r="C204" s="52" t="s">
        <v>286</v>
      </c>
    </row>
    <row r="205" spans="1:3" x14ac:dyDescent="0.2">
      <c r="A205" s="83" t="s">
        <v>498</v>
      </c>
      <c r="B205" s="131">
        <v>20.3</v>
      </c>
      <c r="C205" s="52" t="s">
        <v>246</v>
      </c>
    </row>
    <row r="206" spans="1:3" x14ac:dyDescent="0.2">
      <c r="A206" s="83" t="s">
        <v>499</v>
      </c>
      <c r="B206" s="131">
        <v>0.04</v>
      </c>
      <c r="C206" s="52" t="s">
        <v>246</v>
      </c>
    </row>
    <row r="207" spans="1:3" x14ac:dyDescent="0.2">
      <c r="A207" s="83" t="s">
        <v>500</v>
      </c>
      <c r="B207" s="131">
        <v>1</v>
      </c>
    </row>
    <row r="208" spans="1:3" x14ac:dyDescent="0.2">
      <c r="A208" s="83" t="s">
        <v>501</v>
      </c>
      <c r="B208" s="131">
        <v>1</v>
      </c>
    </row>
    <row r="209" spans="1:3" x14ac:dyDescent="0.2">
      <c r="A209" s="83" t="s">
        <v>29</v>
      </c>
      <c r="B209" s="131">
        <v>53</v>
      </c>
      <c r="C209" s="83" t="s">
        <v>28</v>
      </c>
    </row>
    <row r="210" spans="1:3" x14ac:dyDescent="0.2">
      <c r="A210" s="83" t="s">
        <v>494</v>
      </c>
      <c r="B210" s="131">
        <v>11.77</v>
      </c>
      <c r="C210" s="52" t="s">
        <v>246</v>
      </c>
    </row>
    <row r="211" spans="1:3" x14ac:dyDescent="0.2">
      <c r="A211" s="83" t="s">
        <v>495</v>
      </c>
      <c r="B211" s="131">
        <v>0.5</v>
      </c>
      <c r="C211" s="52" t="s">
        <v>246</v>
      </c>
    </row>
    <row r="212" spans="1:3" x14ac:dyDescent="0.2">
      <c r="A212" s="83" t="s">
        <v>496</v>
      </c>
      <c r="B212" s="131">
        <v>1</v>
      </c>
    </row>
    <row r="213" spans="1:3" x14ac:dyDescent="0.2">
      <c r="A213" s="83" t="s">
        <v>497</v>
      </c>
      <c r="B213" s="131">
        <v>1</v>
      </c>
    </row>
    <row r="214" spans="1:3" x14ac:dyDescent="0.2">
      <c r="A214" s="83" t="s">
        <v>148</v>
      </c>
      <c r="B214" s="130">
        <v>0.4</v>
      </c>
      <c r="C214" s="83" t="s">
        <v>28</v>
      </c>
    </row>
    <row r="215" spans="1:3" x14ac:dyDescent="0.2">
      <c r="A215" s="83" t="s">
        <v>152</v>
      </c>
      <c r="B215" s="131">
        <v>0.2</v>
      </c>
      <c r="C215" s="52" t="s">
        <v>246</v>
      </c>
    </row>
    <row r="216" spans="1:3" x14ac:dyDescent="0.2">
      <c r="A216" s="83" t="s">
        <v>151</v>
      </c>
      <c r="B216" s="131">
        <v>2.1999999999999999E-2</v>
      </c>
      <c r="C216" s="52" t="s">
        <v>246</v>
      </c>
    </row>
    <row r="217" spans="1:3" x14ac:dyDescent="0.2">
      <c r="A217" s="83" t="s">
        <v>153</v>
      </c>
      <c r="B217" s="130">
        <v>1</v>
      </c>
    </row>
    <row r="218" spans="1:3" x14ac:dyDescent="0.2">
      <c r="A218" s="83" t="s">
        <v>154</v>
      </c>
      <c r="B218" s="130">
        <v>1</v>
      </c>
    </row>
    <row r="219" spans="1:3" x14ac:dyDescent="0.2">
      <c r="A219" s="83" t="s">
        <v>485</v>
      </c>
      <c r="B219" s="130">
        <v>0.4</v>
      </c>
      <c r="C219" s="83" t="s">
        <v>28</v>
      </c>
    </row>
    <row r="220" spans="1:3" x14ac:dyDescent="0.2">
      <c r="A220" s="83" t="s">
        <v>486</v>
      </c>
      <c r="B220" s="131">
        <v>0.2</v>
      </c>
      <c r="C220" s="52" t="s">
        <v>246</v>
      </c>
    </row>
    <row r="221" spans="1:3" x14ac:dyDescent="0.2">
      <c r="A221" s="83" t="s">
        <v>487</v>
      </c>
      <c r="B221" s="131">
        <v>2.1999999999999999E-2</v>
      </c>
      <c r="C221" s="52" t="s">
        <v>246</v>
      </c>
    </row>
    <row r="222" spans="1:3" x14ac:dyDescent="0.2">
      <c r="A222" s="83" t="s">
        <v>488</v>
      </c>
      <c r="B222" s="131">
        <v>1</v>
      </c>
    </row>
    <row r="223" spans="1:3" x14ac:dyDescent="0.2">
      <c r="A223" s="83" t="s">
        <v>489</v>
      </c>
      <c r="B223" s="131">
        <v>1</v>
      </c>
    </row>
    <row r="224" spans="1:3" x14ac:dyDescent="0.2">
      <c r="A224" s="83" t="s">
        <v>150</v>
      </c>
      <c r="B224" s="131">
        <v>11.4</v>
      </c>
      <c r="C224" s="83" t="s">
        <v>28</v>
      </c>
    </row>
    <row r="225" spans="1:3" x14ac:dyDescent="0.2">
      <c r="A225" s="83" t="s">
        <v>490</v>
      </c>
      <c r="B225" s="131">
        <v>4.7</v>
      </c>
      <c r="C225" s="52" t="s">
        <v>246</v>
      </c>
    </row>
    <row r="226" spans="1:3" x14ac:dyDescent="0.2">
      <c r="A226" s="83" t="s">
        <v>491</v>
      </c>
      <c r="B226" s="131">
        <v>0.37</v>
      </c>
      <c r="C226" s="52" t="s">
        <v>246</v>
      </c>
    </row>
    <row r="227" spans="1:3" x14ac:dyDescent="0.2">
      <c r="A227" s="83" t="s">
        <v>492</v>
      </c>
      <c r="B227" s="131">
        <v>1</v>
      </c>
    </row>
    <row r="228" spans="1:3" x14ac:dyDescent="0.2">
      <c r="A228" s="83" t="s">
        <v>493</v>
      </c>
      <c r="B228" s="131">
        <v>1</v>
      </c>
    </row>
    <row r="229" spans="1:3" x14ac:dyDescent="0.2">
      <c r="A229" s="370" t="s">
        <v>311</v>
      </c>
      <c r="B229" s="370"/>
      <c r="C229" s="370"/>
    </row>
    <row r="230" spans="1:3" x14ac:dyDescent="0.2">
      <c r="A230" s="52" t="s">
        <v>504</v>
      </c>
      <c r="B230" s="130">
        <v>60</v>
      </c>
      <c r="C230" s="84" t="s">
        <v>407</v>
      </c>
    </row>
    <row r="231" spans="1:3" x14ac:dyDescent="0.2">
      <c r="A231" s="83" t="s">
        <v>316</v>
      </c>
      <c r="B231" s="130">
        <v>250</v>
      </c>
      <c r="C231" s="52" t="s">
        <v>24</v>
      </c>
    </row>
    <row r="232" spans="1:3" x14ac:dyDescent="0.2">
      <c r="A232" s="83" t="s">
        <v>422</v>
      </c>
      <c r="B232" s="131">
        <v>1</v>
      </c>
      <c r="C232" s="52" t="s">
        <v>60</v>
      </c>
    </row>
    <row r="233" spans="1:3" x14ac:dyDescent="0.2">
      <c r="A233" s="83" t="s">
        <v>317</v>
      </c>
      <c r="B233" s="130">
        <v>100</v>
      </c>
      <c r="C233" s="84" t="s">
        <v>48</v>
      </c>
    </row>
    <row r="234" spans="1:3" x14ac:dyDescent="0.2">
      <c r="A234" s="52" t="s">
        <v>318</v>
      </c>
      <c r="B234" s="131">
        <v>1</v>
      </c>
    </row>
    <row r="235" spans="1:3" x14ac:dyDescent="0.2">
      <c r="A235" s="83" t="s">
        <v>300</v>
      </c>
      <c r="B235" s="131">
        <v>1</v>
      </c>
    </row>
    <row r="236" spans="1:3" x14ac:dyDescent="0.2">
      <c r="A236" s="83" t="s">
        <v>299</v>
      </c>
      <c r="B236" s="131">
        <v>0.4</v>
      </c>
    </row>
    <row r="237" spans="1:3" x14ac:dyDescent="0.2">
      <c r="A237" s="83" t="s">
        <v>54</v>
      </c>
      <c r="B237" s="131">
        <v>1</v>
      </c>
    </row>
    <row r="238" spans="1:3" x14ac:dyDescent="0.2">
      <c r="A238" s="83" t="s">
        <v>83</v>
      </c>
      <c r="B238" s="130">
        <v>8</v>
      </c>
      <c r="C238" s="52" t="s">
        <v>194</v>
      </c>
    </row>
    <row r="239" spans="1:3" x14ac:dyDescent="0.2">
      <c r="A239" s="83" t="s">
        <v>85</v>
      </c>
      <c r="B239" s="130">
        <v>8</v>
      </c>
      <c r="C239" s="52" t="s">
        <v>194</v>
      </c>
    </row>
    <row r="240" spans="1:3" x14ac:dyDescent="0.2">
      <c r="A240" s="83" t="s">
        <v>88</v>
      </c>
      <c r="B240" s="130">
        <v>0.4</v>
      </c>
    </row>
    <row r="241" spans="1:3" x14ac:dyDescent="0.2">
      <c r="A241" s="370" t="s">
        <v>312</v>
      </c>
      <c r="B241" s="370"/>
      <c r="C241" s="370"/>
    </row>
    <row r="242" spans="1:3" x14ac:dyDescent="0.2">
      <c r="A242" s="52" t="s">
        <v>304</v>
      </c>
      <c r="B242" s="130">
        <v>60</v>
      </c>
      <c r="C242" s="84" t="s">
        <v>407</v>
      </c>
    </row>
    <row r="243" spans="1:3" x14ac:dyDescent="0.2">
      <c r="A243" s="83" t="s">
        <v>35</v>
      </c>
      <c r="B243" s="130">
        <v>250</v>
      </c>
      <c r="C243" s="52" t="s">
        <v>24</v>
      </c>
    </row>
    <row r="244" spans="1:3" x14ac:dyDescent="0.2">
      <c r="A244" s="83" t="s">
        <v>420</v>
      </c>
      <c r="B244" s="131">
        <v>1</v>
      </c>
      <c r="C244" s="52" t="s">
        <v>60</v>
      </c>
    </row>
    <row r="245" spans="1:3" x14ac:dyDescent="0.2">
      <c r="A245" s="83" t="s">
        <v>62</v>
      </c>
      <c r="B245" s="130">
        <v>50</v>
      </c>
      <c r="C245" s="84" t="s">
        <v>48</v>
      </c>
    </row>
    <row r="246" spans="1:3" x14ac:dyDescent="0.2">
      <c r="A246" s="52" t="s">
        <v>318</v>
      </c>
      <c r="B246" s="131">
        <v>1</v>
      </c>
    </row>
    <row r="247" spans="1:3" x14ac:dyDescent="0.2">
      <c r="A247" s="83" t="s">
        <v>300</v>
      </c>
      <c r="B247" s="131">
        <v>1</v>
      </c>
    </row>
    <row r="248" spans="1:3" x14ac:dyDescent="0.2">
      <c r="A248" s="83" t="s">
        <v>299</v>
      </c>
      <c r="B248" s="131">
        <v>0.4</v>
      </c>
    </row>
    <row r="249" spans="1:3" x14ac:dyDescent="0.2">
      <c r="A249" s="83" t="s">
        <v>54</v>
      </c>
      <c r="B249" s="131">
        <v>1</v>
      </c>
    </row>
    <row r="250" spans="1:3" x14ac:dyDescent="0.2">
      <c r="A250" s="83" t="s">
        <v>83</v>
      </c>
      <c r="B250" s="130">
        <v>0</v>
      </c>
      <c r="C250" s="52" t="s">
        <v>194</v>
      </c>
    </row>
    <row r="251" spans="1:3" x14ac:dyDescent="0.2">
      <c r="A251" s="83" t="s">
        <v>85</v>
      </c>
      <c r="B251" s="130">
        <v>8</v>
      </c>
      <c r="C251" s="52" t="s">
        <v>194</v>
      </c>
    </row>
    <row r="252" spans="1:3" x14ac:dyDescent="0.2">
      <c r="A252" s="83" t="s">
        <v>88</v>
      </c>
      <c r="B252" s="130">
        <v>0.4</v>
      </c>
    </row>
    <row r="253" spans="1:3" x14ac:dyDescent="0.2">
      <c r="A253" s="370" t="s">
        <v>313</v>
      </c>
      <c r="B253" s="370"/>
      <c r="C253" s="370"/>
    </row>
    <row r="254" spans="1:3" x14ac:dyDescent="0.2">
      <c r="A254" s="52" t="s">
        <v>50</v>
      </c>
      <c r="B254" s="130">
        <v>60</v>
      </c>
      <c r="C254" s="84" t="s">
        <v>407</v>
      </c>
    </row>
    <row r="255" spans="1:3" x14ac:dyDescent="0.2">
      <c r="A255" s="83" t="s">
        <v>423</v>
      </c>
      <c r="B255" s="130">
        <v>225</v>
      </c>
      <c r="C255" s="52" t="s">
        <v>24</v>
      </c>
    </row>
    <row r="256" spans="1:3" x14ac:dyDescent="0.2">
      <c r="A256" s="83" t="s">
        <v>424</v>
      </c>
      <c r="B256" s="131">
        <v>1</v>
      </c>
      <c r="C256" s="52" t="s">
        <v>60</v>
      </c>
    </row>
    <row r="257" spans="1:3" x14ac:dyDescent="0.2">
      <c r="A257" s="83" t="s">
        <v>503</v>
      </c>
      <c r="B257" s="130">
        <v>100</v>
      </c>
      <c r="C257" s="84" t="s">
        <v>48</v>
      </c>
    </row>
    <row r="258" spans="1:3" x14ac:dyDescent="0.2">
      <c r="A258" s="52" t="s">
        <v>318</v>
      </c>
      <c r="B258" s="131">
        <v>1</v>
      </c>
    </row>
    <row r="259" spans="1:3" x14ac:dyDescent="0.2">
      <c r="A259" s="83" t="s">
        <v>300</v>
      </c>
      <c r="B259" s="131">
        <v>1</v>
      </c>
    </row>
    <row r="260" spans="1:3" x14ac:dyDescent="0.2">
      <c r="A260" s="83" t="s">
        <v>299</v>
      </c>
      <c r="B260" s="131">
        <v>0.4</v>
      </c>
    </row>
    <row r="261" spans="1:3" x14ac:dyDescent="0.2">
      <c r="A261" s="83" t="s">
        <v>54</v>
      </c>
      <c r="B261" s="131">
        <v>1</v>
      </c>
    </row>
    <row r="262" spans="1:3" x14ac:dyDescent="0.2">
      <c r="A262" s="83" t="s">
        <v>83</v>
      </c>
      <c r="B262" s="130">
        <v>8</v>
      </c>
      <c r="C262" s="52" t="s">
        <v>194</v>
      </c>
    </row>
    <row r="263" spans="1:3" x14ac:dyDescent="0.2">
      <c r="A263" s="83" t="s">
        <v>85</v>
      </c>
      <c r="B263" s="130">
        <v>0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370" t="s">
        <v>314</v>
      </c>
      <c r="B265" s="370"/>
      <c r="C265" s="370"/>
    </row>
    <row r="266" spans="1:3" x14ac:dyDescent="0.2">
      <c r="A266" s="52" t="s">
        <v>348</v>
      </c>
      <c r="B266" s="130">
        <v>60</v>
      </c>
      <c r="C266" s="84" t="s">
        <v>407</v>
      </c>
    </row>
    <row r="267" spans="1:3" x14ac:dyDescent="0.2">
      <c r="A267" s="83" t="s">
        <v>191</v>
      </c>
      <c r="B267" s="130">
        <v>250</v>
      </c>
      <c r="C267" s="52" t="s">
        <v>24</v>
      </c>
    </row>
    <row r="268" spans="1:3" x14ac:dyDescent="0.2">
      <c r="A268" s="83" t="s">
        <v>158</v>
      </c>
      <c r="B268" s="131">
        <v>1</v>
      </c>
      <c r="C268" s="52" t="s">
        <v>60</v>
      </c>
    </row>
    <row r="269" spans="1:3" x14ac:dyDescent="0.2">
      <c r="A269" s="83" t="s">
        <v>502</v>
      </c>
      <c r="B269" s="130">
        <v>330</v>
      </c>
      <c r="C269" s="84" t="s">
        <v>48</v>
      </c>
    </row>
    <row r="270" spans="1:3" x14ac:dyDescent="0.2">
      <c r="A270" s="52" t="s">
        <v>318</v>
      </c>
      <c r="B270" s="131">
        <v>1</v>
      </c>
    </row>
    <row r="271" spans="1:3" x14ac:dyDescent="0.2">
      <c r="A271" s="83" t="s">
        <v>300</v>
      </c>
      <c r="B271" s="131">
        <v>1</v>
      </c>
    </row>
    <row r="272" spans="1:3" x14ac:dyDescent="0.2">
      <c r="A272" s="83" t="s">
        <v>299</v>
      </c>
      <c r="B272" s="131">
        <v>0.4</v>
      </c>
    </row>
    <row r="273" spans="1:3" x14ac:dyDescent="0.2">
      <c r="A273" s="83" t="s">
        <v>54</v>
      </c>
      <c r="B273" s="131">
        <v>1</v>
      </c>
    </row>
    <row r="274" spans="1:3" x14ac:dyDescent="0.2">
      <c r="A274" s="83" t="s">
        <v>83</v>
      </c>
      <c r="B274" s="130">
        <v>8</v>
      </c>
      <c r="C274" s="52" t="s">
        <v>194</v>
      </c>
    </row>
    <row r="275" spans="1:3" x14ac:dyDescent="0.2">
      <c r="A275" s="83" t="s">
        <v>85</v>
      </c>
      <c r="B275" s="130">
        <v>8</v>
      </c>
      <c r="C275" s="52" t="s">
        <v>194</v>
      </c>
    </row>
    <row r="276" spans="1:3" x14ac:dyDescent="0.2">
      <c r="A276" s="83" t="s">
        <v>88</v>
      </c>
      <c r="B276" s="130">
        <v>0.4</v>
      </c>
    </row>
    <row r="277" spans="1:3" x14ac:dyDescent="0.2">
      <c r="A277" s="83" t="s">
        <v>219</v>
      </c>
      <c r="B277" s="130">
        <v>5</v>
      </c>
      <c r="C277" s="52" t="s">
        <v>112</v>
      </c>
    </row>
    <row r="278" spans="1:3" x14ac:dyDescent="0.2">
      <c r="A278" s="83" t="s">
        <v>220</v>
      </c>
      <c r="B278" s="130">
        <v>50</v>
      </c>
      <c r="C278" s="52" t="s">
        <v>113</v>
      </c>
    </row>
    <row r="279" spans="1:3" x14ac:dyDescent="0.2">
      <c r="A279" s="52" t="s">
        <v>319</v>
      </c>
      <c r="B279" s="131">
        <v>2.41E-4</v>
      </c>
    </row>
    <row r="280" spans="1:3" x14ac:dyDescent="0.2">
      <c r="A280" s="52" t="s">
        <v>320</v>
      </c>
      <c r="B280" s="131">
        <v>0.753</v>
      </c>
    </row>
    <row r="281" spans="1:3" x14ac:dyDescent="0.2">
      <c r="A281" s="52" t="s">
        <v>321</v>
      </c>
      <c r="B281" s="131">
        <v>1.5699999999999999E-5</v>
      </c>
    </row>
    <row r="282" spans="1:3" x14ac:dyDescent="0.2">
      <c r="A282" s="52" t="s">
        <v>322</v>
      </c>
      <c r="B282" s="131">
        <v>0.80900000000000005</v>
      </c>
    </row>
    <row r="283" spans="1:3" x14ac:dyDescent="0.2">
      <c r="A283" s="52" t="s">
        <v>323</v>
      </c>
      <c r="B283" s="131">
        <v>1.17E-4</v>
      </c>
    </row>
    <row r="284" spans="1:3" x14ac:dyDescent="0.2">
      <c r="A284" s="52" t="s">
        <v>324</v>
      </c>
      <c r="B284" s="131">
        <v>0.74299999999999999</v>
      </c>
    </row>
    <row r="285" spans="1:3" x14ac:dyDescent="0.2">
      <c r="A285" s="52" t="s">
        <v>325</v>
      </c>
      <c r="B285" s="131">
        <v>1.35E-4</v>
      </c>
    </row>
    <row r="286" spans="1:3" x14ac:dyDescent="0.2">
      <c r="A286" s="52" t="s">
        <v>326</v>
      </c>
      <c r="B286" s="131">
        <v>0.71099999999999997</v>
      </c>
    </row>
    <row r="287" spans="1:3" x14ac:dyDescent="0.2">
      <c r="A287" s="52" t="s">
        <v>327</v>
      </c>
      <c r="B287" s="131">
        <v>2.2599999999999999E-4</v>
      </c>
    </row>
    <row r="288" spans="1:3" x14ac:dyDescent="0.2">
      <c r="A288" s="52" t="s">
        <v>328</v>
      </c>
      <c r="B288" s="131">
        <v>0.66200000000000003</v>
      </c>
    </row>
    <row r="289" spans="1:3" x14ac:dyDescent="0.2">
      <c r="A289" s="370" t="s">
        <v>315</v>
      </c>
      <c r="B289" s="370"/>
      <c r="C289" s="370"/>
    </row>
    <row r="290" spans="1:3" x14ac:dyDescent="0.2">
      <c r="A290" s="52" t="s">
        <v>348</v>
      </c>
      <c r="B290" s="130">
        <v>60</v>
      </c>
      <c r="C290" s="84" t="s">
        <v>407</v>
      </c>
    </row>
    <row r="291" spans="1:3" x14ac:dyDescent="0.2">
      <c r="A291" s="83" t="s">
        <v>191</v>
      </c>
      <c r="B291" s="130">
        <v>250</v>
      </c>
      <c r="C291" s="52" t="s">
        <v>24</v>
      </c>
    </row>
    <row r="292" spans="1:3" x14ac:dyDescent="0.2">
      <c r="A292" s="83" t="s">
        <v>158</v>
      </c>
      <c r="B292" s="131">
        <v>1</v>
      </c>
      <c r="C292" s="52" t="s">
        <v>60</v>
      </c>
    </row>
    <row r="293" spans="1:3" x14ac:dyDescent="0.2">
      <c r="A293" s="83" t="s">
        <v>502</v>
      </c>
      <c r="B293" s="130">
        <v>330</v>
      </c>
      <c r="C293" s="84" t="s">
        <v>48</v>
      </c>
    </row>
    <row r="294" spans="1:3" x14ac:dyDescent="0.2">
      <c r="A294" s="83" t="s">
        <v>300</v>
      </c>
      <c r="B294" s="131">
        <v>1</v>
      </c>
    </row>
    <row r="295" spans="1:3" x14ac:dyDescent="0.2">
      <c r="A295" s="83" t="s">
        <v>299</v>
      </c>
      <c r="B295" s="131">
        <v>0.4</v>
      </c>
    </row>
    <row r="296" spans="1:3" x14ac:dyDescent="0.2">
      <c r="A296" s="83" t="s">
        <v>54</v>
      </c>
      <c r="B296" s="131">
        <v>1</v>
      </c>
    </row>
    <row r="297" spans="1:3" x14ac:dyDescent="0.2">
      <c r="A297" s="83" t="s">
        <v>83</v>
      </c>
      <c r="B297" s="130">
        <v>8</v>
      </c>
      <c r="C297" s="52" t="s">
        <v>194</v>
      </c>
    </row>
    <row r="298" spans="1:3" x14ac:dyDescent="0.2">
      <c r="A298" s="83" t="s">
        <v>85</v>
      </c>
      <c r="B298" s="130">
        <v>8</v>
      </c>
      <c r="C298" s="52" t="s">
        <v>194</v>
      </c>
    </row>
    <row r="299" spans="1:3" x14ac:dyDescent="0.2">
      <c r="A299" s="83" t="s">
        <v>88</v>
      </c>
      <c r="B299" s="130">
        <v>0.4</v>
      </c>
    </row>
    <row r="300" spans="1:3" x14ac:dyDescent="0.2">
      <c r="A300" s="83" t="s">
        <v>219</v>
      </c>
      <c r="B300" s="130">
        <v>5</v>
      </c>
      <c r="C300" s="52" t="s">
        <v>112</v>
      </c>
    </row>
    <row r="301" spans="1:3" x14ac:dyDescent="0.2">
      <c r="A301" s="83" t="s">
        <v>220</v>
      </c>
      <c r="B301" s="130">
        <v>50</v>
      </c>
      <c r="C301" s="52" t="s">
        <v>113</v>
      </c>
    </row>
    <row r="302" spans="1:3" x14ac:dyDescent="0.2">
      <c r="A302" s="84" t="s">
        <v>295</v>
      </c>
      <c r="B302" s="234">
        <v>241</v>
      </c>
      <c r="C302" s="84" t="s">
        <v>296</v>
      </c>
    </row>
    <row r="303" spans="1:3" x14ac:dyDescent="0.2">
      <c r="A303" s="84" t="s">
        <v>293</v>
      </c>
      <c r="B303" s="129">
        <v>2.8000000000000001E-15</v>
      </c>
      <c r="C303" s="84"/>
    </row>
    <row r="304" spans="1:3" x14ac:dyDescent="0.2">
      <c r="A304" s="83" t="s">
        <v>293</v>
      </c>
      <c r="B304" s="129">
        <v>2.8000000000000002E-12</v>
      </c>
      <c r="C304" s="84"/>
    </row>
    <row r="308" spans="1:3" x14ac:dyDescent="0.2">
      <c r="A308" s="83"/>
      <c r="B308" s="101"/>
      <c r="C308" s="88"/>
    </row>
    <row r="309" spans="1:3" x14ac:dyDescent="0.2">
      <c r="A309" s="83"/>
      <c r="B309" s="101"/>
      <c r="C309" s="88"/>
    </row>
    <row r="310" spans="1:3" x14ac:dyDescent="0.2">
      <c r="A310" s="83"/>
      <c r="B310" s="101"/>
      <c r="C310" s="88"/>
    </row>
  </sheetData>
  <mergeCells count="346">
    <mergeCell ref="G2:G4"/>
    <mergeCell ref="L2:L4"/>
    <mergeCell ref="K2:K4"/>
    <mergeCell ref="J2:J4"/>
    <mergeCell ref="I2:I4"/>
    <mergeCell ref="H2:H4"/>
    <mergeCell ref="A92:C92"/>
    <mergeCell ref="A81:C81"/>
    <mergeCell ref="A37:C37"/>
    <mergeCell ref="A2:C4"/>
    <mergeCell ref="HD21:HF21"/>
    <mergeCell ref="V23:X23"/>
    <mergeCell ref="Y23:AA23"/>
    <mergeCell ref="CC35:CG38"/>
    <mergeCell ref="AE43:AG45"/>
    <mergeCell ref="BK40:BO43"/>
    <mergeCell ref="CQ20:CQ22"/>
    <mergeCell ref="CR20:CR22"/>
    <mergeCell ref="CS20:CS22"/>
    <mergeCell ref="AI21:AI23"/>
    <mergeCell ref="AJ21:AJ23"/>
    <mergeCell ref="AK21:AK23"/>
    <mergeCell ref="AL21:AL23"/>
    <mergeCell ref="AM21:AM23"/>
    <mergeCell ref="AN21:AN23"/>
    <mergeCell ref="AR21:AR23"/>
    <mergeCell ref="AS21:AS23"/>
    <mergeCell ref="AT21:AT23"/>
    <mergeCell ref="AU21:AU23"/>
    <mergeCell ref="AV21:AV23"/>
    <mergeCell ref="AW21:AW23"/>
    <mergeCell ref="BA21:BA23"/>
    <mergeCell ref="CL20:CL22"/>
    <mergeCell ref="CM20:CM22"/>
    <mergeCell ref="BA20:BC20"/>
    <mergeCell ref="BD20:BF20"/>
    <mergeCell ref="BJ20:BL20"/>
    <mergeCell ref="BM20:BO20"/>
    <mergeCell ref="CK20:CK22"/>
    <mergeCell ref="BB21:BB23"/>
    <mergeCell ref="BC21:BC23"/>
    <mergeCell ref="BD21:BD23"/>
    <mergeCell ref="BE21:BE23"/>
    <mergeCell ref="BF21:BF23"/>
    <mergeCell ref="BJ21:BJ23"/>
    <mergeCell ref="BK21:BK23"/>
    <mergeCell ref="BL21:BL23"/>
    <mergeCell ref="BM21:BM23"/>
    <mergeCell ref="BN21:BN23"/>
    <mergeCell ref="BO21:BO23"/>
    <mergeCell ref="AI20:AK20"/>
    <mergeCell ref="AL20:AN20"/>
    <mergeCell ref="AR20:AT20"/>
    <mergeCell ref="AU20:AW20"/>
    <mergeCell ref="M21:M23"/>
    <mergeCell ref="N21:N23"/>
    <mergeCell ref="O21:O23"/>
    <mergeCell ref="P21:P23"/>
    <mergeCell ref="Q21:Q23"/>
    <mergeCell ref="M20:O20"/>
    <mergeCell ref="P20:R20"/>
    <mergeCell ref="CK19:CM19"/>
    <mergeCell ref="CN19:CP19"/>
    <mergeCell ref="CQ19:CS19"/>
    <mergeCell ref="CB18:CD18"/>
    <mergeCell ref="CE18:CG18"/>
    <mergeCell ref="CB19:CB21"/>
    <mergeCell ref="CC19:CC21"/>
    <mergeCell ref="CD19:CD21"/>
    <mergeCell ref="CE19:CE21"/>
    <mergeCell ref="CF19:CF21"/>
    <mergeCell ref="CG19:CG21"/>
    <mergeCell ref="CN20:CN22"/>
    <mergeCell ref="CO20:CO22"/>
    <mergeCell ref="CP20:CP22"/>
    <mergeCell ref="GY2:GY4"/>
    <mergeCell ref="GZ2:GZ4"/>
    <mergeCell ref="HA2:HA4"/>
    <mergeCell ref="HB2:HB4"/>
    <mergeCell ref="HC2:HC4"/>
    <mergeCell ref="GT2:GT4"/>
    <mergeCell ref="GU2:GU4"/>
    <mergeCell ref="GV2:GV4"/>
    <mergeCell ref="GW2:GW4"/>
    <mergeCell ref="GX2:GX4"/>
    <mergeCell ref="GO2:GO4"/>
    <mergeCell ref="GP2:GP4"/>
    <mergeCell ref="GQ2:GQ4"/>
    <mergeCell ref="GR2:GR4"/>
    <mergeCell ref="GS2:GS4"/>
    <mergeCell ref="GJ2:GJ4"/>
    <mergeCell ref="GK2:GK4"/>
    <mergeCell ref="GL2:GL4"/>
    <mergeCell ref="GM2:GM4"/>
    <mergeCell ref="GN2:GN4"/>
    <mergeCell ref="GE2:GE4"/>
    <mergeCell ref="GF2:GF4"/>
    <mergeCell ref="GG2:GG4"/>
    <mergeCell ref="GH2:GH4"/>
    <mergeCell ref="GI2:GI4"/>
    <mergeCell ref="FZ2:FZ4"/>
    <mergeCell ref="GA2:GA4"/>
    <mergeCell ref="GB2:GB4"/>
    <mergeCell ref="GC2:GC4"/>
    <mergeCell ref="GD2:GD4"/>
    <mergeCell ref="FU2:FU4"/>
    <mergeCell ref="FV2:FV4"/>
    <mergeCell ref="FW2:FW4"/>
    <mergeCell ref="FX2:FX4"/>
    <mergeCell ref="FY2:FY4"/>
    <mergeCell ref="FP2:FP4"/>
    <mergeCell ref="FQ2:FQ4"/>
    <mergeCell ref="FR2:FR4"/>
    <mergeCell ref="FS2:FS4"/>
    <mergeCell ref="FT2:FT4"/>
    <mergeCell ref="FK2:FK4"/>
    <mergeCell ref="FL2:FL4"/>
    <mergeCell ref="FM2:FM4"/>
    <mergeCell ref="FN2:FN4"/>
    <mergeCell ref="FO2:FO4"/>
    <mergeCell ref="FF2:FF4"/>
    <mergeCell ref="FG2:FG4"/>
    <mergeCell ref="FH2:FH4"/>
    <mergeCell ref="FI2:FI4"/>
    <mergeCell ref="FJ2:FJ4"/>
    <mergeCell ref="FA2:FA4"/>
    <mergeCell ref="FB2:FB4"/>
    <mergeCell ref="FC2:FC4"/>
    <mergeCell ref="FD2:FD4"/>
    <mergeCell ref="FE2:FE4"/>
    <mergeCell ref="EV2:EV4"/>
    <mergeCell ref="EW2:EW4"/>
    <mergeCell ref="EX2:EX4"/>
    <mergeCell ref="EY2:EY4"/>
    <mergeCell ref="EZ2:EZ4"/>
    <mergeCell ref="EQ2:EQ4"/>
    <mergeCell ref="ER2:ER4"/>
    <mergeCell ref="ES2:ES4"/>
    <mergeCell ref="ET2:ET4"/>
    <mergeCell ref="EU2:EU4"/>
    <mergeCell ref="EL2:EL4"/>
    <mergeCell ref="EM2:EM4"/>
    <mergeCell ref="EN2:EN4"/>
    <mergeCell ref="EO2:EO4"/>
    <mergeCell ref="EP2:EP4"/>
    <mergeCell ref="EG2:EG4"/>
    <mergeCell ref="EH2:EH4"/>
    <mergeCell ref="EI2:EI4"/>
    <mergeCell ref="EJ2:EJ4"/>
    <mergeCell ref="EK2:EK4"/>
    <mergeCell ref="EB2:EB4"/>
    <mergeCell ref="EC2:EC4"/>
    <mergeCell ref="ED2:ED4"/>
    <mergeCell ref="EE2:EE4"/>
    <mergeCell ref="EF2:EF4"/>
    <mergeCell ref="DW2:DW4"/>
    <mergeCell ref="DX2:DX4"/>
    <mergeCell ref="DY2:DY4"/>
    <mergeCell ref="DZ2:DZ4"/>
    <mergeCell ref="EA2:EA4"/>
    <mergeCell ref="DR2:DR4"/>
    <mergeCell ref="DS2:DS4"/>
    <mergeCell ref="DT2:DT4"/>
    <mergeCell ref="DU2:DU4"/>
    <mergeCell ref="DV2:DV4"/>
    <mergeCell ref="DM2:DM4"/>
    <mergeCell ref="DN2:DN4"/>
    <mergeCell ref="DO2:DO4"/>
    <mergeCell ref="DP2:DP4"/>
    <mergeCell ref="DQ2:DQ4"/>
    <mergeCell ref="DH2:DH4"/>
    <mergeCell ref="DI2:DI4"/>
    <mergeCell ref="DJ2:DJ4"/>
    <mergeCell ref="DK2:DK4"/>
    <mergeCell ref="DL2:DL4"/>
    <mergeCell ref="DC2:DC4"/>
    <mergeCell ref="DD2:DD4"/>
    <mergeCell ref="DE2:DE4"/>
    <mergeCell ref="DF2:DF4"/>
    <mergeCell ref="DG2:DG4"/>
    <mergeCell ref="CU2:CU4"/>
    <mergeCell ref="CV2:CV4"/>
    <mergeCell ref="CZ2:CZ4"/>
    <mergeCell ref="DA2:DA4"/>
    <mergeCell ref="DB2:DB4"/>
    <mergeCell ref="CP2:CP4"/>
    <mergeCell ref="CQ2:CQ4"/>
    <mergeCell ref="CR2:CR4"/>
    <mergeCell ref="CS2:CS4"/>
    <mergeCell ref="CT2:CT4"/>
    <mergeCell ref="CK2:CK4"/>
    <mergeCell ref="CL2:CL4"/>
    <mergeCell ref="CM2:CM4"/>
    <mergeCell ref="CN2:CN4"/>
    <mergeCell ref="CO2:CO4"/>
    <mergeCell ref="CF2:CF4"/>
    <mergeCell ref="CG2:CG4"/>
    <mergeCell ref="CH2:CH4"/>
    <mergeCell ref="CI2:CI4"/>
    <mergeCell ref="CJ2:CJ4"/>
    <mergeCell ref="CA2:CA4"/>
    <mergeCell ref="CB2:CB4"/>
    <mergeCell ref="CC2:CC4"/>
    <mergeCell ref="CD2:CD4"/>
    <mergeCell ref="CE2:CE4"/>
    <mergeCell ref="BW2:BW4"/>
    <mergeCell ref="BX2:BX4"/>
    <mergeCell ref="BY2:BY4"/>
    <mergeCell ref="BZ2:BZ4"/>
    <mergeCell ref="BN2:BN4"/>
    <mergeCell ref="BO2:BO4"/>
    <mergeCell ref="BP2:BP4"/>
    <mergeCell ref="BQ2:BQ4"/>
    <mergeCell ref="BR2:BR4"/>
    <mergeCell ref="BK2:BK4"/>
    <mergeCell ref="BL2:BL4"/>
    <mergeCell ref="BM2:BM4"/>
    <mergeCell ref="BD2:BD4"/>
    <mergeCell ref="BE2:BE4"/>
    <mergeCell ref="BF2:BF4"/>
    <mergeCell ref="BG2:BG4"/>
    <mergeCell ref="BH2:BH4"/>
    <mergeCell ref="BV2:BV4"/>
    <mergeCell ref="BB2:BB4"/>
    <mergeCell ref="BC2:BC4"/>
    <mergeCell ref="AT2:AT4"/>
    <mergeCell ref="AU2:AU4"/>
    <mergeCell ref="AV2:AV4"/>
    <mergeCell ref="AW2:AW4"/>
    <mergeCell ref="AX2:AX4"/>
    <mergeCell ref="BI2:BI4"/>
    <mergeCell ref="BJ2:BJ4"/>
    <mergeCell ref="HD1:HF1"/>
    <mergeCell ref="M2:M4"/>
    <mergeCell ref="N2:N4"/>
    <mergeCell ref="O2:O4"/>
    <mergeCell ref="P2:P4"/>
    <mergeCell ref="Q2:Q4"/>
    <mergeCell ref="R2:R4"/>
    <mergeCell ref="S2:S4"/>
    <mergeCell ref="T2:T4"/>
    <mergeCell ref="U2:U4"/>
    <mergeCell ref="AC2:AC4"/>
    <mergeCell ref="AD2:AD4"/>
    <mergeCell ref="AE2:AE4"/>
    <mergeCell ref="AF2:AF4"/>
    <mergeCell ref="AG2:AG4"/>
    <mergeCell ref="AH2:AH4"/>
    <mergeCell ref="GO1:GQ1"/>
    <mergeCell ref="GR1:GT1"/>
    <mergeCell ref="GU1:GW1"/>
    <mergeCell ref="GX1:GZ1"/>
    <mergeCell ref="HA1:HC1"/>
    <mergeCell ref="FZ1:GB1"/>
    <mergeCell ref="GC1:GE1"/>
    <mergeCell ref="GF1:GH1"/>
    <mergeCell ref="GI1:GK1"/>
    <mergeCell ref="GL1:GN1"/>
    <mergeCell ref="FK1:FM1"/>
    <mergeCell ref="FN1:FP1"/>
    <mergeCell ref="FQ1:FS1"/>
    <mergeCell ref="FT1:FV1"/>
    <mergeCell ref="FW1:FX1"/>
    <mergeCell ref="EV1:EX1"/>
    <mergeCell ref="EY1:FA1"/>
    <mergeCell ref="FB1:FD1"/>
    <mergeCell ref="FE1:FG1"/>
    <mergeCell ref="FH1:FJ1"/>
    <mergeCell ref="EG1:EI1"/>
    <mergeCell ref="EJ1:EL1"/>
    <mergeCell ref="EM1:EO1"/>
    <mergeCell ref="EP1:ER1"/>
    <mergeCell ref="ES1:EU1"/>
    <mergeCell ref="DR1:DT1"/>
    <mergeCell ref="DU1:DW1"/>
    <mergeCell ref="DX1:DZ1"/>
    <mergeCell ref="EA1:EC1"/>
    <mergeCell ref="ED1:EF1"/>
    <mergeCell ref="DC1:DE1"/>
    <mergeCell ref="DF1:DH1"/>
    <mergeCell ref="DI1:DK1"/>
    <mergeCell ref="DL1:DN1"/>
    <mergeCell ref="DO1:DQ1"/>
    <mergeCell ref="CN1:CP1"/>
    <mergeCell ref="CQ1:CS1"/>
    <mergeCell ref="CT1:CV1"/>
    <mergeCell ref="CW1:CY1"/>
    <mergeCell ref="CZ1:DB1"/>
    <mergeCell ref="BY1:CA1"/>
    <mergeCell ref="CB1:CD1"/>
    <mergeCell ref="CE1:CG1"/>
    <mergeCell ref="CH1:CJ1"/>
    <mergeCell ref="CK1:CM1"/>
    <mergeCell ref="BJ1:BL1"/>
    <mergeCell ref="BM1:BO1"/>
    <mergeCell ref="BP1:BR1"/>
    <mergeCell ref="BS1:BU1"/>
    <mergeCell ref="BV1:BX1"/>
    <mergeCell ref="AU1:AW1"/>
    <mergeCell ref="AX1:AZ1"/>
    <mergeCell ref="BA1:BC1"/>
    <mergeCell ref="BD1:BF1"/>
    <mergeCell ref="BG1:BI1"/>
    <mergeCell ref="AB1:AB4"/>
    <mergeCell ref="AI1:AK1"/>
    <mergeCell ref="AL1:AN1"/>
    <mergeCell ref="AO1:AQ1"/>
    <mergeCell ref="AR1:AT1"/>
    <mergeCell ref="AI2:AI4"/>
    <mergeCell ref="AJ2:AJ4"/>
    <mergeCell ref="AK2:AK4"/>
    <mergeCell ref="AL2:AL4"/>
    <mergeCell ref="AM2:AM4"/>
    <mergeCell ref="AN2:AN4"/>
    <mergeCell ref="AO2:AO4"/>
    <mergeCell ref="AP2:AP4"/>
    <mergeCell ref="AQ2:AQ4"/>
    <mergeCell ref="AR2:AR4"/>
    <mergeCell ref="AS2:AS4"/>
    <mergeCell ref="AY2:AY4"/>
    <mergeCell ref="AZ2:AZ4"/>
    <mergeCell ref="BA2:BA4"/>
    <mergeCell ref="M1:O1"/>
    <mergeCell ref="P1:R1"/>
    <mergeCell ref="S1:U1"/>
    <mergeCell ref="V1:X1"/>
    <mergeCell ref="Y1:AA1"/>
    <mergeCell ref="A289:C289"/>
    <mergeCell ref="A265:C265"/>
    <mergeCell ref="A253:C253"/>
    <mergeCell ref="A241:C241"/>
    <mergeCell ref="A229:C229"/>
    <mergeCell ref="A140:C140"/>
    <mergeCell ref="D1:F1"/>
    <mergeCell ref="G1:I1"/>
    <mergeCell ref="J1:L1"/>
    <mergeCell ref="R21:R23"/>
    <mergeCell ref="A1:C1"/>
    <mergeCell ref="D30:F30"/>
    <mergeCell ref="D31:D32"/>
    <mergeCell ref="E31:E32"/>
    <mergeCell ref="F31:F32"/>
    <mergeCell ref="D42:F42"/>
    <mergeCell ref="D43:D44"/>
    <mergeCell ref="E43:E44"/>
    <mergeCell ref="F43:F44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310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C1"/>
    </sheetView>
  </sheetViews>
  <sheetFormatPr defaultRowHeight="12.75" x14ac:dyDescent="0.2"/>
  <cols>
    <col min="1" max="1" width="13.7109375" style="52" bestFit="1" customWidth="1"/>
    <col min="2" max="2" width="10.85546875" style="52" bestFit="1" customWidth="1"/>
    <col min="3" max="3" width="20.1406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5.1406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85546875" style="52" bestFit="1" customWidth="1"/>
    <col min="79" max="79" width="18.85546875" style="52" bestFit="1" customWidth="1"/>
    <col min="80" max="80" width="11" style="52" bestFit="1" customWidth="1"/>
    <col min="81" max="81" width="10.85546875" style="52" bestFit="1" customWidth="1"/>
    <col min="82" max="82" width="20.28515625" style="52" bestFit="1" customWidth="1"/>
    <col min="83" max="83" width="12.42578125" style="52" bestFit="1" customWidth="1"/>
    <col min="84" max="84" width="9.85546875" style="52" bestFit="1" customWidth="1"/>
    <col min="85" max="85" width="20.28515625" style="52" bestFit="1" customWidth="1"/>
    <col min="86" max="86" width="13.5703125" style="52" bestFit="1" customWidth="1"/>
    <col min="87" max="87" width="9.8554687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425781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7.42578125" style="52" bestFit="1" customWidth="1"/>
    <col min="116" max="116" width="12.42578125" style="52" bestFit="1" customWidth="1"/>
    <col min="117" max="117" width="8.85546875" style="52" bestFit="1" customWidth="1"/>
    <col min="118" max="118" width="7.425781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8.85546875" style="52" bestFit="1" customWidth="1"/>
    <col min="127" max="127" width="6.28515625" style="52" bestFit="1" customWidth="1"/>
    <col min="128" max="128" width="12" style="52" bestFit="1" customWidth="1"/>
    <col min="129" max="129" width="9.28515625" style="52" bestFit="1" customWidth="1"/>
    <col min="130" max="130" width="7.42578125" style="52" bestFit="1" customWidth="1"/>
    <col min="131" max="131" width="12" style="52" bestFit="1" customWidth="1"/>
    <col min="132" max="132" width="8.85546875" style="52" bestFit="1" customWidth="1"/>
    <col min="133" max="133" width="7.42578125" style="52" bestFit="1" customWidth="1"/>
    <col min="134" max="134" width="12" style="52" bestFit="1" customWidth="1"/>
    <col min="135" max="135" width="10" style="52" bestFit="1" customWidth="1"/>
    <col min="136" max="136" width="7.8554687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8.85546875" style="52" bestFit="1" customWidth="1"/>
    <col min="142" max="142" width="6.28515625" style="52" bestFit="1" customWidth="1"/>
    <col min="143" max="143" width="12" style="52" bestFit="1" customWidth="1"/>
    <col min="144" max="144" width="9.28515625" style="52" bestFit="1" customWidth="1"/>
    <col min="145" max="145" width="7.42578125" style="52" bestFit="1" customWidth="1"/>
    <col min="146" max="146" width="12" style="52" bestFit="1" customWidth="1"/>
    <col min="147" max="147" width="8.85546875" style="52" bestFit="1" customWidth="1"/>
    <col min="148" max="148" width="7.42578125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8.85546875" style="52" bestFit="1" customWidth="1"/>
    <col min="157" max="157" width="6.28515625" style="52" bestFit="1" customWidth="1"/>
    <col min="158" max="158" width="12" style="52" bestFit="1" customWidth="1"/>
    <col min="159" max="159" width="9.28515625" style="52" bestFit="1" customWidth="1"/>
    <col min="160" max="160" width="7.42578125" style="52" bestFit="1" customWidth="1"/>
    <col min="161" max="161" width="12" style="52" bestFit="1" customWidth="1"/>
    <col min="162" max="162" width="8.85546875" style="52" bestFit="1" customWidth="1"/>
    <col min="163" max="163" width="7.42578125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7.42578125" style="52" bestFit="1" customWidth="1"/>
    <col min="176" max="176" width="10.140625" style="52" bestFit="1" customWidth="1"/>
    <col min="177" max="177" width="9.28515625" style="52" bestFit="1" customWidth="1"/>
    <col min="178" max="178" width="7.425781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8.85546875" style="52" customWidth="1"/>
    <col min="187" max="187" width="6.28515625" style="52" bestFit="1" customWidth="1"/>
    <col min="188" max="188" width="12" style="52" bestFit="1" customWidth="1"/>
    <col min="189" max="189" width="9.28515625" style="52" bestFit="1" customWidth="1"/>
    <col min="190" max="190" width="7.42578125" style="52" bestFit="1" customWidth="1"/>
    <col min="191" max="191" width="12" style="52" bestFit="1" customWidth="1"/>
    <col min="192" max="192" width="8.85546875" style="52" bestFit="1" customWidth="1"/>
    <col min="193" max="193" width="7.42578125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8.85546875" style="52" bestFit="1" customWidth="1"/>
    <col min="202" max="202" width="6.28515625" style="52" bestFit="1" customWidth="1"/>
    <col min="203" max="203" width="12" style="52" bestFit="1" customWidth="1"/>
    <col min="204" max="204" width="9.28515625" style="52" bestFit="1" customWidth="1"/>
    <col min="205" max="205" width="7.42578125" style="52" bestFit="1" customWidth="1"/>
    <col min="206" max="206" width="12" style="52" bestFit="1" customWidth="1"/>
    <col min="207" max="207" width="8.85546875" style="52" bestFit="1" customWidth="1"/>
    <col min="208" max="208" width="7.42578125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9.28515625" style="52" bestFit="1" customWidth="1"/>
    <col min="214" max="214" width="22.42578125" style="52" bestFit="1" customWidth="1"/>
    <col min="215" max="16384" width="9.140625" style="52"/>
  </cols>
  <sheetData>
    <row r="1" spans="1:214" ht="21.75" customHeight="1" thickTop="1" thickBot="1" x14ac:dyDescent="0.25">
      <c r="A1" s="649" t="s">
        <v>8</v>
      </c>
      <c r="B1" s="650"/>
      <c r="C1" s="651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532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658" t="s">
        <v>557</v>
      </c>
      <c r="AJ1" s="659"/>
      <c r="AK1" s="660"/>
      <c r="AL1" s="661" t="s">
        <v>546</v>
      </c>
      <c r="AM1" s="659"/>
      <c r="AN1" s="660"/>
      <c r="AO1" s="661" t="s">
        <v>547</v>
      </c>
      <c r="AP1" s="659"/>
      <c r="AQ1" s="662"/>
      <c r="AR1" s="658" t="s">
        <v>559</v>
      </c>
      <c r="AS1" s="659"/>
      <c r="AT1" s="660"/>
      <c r="AU1" s="661" t="s">
        <v>548</v>
      </c>
      <c r="AV1" s="659"/>
      <c r="AW1" s="660"/>
      <c r="AX1" s="661" t="s">
        <v>549</v>
      </c>
      <c r="AY1" s="659"/>
      <c r="AZ1" s="662"/>
      <c r="BA1" s="658" t="s">
        <v>561</v>
      </c>
      <c r="BB1" s="659"/>
      <c r="BC1" s="660"/>
      <c r="BD1" s="661" t="s">
        <v>551</v>
      </c>
      <c r="BE1" s="659"/>
      <c r="BF1" s="660"/>
      <c r="BG1" s="661" t="s">
        <v>552</v>
      </c>
      <c r="BH1" s="659"/>
      <c r="BI1" s="662"/>
      <c r="BJ1" s="658" t="s">
        <v>564</v>
      </c>
      <c r="BK1" s="659"/>
      <c r="BL1" s="660"/>
      <c r="BM1" s="661" t="s">
        <v>554</v>
      </c>
      <c r="BN1" s="659"/>
      <c r="BO1" s="660"/>
      <c r="BP1" s="661" t="s">
        <v>555</v>
      </c>
      <c r="BQ1" s="659"/>
      <c r="BR1" s="662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675" t="s">
        <v>569</v>
      </c>
      <c r="CC1" s="673"/>
      <c r="CD1" s="673"/>
      <c r="CE1" s="676" t="s">
        <v>570</v>
      </c>
      <c r="CF1" s="673"/>
      <c r="CG1" s="677"/>
      <c r="CH1" s="673" t="s">
        <v>571</v>
      </c>
      <c r="CI1" s="673"/>
      <c r="CJ1" s="674"/>
      <c r="CK1" s="675" t="s">
        <v>575</v>
      </c>
      <c r="CL1" s="673"/>
      <c r="CM1" s="673"/>
      <c r="CN1" s="676" t="s">
        <v>575</v>
      </c>
      <c r="CO1" s="673"/>
      <c r="CP1" s="677"/>
      <c r="CQ1" s="673" t="s">
        <v>575</v>
      </c>
      <c r="CR1" s="673"/>
      <c r="CS1" s="674"/>
      <c r="CT1" s="386" t="s">
        <v>577</v>
      </c>
      <c r="CU1" s="387"/>
      <c r="CV1" s="388"/>
      <c r="CW1" s="398" t="s">
        <v>578</v>
      </c>
      <c r="CX1" s="399"/>
      <c r="CY1" s="400"/>
      <c r="CZ1" s="678" t="s">
        <v>579</v>
      </c>
      <c r="DA1" s="679"/>
      <c r="DB1" s="680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3.5" customHeight="1" thickTop="1" x14ac:dyDescent="0.2">
      <c r="A2" s="372" t="s">
        <v>233</v>
      </c>
      <c r="B2" s="373"/>
      <c r="C2" s="374"/>
      <c r="D2" s="193"/>
      <c r="E2" s="194"/>
      <c r="F2" s="194"/>
      <c r="G2" s="363" t="s">
        <v>531</v>
      </c>
      <c r="H2" s="360">
        <f>(1/((1/H10)+(1/H12)+(1/H13)))*H70*H71*H73</f>
        <v>3.561003164228376E-11</v>
      </c>
      <c r="I2" s="625" t="s">
        <v>13</v>
      </c>
      <c r="J2" s="622" t="s">
        <v>531</v>
      </c>
      <c r="K2" s="360">
        <f>(1/((1/K14)+(1/K15)+(1/K16)+(1/K17)))*K13*K53*K54</f>
        <v>8.3955500533667054E-9</v>
      </c>
      <c r="L2" s="345" t="s">
        <v>12</v>
      </c>
      <c r="M2" s="330" t="s">
        <v>537</v>
      </c>
      <c r="N2" s="333">
        <f>((N5*N6*N7)/((1-EXP(-N7*N6))*N15*N13*(N9/365)*(((N14/24)*N12)+((N16/24)*N11))))*N8*N17*N18</f>
        <v>1.1025904027278061E-8</v>
      </c>
      <c r="O2" s="336" t="s">
        <v>12</v>
      </c>
      <c r="P2" s="339" t="s">
        <v>537</v>
      </c>
      <c r="Q2" s="333">
        <f>((Q5*Q6*Q7)/((1-EXP(-Q7*Q6))*Q15*Q13*(Q9/365)*(((Q14/24)*Q12)+((Q16/24)*Q11))))*Q8*Q17*Q18</f>
        <v>5.5453811431310253E-8</v>
      </c>
      <c r="R2" s="336" t="s">
        <v>12</v>
      </c>
      <c r="S2" s="339" t="s">
        <v>537</v>
      </c>
      <c r="T2" s="333">
        <f>((T5*T6*T7)/((1-EXP(-T7*T6))*T15*T13*(T9/365)*(((T14/24)*T12)+((T16/24)*T11))))*T8*T17*T18</f>
        <v>1.240414203068782E-8</v>
      </c>
      <c r="U2" s="342" t="s">
        <v>12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1.6022977381733691E-8</v>
      </c>
      <c r="AD2" s="315">
        <f>1/((1/AD29)+(1/AD30)+(1/AD31))</f>
        <v>4.0040159552141491E-8</v>
      </c>
      <c r="AE2" s="315">
        <f>1/((1/AE29)+(1/AE30)+(1/AE31))</f>
        <v>1.7803308201926328E-8</v>
      </c>
      <c r="AF2" s="315">
        <f>1/((1/AF29)+(1/AF30)+(1/AF31))</f>
        <v>2.218228562259283E-6</v>
      </c>
      <c r="AG2" s="320">
        <f>1/((1/AG29)+(1/AG31)+(1/AG30))</f>
        <v>2.7254931936533514E-6</v>
      </c>
      <c r="AH2" s="318" t="s">
        <v>12</v>
      </c>
      <c r="AI2" s="307" t="s">
        <v>537</v>
      </c>
      <c r="AJ2" s="304">
        <f>((AJ5*AJ6*AJ7)/((1-EXP(-AJ7*AJ6))*AJ15*(AJ9/365)*AJ10*(AJ16/24)*AJ11*AJ13))*AJ8*AJ17*AJ18</f>
        <v>4.0126572526473059E-8</v>
      </c>
      <c r="AK2" s="291" t="s">
        <v>12</v>
      </c>
      <c r="AL2" s="288" t="s">
        <v>537</v>
      </c>
      <c r="AM2" s="304">
        <f>((AM5*AM6*AM7)/((1-EXP(-AM7*AM6))*AM15*(AM9/365)*AM10*(AM16/24)*AM11*AM13))*AM8*AM17*AM18</f>
        <v>2.0181305594196739E-7</v>
      </c>
      <c r="AN2" s="291" t="s">
        <v>12</v>
      </c>
      <c r="AO2" s="288" t="s">
        <v>537</v>
      </c>
      <c r="AP2" s="304">
        <f>((AP5*AP6*AP7)/((1-EXP(-AP7*AP6))*AP15*(AP9/365)*AP10*(AP16/24)*AP11*AP13))*AP8*AP17*AP18</f>
        <v>4.5142394092282176E-8</v>
      </c>
      <c r="AQ2" s="282" t="s">
        <v>12</v>
      </c>
      <c r="AR2" s="665" t="s">
        <v>537</v>
      </c>
      <c r="AS2" s="304">
        <f>((AS5*AS6*AS7)/((1-EXP(-AS7*AS6))*AS15*(AS9/365)*AS10*(AS14/24)*AS12*AS13))*AS8*AS17*AS18</f>
        <v>1.7834032233988017E-8</v>
      </c>
      <c r="AT2" s="667" t="s">
        <v>12</v>
      </c>
      <c r="AU2" s="663" t="s">
        <v>537</v>
      </c>
      <c r="AV2" s="304">
        <f>((AV5*AV6*AV7)/((1-EXP(-AV7*AV6))*AV15*(AV9/365)*AV10*(AV14/24)*AV12*AV13))*AV8*AV17*AV18</f>
        <v>8.9694691529763311E-8</v>
      </c>
      <c r="AW2" s="671" t="s">
        <v>12</v>
      </c>
      <c r="AX2" s="663" t="s">
        <v>537</v>
      </c>
      <c r="AY2" s="304">
        <f>((AY5*AY6*AY7)/((1-EXP(-AY7*AY6))*AY15*(AY9/365)*AY10*(AY14/24)*AY12*AY13))*AY8*AY17*AY18</f>
        <v>2.0063286263236526E-8</v>
      </c>
      <c r="AZ2" s="669" t="s">
        <v>12</v>
      </c>
      <c r="BA2" s="665" t="s">
        <v>537</v>
      </c>
      <c r="BB2" s="304">
        <f>((BB5*BB6*BB7)/((1-EXP(-BB7*BB6))*BB15*(BB9/365)*(BB14/24)*BB12*BB13))*BB8*BB17*BB18</f>
        <v>1.6050629010589219E-8</v>
      </c>
      <c r="BC2" s="667" t="s">
        <v>12</v>
      </c>
      <c r="BD2" s="663" t="s">
        <v>537</v>
      </c>
      <c r="BE2" s="304">
        <f>((BE5*BE6*BE7)/((1-EXP(-BE7*BE6))*BE15*(BE9/365)*(BE14/24)*BE12*BE13))*BE8*BE17*BE18</f>
        <v>8.0725222376786964E-8</v>
      </c>
      <c r="BF2" s="667" t="s">
        <v>12</v>
      </c>
      <c r="BG2" s="663" t="s">
        <v>537</v>
      </c>
      <c r="BH2" s="304">
        <f>((BH5*BH6*BH7)/((1-EXP(-BH7*BH6))*BH15*(BH9/365)*(BH14/24)*BH12*BH13))*BH8*BH17*BH18</f>
        <v>1.8056957636912873E-8</v>
      </c>
      <c r="BI2" s="669" t="s">
        <v>12</v>
      </c>
      <c r="BJ2" s="665" t="s">
        <v>537</v>
      </c>
      <c r="BK2" s="285">
        <f>((BK5*BK6*BK7)/((1-EXP(-BK7*BK6))*BK16*(BK9/365)*(BK15/24)*BK13*BK14))*BK8*BK17*BK18</f>
        <v>8.8446375001180472E-5</v>
      </c>
      <c r="BL2" s="667" t="s">
        <v>12</v>
      </c>
      <c r="BM2" s="663" t="s">
        <v>537</v>
      </c>
      <c r="BN2" s="285">
        <f>((BN5*BN6*BN7)/((1-EXP(-BN7*BN6))*BN16*(BN9/365)*(BN15/24)*BN13*BN14))*BN8*BN17*BN18</f>
        <v>9.2861260513265654E-4</v>
      </c>
      <c r="BO2" s="667" t="s">
        <v>12</v>
      </c>
      <c r="BP2" s="663" t="s">
        <v>537</v>
      </c>
      <c r="BQ2" s="285">
        <f>((BQ5*BQ6*BQ7)/((1-EXP(-BQ7*BQ6))*BQ16*(BQ9/365)*(BQ15/24)*BQ13*BQ14))*BQ8*BQ17*BQ18</f>
        <v>1.206919073130021E-4</v>
      </c>
      <c r="BR2" s="669" t="s">
        <v>12</v>
      </c>
      <c r="BS2" s="214"/>
      <c r="BT2" s="120"/>
      <c r="BU2" s="215"/>
      <c r="BV2" s="258" t="s">
        <v>531</v>
      </c>
      <c r="BW2" s="261">
        <f>1/((1/BW10)+(1/BW12))</f>
        <v>2.1840804418596044E-10</v>
      </c>
      <c r="BX2" s="278" t="s">
        <v>13</v>
      </c>
      <c r="BY2" s="258" t="s">
        <v>531</v>
      </c>
      <c r="BZ2" s="261">
        <f>1/((1/BZ13)+(1/BZ14)+(1/BZ15))</f>
        <v>2.5557720694669818E-5</v>
      </c>
      <c r="CA2" s="264" t="s">
        <v>12</v>
      </c>
      <c r="CB2" s="268" t="s">
        <v>537</v>
      </c>
      <c r="CC2" s="262">
        <f>((CC5*CC6*CC7)/((1-EXP(-CC7*CC6))*CC14*(CC9/365)*CC12*(CC13/24)*CC11))*CC8*CC15*CC16</f>
        <v>2.3585700000314787E-3</v>
      </c>
      <c r="CD2" s="279" t="s">
        <v>297</v>
      </c>
      <c r="CE2" s="259" t="s">
        <v>537</v>
      </c>
      <c r="CF2" s="262">
        <f>((CF5*CF6*CF7)/((1-EXP(-CF7*CF6))*CF14*(CF9/365)*CF12*(CF13/24)*CF11))*CF8*CF15*CF16</f>
        <v>2.476300280353751E-2</v>
      </c>
      <c r="CG2" s="279" t="s">
        <v>297</v>
      </c>
      <c r="CH2" s="259" t="s">
        <v>537</v>
      </c>
      <c r="CI2" s="262">
        <f>((CI5*CI6*CI7)/((1-EXP(-CI7*CI6))*CI14*(CI9/365)*CI12*(CI13/24)*CI11))*CI8*CI15*CI16</f>
        <v>3.2184508616800566E-3</v>
      </c>
      <c r="CJ2" s="265" t="s">
        <v>297</v>
      </c>
      <c r="CK2" s="268" t="s">
        <v>530</v>
      </c>
      <c r="CL2" s="262">
        <f>(CL5/(CL6*CL7*CL8))*CL9*CL10*CO16</f>
        <v>3.1418556186703157E-6</v>
      </c>
      <c r="CM2" s="279" t="s">
        <v>12</v>
      </c>
      <c r="CN2" s="259" t="s">
        <v>7</v>
      </c>
      <c r="CO2" s="262">
        <f>(CL2/(CO5*((CO10*CO12*CO13*(CO6+CO7))+(CO11*CO12))))*CO17</f>
        <v>9.20302669877748E-7</v>
      </c>
      <c r="CP2" s="279" t="s">
        <v>12</v>
      </c>
      <c r="CQ2" s="259" t="s">
        <v>6</v>
      </c>
      <c r="CR2" s="262">
        <f>CL2/(CR5*CR6*(1/CR7))</f>
        <v>1.1636502291371539E-3</v>
      </c>
      <c r="CS2" s="265" t="s">
        <v>12</v>
      </c>
      <c r="CT2" s="395" t="s">
        <v>531</v>
      </c>
      <c r="CU2" s="392">
        <f>1/((1/CU14)+(1/CU15)+(1/CU16)+(1/CU17)+(1/CU19)+(1/CU20)+(1/CU21)+(1/CU22)+(1/CU23)+(1/CU24))</f>
        <v>1.9724967493466171E-11</v>
      </c>
      <c r="CV2" s="389" t="s">
        <v>12</v>
      </c>
      <c r="CW2" s="218"/>
      <c r="CX2" s="219"/>
      <c r="CY2" s="219"/>
      <c r="CZ2" s="407" t="s">
        <v>531</v>
      </c>
      <c r="DA2" s="404">
        <f>1/((1/DA13)+(1/DA15)+(1/DA16))</f>
        <v>3.1076746660163786E-11</v>
      </c>
      <c r="DB2" s="401" t="s">
        <v>13</v>
      </c>
      <c r="DC2" s="442" t="s">
        <v>530</v>
      </c>
      <c r="DD2" s="439">
        <f>DD7</f>
        <v>2.4607714886213325E-9</v>
      </c>
      <c r="DE2" s="436" t="s">
        <v>12</v>
      </c>
      <c r="DF2" s="433" t="s">
        <v>530</v>
      </c>
      <c r="DG2" s="424">
        <f>DD7/((1/DG24)*(DG5+DG6+DG7))</f>
        <v>2.2107942181531602E-7</v>
      </c>
      <c r="DH2" s="430" t="s">
        <v>13</v>
      </c>
      <c r="DI2" s="427" t="s">
        <v>530</v>
      </c>
      <c r="DJ2" s="424">
        <f>(DD7/(DJ5+DJ6))*DJ12</f>
        <v>8.7267965526120244E-9</v>
      </c>
      <c r="DK2" s="430" t="s">
        <v>12</v>
      </c>
      <c r="DL2" s="427" t="s">
        <v>581</v>
      </c>
      <c r="DM2" s="424">
        <f>((DD7)/(DM5+DM6))*DJ12</f>
        <v>8.7267965526120244E-9</v>
      </c>
      <c r="DN2" s="430" t="s">
        <v>12</v>
      </c>
      <c r="DO2" s="427" t="s">
        <v>582</v>
      </c>
      <c r="DP2" s="424">
        <f>-(DP5+DP6+DP7)/(DP23+DP24)</f>
        <v>-48.516527231988597</v>
      </c>
      <c r="DQ2" s="421" t="s">
        <v>18</v>
      </c>
      <c r="DR2" s="574" t="s">
        <v>530</v>
      </c>
      <c r="DS2" s="445">
        <f>DS7</f>
        <v>1.5614058360781413E-9</v>
      </c>
      <c r="DT2" s="484" t="s">
        <v>12</v>
      </c>
      <c r="DU2" s="481" t="s">
        <v>530</v>
      </c>
      <c r="DV2" s="463">
        <f>(DS7*DV8)/(DV5*DV6*(1/1000))</f>
        <v>3.8002079658801638E-6</v>
      </c>
      <c r="DW2" s="466" t="s">
        <v>13</v>
      </c>
      <c r="DX2" s="478" t="s">
        <v>530</v>
      </c>
      <c r="DY2" s="463">
        <f>(DS7*DY14)/(DY9*((DY10*DY12*DY13*(DY5+DY6))+(DY11*DY12)))*DY18</f>
        <v>5.8322516122259409E-8</v>
      </c>
      <c r="DZ2" s="466" t="s">
        <v>12</v>
      </c>
      <c r="EA2" s="478" t="s">
        <v>581</v>
      </c>
      <c r="EB2" s="463">
        <f>(DS7*DY14)/(EB9*((EB10*EB12*EB13*(EB5+EB6))+(EB11*EB12)))*DY18</f>
        <v>5.8322516122259409E-8</v>
      </c>
      <c r="EC2" s="466" t="s">
        <v>12</v>
      </c>
      <c r="ED2" s="478" t="s">
        <v>582</v>
      </c>
      <c r="EE2" s="463">
        <f>-EE15/((EE10*EE12*EE13*(EE5+EE6))+(EE11*EE12))</f>
        <v>-15.172254564045053</v>
      </c>
      <c r="EF2" s="460" t="s">
        <v>18</v>
      </c>
      <c r="EG2" s="475" t="s">
        <v>530</v>
      </c>
      <c r="EH2" s="469">
        <f>EH7</f>
        <v>4.279660397478647E-9</v>
      </c>
      <c r="EI2" s="457" t="s">
        <v>12</v>
      </c>
      <c r="EJ2" s="472" t="s">
        <v>530</v>
      </c>
      <c r="EK2" s="454">
        <f>EH7/(EK5*EK6)</f>
        <v>3.6703776993813442E-9</v>
      </c>
      <c r="EL2" s="451" t="s">
        <v>13</v>
      </c>
      <c r="EM2" s="448" t="s">
        <v>530</v>
      </c>
      <c r="EN2" s="454">
        <f>(EH7/(EN9*((EN10*EN12*EN13*(EN5+EN6))+(EN11*EN12))))*EN17</f>
        <v>5.2003644171079069E-8</v>
      </c>
      <c r="EO2" s="451" t="s">
        <v>12</v>
      </c>
      <c r="EP2" s="448" t="s">
        <v>581</v>
      </c>
      <c r="EQ2" s="454">
        <f>(EH7/(EQ9*((EQ10*EQ12*EQ13*(EQ5+EQ6))+(EQ11*EQ12))))*EN17</f>
        <v>5.2003644171079069E-8</v>
      </c>
      <c r="ER2" s="451" t="s">
        <v>12</v>
      </c>
      <c r="ES2" s="448" t="s">
        <v>582</v>
      </c>
      <c r="ET2" s="454">
        <f>-ET15/((ET10*ET12*ET13*(ET5+ET6))+(ET11*ET12))</f>
        <v>-14.006971771987642</v>
      </c>
      <c r="EU2" s="499" t="s">
        <v>18</v>
      </c>
      <c r="EV2" s="496" t="s">
        <v>530</v>
      </c>
      <c r="EW2" s="493">
        <f>EW7</f>
        <v>1.4314671247102608E-8</v>
      </c>
      <c r="EX2" s="490" t="s">
        <v>12</v>
      </c>
      <c r="EY2" s="487" t="s">
        <v>530</v>
      </c>
      <c r="EZ2" s="586">
        <f>EW7/(EZ5*EZ6*(1/EZ7))</f>
        <v>8.9466695294391276E-5</v>
      </c>
      <c r="FA2" s="592" t="s">
        <v>13</v>
      </c>
      <c r="FB2" s="589" t="s">
        <v>530</v>
      </c>
      <c r="FC2" s="586">
        <f>(EW7/(FC9*((FC10*FC12*FC13*(FC5+FC6))+(FC11*FC12))))*FC17</f>
        <v>4.6528661272693363E-7</v>
      </c>
      <c r="FD2" s="595" t="s">
        <v>12</v>
      </c>
      <c r="FE2" s="589" t="s">
        <v>581</v>
      </c>
      <c r="FF2" s="586">
        <f>(EW7/(FF9*(FF10*FF12*FF13*(FF5*FF6))+(FF11*FF12)))*FC17</f>
        <v>6.4126303755811252E-7</v>
      </c>
      <c r="FG2" s="592" t="s">
        <v>12</v>
      </c>
      <c r="FH2" s="589" t="s">
        <v>582</v>
      </c>
      <c r="FI2" s="586">
        <f>FI15/((FI10*FI12*FI13*(FI5+FI6))+(FI11*FI12))</f>
        <v>5.1413881748071981</v>
      </c>
      <c r="FJ2" s="583" t="s">
        <v>18</v>
      </c>
      <c r="FK2" s="580" t="s">
        <v>530</v>
      </c>
      <c r="FL2" s="577">
        <f>FL7</f>
        <v>4.9139097542467944E-9</v>
      </c>
      <c r="FM2" s="571" t="s">
        <v>12</v>
      </c>
      <c r="FN2" s="568" t="s">
        <v>530</v>
      </c>
      <c r="FO2" s="505">
        <f>FL7/(FO5*(1/FO6))</f>
        <v>1.9655639016987179E-9</v>
      </c>
      <c r="FP2" s="511" t="s">
        <v>13</v>
      </c>
      <c r="FQ2" s="508" t="s">
        <v>530</v>
      </c>
      <c r="FR2" s="505">
        <f>((FL7*FR6)/FR5)*FR10</f>
        <v>1.9882268509423672E-11</v>
      </c>
      <c r="FS2" s="511" t="s">
        <v>12</v>
      </c>
      <c r="FT2" s="508" t="s">
        <v>581</v>
      </c>
      <c r="FU2" s="505">
        <f>((FL7*FU6)/FU5)*FR10</f>
        <v>1.9882268509423672E-11</v>
      </c>
      <c r="FV2" s="511" t="s">
        <v>12</v>
      </c>
      <c r="FW2" s="508" t="s">
        <v>582</v>
      </c>
      <c r="FX2" s="505">
        <f>-FX5/FX6</f>
        <v>-0.01</v>
      </c>
      <c r="FY2" s="502" t="s">
        <v>18</v>
      </c>
      <c r="FZ2" s="556" t="s">
        <v>530</v>
      </c>
      <c r="GA2" s="553">
        <f>GA7</f>
        <v>7.15087387604199E-9</v>
      </c>
      <c r="GB2" s="550" t="s">
        <v>12</v>
      </c>
      <c r="GC2" s="559" t="s">
        <v>530</v>
      </c>
      <c r="GD2" s="538">
        <f>GA7/(GD5*GD6*(1/GD7))</f>
        <v>6.6211795148536943E-6</v>
      </c>
      <c r="GE2" s="544" t="s">
        <v>13</v>
      </c>
      <c r="GF2" s="541" t="s">
        <v>530</v>
      </c>
      <c r="GG2" s="538">
        <f>(GA7/((GG9)*((GG10*GG12*GG13*(GG5+GG6))+(GG11*GG12))))*GG17</f>
        <v>3.443455890022542E-8</v>
      </c>
      <c r="GH2" s="544" t="s">
        <v>12</v>
      </c>
      <c r="GI2" s="541" t="s">
        <v>581</v>
      </c>
      <c r="GJ2" s="538">
        <f>(GA7/((GJ9)*((GJ10*GJ12*GJ13*(GJ5+GJ6))+(GJ11*GJ12))))*GG17</f>
        <v>3.443455890022542E-8</v>
      </c>
      <c r="GK2" s="544" t="s">
        <v>12</v>
      </c>
      <c r="GL2" s="541" t="s">
        <v>582</v>
      </c>
      <c r="GM2" s="538">
        <f>GM15/((GM10*GM12*GM13*(GM5+GM6))+(GM11*GM12))</f>
        <v>5.1413881748071981</v>
      </c>
      <c r="GN2" s="535" t="s">
        <v>18</v>
      </c>
      <c r="GO2" s="532" t="s">
        <v>530</v>
      </c>
      <c r="GP2" s="529">
        <f>GP7</f>
        <v>7.8294543020043424E-9</v>
      </c>
      <c r="GQ2" s="526" t="s">
        <v>12</v>
      </c>
      <c r="GR2" s="523" t="s">
        <v>530</v>
      </c>
      <c r="GS2" s="517">
        <f>GP7/(GS5*GS6*(1/GS7))</f>
        <v>3.4339711850896233E-6</v>
      </c>
      <c r="GT2" s="514" t="s">
        <v>13</v>
      </c>
      <c r="GU2" s="520" t="s">
        <v>530</v>
      </c>
      <c r="GV2" s="517">
        <f>(GP7/((GV9)*((GV10*GV12*GV13*(GV5+GV6))+(GV11*GV12))))*GV17</f>
        <v>2.3552393683391245E-8</v>
      </c>
      <c r="GW2" s="514" t="s">
        <v>12</v>
      </c>
      <c r="GX2" s="520" t="s">
        <v>581</v>
      </c>
      <c r="GY2" s="517">
        <f>(GP7/((GY9*((GY10*GY12*GY13*(GY5+GY6))+(GY11*GY12)))))*GV17</f>
        <v>2.3552393683391245E-8</v>
      </c>
      <c r="GZ2" s="514" t="s">
        <v>12</v>
      </c>
      <c r="HA2" s="520" t="s">
        <v>582</v>
      </c>
      <c r="HB2" s="517">
        <f>GP7/((HB10*HB12*HB13*(HB5+HB6))+(HB11*HB12))</f>
        <v>4.656786000121538E-9</v>
      </c>
      <c r="HC2" s="547" t="s">
        <v>18</v>
      </c>
      <c r="HD2" s="54"/>
      <c r="HE2" s="55"/>
      <c r="HF2" s="56"/>
    </row>
    <row r="3" spans="1:214" ht="12.75" customHeight="1" x14ac:dyDescent="0.2">
      <c r="A3" s="375"/>
      <c r="B3" s="376"/>
      <c r="C3" s="377"/>
      <c r="D3" s="189" t="s">
        <v>15</v>
      </c>
      <c r="E3" s="134">
        <f>1/((1/E19)+(1/E20))</f>
        <v>2.5329646356858136E-15</v>
      </c>
      <c r="F3" s="58" t="s">
        <v>294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1.1950821174438259E-14</v>
      </c>
      <c r="X3" s="62" t="s">
        <v>294</v>
      </c>
      <c r="Y3" s="202" t="s">
        <v>16</v>
      </c>
      <c r="Z3" s="187">
        <f>1/((1/Z18)+(1/Z19))</f>
        <v>1.0755739056994434E-14</v>
      </c>
      <c r="AA3" s="63" t="s">
        <v>294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665"/>
      <c r="AS3" s="304"/>
      <c r="AT3" s="667"/>
      <c r="AU3" s="663"/>
      <c r="AV3" s="304"/>
      <c r="AW3" s="671"/>
      <c r="AX3" s="663"/>
      <c r="AY3" s="304"/>
      <c r="AZ3" s="669"/>
      <c r="BA3" s="665"/>
      <c r="BB3" s="304"/>
      <c r="BC3" s="667"/>
      <c r="BD3" s="663"/>
      <c r="BE3" s="304"/>
      <c r="BF3" s="667"/>
      <c r="BG3" s="663"/>
      <c r="BH3" s="304"/>
      <c r="BI3" s="669"/>
      <c r="BJ3" s="665"/>
      <c r="BK3" s="285"/>
      <c r="BL3" s="667"/>
      <c r="BM3" s="663"/>
      <c r="BN3" s="285"/>
      <c r="BO3" s="667"/>
      <c r="BP3" s="663"/>
      <c r="BQ3" s="285"/>
      <c r="BR3" s="669"/>
      <c r="BS3" s="212" t="s">
        <v>15</v>
      </c>
      <c r="BT3" s="64">
        <f>1/((1/BT18)+(1/BT19))</f>
        <v>2.8369203919681112E-13</v>
      </c>
      <c r="BU3" s="53" t="s">
        <v>294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79"/>
      <c r="CN3" s="259"/>
      <c r="CO3" s="262"/>
      <c r="CP3" s="279"/>
      <c r="CQ3" s="259"/>
      <c r="CR3" s="262"/>
      <c r="CS3" s="265"/>
      <c r="CT3" s="396"/>
      <c r="CU3" s="393"/>
      <c r="CV3" s="390"/>
      <c r="CW3" s="216" t="s">
        <v>15</v>
      </c>
      <c r="CX3" s="65">
        <f>1/((1/CX19)+(1/CX20))</f>
        <v>2.5329407018997703E-15</v>
      </c>
      <c r="CY3" s="66" t="s">
        <v>294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687">
        <f>(HE5*HE14)*(10^-3)*(HE13+(HE10/HE11))*((HE12*HE7)/HE8)</f>
        <v>2.3879272740029143E-11</v>
      </c>
      <c r="HF3" s="220" t="s">
        <v>597</v>
      </c>
    </row>
    <row r="4" spans="1:214" ht="13.5" customHeight="1" thickBot="1" x14ac:dyDescent="0.25">
      <c r="A4" s="378"/>
      <c r="B4" s="379"/>
      <c r="C4" s="380"/>
      <c r="D4" s="190" t="s">
        <v>16</v>
      </c>
      <c r="E4" s="135">
        <f>1/((1/E21)+(1/E22))</f>
        <v>2.5621697146582635E-15</v>
      </c>
      <c r="F4" s="68" t="s">
        <v>294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1.1814598864812043E-14</v>
      </c>
      <c r="X4" s="76" t="s">
        <v>294</v>
      </c>
      <c r="Y4" s="203" t="s">
        <v>15</v>
      </c>
      <c r="Z4" s="186">
        <f>1/((1/Z16)+(1/Z17))</f>
        <v>1.0633138978330839E-14</v>
      </c>
      <c r="AA4" s="77" t="s">
        <v>294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666"/>
      <c r="AS4" s="305"/>
      <c r="AT4" s="668"/>
      <c r="AU4" s="664"/>
      <c r="AV4" s="305"/>
      <c r="AW4" s="672"/>
      <c r="AX4" s="664"/>
      <c r="AY4" s="305"/>
      <c r="AZ4" s="670"/>
      <c r="BA4" s="666"/>
      <c r="BB4" s="305"/>
      <c r="BC4" s="668"/>
      <c r="BD4" s="664"/>
      <c r="BE4" s="305"/>
      <c r="BF4" s="668"/>
      <c r="BG4" s="664"/>
      <c r="BH4" s="305"/>
      <c r="BI4" s="670"/>
      <c r="BJ4" s="666"/>
      <c r="BK4" s="286"/>
      <c r="BL4" s="668"/>
      <c r="BM4" s="664"/>
      <c r="BN4" s="286"/>
      <c r="BO4" s="668"/>
      <c r="BP4" s="664"/>
      <c r="BQ4" s="286"/>
      <c r="BR4" s="670"/>
      <c r="BS4" s="213" t="s">
        <v>16</v>
      </c>
      <c r="BT4" s="78">
        <f>1/((1/BT20)+(1/BT21))</f>
        <v>2.869630080417254E-13</v>
      </c>
      <c r="BU4" s="79" t="s">
        <v>294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80"/>
      <c r="CN4" s="260"/>
      <c r="CO4" s="263"/>
      <c r="CP4" s="280"/>
      <c r="CQ4" s="260"/>
      <c r="CR4" s="263"/>
      <c r="CS4" s="266"/>
      <c r="CT4" s="397"/>
      <c r="CU4" s="394"/>
      <c r="CV4" s="391"/>
      <c r="CW4" s="217" t="s">
        <v>16</v>
      </c>
      <c r="CX4" s="80">
        <f>1/((1/CX21)+(1/CX22))</f>
        <v>2.5621455049156984E-15</v>
      </c>
      <c r="CY4" s="81" t="s">
        <v>294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224">
        <f>(HE6*HE14)*10^-3*(HE13+(HE10/HE11))*((HE12*HE7)/(HE8))</f>
        <v>3.6741027566269996E-13</v>
      </c>
      <c r="HF4" s="221" t="s">
        <v>598</v>
      </c>
    </row>
    <row r="5" spans="1:214" ht="13.5" thickTop="1" x14ac:dyDescent="0.2">
      <c r="A5" s="52" t="s">
        <v>267</v>
      </c>
      <c r="B5" s="129">
        <v>1</v>
      </c>
      <c r="C5" s="52" t="s">
        <v>344</v>
      </c>
      <c r="D5" s="52" t="s">
        <v>267</v>
      </c>
      <c r="E5" s="136">
        <f>B5</f>
        <v>1</v>
      </c>
      <c r="F5" s="52" t="s">
        <v>344</v>
      </c>
      <c r="G5" s="83" t="s">
        <v>267</v>
      </c>
      <c r="H5" s="136">
        <f>B5</f>
        <v>1</v>
      </c>
      <c r="I5" s="52" t="s">
        <v>344</v>
      </c>
      <c r="J5" s="83" t="s">
        <v>267</v>
      </c>
      <c r="K5" s="136">
        <f>B5</f>
        <v>1</v>
      </c>
      <c r="L5" s="52" t="s">
        <v>344</v>
      </c>
      <c r="M5" s="52" t="s">
        <v>267</v>
      </c>
      <c r="N5" s="136">
        <f>B5</f>
        <v>1</v>
      </c>
      <c r="O5" s="52" t="s">
        <v>344</v>
      </c>
      <c r="P5" s="52" t="s">
        <v>267</v>
      </c>
      <c r="Q5" s="136">
        <f>B5</f>
        <v>1</v>
      </c>
      <c r="R5" s="52" t="s">
        <v>344</v>
      </c>
      <c r="S5" s="52" t="s">
        <v>267</v>
      </c>
      <c r="T5" s="136">
        <f>B5</f>
        <v>1</v>
      </c>
      <c r="U5" s="52" t="s">
        <v>344</v>
      </c>
      <c r="V5" s="52" t="s">
        <v>267</v>
      </c>
      <c r="W5" s="136">
        <f>B5</f>
        <v>1</v>
      </c>
      <c r="X5" s="52" t="s">
        <v>344</v>
      </c>
      <c r="Y5" s="52" t="s">
        <v>267</v>
      </c>
      <c r="Z5" s="136">
        <f>B5</f>
        <v>1</v>
      </c>
      <c r="AA5" s="52" t="s">
        <v>344</v>
      </c>
      <c r="AB5" s="83" t="s">
        <v>267</v>
      </c>
      <c r="AC5" s="136">
        <f>B5</f>
        <v>1</v>
      </c>
      <c r="AD5" s="136">
        <f>B5</f>
        <v>1</v>
      </c>
      <c r="AE5" s="136">
        <f>B5</f>
        <v>1</v>
      </c>
      <c r="AF5" s="136">
        <f>B5</f>
        <v>1</v>
      </c>
      <c r="AG5" s="136">
        <f>B5</f>
        <v>1</v>
      </c>
      <c r="AH5" s="52" t="s">
        <v>344</v>
      </c>
      <c r="AI5" s="52" t="s">
        <v>267</v>
      </c>
      <c r="AJ5" s="136">
        <f>B5</f>
        <v>1</v>
      </c>
      <c r="AK5" s="52" t="s">
        <v>344</v>
      </c>
      <c r="AL5" s="52" t="s">
        <v>267</v>
      </c>
      <c r="AM5" s="136">
        <f>B5</f>
        <v>1</v>
      </c>
      <c r="AN5" s="52" t="s">
        <v>344</v>
      </c>
      <c r="AO5" s="52" t="s">
        <v>267</v>
      </c>
      <c r="AP5" s="136">
        <f>B5</f>
        <v>1</v>
      </c>
      <c r="AQ5" s="52" t="s">
        <v>344</v>
      </c>
      <c r="AR5" s="52" t="s">
        <v>267</v>
      </c>
      <c r="AS5" s="136">
        <f>B5</f>
        <v>1</v>
      </c>
      <c r="AT5" s="52" t="s">
        <v>344</v>
      </c>
      <c r="AU5" s="52" t="s">
        <v>267</v>
      </c>
      <c r="AV5" s="136">
        <f>B5</f>
        <v>1</v>
      </c>
      <c r="AW5" s="52" t="s">
        <v>344</v>
      </c>
      <c r="AX5" s="52" t="s">
        <v>267</v>
      </c>
      <c r="AY5" s="136">
        <f>B5</f>
        <v>1</v>
      </c>
      <c r="AZ5" s="52" t="s">
        <v>344</v>
      </c>
      <c r="BA5" s="52" t="s">
        <v>267</v>
      </c>
      <c r="BB5" s="136">
        <f>B5</f>
        <v>1</v>
      </c>
      <c r="BC5" s="52" t="s">
        <v>344</v>
      </c>
      <c r="BD5" s="52" t="s">
        <v>267</v>
      </c>
      <c r="BE5" s="136">
        <f>B5</f>
        <v>1</v>
      </c>
      <c r="BF5" s="52" t="s">
        <v>344</v>
      </c>
      <c r="BG5" s="52" t="s">
        <v>267</v>
      </c>
      <c r="BH5" s="136">
        <f>B5</f>
        <v>1</v>
      </c>
      <c r="BI5" s="52" t="s">
        <v>344</v>
      </c>
      <c r="BJ5" s="52" t="s">
        <v>267</v>
      </c>
      <c r="BK5" s="136">
        <f>B5</f>
        <v>1</v>
      </c>
      <c r="BL5" s="52" t="s">
        <v>344</v>
      </c>
      <c r="BM5" s="52" t="s">
        <v>267</v>
      </c>
      <c r="BN5" s="136">
        <f>B5</f>
        <v>1</v>
      </c>
      <c r="BO5" s="52" t="s">
        <v>344</v>
      </c>
      <c r="BP5" s="52" t="s">
        <v>267</v>
      </c>
      <c r="BQ5" s="136">
        <f>B5</f>
        <v>1</v>
      </c>
      <c r="BR5" s="52" t="s">
        <v>344</v>
      </c>
      <c r="BS5" s="52" t="s">
        <v>267</v>
      </c>
      <c r="BT5" s="136">
        <f>B5</f>
        <v>1</v>
      </c>
      <c r="BU5" s="52" t="s">
        <v>344</v>
      </c>
      <c r="BV5" s="83" t="s">
        <v>267</v>
      </c>
      <c r="BW5" s="136">
        <f>B5</f>
        <v>1</v>
      </c>
      <c r="BX5" s="52" t="s">
        <v>344</v>
      </c>
      <c r="BY5" s="83" t="s">
        <v>267</v>
      </c>
      <c r="BZ5" s="136">
        <f>B5</f>
        <v>1</v>
      </c>
      <c r="CA5" s="52" t="s">
        <v>344</v>
      </c>
      <c r="CB5" s="52" t="s">
        <v>267</v>
      </c>
      <c r="CC5" s="136">
        <f>B5</f>
        <v>1</v>
      </c>
      <c r="CD5" s="52" t="s">
        <v>344</v>
      </c>
      <c r="CE5" s="52" t="s">
        <v>267</v>
      </c>
      <c r="CF5" s="136">
        <f>B5</f>
        <v>1</v>
      </c>
      <c r="CG5" s="52" t="s">
        <v>344</v>
      </c>
      <c r="CH5" s="52" t="s">
        <v>267</v>
      </c>
      <c r="CI5" s="136">
        <f>B5</f>
        <v>1</v>
      </c>
      <c r="CJ5" s="52" t="s">
        <v>344</v>
      </c>
      <c r="CK5" s="52" t="s">
        <v>267</v>
      </c>
      <c r="CL5" s="136">
        <f>B5</f>
        <v>1</v>
      </c>
      <c r="CM5" s="52" t="s">
        <v>344</v>
      </c>
      <c r="CN5" s="83" t="s">
        <v>228</v>
      </c>
      <c r="CO5" s="136">
        <f>B30</f>
        <v>2.7</v>
      </c>
      <c r="CP5" s="52" t="s">
        <v>268</v>
      </c>
      <c r="CQ5" s="83" t="s">
        <v>228</v>
      </c>
      <c r="CR5" s="136">
        <f>CO5</f>
        <v>2.7</v>
      </c>
      <c r="CS5" s="52" t="s">
        <v>268</v>
      </c>
      <c r="CT5" s="83" t="s">
        <v>267</v>
      </c>
      <c r="CU5" s="136">
        <f>B5</f>
        <v>1</v>
      </c>
      <c r="CV5" s="52" t="s">
        <v>344</v>
      </c>
      <c r="CW5" s="52" t="s">
        <v>267</v>
      </c>
      <c r="CX5" s="136">
        <f>B5</f>
        <v>1</v>
      </c>
      <c r="CY5" s="52" t="s">
        <v>344</v>
      </c>
      <c r="CZ5" s="83" t="s">
        <v>267</v>
      </c>
      <c r="DA5" s="136">
        <f>B5</f>
        <v>1</v>
      </c>
      <c r="DB5" s="52" t="s">
        <v>344</v>
      </c>
      <c r="DC5" s="83" t="s">
        <v>267</v>
      </c>
      <c r="DD5" s="136">
        <f>B5</f>
        <v>1</v>
      </c>
      <c r="DE5" s="52" t="s">
        <v>344</v>
      </c>
      <c r="DF5" s="52" t="s">
        <v>17</v>
      </c>
      <c r="DG5" s="137">
        <f>(DG8*DG9*DG10*((1-EXP(-DG11*DG12))))/(DG13*DG11)</f>
        <v>0.66271991443607436</v>
      </c>
      <c r="DH5" s="52" t="s">
        <v>18</v>
      </c>
      <c r="DI5" s="83" t="s">
        <v>19</v>
      </c>
      <c r="DJ5" s="161">
        <f>DJ7</f>
        <v>2.5229999999999999E-2</v>
      </c>
      <c r="DK5" s="83"/>
      <c r="DL5" s="83" t="s">
        <v>19</v>
      </c>
      <c r="DM5" s="161">
        <f>DM7</f>
        <v>2.5229999999999999E-2</v>
      </c>
      <c r="DO5" s="52" t="s">
        <v>17</v>
      </c>
      <c r="DP5" s="137">
        <f>(DP8*DP9*DP10*((1-EXP(-DP11*DP12))))/(DP13*DP11)</f>
        <v>0.90188194353411644</v>
      </c>
      <c r="DQ5" s="52" t="s">
        <v>18</v>
      </c>
      <c r="DR5" s="83" t="s">
        <v>267</v>
      </c>
      <c r="DS5" s="136">
        <f>B5</f>
        <v>1</v>
      </c>
      <c r="DT5" s="52" t="s">
        <v>344</v>
      </c>
      <c r="DU5" s="83" t="s">
        <v>239</v>
      </c>
      <c r="DV5" s="169">
        <f>B24</f>
        <v>4.5999999999999999E-3</v>
      </c>
      <c r="DW5" s="52" t="s">
        <v>388</v>
      </c>
      <c r="DX5" s="83" t="s">
        <v>20</v>
      </c>
      <c r="DY5" s="161">
        <f>DY7</f>
        <v>2.9000000000000001E-2</v>
      </c>
      <c r="DZ5" s="83"/>
      <c r="EA5" s="83" t="s">
        <v>20</v>
      </c>
      <c r="EB5" s="161">
        <f>EB7</f>
        <v>2.9000000000000001E-2</v>
      </c>
      <c r="EC5" s="84"/>
      <c r="ED5" s="83" t="s">
        <v>20</v>
      </c>
      <c r="EE5" s="161">
        <f>EE7</f>
        <v>2.9000000000000001E-2</v>
      </c>
      <c r="EF5" s="84"/>
      <c r="EG5" s="83" t="s">
        <v>267</v>
      </c>
      <c r="EH5" s="136">
        <f>B5</f>
        <v>1</v>
      </c>
      <c r="EI5" s="52" t="s">
        <v>344</v>
      </c>
      <c r="EJ5" s="83" t="s">
        <v>236</v>
      </c>
      <c r="EK5" s="169">
        <f>B25</f>
        <v>2.1999999999999999E-2</v>
      </c>
      <c r="EL5" s="52" t="s">
        <v>388</v>
      </c>
      <c r="EM5" s="83" t="s">
        <v>20</v>
      </c>
      <c r="EN5" s="161">
        <f>EN7</f>
        <v>2.9000000000000001E-2</v>
      </c>
      <c r="EO5" s="83"/>
      <c r="EP5" s="83" t="s">
        <v>20</v>
      </c>
      <c r="EQ5" s="161">
        <f>EQ7</f>
        <v>2.9000000000000001E-2</v>
      </c>
      <c r="ER5" s="84"/>
      <c r="ES5" s="83" t="s">
        <v>20</v>
      </c>
      <c r="ET5" s="161">
        <f>ET7</f>
        <v>2.9000000000000001E-2</v>
      </c>
      <c r="EU5" s="84"/>
      <c r="EV5" s="83" t="s">
        <v>267</v>
      </c>
      <c r="EW5" s="136">
        <f>B5</f>
        <v>1</v>
      </c>
      <c r="EX5" s="52" t="s">
        <v>344</v>
      </c>
      <c r="EY5" s="83" t="s">
        <v>171</v>
      </c>
      <c r="EZ5" s="169">
        <f>B27</f>
        <v>0.4</v>
      </c>
      <c r="FA5" s="52" t="s">
        <v>388</v>
      </c>
      <c r="FB5" s="83" t="s">
        <v>20</v>
      </c>
      <c r="FC5" s="161">
        <f>FC7</f>
        <v>2.9000000000000001E-2</v>
      </c>
      <c r="FD5" s="83"/>
      <c r="FE5" s="83" t="s">
        <v>20</v>
      </c>
      <c r="FF5" s="161">
        <f>FF7</f>
        <v>2.9000000000000001E-2</v>
      </c>
      <c r="FG5" s="83"/>
      <c r="FH5" s="83" t="s">
        <v>20</v>
      </c>
      <c r="FI5" s="161">
        <f>FI7</f>
        <v>2.9000000000000001E-2</v>
      </c>
      <c r="FJ5" s="84"/>
      <c r="FK5" s="83" t="s">
        <v>267</v>
      </c>
      <c r="FL5" s="136">
        <f>B5</f>
        <v>1</v>
      </c>
      <c r="FM5" s="52" t="s">
        <v>344</v>
      </c>
      <c r="FN5" s="83" t="s">
        <v>105</v>
      </c>
      <c r="FO5" s="161">
        <f>B23</f>
        <v>2500</v>
      </c>
      <c r="FP5" s="83" t="s">
        <v>18</v>
      </c>
      <c r="FQ5" s="83" t="s">
        <v>105</v>
      </c>
      <c r="FR5" s="161">
        <f>B23</f>
        <v>2500</v>
      </c>
      <c r="FS5" s="83" t="s">
        <v>18</v>
      </c>
      <c r="FT5" s="83" t="s">
        <v>105</v>
      </c>
      <c r="FU5" s="161">
        <f>B23</f>
        <v>2500</v>
      </c>
      <c r="FV5" s="83" t="s">
        <v>18</v>
      </c>
      <c r="FW5" s="83" t="s">
        <v>156</v>
      </c>
      <c r="FX5" s="161">
        <f>B33</f>
        <v>10</v>
      </c>
      <c r="FY5" s="88" t="s">
        <v>18</v>
      </c>
      <c r="FZ5" s="83" t="s">
        <v>267</v>
      </c>
      <c r="GA5" s="136">
        <f>B5</f>
        <v>1</v>
      </c>
      <c r="GB5" s="52" t="s">
        <v>344</v>
      </c>
      <c r="GC5" s="83" t="s">
        <v>237</v>
      </c>
      <c r="GD5" s="169">
        <f>B26</f>
        <v>2.7</v>
      </c>
      <c r="GE5" s="52" t="s">
        <v>388</v>
      </c>
      <c r="GF5" s="83" t="s">
        <v>20</v>
      </c>
      <c r="GG5" s="161">
        <f>GG7</f>
        <v>2.9000000000000001E-2</v>
      </c>
      <c r="GH5" s="83"/>
      <c r="GI5" s="83" t="s">
        <v>20</v>
      </c>
      <c r="GJ5" s="161">
        <f>GJ7</f>
        <v>2.9000000000000001E-2</v>
      </c>
      <c r="GK5" s="83"/>
      <c r="GL5" s="83" t="s">
        <v>20</v>
      </c>
      <c r="GM5" s="161">
        <f>GM7</f>
        <v>2.9000000000000001E-2</v>
      </c>
      <c r="GN5" s="84"/>
      <c r="GO5" s="83" t="s">
        <v>267</v>
      </c>
      <c r="GP5" s="136">
        <f>B5</f>
        <v>1</v>
      </c>
      <c r="GQ5" s="52" t="s">
        <v>344</v>
      </c>
      <c r="GR5" s="83" t="s">
        <v>599</v>
      </c>
      <c r="GS5" s="169">
        <f>B28</f>
        <v>0.2</v>
      </c>
      <c r="GT5" s="52" t="s">
        <v>388</v>
      </c>
      <c r="GU5" s="83" t="s">
        <v>20</v>
      </c>
      <c r="GV5" s="161">
        <f>GV7</f>
        <v>2.9000000000000001E-2</v>
      </c>
      <c r="GW5" s="83"/>
      <c r="GX5" s="83" t="s">
        <v>20</v>
      </c>
      <c r="GY5" s="161">
        <f>GY7</f>
        <v>2.9000000000000001E-2</v>
      </c>
      <c r="GZ5" s="83"/>
      <c r="HA5" s="83" t="s">
        <v>20</v>
      </c>
      <c r="HB5" s="161">
        <f>HB7</f>
        <v>2.9000000000000001E-2</v>
      </c>
      <c r="HC5" s="84"/>
      <c r="HD5" s="89" t="s">
        <v>21</v>
      </c>
      <c r="HE5" s="225">
        <f>B34</f>
        <v>2.3144199120000001E-9</v>
      </c>
      <c r="HF5" s="83" t="s">
        <v>13</v>
      </c>
    </row>
    <row r="6" spans="1:214" x14ac:dyDescent="0.2">
      <c r="A6" s="83" t="s">
        <v>247</v>
      </c>
      <c r="B6" s="180">
        <v>1.5417408700798101E-4</v>
      </c>
      <c r="C6" s="84" t="s">
        <v>259</v>
      </c>
      <c r="D6" s="83" t="s">
        <v>22</v>
      </c>
      <c r="E6" s="137">
        <f>0.693/E7</f>
        <v>2.2972045705420805E-2</v>
      </c>
      <c r="G6" s="83" t="s">
        <v>248</v>
      </c>
      <c r="H6" s="136">
        <f>B7</f>
        <v>4.9109405245458101E-5</v>
      </c>
      <c r="I6" s="83" t="s">
        <v>259</v>
      </c>
      <c r="J6" s="83" t="s">
        <v>249</v>
      </c>
      <c r="K6" s="136">
        <f>B8</f>
        <v>4.9109405245458101E-5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2.2972045705420805E-2</v>
      </c>
      <c r="BV6" s="83" t="s">
        <v>248</v>
      </c>
      <c r="BW6" s="136">
        <f>B7</f>
        <v>4.9109405245458101E-5</v>
      </c>
      <c r="BX6" s="83" t="s">
        <v>259</v>
      </c>
      <c r="BY6" s="83" t="s">
        <v>249</v>
      </c>
      <c r="BZ6" s="136">
        <f>B8</f>
        <v>4.9109405245458101E-5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B17</f>
        <v>4.9109405245458101E-5</v>
      </c>
      <c r="CM6" s="92" t="s">
        <v>259</v>
      </c>
      <c r="CN6" s="84" t="s">
        <v>20</v>
      </c>
      <c r="CO6" s="139">
        <f>CO8</f>
        <v>2.9000000000000001E-2</v>
      </c>
      <c r="CQ6" s="84" t="s">
        <v>169</v>
      </c>
      <c r="CR6" s="162">
        <f>B133</f>
        <v>1</v>
      </c>
      <c r="CS6" s="52" t="s">
        <v>28</v>
      </c>
      <c r="CT6" s="83" t="s">
        <v>249</v>
      </c>
      <c r="CU6" s="136">
        <f>B8</f>
        <v>4.9109405245458101E-5</v>
      </c>
      <c r="CV6" s="83" t="s">
        <v>259</v>
      </c>
      <c r="CW6" s="83" t="s">
        <v>22</v>
      </c>
      <c r="CX6" s="137">
        <f>0.693/CX7</f>
        <v>2.2972045705420805E-2</v>
      </c>
      <c r="CZ6" s="83" t="s">
        <v>248</v>
      </c>
      <c r="DA6" s="136">
        <f>B7</f>
        <v>4.9109405245458101E-5</v>
      </c>
      <c r="DB6" s="83" t="s">
        <v>259</v>
      </c>
      <c r="DC6" s="83" t="s">
        <v>258</v>
      </c>
      <c r="DD6" s="136">
        <f>B17</f>
        <v>4.9109405245458101E-5</v>
      </c>
      <c r="DE6" s="92" t="s">
        <v>259</v>
      </c>
      <c r="DF6" s="52" t="s">
        <v>25</v>
      </c>
      <c r="DG6" s="137">
        <f>(DG8*DG9*DG14*((1-EXP(-DG11*DG12))))/(DG13*DG11)</f>
        <v>6.8294561138874093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B17</f>
        <v>4.9109405245458101E-5</v>
      </c>
      <c r="DT6" s="83" t="s">
        <v>259</v>
      </c>
      <c r="DU6" s="83" t="s">
        <v>27</v>
      </c>
      <c r="DV6" s="142">
        <f>B203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B17</f>
        <v>4.9109405245458101E-5</v>
      </c>
      <c r="EI6" s="83" t="s">
        <v>259</v>
      </c>
      <c r="EJ6" s="83" t="s">
        <v>29</v>
      </c>
      <c r="EK6" s="142">
        <f>B209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B17</f>
        <v>4.9109405245458101E-5</v>
      </c>
      <c r="EX6" s="83" t="s">
        <v>259</v>
      </c>
      <c r="EY6" s="83" t="s">
        <v>148</v>
      </c>
      <c r="EZ6" s="164">
        <f>B214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B17</f>
        <v>4.9109405245458101E-5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B33</f>
        <v>10</v>
      </c>
      <c r="FS6" s="83" t="s">
        <v>18</v>
      </c>
      <c r="FT6" s="83" t="s">
        <v>156</v>
      </c>
      <c r="FU6" s="161">
        <f>B33</f>
        <v>10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B17</f>
        <v>4.9109405245458101E-5</v>
      </c>
      <c r="GB6" s="83" t="s">
        <v>259</v>
      </c>
      <c r="GC6" s="83" t="s">
        <v>485</v>
      </c>
      <c r="GD6" s="164">
        <f>B219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B17</f>
        <v>4.9109405245458101E-5</v>
      </c>
      <c r="GQ6" s="83" t="s">
        <v>259</v>
      </c>
      <c r="GR6" s="83" t="s">
        <v>150</v>
      </c>
      <c r="GS6" s="142">
        <f>B224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3.561003164228376E-11</v>
      </c>
      <c r="HF6" s="83" t="s">
        <v>13</v>
      </c>
    </row>
    <row r="7" spans="1:214" x14ac:dyDescent="0.2">
      <c r="A7" s="83" t="s">
        <v>248</v>
      </c>
      <c r="B7" s="183">
        <v>4.9109405245458101E-5</v>
      </c>
      <c r="C7" s="84" t="s">
        <v>259</v>
      </c>
      <c r="D7" s="91" t="s">
        <v>231</v>
      </c>
      <c r="E7" s="136">
        <f>B18</f>
        <v>30.167100000000001</v>
      </c>
      <c r="F7" s="52" t="s">
        <v>60</v>
      </c>
      <c r="G7" s="83" t="s">
        <v>247</v>
      </c>
      <c r="H7" s="139">
        <f>B6</f>
        <v>1.5417408700798101E-4</v>
      </c>
      <c r="I7" s="84" t="s">
        <v>259</v>
      </c>
      <c r="J7" s="83" t="s">
        <v>247</v>
      </c>
      <c r="K7" s="136">
        <f>B6</f>
        <v>1.5417408700798101E-4</v>
      </c>
      <c r="L7" s="84" t="s">
        <v>259</v>
      </c>
      <c r="M7" s="83" t="s">
        <v>22</v>
      </c>
      <c r="N7" s="137">
        <f>0.693/N8</f>
        <v>2.2972045705420805E-2</v>
      </c>
      <c r="P7" s="83" t="s">
        <v>22</v>
      </c>
      <c r="Q7" s="137">
        <f>0.693/Q8</f>
        <v>2.2972045705420805E-2</v>
      </c>
      <c r="S7" s="83" t="s">
        <v>22</v>
      </c>
      <c r="T7" s="137">
        <f>0.693/T8</f>
        <v>2.2972045705420805E-2</v>
      </c>
      <c r="V7" s="83" t="s">
        <v>22</v>
      </c>
      <c r="W7" s="137">
        <f>0.693/W8</f>
        <v>2.2972045705420805E-2</v>
      </c>
      <c r="Y7" s="83" t="s">
        <v>22</v>
      </c>
      <c r="Z7" s="137">
        <f>0.693/Z8</f>
        <v>2.2972045705420805E-2</v>
      </c>
      <c r="AB7" s="83" t="s">
        <v>425</v>
      </c>
      <c r="AC7" s="150">
        <f>B231</f>
        <v>250</v>
      </c>
      <c r="AD7" s="150">
        <f>B243</f>
        <v>250</v>
      </c>
      <c r="AE7" s="150">
        <f>B255</f>
        <v>225</v>
      </c>
      <c r="AF7" s="150">
        <f>B267</f>
        <v>250</v>
      </c>
      <c r="AG7" s="150">
        <f>B291</f>
        <v>250</v>
      </c>
      <c r="AH7" s="83" t="s">
        <v>24</v>
      </c>
      <c r="AI7" s="83" t="s">
        <v>22</v>
      </c>
      <c r="AJ7" s="137">
        <f>0.693/AJ8</f>
        <v>2.2972045705420805E-2</v>
      </c>
      <c r="AL7" s="83" t="s">
        <v>22</v>
      </c>
      <c r="AM7" s="137">
        <f>0.693/AM8</f>
        <v>2.2972045705420805E-2</v>
      </c>
      <c r="AO7" s="83" t="s">
        <v>22</v>
      </c>
      <c r="AP7" s="137">
        <f>0.693/AP8</f>
        <v>2.2972045705420805E-2</v>
      </c>
      <c r="AR7" s="83" t="s">
        <v>22</v>
      </c>
      <c r="AS7" s="137">
        <f>0.693/AS8</f>
        <v>2.2972045705420805E-2</v>
      </c>
      <c r="AU7" s="83" t="s">
        <v>22</v>
      </c>
      <c r="AV7" s="137">
        <f>0.693/AV8</f>
        <v>2.2972045705420805E-2</v>
      </c>
      <c r="AX7" s="83" t="s">
        <v>22</v>
      </c>
      <c r="AY7" s="137">
        <f>0.693/AY8</f>
        <v>2.2972045705420805E-2</v>
      </c>
      <c r="BA7" s="83" t="s">
        <v>22</v>
      </c>
      <c r="BB7" s="137">
        <f>0.693/BB8</f>
        <v>2.2972045705420805E-2</v>
      </c>
      <c r="BD7" s="83" t="s">
        <v>22</v>
      </c>
      <c r="BE7" s="137">
        <f>0.693/BE8</f>
        <v>2.2972045705420805E-2</v>
      </c>
      <c r="BG7" s="83" t="s">
        <v>22</v>
      </c>
      <c r="BH7" s="137">
        <f>0.693/BH8</f>
        <v>2.2972045705420805E-2</v>
      </c>
      <c r="BJ7" s="83" t="s">
        <v>22</v>
      </c>
      <c r="BK7" s="137">
        <f>0.693/BK8</f>
        <v>2.2972045705420805E-2</v>
      </c>
      <c r="BM7" s="83" t="s">
        <v>22</v>
      </c>
      <c r="BN7" s="137">
        <f>0.693/BN8</f>
        <v>2.2972045705420805E-2</v>
      </c>
      <c r="BP7" s="83" t="s">
        <v>22</v>
      </c>
      <c r="BQ7" s="137">
        <f>0.693/BQ8</f>
        <v>2.2972045705420805E-2</v>
      </c>
      <c r="BS7" s="91" t="s">
        <v>231</v>
      </c>
      <c r="BT7" s="136">
        <f>B18</f>
        <v>30.167100000000001</v>
      </c>
      <c r="BU7" s="52" t="s">
        <v>60</v>
      </c>
      <c r="BV7" s="83" t="s">
        <v>247</v>
      </c>
      <c r="BW7" s="139">
        <f>B6</f>
        <v>1.5417408700798101E-4</v>
      </c>
      <c r="BX7" s="84" t="s">
        <v>259</v>
      </c>
      <c r="BY7" s="83" t="s">
        <v>247</v>
      </c>
      <c r="BZ7" s="139">
        <f>B6</f>
        <v>1.5417408700798101E-4</v>
      </c>
      <c r="CA7" s="84" t="s">
        <v>259</v>
      </c>
      <c r="CB7" s="83" t="s">
        <v>22</v>
      </c>
      <c r="CC7" s="137">
        <f>0.693/CC8</f>
        <v>2.2972045705420805E-2</v>
      </c>
      <c r="CE7" s="83" t="s">
        <v>22</v>
      </c>
      <c r="CF7" s="137">
        <f>0.693/CF8</f>
        <v>2.2972045705420805E-2</v>
      </c>
      <c r="CH7" s="83" t="s">
        <v>22</v>
      </c>
      <c r="CI7" s="137">
        <f>0.693/CI8</f>
        <v>2.2972045705420805E-2</v>
      </c>
      <c r="CK7" s="52" t="s">
        <v>140</v>
      </c>
      <c r="CL7" s="138">
        <f>B103</f>
        <v>75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B6</f>
        <v>1.5417408700798101E-4</v>
      </c>
      <c r="CV7" s="84" t="s">
        <v>259</v>
      </c>
      <c r="CW7" s="91" t="s">
        <v>231</v>
      </c>
      <c r="CX7" s="136">
        <f>B18</f>
        <v>30.167100000000001</v>
      </c>
      <c r="CY7" s="52" t="s">
        <v>60</v>
      </c>
      <c r="CZ7" s="84" t="s">
        <v>247</v>
      </c>
      <c r="DA7" s="139">
        <f>B6</f>
        <v>1.5417408700798101E-4</v>
      </c>
      <c r="DB7" s="84" t="s">
        <v>259</v>
      </c>
      <c r="DC7" s="83" t="s">
        <v>260</v>
      </c>
      <c r="DD7" s="166">
        <f>((DD5)/(DD6*(DD8+DD11)*DD19))*DD22*DD23*DJ11</f>
        <v>2.4607714886213325E-9</v>
      </c>
      <c r="DE7" s="92" t="s">
        <v>12</v>
      </c>
      <c r="DF7" s="52" t="s">
        <v>31</v>
      </c>
      <c r="DG7" s="137">
        <f>(DG8*DG9*DG15*DG21*((1-EXP(-DG16*DG17))))/(DG18*DG16)</f>
        <v>3.6385364930662121</v>
      </c>
      <c r="DH7" s="52" t="s">
        <v>18</v>
      </c>
      <c r="DI7" s="83" t="s">
        <v>32</v>
      </c>
      <c r="DJ7" s="136">
        <f>B31</f>
        <v>2.5229999999999999E-2</v>
      </c>
      <c r="DL7" s="83" t="s">
        <v>32</v>
      </c>
      <c r="DM7" s="136">
        <f>B31</f>
        <v>2.5229999999999999E-2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(DS5/(DS6*DS8*DS15))*DS19*DS20*DY17</f>
        <v>1.5614058360781413E-9</v>
      </c>
      <c r="DT7" s="52" t="s">
        <v>12</v>
      </c>
      <c r="DV7" s="138"/>
      <c r="DX7" s="83" t="s">
        <v>33</v>
      </c>
      <c r="DY7" s="136">
        <f>B32</f>
        <v>2.9000000000000001E-2</v>
      </c>
      <c r="EA7" s="83" t="s">
        <v>33</v>
      </c>
      <c r="EB7" s="136">
        <f>B32</f>
        <v>2.9000000000000001E-2</v>
      </c>
      <c r="EC7" s="84"/>
      <c r="ED7" s="83" t="s">
        <v>33</v>
      </c>
      <c r="EE7" s="136">
        <f>B32</f>
        <v>2.9000000000000001E-2</v>
      </c>
      <c r="EF7" s="84"/>
      <c r="EG7" s="83" t="s">
        <v>260</v>
      </c>
      <c r="EH7" s="168">
        <f>(EH5/(EH6*EH8*EH15))*EH19*EH20*EN16</f>
        <v>4.279660397478647E-9</v>
      </c>
      <c r="EI7" s="52" t="s">
        <v>12</v>
      </c>
      <c r="EJ7" s="95"/>
      <c r="EK7" s="176"/>
      <c r="EM7" s="83" t="s">
        <v>33</v>
      </c>
      <c r="EN7" s="136">
        <f>B32</f>
        <v>2.9000000000000001E-2</v>
      </c>
      <c r="EP7" s="83" t="s">
        <v>33</v>
      </c>
      <c r="EQ7" s="136">
        <f>B32</f>
        <v>2.9000000000000001E-2</v>
      </c>
      <c r="ER7" s="84"/>
      <c r="ES7" s="83" t="s">
        <v>33</v>
      </c>
      <c r="ET7" s="136">
        <f>B32</f>
        <v>2.9000000000000001E-2</v>
      </c>
      <c r="EU7" s="84"/>
      <c r="EV7" s="83" t="s">
        <v>260</v>
      </c>
      <c r="EW7" s="168">
        <f>(EW5/(EW6*EW8*EW15))*EW19*EW20*FC16</f>
        <v>1.4314671247102608E-8</v>
      </c>
      <c r="EX7" s="52" t="s">
        <v>12</v>
      </c>
      <c r="EY7" s="83"/>
      <c r="EZ7" s="142">
        <v>1000</v>
      </c>
      <c r="FA7" s="83" t="s">
        <v>132</v>
      </c>
      <c r="FB7" s="83" t="s">
        <v>33</v>
      </c>
      <c r="FC7" s="161">
        <f>B32</f>
        <v>2.9000000000000001E-2</v>
      </c>
      <c r="FD7" s="83"/>
      <c r="FE7" s="83" t="s">
        <v>33</v>
      </c>
      <c r="FF7" s="161">
        <f>B32</f>
        <v>2.9000000000000001E-2</v>
      </c>
      <c r="FG7" s="83"/>
      <c r="FH7" s="83" t="s">
        <v>33</v>
      </c>
      <c r="FI7" s="161">
        <f>B32</f>
        <v>2.9000000000000001E-2</v>
      </c>
      <c r="FJ7" s="84"/>
      <c r="FK7" s="83" t="s">
        <v>260</v>
      </c>
      <c r="FL7" s="168">
        <f>(FL5/(FL6*FL8*FL15))*FL19*FL20*FR9</f>
        <v>4.9139097542467944E-9</v>
      </c>
      <c r="FM7" s="52" t="s">
        <v>12</v>
      </c>
      <c r="FN7" s="95"/>
      <c r="FO7" s="176"/>
      <c r="FQ7" s="52" t="s">
        <v>350</v>
      </c>
      <c r="FR7" s="164">
        <f>B170</f>
        <v>1</v>
      </c>
      <c r="FT7" s="95"/>
      <c r="FU7" s="176"/>
      <c r="FV7" s="83"/>
      <c r="FW7" s="95"/>
      <c r="FX7" s="176"/>
      <c r="FZ7" s="83" t="s">
        <v>260</v>
      </c>
      <c r="GA7" s="168">
        <f>(GA5/(GA6*GA8*GA15))*GA19*GA20*GG16</f>
        <v>7.15087387604199E-9</v>
      </c>
      <c r="GB7" s="52" t="s">
        <v>12</v>
      </c>
      <c r="GC7" s="83"/>
      <c r="GD7" s="142">
        <v>1000</v>
      </c>
      <c r="GE7" s="83" t="s">
        <v>132</v>
      </c>
      <c r="GF7" s="83" t="s">
        <v>33</v>
      </c>
      <c r="GG7" s="161">
        <f>B32</f>
        <v>2.9000000000000001E-2</v>
      </c>
      <c r="GH7" s="83"/>
      <c r="GI7" s="83" t="s">
        <v>33</v>
      </c>
      <c r="GJ7" s="161">
        <f>B32</f>
        <v>2.9000000000000001E-2</v>
      </c>
      <c r="GK7" s="83"/>
      <c r="GL7" s="83" t="s">
        <v>33</v>
      </c>
      <c r="GM7" s="161">
        <f>B32</f>
        <v>2.9000000000000001E-2</v>
      </c>
      <c r="GN7" s="84"/>
      <c r="GO7" s="83" t="s">
        <v>260</v>
      </c>
      <c r="GP7" s="168">
        <f>(GP5/(GP6*GP8*GP14))*GP18*GP19*GV16</f>
        <v>7.8294543020043424E-9</v>
      </c>
      <c r="GQ7" s="52" t="s">
        <v>12</v>
      </c>
      <c r="GR7" s="88"/>
      <c r="GS7" s="142">
        <v>1000</v>
      </c>
      <c r="GT7" s="83" t="s">
        <v>132</v>
      </c>
      <c r="GU7" s="83" t="s">
        <v>33</v>
      </c>
      <c r="GV7" s="161">
        <f>B32</f>
        <v>2.9000000000000001E-2</v>
      </c>
      <c r="GW7" s="83"/>
      <c r="GX7" s="83" t="s">
        <v>33</v>
      </c>
      <c r="GY7" s="161">
        <f>B32</f>
        <v>2.9000000000000001E-2</v>
      </c>
      <c r="GZ7" s="83"/>
      <c r="HA7" s="83" t="s">
        <v>33</v>
      </c>
      <c r="HB7" s="161">
        <f>B32</f>
        <v>2.9000000000000001E-2</v>
      </c>
      <c r="HC7" s="84"/>
      <c r="HD7" s="83" t="s">
        <v>22</v>
      </c>
      <c r="HE7" s="137">
        <f>0.693/HE9</f>
        <v>2.2972045705420805E-2</v>
      </c>
    </row>
    <row r="8" spans="1:214" x14ac:dyDescent="0.2">
      <c r="A8" s="83" t="s">
        <v>249</v>
      </c>
      <c r="B8" s="183">
        <v>4.9109405245458101E-5</v>
      </c>
      <c r="C8" s="83" t="s">
        <v>259</v>
      </c>
      <c r="D8" s="52" t="s">
        <v>382</v>
      </c>
      <c r="E8" s="138">
        <f>B56</f>
        <v>350</v>
      </c>
      <c r="F8" s="52" t="s">
        <v>24</v>
      </c>
      <c r="G8" s="91" t="s">
        <v>257</v>
      </c>
      <c r="H8" s="136">
        <f>B16</f>
        <v>10.292680000000001</v>
      </c>
      <c r="I8" s="84" t="s">
        <v>259</v>
      </c>
      <c r="J8" s="83" t="s">
        <v>269</v>
      </c>
      <c r="K8" s="136">
        <f>B10</f>
        <v>3.19428</v>
      </c>
      <c r="L8" s="83" t="s">
        <v>351</v>
      </c>
      <c r="M8" s="91" t="s">
        <v>231</v>
      </c>
      <c r="N8" s="136">
        <f>B18</f>
        <v>30.167100000000001</v>
      </c>
      <c r="O8" s="52" t="s">
        <v>60</v>
      </c>
      <c r="P8" s="91" t="s">
        <v>231</v>
      </c>
      <c r="Q8" s="136">
        <f>B18</f>
        <v>30.167100000000001</v>
      </c>
      <c r="R8" s="52" t="s">
        <v>60</v>
      </c>
      <c r="S8" s="91" t="s">
        <v>231</v>
      </c>
      <c r="T8" s="136">
        <f>B18</f>
        <v>30.167100000000001</v>
      </c>
      <c r="U8" s="52" t="s">
        <v>60</v>
      </c>
      <c r="V8" s="91" t="s">
        <v>231</v>
      </c>
      <c r="W8" s="136">
        <f>B18</f>
        <v>30.167100000000001</v>
      </c>
      <c r="X8" s="52" t="s">
        <v>60</v>
      </c>
      <c r="Y8" s="91" t="s">
        <v>231</v>
      </c>
      <c r="Z8" s="136">
        <f>B18</f>
        <v>30.167100000000001</v>
      </c>
      <c r="AA8" s="52" t="s">
        <v>60</v>
      </c>
      <c r="AB8" s="83" t="s">
        <v>249</v>
      </c>
      <c r="AC8" s="136">
        <f>B9</f>
        <v>5.0319999999999999E-5</v>
      </c>
      <c r="AD8" s="136">
        <f>B9</f>
        <v>5.0319999999999999E-5</v>
      </c>
      <c r="AE8" s="136">
        <f>B9</f>
        <v>5.0319999999999999E-5</v>
      </c>
      <c r="AF8" s="136">
        <f>B9</f>
        <v>5.0319999999999999E-5</v>
      </c>
      <c r="AG8" s="136">
        <f>B9</f>
        <v>5.0319999999999999E-5</v>
      </c>
      <c r="AH8" s="83" t="s">
        <v>259</v>
      </c>
      <c r="AI8" s="91" t="s">
        <v>231</v>
      </c>
      <c r="AJ8" s="136">
        <f>B18</f>
        <v>30.167100000000001</v>
      </c>
      <c r="AK8" s="52" t="s">
        <v>60</v>
      </c>
      <c r="AL8" s="91" t="s">
        <v>231</v>
      </c>
      <c r="AM8" s="136">
        <f>B18</f>
        <v>30.167100000000001</v>
      </c>
      <c r="AN8" s="52" t="s">
        <v>60</v>
      </c>
      <c r="AO8" s="91" t="s">
        <v>231</v>
      </c>
      <c r="AP8" s="136">
        <f>B18</f>
        <v>30.167100000000001</v>
      </c>
      <c r="AQ8" s="52" t="s">
        <v>60</v>
      </c>
      <c r="AR8" s="91" t="s">
        <v>231</v>
      </c>
      <c r="AS8" s="136">
        <f>B18</f>
        <v>30.167100000000001</v>
      </c>
      <c r="AT8" s="52" t="s">
        <v>60</v>
      </c>
      <c r="AU8" s="91" t="s">
        <v>231</v>
      </c>
      <c r="AV8" s="136">
        <f>B18</f>
        <v>30.167100000000001</v>
      </c>
      <c r="AW8" s="52" t="s">
        <v>60</v>
      </c>
      <c r="AX8" s="91" t="s">
        <v>231</v>
      </c>
      <c r="AY8" s="136">
        <f>B18</f>
        <v>30.167100000000001</v>
      </c>
      <c r="AZ8" s="52" t="s">
        <v>60</v>
      </c>
      <c r="BA8" s="91" t="s">
        <v>231</v>
      </c>
      <c r="BB8" s="136">
        <f>B18</f>
        <v>30.167100000000001</v>
      </c>
      <c r="BC8" s="52" t="s">
        <v>60</v>
      </c>
      <c r="BD8" s="91" t="s">
        <v>231</v>
      </c>
      <c r="BE8" s="136">
        <f>B18</f>
        <v>30.167100000000001</v>
      </c>
      <c r="BF8" s="52" t="s">
        <v>60</v>
      </c>
      <c r="BG8" s="91" t="s">
        <v>231</v>
      </c>
      <c r="BH8" s="136">
        <f>B18</f>
        <v>30.167100000000001</v>
      </c>
      <c r="BI8" s="52" t="s">
        <v>60</v>
      </c>
      <c r="BJ8" s="91" t="s">
        <v>231</v>
      </c>
      <c r="BK8" s="136">
        <f>B18</f>
        <v>30.167100000000001</v>
      </c>
      <c r="BL8" s="52" t="s">
        <v>60</v>
      </c>
      <c r="BM8" s="91" t="s">
        <v>231</v>
      </c>
      <c r="BN8" s="136">
        <f>B18</f>
        <v>30.167100000000001</v>
      </c>
      <c r="BO8" s="52" t="s">
        <v>60</v>
      </c>
      <c r="BP8" s="91" t="s">
        <v>231</v>
      </c>
      <c r="BQ8" s="136">
        <f>B18</f>
        <v>30.167100000000001</v>
      </c>
      <c r="BR8" s="52" t="s">
        <v>60</v>
      </c>
      <c r="BS8" s="52" t="s">
        <v>140</v>
      </c>
      <c r="BT8" s="138">
        <f>B103</f>
        <v>75</v>
      </c>
      <c r="BU8" s="52" t="s">
        <v>24</v>
      </c>
      <c r="BV8" s="91" t="s">
        <v>257</v>
      </c>
      <c r="BW8" s="136">
        <f>B16</f>
        <v>10.292680000000001</v>
      </c>
      <c r="BX8" s="84" t="s">
        <v>259</v>
      </c>
      <c r="BY8" s="83" t="s">
        <v>269</v>
      </c>
      <c r="BZ8" s="136">
        <f>B10</f>
        <v>3.19428</v>
      </c>
      <c r="CA8" s="83" t="s">
        <v>351</v>
      </c>
      <c r="CB8" s="91" t="s">
        <v>231</v>
      </c>
      <c r="CC8" s="136">
        <f>B18</f>
        <v>30.167100000000001</v>
      </c>
      <c r="CD8" s="52" t="s">
        <v>60</v>
      </c>
      <c r="CE8" s="91" t="s">
        <v>231</v>
      </c>
      <c r="CF8" s="136">
        <f>B18</f>
        <v>30.167100000000001</v>
      </c>
      <c r="CG8" s="52" t="s">
        <v>60</v>
      </c>
      <c r="CH8" s="91" t="s">
        <v>231</v>
      </c>
      <c r="CI8" s="136">
        <f>B18</f>
        <v>30.167100000000001</v>
      </c>
      <c r="CJ8" s="52" t="s">
        <v>60</v>
      </c>
      <c r="CK8" s="52" t="s">
        <v>159</v>
      </c>
      <c r="CL8" s="162">
        <f>B128</f>
        <v>1</v>
      </c>
      <c r="CM8" s="52" t="s">
        <v>221</v>
      </c>
      <c r="CN8" s="84" t="s">
        <v>33</v>
      </c>
      <c r="CO8" s="136">
        <f>B32</f>
        <v>2.9000000000000001E-2</v>
      </c>
      <c r="CT8" s="83" t="s">
        <v>269</v>
      </c>
      <c r="CU8" s="136">
        <f>B10</f>
        <v>3.19428</v>
      </c>
      <c r="CV8" s="83" t="s">
        <v>351</v>
      </c>
      <c r="CW8" s="52" t="s">
        <v>362</v>
      </c>
      <c r="CX8" s="138">
        <f>B169</f>
        <v>350</v>
      </c>
      <c r="CY8" s="52" t="s">
        <v>24</v>
      </c>
      <c r="CZ8" s="83" t="s">
        <v>270</v>
      </c>
      <c r="DA8" s="165">
        <f>B16</f>
        <v>10.292680000000001</v>
      </c>
      <c r="DB8" s="83" t="s">
        <v>259</v>
      </c>
      <c r="DC8" s="83" t="s">
        <v>516</v>
      </c>
      <c r="DD8" s="149">
        <f>(DD9*DD15*DD20)+(DD10*DD14*DD21)</f>
        <v>39585</v>
      </c>
      <c r="DE8" s="92" t="s">
        <v>347</v>
      </c>
      <c r="DF8" s="83" t="s">
        <v>36</v>
      </c>
      <c r="DG8" s="138">
        <f>B193</f>
        <v>3.62</v>
      </c>
      <c r="DH8" s="52" t="s">
        <v>37</v>
      </c>
      <c r="DI8" s="83" t="s">
        <v>393</v>
      </c>
      <c r="DJ8" s="138">
        <f>B35</f>
        <v>0.26</v>
      </c>
      <c r="DL8" s="83" t="s">
        <v>393</v>
      </c>
      <c r="DM8" s="138">
        <f>B35</f>
        <v>0.26</v>
      </c>
      <c r="DO8" s="83" t="s">
        <v>36</v>
      </c>
      <c r="DP8" s="138">
        <f>B193</f>
        <v>3.62</v>
      </c>
      <c r="DQ8" s="52" t="s">
        <v>37</v>
      </c>
      <c r="DR8" s="83" t="s">
        <v>147</v>
      </c>
      <c r="DS8" s="149">
        <f>(DS11*DS9*DS17)+(DS12*DS10*DS18)</f>
        <v>150914.75</v>
      </c>
      <c r="DT8" s="92" t="s">
        <v>347</v>
      </c>
      <c r="DU8" s="52" t="s">
        <v>518</v>
      </c>
      <c r="DV8" s="146">
        <f>B204</f>
        <v>1.03</v>
      </c>
      <c r="DW8" s="52" t="s">
        <v>286</v>
      </c>
      <c r="DX8" s="83" t="s">
        <v>392</v>
      </c>
      <c r="DY8" s="138">
        <f>B36</f>
        <v>0.25</v>
      </c>
      <c r="EA8" s="83" t="s">
        <v>392</v>
      </c>
      <c r="EB8" s="138">
        <f>B36</f>
        <v>0.25</v>
      </c>
      <c r="EC8" s="84"/>
      <c r="ED8" s="83" t="s">
        <v>392</v>
      </c>
      <c r="EE8" s="138">
        <f>B36</f>
        <v>0.25</v>
      </c>
      <c r="EF8" s="84"/>
      <c r="EG8" s="83" t="s">
        <v>519</v>
      </c>
      <c r="EH8" s="149">
        <f>(EH11*EH9*EH17)+(EH12*EH10*EH18)</f>
        <v>55060.25</v>
      </c>
      <c r="EI8" s="92" t="s">
        <v>347</v>
      </c>
      <c r="EJ8" s="83"/>
      <c r="EM8" s="83" t="s">
        <v>392</v>
      </c>
      <c r="EN8" s="138">
        <f>B36</f>
        <v>0.25</v>
      </c>
      <c r="EP8" s="83" t="s">
        <v>392</v>
      </c>
      <c r="EQ8" s="138">
        <f>B36</f>
        <v>0.25</v>
      </c>
      <c r="ER8" s="84"/>
      <c r="ES8" s="83" t="s">
        <v>392</v>
      </c>
      <c r="ET8" s="138">
        <f>B36</f>
        <v>0.25</v>
      </c>
      <c r="EU8" s="84"/>
      <c r="EV8" s="83" t="s">
        <v>520</v>
      </c>
      <c r="EW8" s="149">
        <f>(EW11*EW9*EW17)+(EW12*EW10*EW18)</f>
        <v>16461.375</v>
      </c>
      <c r="EX8" s="92" t="s">
        <v>347</v>
      </c>
      <c r="EY8" s="95"/>
      <c r="EZ8" s="176"/>
      <c r="FA8" s="83"/>
      <c r="FB8" s="83" t="s">
        <v>392</v>
      </c>
      <c r="FC8" s="142">
        <f>B36</f>
        <v>0.25</v>
      </c>
      <c r="FD8" s="83"/>
      <c r="FE8" s="83" t="s">
        <v>392</v>
      </c>
      <c r="FF8" s="142">
        <f>B36</f>
        <v>0.25</v>
      </c>
      <c r="FG8" s="83"/>
      <c r="FH8" s="83" t="s">
        <v>392</v>
      </c>
      <c r="FI8" s="142">
        <f>B36</f>
        <v>0.25</v>
      </c>
      <c r="FJ8" s="84"/>
      <c r="FK8" s="83" t="s">
        <v>521</v>
      </c>
      <c r="FL8" s="173">
        <f>(FL9*FL11*FL17)+(FL10*FL12*FL18)</f>
        <v>47953.5</v>
      </c>
      <c r="FM8" s="92" t="s">
        <v>347</v>
      </c>
      <c r="FN8" s="83"/>
      <c r="FO8" s="83"/>
      <c r="FP8" s="83"/>
      <c r="FQ8" s="83" t="s">
        <v>22</v>
      </c>
      <c r="FR8" s="137">
        <f>0.693/FR9</f>
        <v>2.2972045705420805E-2</v>
      </c>
      <c r="FT8" s="83"/>
      <c r="FU8" s="83"/>
      <c r="FV8" s="83"/>
      <c r="FZ8" s="83" t="s">
        <v>522</v>
      </c>
      <c r="GA8" s="173">
        <f>(GA11*GA9*GA17)+(GA10*GA12*GA18)</f>
        <v>32952.5</v>
      </c>
      <c r="GB8" s="92" t="s">
        <v>347</v>
      </c>
      <c r="GC8" s="95"/>
      <c r="GD8" s="176"/>
      <c r="GE8" s="83"/>
      <c r="GF8" s="83" t="s">
        <v>392</v>
      </c>
      <c r="GG8" s="142">
        <f>B36</f>
        <v>0.25</v>
      </c>
      <c r="GH8" s="83"/>
      <c r="GI8" s="83" t="s">
        <v>392</v>
      </c>
      <c r="GJ8" s="142">
        <f>B36</f>
        <v>0.25</v>
      </c>
      <c r="GK8" s="83"/>
      <c r="GL8" s="83" t="s">
        <v>392</v>
      </c>
      <c r="GM8" s="142">
        <f>B36</f>
        <v>0.25</v>
      </c>
      <c r="GN8" s="84"/>
      <c r="GO8" s="83" t="s">
        <v>523</v>
      </c>
      <c r="GP8" s="149">
        <f>(GP9*GP11*GP16)+(GP10*GP12*GP17)</f>
        <v>30096.5</v>
      </c>
      <c r="GQ8" s="92" t="s">
        <v>347</v>
      </c>
      <c r="GR8" s="95"/>
      <c r="GS8" s="176"/>
      <c r="GT8" s="83"/>
      <c r="GU8" s="83" t="s">
        <v>392</v>
      </c>
      <c r="GV8" s="142">
        <f>B36</f>
        <v>0.25</v>
      </c>
      <c r="GW8" s="83"/>
      <c r="GX8" s="83" t="s">
        <v>392</v>
      </c>
      <c r="GY8" s="142">
        <f>B36</f>
        <v>0.25</v>
      </c>
      <c r="GZ8" s="83"/>
      <c r="HA8" s="83" t="s">
        <v>392</v>
      </c>
      <c r="HB8" s="142">
        <f>B36</f>
        <v>0.25</v>
      </c>
      <c r="HC8" s="84"/>
      <c r="HD8" s="52" t="s">
        <v>16</v>
      </c>
      <c r="HE8" s="137">
        <f>1-EXP(-HE7*HE12)</f>
        <v>2.2710197161529555E-2</v>
      </c>
    </row>
    <row r="9" spans="1:214" x14ac:dyDescent="0.2">
      <c r="A9" s="83" t="s">
        <v>250</v>
      </c>
      <c r="B9" s="183">
        <v>5.0319999999999999E-5</v>
      </c>
      <c r="C9" s="83" t="s">
        <v>259</v>
      </c>
      <c r="D9" s="52" t="s">
        <v>379</v>
      </c>
      <c r="E9" s="138">
        <f>B53</f>
        <v>1</v>
      </c>
      <c r="F9" s="52" t="s">
        <v>146</v>
      </c>
      <c r="G9" s="83" t="s">
        <v>258</v>
      </c>
      <c r="H9" s="136">
        <f>B17</f>
        <v>4.9109405245458101E-5</v>
      </c>
      <c r="I9" s="92" t="s">
        <v>259</v>
      </c>
      <c r="J9" s="83" t="s">
        <v>258</v>
      </c>
      <c r="K9" s="136">
        <f>B17</f>
        <v>4.9109405245458101E-5</v>
      </c>
      <c r="L9" s="92" t="s">
        <v>259</v>
      </c>
      <c r="M9" s="52" t="s">
        <v>382</v>
      </c>
      <c r="N9" s="138">
        <f>B56</f>
        <v>350</v>
      </c>
      <c r="O9" s="52" t="s">
        <v>24</v>
      </c>
      <c r="P9" s="52" t="s">
        <v>382</v>
      </c>
      <c r="Q9" s="138">
        <f>B56</f>
        <v>350</v>
      </c>
      <c r="R9" s="52" t="s">
        <v>24</v>
      </c>
      <c r="S9" s="52" t="s">
        <v>382</v>
      </c>
      <c r="T9" s="138">
        <f>B56</f>
        <v>350</v>
      </c>
      <c r="U9" s="52" t="s">
        <v>24</v>
      </c>
      <c r="V9" s="52" t="s">
        <v>423</v>
      </c>
      <c r="W9" s="138">
        <f>B255</f>
        <v>225</v>
      </c>
      <c r="X9" s="52" t="s">
        <v>24</v>
      </c>
      <c r="Y9" s="52" t="s">
        <v>316</v>
      </c>
      <c r="Z9" s="138">
        <f>B231</f>
        <v>250</v>
      </c>
      <c r="AA9" s="52" t="s">
        <v>24</v>
      </c>
      <c r="AB9" s="83" t="s">
        <v>34</v>
      </c>
      <c r="AC9" s="146">
        <f>B232</f>
        <v>1</v>
      </c>
      <c r="AD9" s="146">
        <f>B244</f>
        <v>1</v>
      </c>
      <c r="AE9" s="146">
        <f>B256</f>
        <v>1</v>
      </c>
      <c r="AF9" s="146">
        <f>B268</f>
        <v>1</v>
      </c>
      <c r="AG9" s="146">
        <f>B292</f>
        <v>1</v>
      </c>
      <c r="AH9" s="83" t="s">
        <v>60</v>
      </c>
      <c r="AI9" s="52" t="s">
        <v>35</v>
      </c>
      <c r="AJ9" s="138">
        <f>B243</f>
        <v>250</v>
      </c>
      <c r="AK9" s="52" t="s">
        <v>24</v>
      </c>
      <c r="AL9" s="52" t="s">
        <v>35</v>
      </c>
      <c r="AM9" s="138">
        <f>B243</f>
        <v>250</v>
      </c>
      <c r="AN9" s="52" t="s">
        <v>24</v>
      </c>
      <c r="AO9" s="52" t="s">
        <v>35</v>
      </c>
      <c r="AP9" s="138">
        <f>B243</f>
        <v>250</v>
      </c>
      <c r="AQ9" s="52" t="s">
        <v>24</v>
      </c>
      <c r="AR9" s="52" t="s">
        <v>423</v>
      </c>
      <c r="AS9" s="138">
        <f>B255</f>
        <v>225</v>
      </c>
      <c r="AT9" s="52" t="s">
        <v>24</v>
      </c>
      <c r="AU9" s="52" t="s">
        <v>423</v>
      </c>
      <c r="AV9" s="138">
        <f>B255</f>
        <v>225</v>
      </c>
      <c r="AW9" s="52" t="s">
        <v>24</v>
      </c>
      <c r="AX9" s="52" t="s">
        <v>423</v>
      </c>
      <c r="AY9" s="138">
        <f>B255</f>
        <v>225</v>
      </c>
      <c r="AZ9" s="52" t="s">
        <v>24</v>
      </c>
      <c r="BA9" s="52" t="s">
        <v>316</v>
      </c>
      <c r="BB9" s="138">
        <f>B231</f>
        <v>250</v>
      </c>
      <c r="BC9" s="52" t="s">
        <v>24</v>
      </c>
      <c r="BD9" s="52" t="s">
        <v>316</v>
      </c>
      <c r="BE9" s="138">
        <f>B231</f>
        <v>250</v>
      </c>
      <c r="BF9" s="52" t="s">
        <v>24</v>
      </c>
      <c r="BG9" s="52" t="s">
        <v>316</v>
      </c>
      <c r="BH9" s="138">
        <f>B231</f>
        <v>250</v>
      </c>
      <c r="BI9" s="52" t="s">
        <v>24</v>
      </c>
      <c r="BJ9" s="52" t="s">
        <v>191</v>
      </c>
      <c r="BK9" s="138">
        <f>BK10*BK11</f>
        <v>250</v>
      </c>
      <c r="BL9" s="52" t="s">
        <v>24</v>
      </c>
      <c r="BM9" s="52" t="s">
        <v>191</v>
      </c>
      <c r="BN9" s="138">
        <f>BN10*BN11</f>
        <v>250</v>
      </c>
      <c r="BO9" s="52" t="s">
        <v>24</v>
      </c>
      <c r="BP9" s="52" t="s">
        <v>191</v>
      </c>
      <c r="BQ9" s="138">
        <f>BQ10*BQ11</f>
        <v>250</v>
      </c>
      <c r="BR9" s="52" t="s">
        <v>24</v>
      </c>
      <c r="BS9" s="52" t="s">
        <v>247</v>
      </c>
      <c r="BT9" s="139">
        <f>E11</f>
        <v>1.5417408700798101E-4</v>
      </c>
      <c r="BU9" s="84" t="s">
        <v>259</v>
      </c>
      <c r="BV9" s="83" t="s">
        <v>258</v>
      </c>
      <c r="BW9" s="136">
        <f>B17</f>
        <v>4.9109405245458101E-5</v>
      </c>
      <c r="BX9" s="92" t="s">
        <v>259</v>
      </c>
      <c r="BY9" s="83" t="s">
        <v>77</v>
      </c>
      <c r="BZ9" s="136">
        <f>B19</f>
        <v>1359344473.5814338</v>
      </c>
      <c r="CA9" s="83" t="s">
        <v>78</v>
      </c>
      <c r="CB9" s="52" t="s">
        <v>140</v>
      </c>
      <c r="CC9" s="138">
        <f>B103</f>
        <v>75</v>
      </c>
      <c r="CD9" s="52" t="s">
        <v>24</v>
      </c>
      <c r="CE9" s="52" t="s">
        <v>140</v>
      </c>
      <c r="CF9" s="138">
        <f>B103</f>
        <v>75</v>
      </c>
      <c r="CG9" s="52" t="s">
        <v>24</v>
      </c>
      <c r="CH9" s="52" t="s">
        <v>140</v>
      </c>
      <c r="CI9" s="138">
        <f>B103</f>
        <v>75</v>
      </c>
      <c r="CJ9" s="52" t="s">
        <v>24</v>
      </c>
      <c r="CK9" s="84" t="s">
        <v>295</v>
      </c>
      <c r="CL9" s="142">
        <f>B302</f>
        <v>137</v>
      </c>
      <c r="CM9" s="84" t="s">
        <v>296</v>
      </c>
      <c r="CN9" s="84" t="s">
        <v>392</v>
      </c>
      <c r="CO9" s="162">
        <f>B36</f>
        <v>0.25</v>
      </c>
      <c r="CT9" s="83" t="s">
        <v>258</v>
      </c>
      <c r="CU9" s="136">
        <f>B17</f>
        <v>4.9109405245458101E-5</v>
      </c>
      <c r="CV9" s="92" t="s">
        <v>259</v>
      </c>
      <c r="CW9" s="52" t="s">
        <v>363</v>
      </c>
      <c r="CX9" s="138">
        <f>B170</f>
        <v>1</v>
      </c>
      <c r="CY9" s="52" t="s">
        <v>146</v>
      </c>
      <c r="CZ9" s="83" t="s">
        <v>258</v>
      </c>
      <c r="DA9" s="136">
        <f>B17</f>
        <v>4.9109405245458101E-5</v>
      </c>
      <c r="DB9" s="84" t="s">
        <v>259</v>
      </c>
      <c r="DC9" s="83" t="s">
        <v>513</v>
      </c>
      <c r="DD9" s="146">
        <f>B151</f>
        <v>41.7</v>
      </c>
      <c r="DE9" s="92" t="s">
        <v>221</v>
      </c>
      <c r="DF9" s="83" t="s">
        <v>40</v>
      </c>
      <c r="DG9" s="138">
        <f>B194</f>
        <v>0.25</v>
      </c>
      <c r="DH9" s="52" t="s">
        <v>41</v>
      </c>
      <c r="DI9" s="52" t="s">
        <v>350</v>
      </c>
      <c r="DJ9" s="164">
        <f>B170</f>
        <v>1</v>
      </c>
      <c r="DL9" s="95"/>
      <c r="DM9" s="176"/>
      <c r="DO9" s="83" t="s">
        <v>40</v>
      </c>
      <c r="DP9" s="138">
        <f>B194</f>
        <v>0.25</v>
      </c>
      <c r="DQ9" s="52" t="s">
        <v>41</v>
      </c>
      <c r="DR9" s="83" t="s">
        <v>452</v>
      </c>
      <c r="DS9" s="146">
        <f>B153</f>
        <v>349.5</v>
      </c>
      <c r="DT9" s="92" t="s">
        <v>221</v>
      </c>
      <c r="DU9" s="95"/>
      <c r="DV9" s="176"/>
      <c r="DX9" s="83" t="s">
        <v>517</v>
      </c>
      <c r="DY9" s="136">
        <f>B24</f>
        <v>4.5999999999999999E-3</v>
      </c>
      <c r="DZ9" s="52" t="s">
        <v>388</v>
      </c>
      <c r="EA9" s="83" t="s">
        <v>517</v>
      </c>
      <c r="EB9" s="136">
        <f>B24</f>
        <v>4.5999999999999999E-3</v>
      </c>
      <c r="EC9" s="52" t="s">
        <v>388</v>
      </c>
      <c r="ED9" s="83" t="s">
        <v>517</v>
      </c>
      <c r="EE9" s="136">
        <f>B24</f>
        <v>4.5999999999999999E-3</v>
      </c>
      <c r="EF9" s="52" t="s">
        <v>388</v>
      </c>
      <c r="EG9" s="83" t="s">
        <v>453</v>
      </c>
      <c r="EH9" s="170">
        <f>B155</f>
        <v>40.1</v>
      </c>
      <c r="EI9" s="92" t="s">
        <v>221</v>
      </c>
      <c r="EJ9" s="83"/>
      <c r="EM9" s="83" t="s">
        <v>236</v>
      </c>
      <c r="EN9" s="136">
        <f>B25</f>
        <v>2.1999999999999999E-2</v>
      </c>
      <c r="EO9" s="52" t="s">
        <v>388</v>
      </c>
      <c r="EP9" s="83" t="s">
        <v>236</v>
      </c>
      <c r="EQ9" s="169">
        <f>B25</f>
        <v>2.1999999999999999E-2</v>
      </c>
      <c r="ER9" s="52" t="s">
        <v>388</v>
      </c>
      <c r="ES9" s="83" t="s">
        <v>236</v>
      </c>
      <c r="ET9" s="169">
        <f>B25</f>
        <v>2.1999999999999999E-2</v>
      </c>
      <c r="EU9" s="52" t="s">
        <v>388</v>
      </c>
      <c r="EV9" s="83" t="s">
        <v>454</v>
      </c>
      <c r="EW9" s="171">
        <f>B157</f>
        <v>10.95</v>
      </c>
      <c r="EX9" s="92" t="s">
        <v>221</v>
      </c>
      <c r="EY9" s="83"/>
      <c r="EZ9" s="83"/>
      <c r="FA9" s="83"/>
      <c r="FB9" s="83" t="s">
        <v>171</v>
      </c>
      <c r="FC9" s="169">
        <f>B27</f>
        <v>0.4</v>
      </c>
      <c r="FD9" s="52" t="s">
        <v>388</v>
      </c>
      <c r="FE9" s="83" t="s">
        <v>171</v>
      </c>
      <c r="FF9" s="169">
        <f>B27</f>
        <v>0.4</v>
      </c>
      <c r="FG9" s="52" t="s">
        <v>388</v>
      </c>
      <c r="FH9" s="83" t="s">
        <v>171</v>
      </c>
      <c r="FI9" s="169">
        <f>B27</f>
        <v>0.4</v>
      </c>
      <c r="FJ9" s="52" t="s">
        <v>388</v>
      </c>
      <c r="FK9" s="83" t="s">
        <v>471</v>
      </c>
      <c r="FL9" s="150">
        <f>B159</f>
        <v>32.799999999999997</v>
      </c>
      <c r="FM9" s="92" t="s">
        <v>221</v>
      </c>
      <c r="FN9" s="83"/>
      <c r="FO9" s="83"/>
      <c r="FP9" s="83"/>
      <c r="FQ9" s="91" t="s">
        <v>231</v>
      </c>
      <c r="FR9" s="136">
        <f>B18</f>
        <v>30.167100000000001</v>
      </c>
      <c r="FS9" s="52" t="s">
        <v>60</v>
      </c>
      <c r="FT9" s="83"/>
      <c r="FU9" s="93"/>
      <c r="FV9" s="83"/>
      <c r="FW9" s="83"/>
      <c r="FX9" s="93"/>
      <c r="FY9" s="83"/>
      <c r="FZ9" s="83" t="s">
        <v>473</v>
      </c>
      <c r="GA9" s="174">
        <f>B161</f>
        <v>23.6</v>
      </c>
      <c r="GB9" s="92" t="s">
        <v>221</v>
      </c>
      <c r="GC9" s="83"/>
      <c r="GD9" s="83"/>
      <c r="GE9" s="83"/>
      <c r="GF9" s="83" t="s">
        <v>237</v>
      </c>
      <c r="GG9" s="169">
        <f>B26</f>
        <v>2.7</v>
      </c>
      <c r="GH9" s="52" t="s">
        <v>388</v>
      </c>
      <c r="GI9" s="83" t="s">
        <v>237</v>
      </c>
      <c r="GJ9" s="169">
        <f>B26</f>
        <v>2.7</v>
      </c>
      <c r="GK9" s="52" t="s">
        <v>388</v>
      </c>
      <c r="GL9" s="83" t="s">
        <v>237</v>
      </c>
      <c r="GM9" s="169">
        <f>B26</f>
        <v>2.7</v>
      </c>
      <c r="GN9" s="52" t="s">
        <v>388</v>
      </c>
      <c r="GO9" s="83" t="s">
        <v>455</v>
      </c>
      <c r="GP9" s="150">
        <f>B163</f>
        <v>18.5</v>
      </c>
      <c r="GQ9" s="92" t="s">
        <v>221</v>
      </c>
      <c r="GR9" s="83"/>
      <c r="GS9" s="83"/>
      <c r="GT9" s="83"/>
      <c r="GU9" s="83" t="s">
        <v>238</v>
      </c>
      <c r="GV9" s="169">
        <f>B28</f>
        <v>0.2</v>
      </c>
      <c r="GW9" s="52" t="s">
        <v>388</v>
      </c>
      <c r="GX9" s="83" t="s">
        <v>238</v>
      </c>
      <c r="GY9" s="169">
        <f>B28</f>
        <v>0.2</v>
      </c>
      <c r="GZ9" s="52" t="s">
        <v>388</v>
      </c>
      <c r="HA9" s="83" t="s">
        <v>238</v>
      </c>
      <c r="HB9" s="169">
        <f>B28</f>
        <v>0.2</v>
      </c>
      <c r="HC9" s="52" t="s">
        <v>388</v>
      </c>
      <c r="HD9" s="91" t="s">
        <v>231</v>
      </c>
      <c r="HE9" s="136">
        <f>B18</f>
        <v>30.167100000000001</v>
      </c>
      <c r="HF9" s="52" t="s">
        <v>60</v>
      </c>
    </row>
    <row r="10" spans="1:214" x14ac:dyDescent="0.2">
      <c r="A10" s="83" t="s">
        <v>251</v>
      </c>
      <c r="B10" s="179">
        <v>3.19428</v>
      </c>
      <c r="C10" s="83" t="s">
        <v>351</v>
      </c>
      <c r="D10" s="52" t="s">
        <v>92</v>
      </c>
      <c r="E10" s="138">
        <f>E9</f>
        <v>1</v>
      </c>
      <c r="G10" s="83" t="s">
        <v>260</v>
      </c>
      <c r="H10" s="143">
        <f>(H5/(H6*H15))</f>
        <v>27.646425509686686</v>
      </c>
      <c r="I10" s="92" t="s">
        <v>11</v>
      </c>
      <c r="J10" s="83" t="s">
        <v>77</v>
      </c>
      <c r="K10" s="136">
        <f>B19</f>
        <v>1359344473.5814338</v>
      </c>
      <c r="L10" s="83" t="s">
        <v>78</v>
      </c>
      <c r="M10" s="52" t="s">
        <v>379</v>
      </c>
      <c r="N10" s="138">
        <f>B53</f>
        <v>1</v>
      </c>
      <c r="O10" s="52" t="s">
        <v>146</v>
      </c>
      <c r="P10" s="52" t="s">
        <v>379</v>
      </c>
      <c r="Q10" s="138">
        <f>B53</f>
        <v>1</v>
      </c>
      <c r="R10" s="52" t="s">
        <v>146</v>
      </c>
      <c r="S10" s="52" t="s">
        <v>379</v>
      </c>
      <c r="T10" s="138">
        <f>B53</f>
        <v>1</v>
      </c>
      <c r="U10" s="52" t="s">
        <v>146</v>
      </c>
      <c r="V10" s="52" t="s">
        <v>424</v>
      </c>
      <c r="W10" s="138">
        <f>B256</f>
        <v>1</v>
      </c>
      <c r="X10" s="52" t="s">
        <v>146</v>
      </c>
      <c r="Y10" s="52" t="s">
        <v>422</v>
      </c>
      <c r="Z10" s="138">
        <f>B232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B277</f>
        <v>5</v>
      </c>
      <c r="AG10" s="146">
        <f>B300</f>
        <v>5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B244</f>
        <v>1</v>
      </c>
      <c r="AN10" s="52" t="s">
        <v>146</v>
      </c>
      <c r="AO10" s="52" t="s">
        <v>420</v>
      </c>
      <c r="AP10" s="138">
        <f>B244</f>
        <v>1</v>
      </c>
      <c r="AQ10" s="52" t="s">
        <v>146</v>
      </c>
      <c r="AR10" s="52" t="s">
        <v>424</v>
      </c>
      <c r="AS10" s="138">
        <f>B256</f>
        <v>1</v>
      </c>
      <c r="AT10" s="52" t="s">
        <v>146</v>
      </c>
      <c r="AU10" s="52" t="s">
        <v>424</v>
      </c>
      <c r="AV10" s="138">
        <f>B256</f>
        <v>1</v>
      </c>
      <c r="AW10" s="52" t="s">
        <v>146</v>
      </c>
      <c r="AX10" s="52" t="s">
        <v>424</v>
      </c>
      <c r="AY10" s="138">
        <f>B256</f>
        <v>1</v>
      </c>
      <c r="AZ10" s="52" t="s">
        <v>146</v>
      </c>
      <c r="BA10" s="52" t="s">
        <v>422</v>
      </c>
      <c r="BB10" s="138">
        <f>B232</f>
        <v>1</v>
      </c>
      <c r="BC10" s="52" t="s">
        <v>146</v>
      </c>
      <c r="BD10" s="52" t="s">
        <v>422</v>
      </c>
      <c r="BE10" s="138">
        <f>B232</f>
        <v>1</v>
      </c>
      <c r="BF10" s="52" t="s">
        <v>146</v>
      </c>
      <c r="BG10" s="52" t="s">
        <v>422</v>
      </c>
      <c r="BH10" s="138">
        <f>B232</f>
        <v>1</v>
      </c>
      <c r="BI10" s="52" t="s">
        <v>146</v>
      </c>
      <c r="BJ10" s="52" t="s">
        <v>220</v>
      </c>
      <c r="BK10" s="138">
        <f>B278</f>
        <v>50</v>
      </c>
      <c r="BL10" s="52" t="s">
        <v>113</v>
      </c>
      <c r="BM10" s="52" t="s">
        <v>220</v>
      </c>
      <c r="BN10" s="138">
        <f>B278</f>
        <v>50</v>
      </c>
      <c r="BO10" s="52" t="s">
        <v>113</v>
      </c>
      <c r="BP10" s="52" t="s">
        <v>220</v>
      </c>
      <c r="BQ10" s="138">
        <f>B278</f>
        <v>50</v>
      </c>
      <c r="BR10" s="52" t="s">
        <v>113</v>
      </c>
      <c r="BS10" s="83" t="s">
        <v>428</v>
      </c>
      <c r="BT10" s="149">
        <f>(BT22*BT13*(1/24)*BT11*BT25)+(BT23*BT14*(1/24)*BT12*BT26)</f>
        <v>55.3125</v>
      </c>
      <c r="BU10" s="52" t="s">
        <v>426</v>
      </c>
      <c r="BV10" s="83" t="s">
        <v>260</v>
      </c>
      <c r="BW10" s="143">
        <f>(BW5/(BW6*BW13))*BW32*BW33*BW34</f>
        <v>1.0472852062234387E-7</v>
      </c>
      <c r="BX10" s="92" t="s">
        <v>13</v>
      </c>
      <c r="BY10" s="84" t="s">
        <v>16</v>
      </c>
      <c r="BZ10" s="137">
        <f>(BZ30*BZ11)/(1-EXP(-BZ11*BZ30))</f>
        <v>1.0115299987062558</v>
      </c>
      <c r="CB10" s="52" t="s">
        <v>51</v>
      </c>
      <c r="CC10" s="138">
        <f>B117</f>
        <v>1</v>
      </c>
      <c r="CD10" s="52" t="s">
        <v>146</v>
      </c>
      <c r="CE10" s="52" t="s">
        <v>51</v>
      </c>
      <c r="CF10" s="138">
        <f>B117</f>
        <v>1</v>
      </c>
      <c r="CG10" s="52" t="s">
        <v>146</v>
      </c>
      <c r="CH10" s="52" t="s">
        <v>51</v>
      </c>
      <c r="CI10" s="138">
        <f>B117</f>
        <v>1</v>
      </c>
      <c r="CJ10" s="52" t="s">
        <v>146</v>
      </c>
      <c r="CK10" s="84" t="s">
        <v>293</v>
      </c>
      <c r="CL10" s="161">
        <f>B304</f>
        <v>2.8000000000000002E-12</v>
      </c>
      <c r="CM10" s="84"/>
      <c r="CN10" s="84" t="s">
        <v>164</v>
      </c>
      <c r="CO10" s="162">
        <f>B129</f>
        <v>1</v>
      </c>
      <c r="CP10" s="52" t="s">
        <v>246</v>
      </c>
      <c r="CT10" s="83" t="s">
        <v>77</v>
      </c>
      <c r="CU10" s="136">
        <f>B19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1.0115299987062558</v>
      </c>
      <c r="DC10" s="83" t="s">
        <v>514</v>
      </c>
      <c r="DD10" s="146">
        <f>B152</f>
        <v>125.7</v>
      </c>
      <c r="DE10" s="92" t="s">
        <v>221</v>
      </c>
      <c r="DF10" s="92" t="s">
        <v>32</v>
      </c>
      <c r="DG10" s="136">
        <f>B31</f>
        <v>2.5229999999999999E-2</v>
      </c>
      <c r="DI10" s="83" t="s">
        <v>22</v>
      </c>
      <c r="DJ10" s="137">
        <f>0.693/DJ11</f>
        <v>2.2972045705420805E-2</v>
      </c>
      <c r="DL10" s="92"/>
      <c r="DO10" s="92" t="s">
        <v>32</v>
      </c>
      <c r="DP10" s="136">
        <f>B31</f>
        <v>2.5229999999999999E-2</v>
      </c>
      <c r="DR10" s="83" t="s">
        <v>461</v>
      </c>
      <c r="DS10" s="146">
        <f>B154</f>
        <v>445.6</v>
      </c>
      <c r="DT10" s="92" t="s">
        <v>221</v>
      </c>
      <c r="DU10" s="92"/>
      <c r="DX10" s="83" t="s">
        <v>498</v>
      </c>
      <c r="DY10" s="138">
        <f>B205</f>
        <v>20.3</v>
      </c>
      <c r="DZ10" s="52" t="s">
        <v>246</v>
      </c>
      <c r="EA10" s="83" t="s">
        <v>498</v>
      </c>
      <c r="EB10" s="138">
        <f>B205</f>
        <v>20.3</v>
      </c>
      <c r="EC10" s="52" t="s">
        <v>246</v>
      </c>
      <c r="ED10" s="83" t="s">
        <v>498</v>
      </c>
      <c r="EE10" s="138">
        <f>B205</f>
        <v>20.3</v>
      </c>
      <c r="EF10" s="52" t="s">
        <v>246</v>
      </c>
      <c r="EG10" s="83" t="s">
        <v>462</v>
      </c>
      <c r="EH10" s="170">
        <f>B156</f>
        <v>178</v>
      </c>
      <c r="EI10" s="92" t="s">
        <v>221</v>
      </c>
      <c r="EJ10" s="92"/>
      <c r="EM10" s="83" t="s">
        <v>494</v>
      </c>
      <c r="EN10" s="138">
        <f>B210</f>
        <v>11.77</v>
      </c>
      <c r="EO10" s="52" t="s">
        <v>246</v>
      </c>
      <c r="EP10" s="83" t="s">
        <v>494</v>
      </c>
      <c r="EQ10" s="138">
        <f>B210</f>
        <v>11.77</v>
      </c>
      <c r="ER10" s="52" t="s">
        <v>246</v>
      </c>
      <c r="ES10" s="83" t="s">
        <v>494</v>
      </c>
      <c r="ET10" s="138">
        <f>B210</f>
        <v>11.77</v>
      </c>
      <c r="EU10" s="52" t="s">
        <v>246</v>
      </c>
      <c r="EV10" s="83" t="s">
        <v>463</v>
      </c>
      <c r="EW10" s="170">
        <f>B158</f>
        <v>53.4</v>
      </c>
      <c r="EX10" s="92" t="s">
        <v>221</v>
      </c>
      <c r="EY10" s="83"/>
      <c r="EZ10" s="83"/>
      <c r="FA10" s="83"/>
      <c r="FB10" s="83" t="s">
        <v>152</v>
      </c>
      <c r="FC10" s="142">
        <f>B215</f>
        <v>0.2</v>
      </c>
      <c r="FD10" s="52" t="s">
        <v>246</v>
      </c>
      <c r="FE10" s="83" t="s">
        <v>152</v>
      </c>
      <c r="FF10" s="142">
        <f>B215</f>
        <v>0.2</v>
      </c>
      <c r="FG10" s="52" t="s">
        <v>246</v>
      </c>
      <c r="FH10" s="83" t="s">
        <v>152</v>
      </c>
      <c r="FI10" s="142">
        <f>B215</f>
        <v>0.2</v>
      </c>
      <c r="FJ10" s="52" t="s">
        <v>246</v>
      </c>
      <c r="FK10" s="83" t="s">
        <v>472</v>
      </c>
      <c r="FL10" s="150">
        <f>B160</f>
        <v>155.4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1.0115299987062558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B162</f>
        <v>106.6</v>
      </c>
      <c r="GB10" s="92" t="s">
        <v>221</v>
      </c>
      <c r="GC10" s="83"/>
      <c r="GD10" s="83"/>
      <c r="GE10" s="83"/>
      <c r="GF10" s="83" t="s">
        <v>486</v>
      </c>
      <c r="GG10" s="142">
        <f>B220</f>
        <v>0.2</v>
      </c>
      <c r="GH10" s="52" t="s">
        <v>246</v>
      </c>
      <c r="GI10" s="83" t="s">
        <v>486</v>
      </c>
      <c r="GJ10" s="142">
        <f>B220</f>
        <v>0.2</v>
      </c>
      <c r="GK10" s="52" t="s">
        <v>246</v>
      </c>
      <c r="GL10" s="83" t="s">
        <v>486</v>
      </c>
      <c r="GM10" s="142">
        <f>B220</f>
        <v>0.2</v>
      </c>
      <c r="GN10" s="52" t="s">
        <v>246</v>
      </c>
      <c r="GO10" s="83" t="s">
        <v>464</v>
      </c>
      <c r="GP10" s="150">
        <f>B164</f>
        <v>97.9</v>
      </c>
      <c r="GQ10" s="92" t="s">
        <v>221</v>
      </c>
      <c r="GR10" s="83"/>
      <c r="GS10" s="83"/>
      <c r="GT10" s="83"/>
      <c r="GU10" s="83" t="s">
        <v>490</v>
      </c>
      <c r="GV10" s="142">
        <f>B225</f>
        <v>4.7</v>
      </c>
      <c r="GW10" s="52" t="s">
        <v>246</v>
      </c>
      <c r="GX10" s="83" t="s">
        <v>490</v>
      </c>
      <c r="GY10" s="142">
        <f>B225</f>
        <v>4.7</v>
      </c>
      <c r="GZ10" s="52" t="s">
        <v>246</v>
      </c>
      <c r="HA10" s="83" t="s">
        <v>490</v>
      </c>
      <c r="HB10" s="142">
        <f>B225</f>
        <v>4.7</v>
      </c>
      <c r="HC10" s="52" t="s">
        <v>246</v>
      </c>
      <c r="HD10" s="84" t="s">
        <v>38</v>
      </c>
      <c r="HE10" s="163">
        <f>B83</f>
        <v>0.3</v>
      </c>
    </row>
    <row r="11" spans="1:214" x14ac:dyDescent="0.2">
      <c r="A11" s="83" t="s">
        <v>252</v>
      </c>
      <c r="B11" s="183">
        <v>0.64061199999999996</v>
      </c>
      <c r="C11" s="83" t="s">
        <v>352</v>
      </c>
      <c r="D11" s="52" t="s">
        <v>247</v>
      </c>
      <c r="E11" s="139">
        <f>B6</f>
        <v>1.5417408700798101E-4</v>
      </c>
      <c r="F11" s="84" t="s">
        <v>259</v>
      </c>
      <c r="G11" s="83" t="s">
        <v>261</v>
      </c>
      <c r="H11" s="144">
        <f>(H5/(H7*H16*H28))</f>
        <v>2.094003000584594</v>
      </c>
      <c r="I11" s="92" t="s">
        <v>11</v>
      </c>
      <c r="J11" s="84" t="s">
        <v>16</v>
      </c>
      <c r="K11" s="137">
        <f>(K43*K12)/(1-EXP(-K12*K43))</f>
        <v>1.0115299987062558</v>
      </c>
      <c r="M11" s="52" t="s">
        <v>299</v>
      </c>
      <c r="N11" s="138">
        <f>B61</f>
        <v>0.4</v>
      </c>
      <c r="P11" s="52" t="s">
        <v>299</v>
      </c>
      <c r="Q11" s="138">
        <f>B61</f>
        <v>0.4</v>
      </c>
      <c r="S11" s="52" t="s">
        <v>299</v>
      </c>
      <c r="T11" s="138">
        <f>B61</f>
        <v>0.4</v>
      </c>
      <c r="V11" s="52" t="s">
        <v>247</v>
      </c>
      <c r="W11" s="139">
        <f>B6</f>
        <v>1.5417408700798101E-4</v>
      </c>
      <c r="X11" s="84" t="s">
        <v>39</v>
      </c>
      <c r="Y11" s="52" t="s">
        <v>247</v>
      </c>
      <c r="Z11" s="139">
        <f>B6</f>
        <v>1.5417408700798101E-4</v>
      </c>
      <c r="AA11" s="84" t="s">
        <v>39</v>
      </c>
      <c r="AB11" s="83" t="s">
        <v>220</v>
      </c>
      <c r="AC11" s="146"/>
      <c r="AD11" s="146"/>
      <c r="AE11" s="146"/>
      <c r="AF11" s="146">
        <f>B278</f>
        <v>50</v>
      </c>
      <c r="AG11" s="146">
        <f>B301</f>
        <v>50</v>
      </c>
      <c r="AH11" s="83" t="s">
        <v>113</v>
      </c>
      <c r="AI11" s="52" t="s">
        <v>299</v>
      </c>
      <c r="AJ11" s="138">
        <f>B248</f>
        <v>0.4</v>
      </c>
      <c r="AL11" s="52" t="s">
        <v>299</v>
      </c>
      <c r="AM11" s="138">
        <f>B248</f>
        <v>0.4</v>
      </c>
      <c r="AO11" s="52" t="s">
        <v>299</v>
      </c>
      <c r="AP11" s="138">
        <f>B248</f>
        <v>0.4</v>
      </c>
      <c r="AR11" s="52" t="s">
        <v>299</v>
      </c>
      <c r="AS11" s="138">
        <f>B260</f>
        <v>0.4</v>
      </c>
      <c r="AU11" s="52" t="s">
        <v>299</v>
      </c>
      <c r="AV11" s="138">
        <f>B260</f>
        <v>0.4</v>
      </c>
      <c r="AX11" s="52" t="s">
        <v>299</v>
      </c>
      <c r="AY11" s="138">
        <f>B260</f>
        <v>0.4</v>
      </c>
      <c r="BA11" s="52" t="s">
        <v>299</v>
      </c>
      <c r="BB11" s="138">
        <f>B236</f>
        <v>0.4</v>
      </c>
      <c r="BD11" s="52" t="s">
        <v>299</v>
      </c>
      <c r="BE11" s="138">
        <f>B236</f>
        <v>0.4</v>
      </c>
      <c r="BG11" s="52" t="s">
        <v>299</v>
      </c>
      <c r="BH11" s="138">
        <f>B236</f>
        <v>0.4</v>
      </c>
      <c r="BJ11" s="52" t="s">
        <v>219</v>
      </c>
      <c r="BK11" s="138">
        <f>B277</f>
        <v>5</v>
      </c>
      <c r="BL11" s="52" t="s">
        <v>112</v>
      </c>
      <c r="BM11" s="52" t="s">
        <v>219</v>
      </c>
      <c r="BN11" s="138">
        <f>B277</f>
        <v>5</v>
      </c>
      <c r="BO11" s="52" t="s">
        <v>112</v>
      </c>
      <c r="BP11" s="52" t="s">
        <v>219</v>
      </c>
      <c r="BQ11" s="138">
        <f>B277</f>
        <v>5</v>
      </c>
      <c r="BR11" s="52" t="s">
        <v>112</v>
      </c>
      <c r="BS11" s="83" t="s">
        <v>429</v>
      </c>
      <c r="BT11" s="141">
        <f>B93</f>
        <v>10</v>
      </c>
      <c r="BU11" s="92" t="s">
        <v>407</v>
      </c>
      <c r="BV11" s="83" t="s">
        <v>261</v>
      </c>
      <c r="BW11" s="159"/>
      <c r="BX11" s="92" t="s">
        <v>13</v>
      </c>
      <c r="BY11" s="83" t="s">
        <v>22</v>
      </c>
      <c r="BZ11" s="137">
        <f>0.693/BZ12</f>
        <v>2.2972045705420805E-2</v>
      </c>
      <c r="CB11" s="52" t="s">
        <v>300</v>
      </c>
      <c r="CC11" s="138">
        <f>B118</f>
        <v>2.41E-4</v>
      </c>
      <c r="CE11" s="52" t="s">
        <v>300</v>
      </c>
      <c r="CF11" s="138">
        <f>B120</f>
        <v>1.17E-4</v>
      </c>
      <c r="CH11" s="52" t="s">
        <v>300</v>
      </c>
      <c r="CI11" s="138">
        <f>B124</f>
        <v>2.2599999999999999E-4</v>
      </c>
      <c r="CN11" s="84" t="s">
        <v>161</v>
      </c>
      <c r="CO11" s="162">
        <f>B130</f>
        <v>1</v>
      </c>
      <c r="CP11" s="52" t="s">
        <v>246</v>
      </c>
      <c r="CT11" s="84" t="s">
        <v>16</v>
      </c>
      <c r="CU11" s="137">
        <f>(CU43*CU12)/(1-EXP(-CU12*CU43))</f>
        <v>1.0115299987062558</v>
      </c>
      <c r="CW11" s="52" t="s">
        <v>247</v>
      </c>
      <c r="CX11" s="139">
        <f>B6</f>
        <v>1.5417408700798101E-4</v>
      </c>
      <c r="CY11" s="84" t="s">
        <v>259</v>
      </c>
      <c r="CZ11" s="83" t="s">
        <v>22</v>
      </c>
      <c r="DA11" s="137">
        <f>0.693/DA12</f>
        <v>2.2972045705420805E-2</v>
      </c>
      <c r="DC11" s="83" t="s">
        <v>515</v>
      </c>
      <c r="DD11" s="149">
        <f>(DD12*DD15*DD20)+(DD13*DD14*DD21)</f>
        <v>56173.250000000007</v>
      </c>
      <c r="DE11" s="92" t="s">
        <v>347</v>
      </c>
      <c r="DF11" s="92" t="s">
        <v>49</v>
      </c>
      <c r="DG11" s="137">
        <f>DG19+DG20</f>
        <v>8.993711152170084E-5</v>
      </c>
      <c r="DI11" s="91" t="s">
        <v>231</v>
      </c>
      <c r="DJ11" s="136">
        <f>B18</f>
        <v>30.167100000000001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B168</f>
        <v>350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B168</f>
        <v>350</v>
      </c>
      <c r="EI11" s="83" t="s">
        <v>24</v>
      </c>
      <c r="EJ11" s="92"/>
      <c r="EM11" s="83" t="s">
        <v>495</v>
      </c>
      <c r="EN11" s="138">
        <f>B211</f>
        <v>0.5</v>
      </c>
      <c r="EO11" s="52" t="s">
        <v>246</v>
      </c>
      <c r="EP11" s="83" t="s">
        <v>495</v>
      </c>
      <c r="EQ11" s="138">
        <f>B211</f>
        <v>0.5</v>
      </c>
      <c r="ER11" s="52" t="s">
        <v>246</v>
      </c>
      <c r="ES11" s="83" t="s">
        <v>495</v>
      </c>
      <c r="ET11" s="138">
        <f>B211</f>
        <v>0.5</v>
      </c>
      <c r="EU11" s="52" t="s">
        <v>246</v>
      </c>
      <c r="EV11" s="83" t="s">
        <v>456</v>
      </c>
      <c r="EW11" s="150">
        <f>B168</f>
        <v>350</v>
      </c>
      <c r="EX11" s="83" t="s">
        <v>24</v>
      </c>
      <c r="EY11" s="83"/>
      <c r="EZ11" s="83"/>
      <c r="FA11" s="83"/>
      <c r="FB11" s="83" t="s">
        <v>151</v>
      </c>
      <c r="FC11" s="142">
        <f>B216</f>
        <v>2.1999999999999999E-2</v>
      </c>
      <c r="FD11" s="52" t="s">
        <v>246</v>
      </c>
      <c r="FE11" s="83" t="s">
        <v>151</v>
      </c>
      <c r="FF11" s="142">
        <f>B216</f>
        <v>2.1999999999999999E-2</v>
      </c>
      <c r="FG11" s="52" t="s">
        <v>246</v>
      </c>
      <c r="FH11" s="83" t="s">
        <v>151</v>
      </c>
      <c r="FI11" s="142">
        <f>B216</f>
        <v>2.1999999999999999E-2</v>
      </c>
      <c r="FJ11" s="52" t="s">
        <v>246</v>
      </c>
      <c r="FK11" s="83" t="s">
        <v>456</v>
      </c>
      <c r="FL11" s="150">
        <f>B168</f>
        <v>350</v>
      </c>
      <c r="FM11" s="83" t="s">
        <v>24</v>
      </c>
      <c r="FN11" s="83"/>
      <c r="FO11" s="83"/>
      <c r="FP11" s="83"/>
      <c r="FQ11" s="95"/>
      <c r="FR11" s="176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B168</f>
        <v>350</v>
      </c>
      <c r="GB11" s="83" t="s">
        <v>24</v>
      </c>
      <c r="GC11" s="83"/>
      <c r="GD11" s="83"/>
      <c r="GE11" s="83"/>
      <c r="GF11" s="83" t="s">
        <v>487</v>
      </c>
      <c r="GG11" s="142">
        <f>B221</f>
        <v>2.1999999999999999E-2</v>
      </c>
      <c r="GH11" s="52" t="s">
        <v>246</v>
      </c>
      <c r="GI11" s="83" t="s">
        <v>487</v>
      </c>
      <c r="GJ11" s="142">
        <f>B221</f>
        <v>2.1999999999999999E-2</v>
      </c>
      <c r="GK11" s="52" t="s">
        <v>246</v>
      </c>
      <c r="GL11" s="83" t="s">
        <v>487</v>
      </c>
      <c r="GM11" s="142">
        <f>B221</f>
        <v>2.1999999999999999E-2</v>
      </c>
      <c r="GN11" s="52" t="s">
        <v>246</v>
      </c>
      <c r="GO11" s="83" t="s">
        <v>456</v>
      </c>
      <c r="GP11" s="150">
        <f>B168</f>
        <v>350</v>
      </c>
      <c r="GQ11" s="83" t="s">
        <v>24</v>
      </c>
      <c r="GR11" s="83"/>
      <c r="GS11" s="83"/>
      <c r="GT11" s="83"/>
      <c r="GU11" s="83" t="s">
        <v>491</v>
      </c>
      <c r="GV11" s="142">
        <f>B226</f>
        <v>0.37</v>
      </c>
      <c r="GW11" s="52" t="s">
        <v>246</v>
      </c>
      <c r="GX11" s="83" t="s">
        <v>491</v>
      </c>
      <c r="GY11" s="142">
        <f>B226</f>
        <v>0.37</v>
      </c>
      <c r="GZ11" s="52" t="s">
        <v>246</v>
      </c>
      <c r="HA11" s="83" t="s">
        <v>491</v>
      </c>
      <c r="HB11" s="142">
        <f>B226</f>
        <v>0.37</v>
      </c>
      <c r="HC11" s="52" t="s">
        <v>246</v>
      </c>
      <c r="HD11" s="84" t="s">
        <v>42</v>
      </c>
      <c r="HE11" s="150">
        <f>B84</f>
        <v>1.5</v>
      </c>
    </row>
    <row r="12" spans="1:214" x14ac:dyDescent="0.2">
      <c r="A12" s="83" t="s">
        <v>253</v>
      </c>
      <c r="B12" s="183">
        <v>0.63512000000000002</v>
      </c>
      <c r="C12" s="83" t="s">
        <v>351</v>
      </c>
      <c r="D12" s="83" t="s">
        <v>43</v>
      </c>
      <c r="E12" s="140">
        <f>((E15/E16)*E23*E13*E25)+((E15/E16)*E24*E14*E26)</f>
        <v>6195</v>
      </c>
      <c r="F12" s="52" t="s">
        <v>426</v>
      </c>
      <c r="G12" s="83" t="s">
        <v>266</v>
      </c>
      <c r="H12" s="144">
        <f>(H5/(H8*(1/H43)*H21))</f>
        <v>3.6245141469223041</v>
      </c>
      <c r="I12" s="92" t="s">
        <v>11</v>
      </c>
      <c r="J12" s="83" t="s">
        <v>22</v>
      </c>
      <c r="K12" s="137">
        <f>0.693/K13</f>
        <v>2.2972045705420805E-2</v>
      </c>
      <c r="M12" s="52" t="s">
        <v>300</v>
      </c>
      <c r="N12" s="138">
        <f>B62</f>
        <v>1</v>
      </c>
      <c r="P12" s="52" t="s">
        <v>300</v>
      </c>
      <c r="Q12" s="138">
        <f>B62</f>
        <v>1</v>
      </c>
      <c r="S12" s="52" t="s">
        <v>300</v>
      </c>
      <c r="T12" s="138">
        <f>B62</f>
        <v>1</v>
      </c>
      <c r="V12" s="52" t="s">
        <v>44</v>
      </c>
      <c r="W12" s="150">
        <f>B262</f>
        <v>8</v>
      </c>
      <c r="X12" s="84" t="s">
        <v>194</v>
      </c>
      <c r="Y12" s="52" t="s">
        <v>44</v>
      </c>
      <c r="Z12" s="150">
        <f>B239</f>
        <v>8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B274</f>
        <v>8</v>
      </c>
      <c r="AG12" s="150">
        <f>B297</f>
        <v>8</v>
      </c>
      <c r="AH12" s="83" t="s">
        <v>194</v>
      </c>
      <c r="AI12" s="52" t="s">
        <v>300</v>
      </c>
      <c r="AJ12" s="138">
        <f>B235</f>
        <v>1</v>
      </c>
      <c r="AL12" s="52" t="s">
        <v>300</v>
      </c>
      <c r="AM12" s="138">
        <f>B235</f>
        <v>1</v>
      </c>
      <c r="AO12" s="52" t="s">
        <v>300</v>
      </c>
      <c r="AP12" s="138">
        <f>B247</f>
        <v>1</v>
      </c>
      <c r="AR12" s="52" t="s">
        <v>300</v>
      </c>
      <c r="AS12" s="138">
        <f>B259</f>
        <v>1</v>
      </c>
      <c r="AU12" s="52" t="s">
        <v>300</v>
      </c>
      <c r="AV12" s="138">
        <f>B259</f>
        <v>1</v>
      </c>
      <c r="AX12" s="52" t="s">
        <v>300</v>
      </c>
      <c r="AY12" s="138">
        <f>B259</f>
        <v>1</v>
      </c>
      <c r="BA12" s="52" t="s">
        <v>300</v>
      </c>
      <c r="BB12" s="138">
        <f>B235</f>
        <v>1</v>
      </c>
      <c r="BD12" s="52" t="s">
        <v>300</v>
      </c>
      <c r="BE12" s="138">
        <f>B235</f>
        <v>1</v>
      </c>
      <c r="BG12" s="52" t="s">
        <v>300</v>
      </c>
      <c r="BH12" s="138">
        <f>B235</f>
        <v>1</v>
      </c>
      <c r="BJ12" s="52" t="s">
        <v>158</v>
      </c>
      <c r="BK12" s="138">
        <f>B268</f>
        <v>1</v>
      </c>
      <c r="BL12" s="52" t="s">
        <v>146</v>
      </c>
      <c r="BM12" s="52" t="s">
        <v>158</v>
      </c>
      <c r="BN12" s="138">
        <f>B268</f>
        <v>1</v>
      </c>
      <c r="BO12" s="52" t="s">
        <v>146</v>
      </c>
      <c r="BP12" s="52" t="s">
        <v>158</v>
      </c>
      <c r="BQ12" s="138">
        <f>B268</f>
        <v>1</v>
      </c>
      <c r="BR12" s="52" t="s">
        <v>146</v>
      </c>
      <c r="BS12" s="83" t="s">
        <v>430</v>
      </c>
      <c r="BT12" s="141">
        <f>B94</f>
        <v>20</v>
      </c>
      <c r="BU12" s="92" t="s">
        <v>407</v>
      </c>
      <c r="BV12" s="83" t="s">
        <v>266</v>
      </c>
      <c r="BW12" s="145">
        <f>(BW5/(BW8*(1/BW29)*BW16))*BW32*BW33*BW34</f>
        <v>2.1886447919103676E-10</v>
      </c>
      <c r="BX12" s="92" t="s">
        <v>13</v>
      </c>
      <c r="BY12" s="91" t="s">
        <v>231</v>
      </c>
      <c r="BZ12" s="136">
        <f>B18</f>
        <v>30.167100000000001</v>
      </c>
      <c r="CA12" s="52" t="s">
        <v>60</v>
      </c>
      <c r="CB12" s="52" t="s">
        <v>413</v>
      </c>
      <c r="CC12" s="138">
        <f>B119</f>
        <v>0.753</v>
      </c>
      <c r="CE12" s="52" t="s">
        <v>414</v>
      </c>
      <c r="CF12" s="138">
        <f>B121</f>
        <v>0.74299999999999999</v>
      </c>
      <c r="CH12" s="52" t="s">
        <v>416</v>
      </c>
      <c r="CI12" s="138">
        <f>B125</f>
        <v>0.66200000000000003</v>
      </c>
      <c r="CN12" s="84" t="s">
        <v>162</v>
      </c>
      <c r="CO12" s="162">
        <f>B131</f>
        <v>1</v>
      </c>
      <c r="CP12" s="52" t="s">
        <v>41</v>
      </c>
      <c r="CT12" s="83" t="s">
        <v>22</v>
      </c>
      <c r="CU12" s="137">
        <f>0.693/CU13</f>
        <v>2.2972045705420805E-2</v>
      </c>
      <c r="CW12" s="83" t="s">
        <v>506</v>
      </c>
      <c r="CX12" s="140">
        <f>((CX16/24)*CX23*CX13*CX25)+((CX15/24)*CX24*CX14*CX26)</f>
        <v>6475</v>
      </c>
      <c r="CY12" s="52" t="s">
        <v>426</v>
      </c>
      <c r="CZ12" s="91" t="s">
        <v>231</v>
      </c>
      <c r="DA12" s="136">
        <f>B18</f>
        <v>30.167100000000001</v>
      </c>
      <c r="DB12" s="52" t="s">
        <v>60</v>
      </c>
      <c r="DC12" s="83" t="s">
        <v>467</v>
      </c>
      <c r="DD12" s="146">
        <f>B149</f>
        <v>68.099999999999994</v>
      </c>
      <c r="DE12" s="92" t="s">
        <v>221</v>
      </c>
      <c r="DF12" s="92" t="s">
        <v>52</v>
      </c>
      <c r="DG12" s="138">
        <f>B195</f>
        <v>10950</v>
      </c>
      <c r="DH12" s="52" t="s">
        <v>53</v>
      </c>
      <c r="DI12" s="84" t="s">
        <v>16</v>
      </c>
      <c r="DJ12" s="137">
        <f>(DJ9*DJ10)/(1-EXP(-DJ10*DJ9))</f>
        <v>1.0115299987062558</v>
      </c>
      <c r="DL12" s="92"/>
      <c r="DO12" s="92" t="s">
        <v>52</v>
      </c>
      <c r="DP12" s="138">
        <f>B195</f>
        <v>10950</v>
      </c>
      <c r="DQ12" s="52" t="s">
        <v>53</v>
      </c>
      <c r="DR12" s="83" t="s">
        <v>465</v>
      </c>
      <c r="DS12" s="150">
        <f>B168</f>
        <v>350</v>
      </c>
      <c r="DT12" s="83" t="s">
        <v>24</v>
      </c>
      <c r="DU12" s="92"/>
      <c r="DX12" s="83" t="s">
        <v>500</v>
      </c>
      <c r="DY12" s="138">
        <f>B207</f>
        <v>1</v>
      </c>
      <c r="EA12" s="83" t="s">
        <v>500</v>
      </c>
      <c r="EB12" s="138">
        <f>B207</f>
        <v>1</v>
      </c>
      <c r="EC12" s="84"/>
      <c r="ED12" s="83" t="s">
        <v>500</v>
      </c>
      <c r="EE12" s="138">
        <f>B207</f>
        <v>1</v>
      </c>
      <c r="EF12" s="84"/>
      <c r="EG12" s="83" t="s">
        <v>465</v>
      </c>
      <c r="EH12" s="150">
        <f>B168</f>
        <v>350</v>
      </c>
      <c r="EI12" s="83" t="s">
        <v>24</v>
      </c>
      <c r="EJ12" s="92"/>
      <c r="EM12" s="83" t="s">
        <v>496</v>
      </c>
      <c r="EN12" s="138">
        <f>B212</f>
        <v>1</v>
      </c>
      <c r="EP12" s="83" t="s">
        <v>496</v>
      </c>
      <c r="EQ12" s="138">
        <f>B212</f>
        <v>1</v>
      </c>
      <c r="ER12" s="84"/>
      <c r="ES12" s="83" t="s">
        <v>496</v>
      </c>
      <c r="ET12" s="138">
        <f>B212</f>
        <v>1</v>
      </c>
      <c r="EU12" s="84"/>
      <c r="EV12" s="83" t="s">
        <v>465</v>
      </c>
      <c r="EW12" s="150">
        <f>B168</f>
        <v>350</v>
      </c>
      <c r="EX12" s="83" t="s">
        <v>24</v>
      </c>
      <c r="EY12" s="83"/>
      <c r="EZ12" s="83"/>
      <c r="FA12" s="83"/>
      <c r="FB12" s="83" t="s">
        <v>153</v>
      </c>
      <c r="FC12" s="164">
        <f>B217</f>
        <v>1</v>
      </c>
      <c r="FD12" s="83"/>
      <c r="FE12" s="83" t="s">
        <v>153</v>
      </c>
      <c r="FF12" s="164">
        <f>B217</f>
        <v>1</v>
      </c>
      <c r="FG12" s="83"/>
      <c r="FH12" s="83" t="s">
        <v>153</v>
      </c>
      <c r="FI12" s="164">
        <f>B217</f>
        <v>1</v>
      </c>
      <c r="FJ12" s="84"/>
      <c r="FK12" s="83" t="s">
        <v>465</v>
      </c>
      <c r="FL12" s="150">
        <f>B168</f>
        <v>350</v>
      </c>
      <c r="FM12" s="83" t="s">
        <v>24</v>
      </c>
      <c r="FN12" s="83"/>
      <c r="FO12" s="83"/>
      <c r="FP12" s="83"/>
      <c r="FQ12" s="88"/>
      <c r="FR12" s="88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B168</f>
        <v>350</v>
      </c>
      <c r="GB12" s="83" t="s">
        <v>24</v>
      </c>
      <c r="GC12" s="83"/>
      <c r="GD12" s="83"/>
      <c r="GE12" s="83"/>
      <c r="GF12" s="83" t="s">
        <v>488</v>
      </c>
      <c r="GG12" s="142">
        <f>B222</f>
        <v>1</v>
      </c>
      <c r="GH12" s="83"/>
      <c r="GI12" s="83" t="s">
        <v>488</v>
      </c>
      <c r="GJ12" s="142">
        <f>B222</f>
        <v>1</v>
      </c>
      <c r="GK12" s="83"/>
      <c r="GL12" s="83" t="s">
        <v>488</v>
      </c>
      <c r="GM12" s="142">
        <f>B222</f>
        <v>1</v>
      </c>
      <c r="GN12" s="84"/>
      <c r="GO12" s="83" t="s">
        <v>465</v>
      </c>
      <c r="GP12" s="150">
        <f>B168</f>
        <v>350</v>
      </c>
      <c r="GQ12" s="83" t="s">
        <v>24</v>
      </c>
      <c r="GR12" s="83"/>
      <c r="GS12" s="83"/>
      <c r="GT12" s="83"/>
      <c r="GU12" s="83" t="s">
        <v>492</v>
      </c>
      <c r="GV12" s="142">
        <f>B227</f>
        <v>1</v>
      </c>
      <c r="GW12" s="83"/>
      <c r="GX12" s="83" t="s">
        <v>492</v>
      </c>
      <c r="GY12" s="142">
        <f>B227</f>
        <v>1</v>
      </c>
      <c r="GZ12" s="83"/>
      <c r="HA12" s="83" t="s">
        <v>492</v>
      </c>
      <c r="HB12" s="142">
        <f>B227</f>
        <v>1</v>
      </c>
      <c r="HC12" s="84"/>
      <c r="HD12" s="84" t="s">
        <v>47</v>
      </c>
      <c r="HE12" s="163">
        <v>1</v>
      </c>
    </row>
    <row r="13" spans="1:214" x14ac:dyDescent="0.2">
      <c r="A13" s="83" t="s">
        <v>254</v>
      </c>
      <c r="B13" s="183">
        <v>1.817564</v>
      </c>
      <c r="C13" s="83" t="s">
        <v>351</v>
      </c>
      <c r="D13" s="83" t="s">
        <v>366</v>
      </c>
      <c r="E13" s="141">
        <f>B38</f>
        <v>10</v>
      </c>
      <c r="F13" s="92" t="s">
        <v>407</v>
      </c>
      <c r="G13" s="83" t="s">
        <v>263</v>
      </c>
      <c r="H13" s="144">
        <f>(H14/((1/H40)*(H48+H49+H50)))</f>
        <v>77.535512262955422</v>
      </c>
      <c r="I13" s="92" t="s">
        <v>11</v>
      </c>
      <c r="J13" s="91" t="s">
        <v>231</v>
      </c>
      <c r="K13" s="136">
        <f>B18</f>
        <v>30.167100000000001</v>
      </c>
      <c r="L13" s="52" t="s">
        <v>60</v>
      </c>
      <c r="M13" s="52" t="s">
        <v>54</v>
      </c>
      <c r="N13" s="138">
        <f>B63</f>
        <v>1</v>
      </c>
      <c r="P13" s="52" t="s">
        <v>54</v>
      </c>
      <c r="Q13" s="138">
        <f>B63</f>
        <v>1</v>
      </c>
      <c r="S13" s="52" t="s">
        <v>54</v>
      </c>
      <c r="T13" s="138">
        <f>B63</f>
        <v>1</v>
      </c>
      <c r="V13" s="52" t="s">
        <v>50</v>
      </c>
      <c r="W13" s="146">
        <f>B254</f>
        <v>60</v>
      </c>
      <c r="X13" s="84" t="s">
        <v>407</v>
      </c>
      <c r="Y13" s="52" t="s">
        <v>50</v>
      </c>
      <c r="Z13" s="146">
        <f>B230</f>
        <v>60</v>
      </c>
      <c r="AA13" s="84" t="s">
        <v>407</v>
      </c>
      <c r="AB13" s="83" t="s">
        <v>349</v>
      </c>
      <c r="AC13" s="146">
        <f>B233</f>
        <v>100</v>
      </c>
      <c r="AD13" s="146">
        <f>B245</f>
        <v>50</v>
      </c>
      <c r="AE13" s="146">
        <f>B257</f>
        <v>100</v>
      </c>
      <c r="AF13" s="146">
        <f>B269</f>
        <v>330</v>
      </c>
      <c r="AG13" s="146">
        <f>B293</f>
        <v>330</v>
      </c>
      <c r="AH13" s="52" t="s">
        <v>48</v>
      </c>
      <c r="AI13" s="52" t="s">
        <v>54</v>
      </c>
      <c r="AJ13" s="138">
        <f>B249</f>
        <v>1</v>
      </c>
      <c r="AL13" s="52" t="s">
        <v>54</v>
      </c>
      <c r="AM13" s="138">
        <f>B249</f>
        <v>1</v>
      </c>
      <c r="AO13" s="52" t="s">
        <v>54</v>
      </c>
      <c r="AP13" s="138">
        <f>B249</f>
        <v>1</v>
      </c>
      <c r="AR13" s="52" t="s">
        <v>54</v>
      </c>
      <c r="AS13" s="138">
        <f>B261</f>
        <v>1</v>
      </c>
      <c r="AU13" s="52" t="s">
        <v>54</v>
      </c>
      <c r="AV13" s="138">
        <f>B261</f>
        <v>1</v>
      </c>
      <c r="AX13" s="52" t="s">
        <v>54</v>
      </c>
      <c r="AY13" s="138">
        <f>B261</f>
        <v>1</v>
      </c>
      <c r="BA13" s="52" t="s">
        <v>54</v>
      </c>
      <c r="BB13" s="138">
        <f>B237</f>
        <v>1</v>
      </c>
      <c r="BD13" s="52" t="s">
        <v>54</v>
      </c>
      <c r="BE13" s="138">
        <f>B237</f>
        <v>1</v>
      </c>
      <c r="BG13" s="52" t="s">
        <v>54</v>
      </c>
      <c r="BH13" s="138">
        <f>B237</f>
        <v>1</v>
      </c>
      <c r="BJ13" s="52" t="s">
        <v>300</v>
      </c>
      <c r="BK13" s="136">
        <f>B279</f>
        <v>2.41E-4</v>
      </c>
      <c r="BM13" s="52" t="s">
        <v>300</v>
      </c>
      <c r="BN13" s="136">
        <f>B283</f>
        <v>1.17E-4</v>
      </c>
      <c r="BP13" s="52" t="s">
        <v>300</v>
      </c>
      <c r="BQ13" s="136">
        <f>B287</f>
        <v>2.2599999999999999E-4</v>
      </c>
      <c r="BS13" s="52" t="s">
        <v>431</v>
      </c>
      <c r="BT13" s="141">
        <f>B106</f>
        <v>1</v>
      </c>
      <c r="BU13" s="52" t="s">
        <v>194</v>
      </c>
      <c r="BV13" s="83" t="s">
        <v>440</v>
      </c>
      <c r="BW13" s="160">
        <f>((BW18*BW20*BW23*BW14*BW30)+(BW19*BW21*BW24*BW15*BW31))</f>
        <v>2.25</v>
      </c>
      <c r="BX13" s="83" t="s">
        <v>345</v>
      </c>
      <c r="BY13" s="83" t="s">
        <v>260</v>
      </c>
      <c r="BZ13" s="143">
        <f>((BZ5/(BZ6*BZ16*(1/BZ33)))*BZ10)*BZ12*BZ36*BZ37</f>
        <v>2.5838058616982334E-5</v>
      </c>
      <c r="CA13" s="92" t="s">
        <v>12</v>
      </c>
      <c r="CB13" s="52" t="s">
        <v>90</v>
      </c>
      <c r="CC13" s="138">
        <f>B108</f>
        <v>1</v>
      </c>
      <c r="CD13" s="52" t="s">
        <v>194</v>
      </c>
      <c r="CE13" s="52" t="s">
        <v>90</v>
      </c>
      <c r="CF13" s="138">
        <f>B108</f>
        <v>1</v>
      </c>
      <c r="CG13" s="52" t="s">
        <v>194</v>
      </c>
      <c r="CH13" s="52" t="s">
        <v>90</v>
      </c>
      <c r="CI13" s="138">
        <f>B108</f>
        <v>1</v>
      </c>
      <c r="CJ13" s="52" t="s">
        <v>194</v>
      </c>
      <c r="CN13" s="84" t="s">
        <v>163</v>
      </c>
      <c r="CO13" s="162">
        <f>B132</f>
        <v>1</v>
      </c>
      <c r="CP13" s="52" t="s">
        <v>41</v>
      </c>
      <c r="CT13" s="91" t="s">
        <v>231</v>
      </c>
      <c r="CU13" s="136">
        <f>B18</f>
        <v>30.167100000000001</v>
      </c>
      <c r="CV13" s="52" t="s">
        <v>60</v>
      </c>
      <c r="CW13" s="83" t="s">
        <v>450</v>
      </c>
      <c r="CX13" s="141">
        <f>B147</f>
        <v>10</v>
      </c>
      <c r="CY13" s="92" t="s">
        <v>407</v>
      </c>
      <c r="CZ13" s="83" t="s">
        <v>260</v>
      </c>
      <c r="DA13" s="143">
        <f>(DA5/(DA6*DA24))*DA12*DA51*DA52</f>
        <v>3.0029204970087121E-10</v>
      </c>
      <c r="DB13" s="83" t="s">
        <v>13</v>
      </c>
      <c r="DC13" s="83" t="s">
        <v>468</v>
      </c>
      <c r="DD13" s="146">
        <f>B150</f>
        <v>176.8</v>
      </c>
      <c r="DE13" s="92" t="s">
        <v>221</v>
      </c>
      <c r="DF13" s="92" t="s">
        <v>55</v>
      </c>
      <c r="DG13" s="138">
        <f>B196</f>
        <v>240</v>
      </c>
      <c r="DH13" s="52" t="s">
        <v>56</v>
      </c>
      <c r="DI13" s="95"/>
      <c r="DJ13" s="176"/>
      <c r="DL13" s="92"/>
      <c r="DO13" s="92" t="s">
        <v>55</v>
      </c>
      <c r="DP13" s="138">
        <f>B196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B208</f>
        <v>1</v>
      </c>
      <c r="EA13" s="83" t="s">
        <v>501</v>
      </c>
      <c r="EB13" s="138">
        <f>B208</f>
        <v>1</v>
      </c>
      <c r="EC13" s="84"/>
      <c r="ED13" s="83" t="s">
        <v>501</v>
      </c>
      <c r="EE13" s="138">
        <f>B208</f>
        <v>1</v>
      </c>
      <c r="EF13" s="84"/>
      <c r="EG13" s="83" t="s">
        <v>363</v>
      </c>
      <c r="EH13" s="150">
        <f>B170</f>
        <v>1</v>
      </c>
      <c r="EI13" s="84" t="s">
        <v>60</v>
      </c>
      <c r="EJ13" s="92"/>
      <c r="EM13" s="83" t="s">
        <v>497</v>
      </c>
      <c r="EN13" s="138">
        <f>B213</f>
        <v>1</v>
      </c>
      <c r="EP13" s="83" t="s">
        <v>497</v>
      </c>
      <c r="EQ13" s="138">
        <f>B213</f>
        <v>1</v>
      </c>
      <c r="ER13" s="84"/>
      <c r="ES13" s="83" t="s">
        <v>497</v>
      </c>
      <c r="ET13" s="138">
        <f>B213</f>
        <v>1</v>
      </c>
      <c r="EU13" s="84"/>
      <c r="EV13" s="83" t="s">
        <v>363</v>
      </c>
      <c r="EW13" s="150">
        <f>B170</f>
        <v>1</v>
      </c>
      <c r="EX13" s="84" t="s">
        <v>60</v>
      </c>
      <c r="EY13" s="83"/>
      <c r="EZ13" s="83"/>
      <c r="FA13" s="83"/>
      <c r="FB13" s="83" t="s">
        <v>154</v>
      </c>
      <c r="FC13" s="164">
        <f>B218</f>
        <v>1</v>
      </c>
      <c r="FD13" s="83"/>
      <c r="FE13" s="83" t="s">
        <v>154</v>
      </c>
      <c r="FF13" s="164">
        <f>B218</f>
        <v>1</v>
      </c>
      <c r="FG13" s="83"/>
      <c r="FH13" s="83" t="s">
        <v>154</v>
      </c>
      <c r="FI13" s="164">
        <f>B218</f>
        <v>1</v>
      </c>
      <c r="FJ13" s="84"/>
      <c r="FK13" s="83" t="s">
        <v>363</v>
      </c>
      <c r="FL13" s="141">
        <f>B170</f>
        <v>1</v>
      </c>
      <c r="FM13" s="92" t="s">
        <v>60</v>
      </c>
      <c r="FN13" s="83"/>
      <c r="FO13" s="83"/>
      <c r="FP13" s="83"/>
      <c r="FQ13" s="88"/>
      <c r="FR13" s="88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B170</f>
        <v>1</v>
      </c>
      <c r="GB13" s="92" t="s">
        <v>60</v>
      </c>
      <c r="GC13" s="83"/>
      <c r="GD13" s="83"/>
      <c r="GE13" s="83"/>
      <c r="GF13" s="83" t="s">
        <v>489</v>
      </c>
      <c r="GG13" s="142">
        <f>B223</f>
        <v>1</v>
      </c>
      <c r="GH13" s="83"/>
      <c r="GI13" s="83" t="s">
        <v>489</v>
      </c>
      <c r="GJ13" s="142">
        <f>B223</f>
        <v>1</v>
      </c>
      <c r="GK13" s="83"/>
      <c r="GL13" s="83" t="s">
        <v>489</v>
      </c>
      <c r="GM13" s="142">
        <f>B223</f>
        <v>1</v>
      </c>
      <c r="GN13" s="84"/>
      <c r="GO13" s="83" t="s">
        <v>363</v>
      </c>
      <c r="GP13" s="141">
        <f>B170</f>
        <v>1</v>
      </c>
      <c r="GQ13" s="92" t="s">
        <v>60</v>
      </c>
      <c r="GR13" s="83"/>
      <c r="GS13" s="83"/>
      <c r="GT13" s="83"/>
      <c r="GU13" s="83" t="s">
        <v>493</v>
      </c>
      <c r="GV13" s="142">
        <f>B228</f>
        <v>1</v>
      </c>
      <c r="GW13" s="83"/>
      <c r="GX13" s="83" t="s">
        <v>493</v>
      </c>
      <c r="GY13" s="142">
        <f>B228</f>
        <v>1</v>
      </c>
      <c r="GZ13" s="83"/>
      <c r="HA13" s="83" t="s">
        <v>493</v>
      </c>
      <c r="HB13" s="142">
        <f>B228</f>
        <v>1</v>
      </c>
      <c r="HC13" s="84"/>
      <c r="HD13" s="84" t="s">
        <v>59</v>
      </c>
      <c r="HE13" s="150">
        <f>B33</f>
        <v>10</v>
      </c>
    </row>
    <row r="14" spans="1:214" x14ac:dyDescent="0.2">
      <c r="A14" s="83" t="s">
        <v>255</v>
      </c>
      <c r="B14" s="183">
        <v>2.8393600000000001</v>
      </c>
      <c r="C14" s="83" t="s">
        <v>351</v>
      </c>
      <c r="D14" s="83" t="s">
        <v>367</v>
      </c>
      <c r="E14" s="141">
        <f>B39</f>
        <v>20</v>
      </c>
      <c r="F14" s="92" t="s">
        <v>407</v>
      </c>
      <c r="G14" s="83" t="s">
        <v>264</v>
      </c>
      <c r="H14" s="145">
        <f>(H5/(H9*(H22+H25)*H41))</f>
        <v>0.86302549719764221</v>
      </c>
      <c r="I14" s="92" t="s">
        <v>10</v>
      </c>
      <c r="J14" s="83" t="s">
        <v>260</v>
      </c>
      <c r="K14" s="143">
        <f>((K5/(K6*K19*(1/K46)))*K11)</f>
        <v>478.45482298081902</v>
      </c>
      <c r="L14" s="92" t="s">
        <v>10</v>
      </c>
      <c r="M14" s="52" t="s">
        <v>408</v>
      </c>
      <c r="N14" s="150">
        <f>B78</f>
        <v>1.752</v>
      </c>
      <c r="O14" s="52" t="s">
        <v>194</v>
      </c>
      <c r="P14" s="52" t="s">
        <v>408</v>
      </c>
      <c r="Q14" s="150">
        <f>B78</f>
        <v>1.752</v>
      </c>
      <c r="R14" s="52" t="s">
        <v>194</v>
      </c>
      <c r="S14" s="52" t="s">
        <v>408</v>
      </c>
      <c r="T14" s="150">
        <f>B78</f>
        <v>1.752</v>
      </c>
      <c r="U14" s="52" t="s">
        <v>194</v>
      </c>
      <c r="V14" s="83" t="s">
        <v>256</v>
      </c>
      <c r="W14" s="136">
        <f>B15</f>
        <v>4763.3999999999996</v>
      </c>
      <c r="X14" s="83" t="s">
        <v>343</v>
      </c>
      <c r="Y14" s="83" t="s">
        <v>256</v>
      </c>
      <c r="Z14" s="136">
        <f>B15</f>
        <v>4763.3999999999996</v>
      </c>
      <c r="AA14" s="83" t="s">
        <v>343</v>
      </c>
      <c r="AB14" s="83" t="s">
        <v>300</v>
      </c>
      <c r="AC14" s="141">
        <f>B235</f>
        <v>1</v>
      </c>
      <c r="AD14" s="141">
        <f>B247</f>
        <v>1</v>
      </c>
      <c r="AE14" s="141">
        <f>B259</f>
        <v>1</v>
      </c>
      <c r="AF14" s="141">
        <f>B279</f>
        <v>2.41E-4</v>
      </c>
      <c r="AG14" s="141">
        <f>B279</f>
        <v>2.41E-4</v>
      </c>
      <c r="AH14" s="92"/>
      <c r="AI14" s="52" t="s">
        <v>57</v>
      </c>
      <c r="AJ14" s="136">
        <f>B250</f>
        <v>0</v>
      </c>
      <c r="AK14" s="52" t="s">
        <v>194</v>
      </c>
      <c r="AL14" s="52" t="s">
        <v>57</v>
      </c>
      <c r="AM14" s="136">
        <f>B250</f>
        <v>0</v>
      </c>
      <c r="AN14" s="52" t="s">
        <v>194</v>
      </c>
      <c r="AO14" s="52" t="s">
        <v>57</v>
      </c>
      <c r="AP14" s="136">
        <f>B250</f>
        <v>0</v>
      </c>
      <c r="AQ14" s="52" t="s">
        <v>194</v>
      </c>
      <c r="AR14" s="52" t="s">
        <v>57</v>
      </c>
      <c r="AS14" s="136">
        <f>B262</f>
        <v>8</v>
      </c>
      <c r="AT14" s="52" t="s">
        <v>194</v>
      </c>
      <c r="AU14" s="52" t="s">
        <v>57</v>
      </c>
      <c r="AV14" s="136">
        <f>B262</f>
        <v>8</v>
      </c>
      <c r="AW14" s="52" t="s">
        <v>194</v>
      </c>
      <c r="AX14" s="52" t="s">
        <v>57</v>
      </c>
      <c r="AY14" s="136">
        <f>B262</f>
        <v>8</v>
      </c>
      <c r="AZ14" s="52" t="s">
        <v>194</v>
      </c>
      <c r="BA14" s="52" t="s">
        <v>57</v>
      </c>
      <c r="BB14" s="136">
        <f>B238</f>
        <v>8</v>
      </c>
      <c r="BC14" s="52" t="s">
        <v>194</v>
      </c>
      <c r="BD14" s="52" t="s">
        <v>57</v>
      </c>
      <c r="BE14" s="136">
        <f>B238</f>
        <v>8</v>
      </c>
      <c r="BF14" s="52" t="s">
        <v>194</v>
      </c>
      <c r="BG14" s="52" t="s">
        <v>58</v>
      </c>
      <c r="BH14" s="136">
        <f>B238</f>
        <v>8</v>
      </c>
      <c r="BI14" s="52" t="s">
        <v>194</v>
      </c>
      <c r="BJ14" s="52" t="s">
        <v>413</v>
      </c>
      <c r="BK14" s="136">
        <f>B280</f>
        <v>0.753</v>
      </c>
      <c r="BM14" s="52" t="s">
        <v>414</v>
      </c>
      <c r="BN14" s="136">
        <f>B284</f>
        <v>0.74299999999999999</v>
      </c>
      <c r="BP14" s="52" t="s">
        <v>416</v>
      </c>
      <c r="BQ14" s="136">
        <f>B288</f>
        <v>0.66200000000000003</v>
      </c>
      <c r="BS14" s="52" t="s">
        <v>432</v>
      </c>
      <c r="BT14" s="141">
        <f>B107</f>
        <v>1</v>
      </c>
      <c r="BU14" s="52" t="s">
        <v>194</v>
      </c>
      <c r="BV14" s="83" t="s">
        <v>439</v>
      </c>
      <c r="BW14" s="146">
        <f>B95</f>
        <v>0.05</v>
      </c>
      <c r="BX14" s="83" t="s">
        <v>357</v>
      </c>
      <c r="BY14" s="83" t="s">
        <v>261</v>
      </c>
      <c r="BZ14" s="144">
        <f>((BZ5/(BZ7*BZ17*(1/BZ9)*BZ32))*BZ10)*BZ12*BZ36*BZ37</f>
        <v>1.8658888997601051</v>
      </c>
      <c r="CA14" s="92" t="s">
        <v>12</v>
      </c>
      <c r="CB14" s="52" t="s">
        <v>412</v>
      </c>
      <c r="CC14" s="139">
        <f>B10</f>
        <v>3.19428</v>
      </c>
      <c r="CD14" s="84" t="s">
        <v>353</v>
      </c>
      <c r="CE14" s="52" t="s">
        <v>415</v>
      </c>
      <c r="CF14" s="139">
        <f>B12</f>
        <v>0.63512000000000002</v>
      </c>
      <c r="CG14" s="84" t="s">
        <v>353</v>
      </c>
      <c r="CH14" s="52" t="s">
        <v>417</v>
      </c>
      <c r="CI14" s="139">
        <f>B14</f>
        <v>2.8393600000000001</v>
      </c>
      <c r="CJ14" s="84" t="s">
        <v>353</v>
      </c>
      <c r="CK14" s="84"/>
      <c r="CL14" s="84"/>
      <c r="CM14" s="84"/>
      <c r="CN14" s="52" t="s">
        <v>95</v>
      </c>
      <c r="CO14" s="164">
        <f>B117</f>
        <v>1</v>
      </c>
      <c r="CQ14" s="84"/>
      <c r="CR14" s="84"/>
      <c r="CS14" s="84"/>
      <c r="CT14" s="83" t="s">
        <v>260</v>
      </c>
      <c r="CU14" s="143">
        <f>((CU5/(CU6*CU25*(1/CU46)))*CU11)*CU13*CU49*CU50</f>
        <v>5.9218904532089961E-6</v>
      </c>
      <c r="CV14" s="92" t="s">
        <v>12</v>
      </c>
      <c r="CW14" s="83" t="s">
        <v>459</v>
      </c>
      <c r="CX14" s="141">
        <f>B148</f>
        <v>20</v>
      </c>
      <c r="CY14" s="92" t="s">
        <v>407</v>
      </c>
      <c r="CZ14" s="83" t="s">
        <v>261</v>
      </c>
      <c r="DA14" s="144">
        <f>(DA5/(DA7*DA25*DA45))*DA12*DA51*DA52</f>
        <v>2.3184140447035393E-11</v>
      </c>
      <c r="DB14" s="83" t="s">
        <v>13</v>
      </c>
      <c r="DC14" s="83" t="s">
        <v>465</v>
      </c>
      <c r="DD14" s="146">
        <f>B168</f>
        <v>350</v>
      </c>
      <c r="DE14" s="83" t="s">
        <v>24</v>
      </c>
      <c r="DF14" s="92" t="s">
        <v>393</v>
      </c>
      <c r="DG14" s="138">
        <f>B35</f>
        <v>0.26</v>
      </c>
      <c r="DL14" s="92"/>
      <c r="DO14" s="92" t="s">
        <v>393</v>
      </c>
      <c r="DP14" s="138">
        <f>B35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B204</f>
        <v>1.03</v>
      </c>
      <c r="DZ14" s="52" t="s">
        <v>286</v>
      </c>
      <c r="EA14" s="52" t="s">
        <v>518</v>
      </c>
      <c r="EB14" s="146">
        <f>B204</f>
        <v>1.03</v>
      </c>
      <c r="EC14" s="52" t="s">
        <v>286</v>
      </c>
      <c r="ED14" s="92" t="s">
        <v>392</v>
      </c>
      <c r="EE14" s="163">
        <f>B36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B170</f>
        <v>1</v>
      </c>
      <c r="EP14" s="95"/>
      <c r="EQ14" s="176"/>
      <c r="ER14" s="84"/>
      <c r="ES14" s="92" t="s">
        <v>392</v>
      </c>
      <c r="ET14" s="163">
        <f>B36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B170</f>
        <v>1</v>
      </c>
      <c r="FE14" s="95"/>
      <c r="FF14" s="176"/>
      <c r="FG14" s="83"/>
      <c r="FH14" s="83" t="s">
        <v>392</v>
      </c>
      <c r="FI14" s="142">
        <f>B36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88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B170</f>
        <v>1</v>
      </c>
      <c r="GI14" s="95"/>
      <c r="GJ14" s="176"/>
      <c r="GK14" s="83"/>
      <c r="GL14" s="83" t="s">
        <v>392</v>
      </c>
      <c r="GM14" s="142">
        <f>B36</f>
        <v>0.25</v>
      </c>
      <c r="GN14" s="84"/>
      <c r="GO14" s="92" t="s">
        <v>484</v>
      </c>
      <c r="GP14" s="146">
        <f>B192</f>
        <v>1</v>
      </c>
      <c r="GR14" s="83"/>
      <c r="GS14" s="83"/>
      <c r="GT14" s="83"/>
      <c r="GU14" s="52" t="s">
        <v>350</v>
      </c>
      <c r="GV14" s="164">
        <f>B170</f>
        <v>1</v>
      </c>
      <c r="GX14" s="95"/>
      <c r="GY14" s="176"/>
      <c r="GZ14" s="83"/>
      <c r="HA14" s="83" t="s">
        <v>392</v>
      </c>
      <c r="HB14" s="142">
        <f>B36</f>
        <v>0.25</v>
      </c>
      <c r="HC14" s="84"/>
      <c r="HD14" s="52" t="s">
        <v>225</v>
      </c>
      <c r="HE14" s="138">
        <v>1</v>
      </c>
    </row>
    <row r="15" spans="1:214" x14ac:dyDescent="0.2">
      <c r="A15" s="83" t="s">
        <v>256</v>
      </c>
      <c r="B15" s="183">
        <v>4763.3999999999996</v>
      </c>
      <c r="C15" s="83" t="s">
        <v>351</v>
      </c>
      <c r="D15" s="52" t="s">
        <v>384</v>
      </c>
      <c r="E15" s="138">
        <f>B59</f>
        <v>24</v>
      </c>
      <c r="F15" s="52" t="s">
        <v>194</v>
      </c>
      <c r="G15" s="83" t="s">
        <v>395</v>
      </c>
      <c r="H15" s="147">
        <f>(H29*H17*H68)+(H30*H18*H69)</f>
        <v>736.54</v>
      </c>
      <c r="I15" s="83" t="s">
        <v>345</v>
      </c>
      <c r="J15" s="83" t="s">
        <v>261</v>
      </c>
      <c r="K15" s="144">
        <f>((K5/(K7*K20*(1/K10)*K45))*K11)</f>
        <v>1439645.6090710172</v>
      </c>
      <c r="L15" s="92" t="s">
        <v>10</v>
      </c>
      <c r="M15" s="52" t="s">
        <v>412</v>
      </c>
      <c r="N15" s="139">
        <f>B10</f>
        <v>3.19428</v>
      </c>
      <c r="O15" s="84" t="s">
        <v>353</v>
      </c>
      <c r="P15" s="52" t="s">
        <v>415</v>
      </c>
      <c r="Q15" s="139">
        <f>B12</f>
        <v>0.63512000000000002</v>
      </c>
      <c r="R15" s="84" t="s">
        <v>353</v>
      </c>
      <c r="S15" s="52" t="s">
        <v>417</v>
      </c>
      <c r="T15" s="139">
        <f>B14</f>
        <v>2.8393600000000001</v>
      </c>
      <c r="U15" s="84" t="s">
        <v>353</v>
      </c>
      <c r="V15" s="83" t="s">
        <v>301</v>
      </c>
      <c r="W15" s="142">
        <f>B258</f>
        <v>1</v>
      </c>
      <c r="Y15" s="83" t="s">
        <v>301</v>
      </c>
      <c r="Z15" s="142">
        <f>B234</f>
        <v>1</v>
      </c>
      <c r="AB15" s="83" t="s">
        <v>232</v>
      </c>
      <c r="AC15" s="141">
        <f>B230</f>
        <v>60</v>
      </c>
      <c r="AD15" s="141">
        <f>B242</f>
        <v>60</v>
      </c>
      <c r="AE15" s="141">
        <f>B254</f>
        <v>60</v>
      </c>
      <c r="AF15" s="141">
        <f>B266</f>
        <v>60</v>
      </c>
      <c r="AG15" s="141">
        <f>B290</f>
        <v>60</v>
      </c>
      <c r="AH15" s="92" t="s">
        <v>407</v>
      </c>
      <c r="AI15" s="52" t="s">
        <v>412</v>
      </c>
      <c r="AJ15" s="139">
        <f>B10</f>
        <v>3.19428</v>
      </c>
      <c r="AK15" s="84" t="s">
        <v>353</v>
      </c>
      <c r="AL15" s="52" t="s">
        <v>415</v>
      </c>
      <c r="AM15" s="139">
        <f>B12</f>
        <v>0.63512000000000002</v>
      </c>
      <c r="AN15" s="84" t="s">
        <v>353</v>
      </c>
      <c r="AO15" s="52" t="s">
        <v>417</v>
      </c>
      <c r="AP15" s="139">
        <f>B14</f>
        <v>2.8393600000000001</v>
      </c>
      <c r="AQ15" s="84" t="s">
        <v>353</v>
      </c>
      <c r="AR15" s="52" t="s">
        <v>412</v>
      </c>
      <c r="AS15" s="139">
        <f>B10</f>
        <v>3.19428</v>
      </c>
      <c r="AT15" s="84" t="s">
        <v>353</v>
      </c>
      <c r="AU15" s="52" t="s">
        <v>415</v>
      </c>
      <c r="AV15" s="139">
        <f>B12</f>
        <v>0.63512000000000002</v>
      </c>
      <c r="AW15" s="84" t="s">
        <v>353</v>
      </c>
      <c r="AX15" s="52" t="s">
        <v>417</v>
      </c>
      <c r="AY15" s="139">
        <f>B14</f>
        <v>2.8393600000000001</v>
      </c>
      <c r="AZ15" s="84" t="s">
        <v>353</v>
      </c>
      <c r="BA15" s="52" t="s">
        <v>412</v>
      </c>
      <c r="BB15" s="139">
        <f>B10</f>
        <v>3.19428</v>
      </c>
      <c r="BC15" s="84" t="s">
        <v>353</v>
      </c>
      <c r="BD15" s="52" t="s">
        <v>415</v>
      </c>
      <c r="BE15" s="139">
        <f>B12</f>
        <v>0.63512000000000002</v>
      </c>
      <c r="BF15" s="84" t="s">
        <v>353</v>
      </c>
      <c r="BG15" s="52" t="s">
        <v>417</v>
      </c>
      <c r="BH15" s="139">
        <f>B14</f>
        <v>2.8393600000000001</v>
      </c>
      <c r="BI15" s="84" t="s">
        <v>353</v>
      </c>
      <c r="BJ15" s="52" t="s">
        <v>57</v>
      </c>
      <c r="BK15" s="136">
        <f>B274</f>
        <v>8</v>
      </c>
      <c r="BL15" s="52" t="s">
        <v>194</v>
      </c>
      <c r="BM15" s="52" t="s">
        <v>57</v>
      </c>
      <c r="BN15" s="136">
        <f>B274</f>
        <v>8</v>
      </c>
      <c r="BO15" s="52" t="s">
        <v>194</v>
      </c>
      <c r="BP15" s="52" t="s">
        <v>57</v>
      </c>
      <c r="BQ15" s="136">
        <f>B274</f>
        <v>8</v>
      </c>
      <c r="BR15" s="52" t="s">
        <v>194</v>
      </c>
      <c r="BS15" s="52" t="s">
        <v>90</v>
      </c>
      <c r="BT15" s="138">
        <f>B108</f>
        <v>1</v>
      </c>
      <c r="BU15" s="52" t="s">
        <v>194</v>
      </c>
      <c r="BV15" s="83" t="s">
        <v>438</v>
      </c>
      <c r="BW15" s="146">
        <f>B96</f>
        <v>0.05</v>
      </c>
      <c r="BX15" s="83" t="s">
        <v>357</v>
      </c>
      <c r="BY15" s="83" t="s">
        <v>262</v>
      </c>
      <c r="BZ15" s="145">
        <f>(((BZ5)/(BZ8*BZ22*(1/BZ31)*BZ25*(1/24)*BZ28*BZ29))*BZ10)*BZ12*BZ36*BZ37</f>
        <v>2.3585700000314787E-3</v>
      </c>
      <c r="CA15" s="92" t="s">
        <v>12</v>
      </c>
      <c r="CB15" s="84" t="s">
        <v>295</v>
      </c>
      <c r="CC15" s="142">
        <f>B302</f>
        <v>137</v>
      </c>
      <c r="CD15" s="84" t="s">
        <v>296</v>
      </c>
      <c r="CE15" s="84" t="s">
        <v>295</v>
      </c>
      <c r="CF15" s="142">
        <f>B302</f>
        <v>137</v>
      </c>
      <c r="CG15" s="84" t="s">
        <v>296</v>
      </c>
      <c r="CH15" s="84" t="s">
        <v>295</v>
      </c>
      <c r="CI15" s="142">
        <f>B302</f>
        <v>137</v>
      </c>
      <c r="CJ15" s="84" t="s">
        <v>296</v>
      </c>
      <c r="CN15" s="83" t="s">
        <v>22</v>
      </c>
      <c r="CO15" s="137">
        <f>0.693/CO16</f>
        <v>2.2972045705420805E-2</v>
      </c>
      <c r="CT15" s="83" t="s">
        <v>261</v>
      </c>
      <c r="CU15" s="144">
        <f>((CU5/(CU7*CU26*(1/CU10)*CU45))*CU11)*CU13*CU49*CU50</f>
        <v>1.5939301894668856E-2</v>
      </c>
      <c r="CV15" s="92" t="s">
        <v>12</v>
      </c>
      <c r="CW15" s="52" t="s">
        <v>365</v>
      </c>
      <c r="CX15" s="138">
        <f>B172</f>
        <v>24</v>
      </c>
      <c r="CY15" s="52" t="s">
        <v>194</v>
      </c>
      <c r="CZ15" s="83" t="s">
        <v>266</v>
      </c>
      <c r="DA15" s="153">
        <f>(DA5/(DA8*DA26*(DA46/DA47)))*DA12*DA51*DA52</f>
        <v>4.1109888609398531E-11</v>
      </c>
      <c r="DB15" s="83" t="s">
        <v>13</v>
      </c>
      <c r="DC15" s="83" t="s">
        <v>456</v>
      </c>
      <c r="DD15" s="146">
        <f>B167</f>
        <v>350</v>
      </c>
      <c r="DE15" s="83" t="s">
        <v>24</v>
      </c>
      <c r="DF15" s="92" t="s">
        <v>61</v>
      </c>
      <c r="DG15" s="138">
        <f>B197</f>
        <v>0.42</v>
      </c>
      <c r="DH15" s="52" t="s">
        <v>41</v>
      </c>
      <c r="DL15" s="92"/>
      <c r="DO15" s="92" t="s">
        <v>61</v>
      </c>
      <c r="DP15" s="138">
        <f>B197</f>
        <v>0.42</v>
      </c>
      <c r="DQ15" s="52" t="s">
        <v>41</v>
      </c>
      <c r="DR15" s="92" t="s">
        <v>479</v>
      </c>
      <c r="DS15" s="146">
        <f>B187</f>
        <v>1</v>
      </c>
      <c r="DU15" s="92"/>
      <c r="DX15" s="52" t="s">
        <v>350</v>
      </c>
      <c r="DY15" s="164">
        <f>B170</f>
        <v>1</v>
      </c>
      <c r="EA15" s="95"/>
      <c r="EB15" s="176"/>
      <c r="EC15" s="84"/>
      <c r="ED15" s="83" t="s">
        <v>27</v>
      </c>
      <c r="EE15" s="142">
        <f>B203</f>
        <v>92</v>
      </c>
      <c r="EF15" s="83" t="s">
        <v>28</v>
      </c>
      <c r="EG15" s="92" t="s">
        <v>480</v>
      </c>
      <c r="EH15" s="146">
        <f>B188</f>
        <v>1</v>
      </c>
      <c r="EJ15" s="92"/>
      <c r="EM15" s="83" t="s">
        <v>22</v>
      </c>
      <c r="EN15" s="137">
        <f>0.693/EN16</f>
        <v>2.2972045705420805E-2</v>
      </c>
      <c r="EP15" s="92"/>
      <c r="EQ15" s="84"/>
      <c r="ER15" s="84"/>
      <c r="ES15" s="83" t="s">
        <v>29</v>
      </c>
      <c r="ET15" s="142">
        <f>B209</f>
        <v>53</v>
      </c>
      <c r="EU15" s="83" t="s">
        <v>28</v>
      </c>
      <c r="EV15" s="92" t="s">
        <v>481</v>
      </c>
      <c r="EW15" s="146">
        <f>B189</f>
        <v>1</v>
      </c>
      <c r="EY15" s="83"/>
      <c r="EZ15" s="83"/>
      <c r="FA15" s="83"/>
      <c r="FB15" s="83" t="s">
        <v>22</v>
      </c>
      <c r="FC15" s="137">
        <f>0.693/FC16</f>
        <v>2.2972045705420805E-2</v>
      </c>
      <c r="FE15" s="83"/>
      <c r="FF15" s="83"/>
      <c r="FG15" s="83"/>
      <c r="FH15" s="83" t="s">
        <v>148</v>
      </c>
      <c r="FI15" s="164">
        <f>B214</f>
        <v>0.4</v>
      </c>
      <c r="FJ15" s="83" t="s">
        <v>28</v>
      </c>
      <c r="FK15" s="92" t="s">
        <v>482</v>
      </c>
      <c r="FL15" s="146">
        <f>B190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B191</f>
        <v>1</v>
      </c>
      <c r="GC15" s="83"/>
      <c r="GD15" s="83"/>
      <c r="GE15" s="83"/>
      <c r="GF15" s="83" t="s">
        <v>22</v>
      </c>
      <c r="GG15" s="137">
        <f>0.693/GG16</f>
        <v>2.2972045705420805E-2</v>
      </c>
      <c r="GI15" s="83"/>
      <c r="GJ15" s="83"/>
      <c r="GK15" s="83"/>
      <c r="GL15" s="83" t="s">
        <v>149</v>
      </c>
      <c r="GM15" s="164">
        <f>B219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2.2972045705420805E-2</v>
      </c>
      <c r="GX15" s="83"/>
      <c r="GY15" s="83"/>
      <c r="GZ15" s="83"/>
      <c r="HA15" s="83" t="s">
        <v>150</v>
      </c>
      <c r="HB15" s="142">
        <f>B224</f>
        <v>11.4</v>
      </c>
      <c r="HC15" s="83" t="s">
        <v>28</v>
      </c>
      <c r="HD15" s="84"/>
    </row>
    <row r="16" spans="1:214" x14ac:dyDescent="0.2">
      <c r="A16" s="91" t="s">
        <v>257</v>
      </c>
      <c r="B16" s="183">
        <v>10.292680000000001</v>
      </c>
      <c r="C16" s="84" t="s">
        <v>259</v>
      </c>
      <c r="E16" s="138">
        <v>24</v>
      </c>
      <c r="F16" s="52" t="s">
        <v>194</v>
      </c>
      <c r="G16" s="83" t="s">
        <v>396</v>
      </c>
      <c r="H16" s="137">
        <f>(H29*H19*H68)+(H30*H20*H69)</f>
        <v>6195</v>
      </c>
      <c r="I16" s="83" t="s">
        <v>426</v>
      </c>
      <c r="J16" s="83" t="s">
        <v>262</v>
      </c>
      <c r="K16" s="144">
        <f>((K5/(K8*K42*((K37*K41*(1/K35))+(K38*K40*(1/K35)))*K32*(1/K44)*K33))*K11)</f>
        <v>0.95280065385801593</v>
      </c>
      <c r="L16" s="92" t="s">
        <v>10</v>
      </c>
      <c r="M16" s="52" t="s">
        <v>409</v>
      </c>
      <c r="N16" s="150">
        <f>B79</f>
        <v>16.416</v>
      </c>
      <c r="O16" s="52" t="s">
        <v>194</v>
      </c>
      <c r="P16" s="52" t="s">
        <v>409</v>
      </c>
      <c r="Q16" s="150">
        <f>B79</f>
        <v>16.416</v>
      </c>
      <c r="R16" s="52" t="s">
        <v>194</v>
      </c>
      <c r="S16" s="52" t="s">
        <v>409</v>
      </c>
      <c r="T16" s="150">
        <f>B79</f>
        <v>16.416</v>
      </c>
      <c r="U16" s="52" t="s">
        <v>194</v>
      </c>
      <c r="V16" s="52" t="s">
        <v>261</v>
      </c>
      <c r="W16" s="143">
        <f>((W5)/((W12/24)*W9*W10*W11*W13))*W8*W20*W21</f>
        <v>1.6679701043839357E-11</v>
      </c>
      <c r="X16" s="52" t="s">
        <v>15</v>
      </c>
      <c r="Y16" s="52" t="s">
        <v>261</v>
      </c>
      <c r="Z16" s="143">
        <f>((Z5)/((Z12/24)*Z9*Z10*Z11*Z13))*Z8*Z20*Z21</f>
        <v>1.5011730939455422E-11</v>
      </c>
      <c r="AA16" s="52" t="s">
        <v>15</v>
      </c>
      <c r="AB16" s="83" t="s">
        <v>299</v>
      </c>
      <c r="AC16" s="141">
        <f>B236</f>
        <v>0.4</v>
      </c>
      <c r="AD16" s="141">
        <f>B248</f>
        <v>0.4</v>
      </c>
      <c r="AE16" s="141">
        <f>B260</f>
        <v>0.4</v>
      </c>
      <c r="AF16" s="141">
        <f>B272</f>
        <v>0.4</v>
      </c>
      <c r="AG16" s="141">
        <f>B295</f>
        <v>0.4</v>
      </c>
      <c r="AH16" s="92"/>
      <c r="AI16" s="52" t="s">
        <v>69</v>
      </c>
      <c r="AJ16" s="136">
        <f>B251</f>
        <v>8</v>
      </c>
      <c r="AK16" s="52" t="s">
        <v>194</v>
      </c>
      <c r="AL16" s="52" t="s">
        <v>69</v>
      </c>
      <c r="AM16" s="136">
        <f>B251</f>
        <v>8</v>
      </c>
      <c r="AN16" s="52" t="s">
        <v>194</v>
      </c>
      <c r="AO16" s="52" t="s">
        <v>69</v>
      </c>
      <c r="AP16" s="136">
        <f>B251</f>
        <v>8</v>
      </c>
      <c r="AQ16" s="52" t="s">
        <v>194</v>
      </c>
      <c r="AR16" s="52" t="s">
        <v>69</v>
      </c>
      <c r="AS16" s="136">
        <f>B263</f>
        <v>0</v>
      </c>
      <c r="AT16" s="52" t="s">
        <v>194</v>
      </c>
      <c r="AU16" s="52" t="s">
        <v>69</v>
      </c>
      <c r="AV16" s="136">
        <f>B263</f>
        <v>0</v>
      </c>
      <c r="AW16" s="52" t="s">
        <v>194</v>
      </c>
      <c r="AX16" s="52" t="s">
        <v>69</v>
      </c>
      <c r="AY16" s="136">
        <f>B263</f>
        <v>0</v>
      </c>
      <c r="AZ16" s="52" t="s">
        <v>194</v>
      </c>
      <c r="BA16" s="52" t="s">
        <v>69</v>
      </c>
      <c r="BB16" s="136">
        <f>B239</f>
        <v>8</v>
      </c>
      <c r="BC16" s="52" t="s">
        <v>194</v>
      </c>
      <c r="BD16" s="52" t="s">
        <v>69</v>
      </c>
      <c r="BE16" s="136">
        <f>B239</f>
        <v>8</v>
      </c>
      <c r="BF16" s="52" t="s">
        <v>194</v>
      </c>
      <c r="BG16" s="52" t="s">
        <v>69</v>
      </c>
      <c r="BH16" s="136">
        <f>B239</f>
        <v>8</v>
      </c>
      <c r="BI16" s="52" t="s">
        <v>194</v>
      </c>
      <c r="BJ16" s="52" t="s">
        <v>412</v>
      </c>
      <c r="BK16" s="139">
        <f>B10</f>
        <v>3.19428</v>
      </c>
      <c r="BL16" s="84" t="s">
        <v>353</v>
      </c>
      <c r="BM16" s="52" t="s">
        <v>415</v>
      </c>
      <c r="BN16" s="139">
        <f>B12</f>
        <v>0.63512000000000002</v>
      </c>
      <c r="BO16" s="84" t="s">
        <v>353</v>
      </c>
      <c r="BP16" s="52" t="s">
        <v>417</v>
      </c>
      <c r="BQ16" s="139">
        <f>B14</f>
        <v>2.8393600000000001</v>
      </c>
      <c r="BR16" s="84" t="s">
        <v>353</v>
      </c>
      <c r="BS16" s="83" t="s">
        <v>256</v>
      </c>
      <c r="BT16" s="136">
        <f>E17</f>
        <v>4763.3999999999996</v>
      </c>
      <c r="BU16" s="83" t="s">
        <v>343</v>
      </c>
      <c r="BV16" s="83" t="s">
        <v>437</v>
      </c>
      <c r="BW16" s="140">
        <f>((BW18*BW20*BW23*BW30)+(BW19*BW21*BW24*BW31))</f>
        <v>45</v>
      </c>
      <c r="BX16" s="83" t="s">
        <v>356</v>
      </c>
      <c r="BY16" s="83" t="s">
        <v>46</v>
      </c>
      <c r="BZ16" s="149">
        <f>(BZ18*BZ22*BZ34)+(BZ19*BZ23*BZ35)</f>
        <v>9225</v>
      </c>
      <c r="CA16" s="83" t="s">
        <v>346</v>
      </c>
      <c r="CB16" s="84" t="s">
        <v>293</v>
      </c>
      <c r="CC16" s="161">
        <f>B304</f>
        <v>2.8000000000000002E-12</v>
      </c>
      <c r="CD16" s="84"/>
      <c r="CE16" s="84" t="s">
        <v>293</v>
      </c>
      <c r="CF16" s="161">
        <f>B304</f>
        <v>2.8000000000000002E-12</v>
      </c>
      <c r="CG16" s="84"/>
      <c r="CH16" s="84" t="s">
        <v>293</v>
      </c>
      <c r="CI16" s="161">
        <f>B304</f>
        <v>2.8000000000000002E-12</v>
      </c>
      <c r="CJ16" s="84"/>
      <c r="CK16" s="83"/>
      <c r="CL16" s="83"/>
      <c r="CM16" s="83"/>
      <c r="CN16" s="91" t="s">
        <v>231</v>
      </c>
      <c r="CO16" s="136">
        <f>B18</f>
        <v>30.167100000000001</v>
      </c>
      <c r="CP16" s="52" t="s">
        <v>60</v>
      </c>
      <c r="CQ16" s="83"/>
      <c r="CR16" s="83"/>
      <c r="CS16" s="83"/>
      <c r="CT16" s="83" t="s">
        <v>262</v>
      </c>
      <c r="CU16" s="144">
        <f>((CU5/(CU8*CU42*((CU37*CU41*(1/24))+(CU38*CU40*(1/24)))*CU32*(1/CU44)))*CU11)*CU13*CU49*CU50</f>
        <v>5.6716805221943851E-9</v>
      </c>
      <c r="CV16" s="92" t="s">
        <v>12</v>
      </c>
      <c r="CW16" s="52" t="s">
        <v>364</v>
      </c>
      <c r="CX16" s="138">
        <f>B171</f>
        <v>24</v>
      </c>
      <c r="CY16" s="52" t="s">
        <v>194</v>
      </c>
      <c r="CZ16" s="83" t="s">
        <v>512</v>
      </c>
      <c r="DA16" s="153">
        <f>'Cs-137+D Default'!DA16*DA12*DA51*DA52</f>
        <v>2.2107942181531602E-10</v>
      </c>
      <c r="DB16" s="83" t="s">
        <v>13</v>
      </c>
      <c r="DC16" s="83" t="s">
        <v>363</v>
      </c>
      <c r="DD16" s="146">
        <f>B170</f>
        <v>1</v>
      </c>
      <c r="DE16" s="83" t="s">
        <v>60</v>
      </c>
      <c r="DF16" s="92" t="s">
        <v>63</v>
      </c>
      <c r="DG16" s="151">
        <f>DG20+(0.693/DG22)</f>
        <v>4.9562937111521696E-2</v>
      </c>
      <c r="DH16" s="83" t="s">
        <v>64</v>
      </c>
      <c r="DI16" s="83"/>
      <c r="DJ16" s="83"/>
      <c r="DK16" s="83"/>
      <c r="DL16" s="92"/>
      <c r="DM16" s="83"/>
      <c r="DN16" s="83"/>
      <c r="DO16" s="92" t="s">
        <v>63</v>
      </c>
      <c r="DP16" s="167">
        <f>DP20+(0.693/DP22)</f>
        <v>4.9499999999999995E-2</v>
      </c>
      <c r="DQ16" s="83" t="s">
        <v>64</v>
      </c>
      <c r="DR16" s="83"/>
      <c r="DS16" s="146">
        <v>365</v>
      </c>
      <c r="DT16" s="52" t="s">
        <v>24</v>
      </c>
      <c r="DU16" s="92"/>
      <c r="DV16" s="83"/>
      <c r="DW16" s="83"/>
      <c r="DX16" s="83" t="s">
        <v>22</v>
      </c>
      <c r="DY16" s="137">
        <f>0.693/DY17</f>
        <v>2.2972045705420805E-2</v>
      </c>
      <c r="EA16" s="92"/>
      <c r="EB16" s="83"/>
      <c r="EC16" s="83"/>
      <c r="ED16" s="92" t="s">
        <v>63</v>
      </c>
      <c r="EE16" s="167">
        <f>EE20+(0.693/EE22)</f>
        <v>4.9499999999999995E-2</v>
      </c>
      <c r="EF16" s="83" t="s">
        <v>64</v>
      </c>
      <c r="EH16" s="146">
        <v>365</v>
      </c>
      <c r="EI16" s="52" t="s">
        <v>24</v>
      </c>
      <c r="EJ16" s="92"/>
      <c r="EK16" s="83"/>
      <c r="EL16" s="83"/>
      <c r="EM16" s="91" t="s">
        <v>231</v>
      </c>
      <c r="EN16" s="136">
        <f>B18</f>
        <v>30.167100000000001</v>
      </c>
      <c r="EO16" s="52" t="s">
        <v>60</v>
      </c>
      <c r="EP16" s="92"/>
      <c r="EQ16" s="83"/>
      <c r="ER16" s="83"/>
      <c r="ES16" s="92" t="s">
        <v>63</v>
      </c>
      <c r="ET16" s="167">
        <f>ET20+(0.693/ET22)</f>
        <v>4.9499999999999995E-2</v>
      </c>
      <c r="EU16" s="83" t="s">
        <v>64</v>
      </c>
      <c r="EV16" s="83"/>
      <c r="EW16" s="146">
        <v>365</v>
      </c>
      <c r="EX16" s="52" t="s">
        <v>24</v>
      </c>
      <c r="EY16" s="83"/>
      <c r="EZ16" s="83"/>
      <c r="FA16" s="83"/>
      <c r="FB16" s="91" t="s">
        <v>231</v>
      </c>
      <c r="FC16" s="136">
        <f>B18</f>
        <v>30.167100000000001</v>
      </c>
      <c r="FD16" s="52" t="s">
        <v>60</v>
      </c>
      <c r="FE16" s="83"/>
      <c r="FF16" s="83"/>
      <c r="FG16" s="83"/>
      <c r="FH16" s="83" t="s">
        <v>63</v>
      </c>
      <c r="FI16" s="167">
        <f>FI20+(0.693/FI22)</f>
        <v>4.9499999999999995E-2</v>
      </c>
      <c r="FJ16" s="83" t="s">
        <v>64</v>
      </c>
      <c r="FK16" s="83"/>
      <c r="FL16" s="146">
        <v>365</v>
      </c>
      <c r="FM16" s="52" t="s">
        <v>24</v>
      </c>
      <c r="FN16" s="83"/>
      <c r="FO16" s="83"/>
      <c r="FP16" s="83"/>
      <c r="FQ16" s="83"/>
      <c r="FR16" s="83"/>
      <c r="FS16" s="83"/>
      <c r="FT16" s="83"/>
      <c r="FU16" s="83"/>
      <c r="FV16" s="83"/>
      <c r="FW16" s="83"/>
      <c r="FX16" s="83"/>
      <c r="FY16" s="83"/>
      <c r="FZ16" s="83"/>
      <c r="GA16" s="146">
        <v>365</v>
      </c>
      <c r="GB16" s="52" t="s">
        <v>24</v>
      </c>
      <c r="GC16" s="83"/>
      <c r="GD16" s="83"/>
      <c r="GE16" s="83"/>
      <c r="GF16" s="91" t="s">
        <v>231</v>
      </c>
      <c r="GG16" s="136">
        <f>B18</f>
        <v>30.167100000000001</v>
      </c>
      <c r="GH16" s="52" t="s">
        <v>60</v>
      </c>
      <c r="GI16" s="83"/>
      <c r="GJ16" s="83"/>
      <c r="GK16" s="83"/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B165</f>
        <v>0.15</v>
      </c>
      <c r="GR16" s="83"/>
      <c r="GS16" s="83"/>
      <c r="GT16" s="83"/>
      <c r="GU16" s="91" t="s">
        <v>231</v>
      </c>
      <c r="GV16" s="136">
        <f>B18</f>
        <v>30.167100000000001</v>
      </c>
      <c r="GW16" s="52" t="s">
        <v>60</v>
      </c>
      <c r="GX16" s="83"/>
      <c r="GY16" s="83"/>
      <c r="GZ16" s="83"/>
      <c r="HA16" s="83" t="s">
        <v>63</v>
      </c>
      <c r="HB16" s="167">
        <f>HB20+(0.693/HB22)</f>
        <v>4.9499999999999995E-2</v>
      </c>
      <c r="HC16" s="83" t="s">
        <v>64</v>
      </c>
      <c r="HD16" s="83"/>
      <c r="HE16" s="83"/>
      <c r="HF16" s="83"/>
    </row>
    <row r="17" spans="1:214" ht="13.5" thickBot="1" x14ac:dyDescent="0.25">
      <c r="A17" s="83" t="s">
        <v>258</v>
      </c>
      <c r="B17" s="183">
        <v>4.9109405245458101E-5</v>
      </c>
      <c r="C17" s="92" t="s">
        <v>259</v>
      </c>
      <c r="D17" s="83" t="s">
        <v>256</v>
      </c>
      <c r="E17" s="136">
        <f>B15</f>
        <v>4763.3999999999996</v>
      </c>
      <c r="F17" s="83" t="s">
        <v>343</v>
      </c>
      <c r="G17" s="83" t="s">
        <v>370</v>
      </c>
      <c r="H17" s="146">
        <f>B42</f>
        <v>0.78</v>
      </c>
      <c r="I17" s="52" t="s">
        <v>28</v>
      </c>
      <c r="J17" s="83" t="s">
        <v>263</v>
      </c>
      <c r="K17" s="153">
        <f>((K18/(K47+K48))*K11)</f>
        <v>3.0606043546043438</v>
      </c>
      <c r="L17" s="92" t="s">
        <v>10</v>
      </c>
      <c r="M17" s="84" t="s">
        <v>295</v>
      </c>
      <c r="N17" s="142">
        <f>B302</f>
        <v>137</v>
      </c>
      <c r="O17" s="84" t="s">
        <v>296</v>
      </c>
      <c r="P17" s="84" t="s">
        <v>295</v>
      </c>
      <c r="Q17" s="142">
        <f>B302</f>
        <v>137</v>
      </c>
      <c r="R17" s="84" t="s">
        <v>296</v>
      </c>
      <c r="S17" s="84" t="s">
        <v>295</v>
      </c>
      <c r="T17" s="142">
        <f>B302</f>
        <v>137</v>
      </c>
      <c r="U17" s="84" t="s">
        <v>296</v>
      </c>
      <c r="V17" s="52" t="s">
        <v>271</v>
      </c>
      <c r="W17" s="144">
        <f>((W5)/((W12/24)*W9*W14*(1/365)))*W8*W20*W21</f>
        <v>1.1822973336692279E-14</v>
      </c>
      <c r="X17" s="52" t="s">
        <v>15</v>
      </c>
      <c r="Y17" s="52" t="s">
        <v>271</v>
      </c>
      <c r="Z17" s="144">
        <f>((Z5)/((Z12/24)*Z9*Z14*(1/365)))*Z8*Z20*Z21</f>
        <v>1.0640676003023053E-14</v>
      </c>
      <c r="AA17" s="52" t="s">
        <v>15</v>
      </c>
      <c r="AB17" s="83" t="s">
        <v>413</v>
      </c>
      <c r="AC17" s="141">
        <f>B237</f>
        <v>1</v>
      </c>
      <c r="AD17" s="141">
        <f>B249</f>
        <v>1</v>
      </c>
      <c r="AE17" s="141">
        <f>B261</f>
        <v>1</v>
      </c>
      <c r="AF17" s="141">
        <f>B280</f>
        <v>0.753</v>
      </c>
      <c r="AG17" s="141">
        <f>B280</f>
        <v>0.753</v>
      </c>
      <c r="AH17" s="92"/>
      <c r="AI17" s="84" t="s">
        <v>295</v>
      </c>
      <c r="AJ17" s="142">
        <f>B302</f>
        <v>137</v>
      </c>
      <c r="AK17" s="84" t="s">
        <v>296</v>
      </c>
      <c r="AL17" s="84" t="s">
        <v>295</v>
      </c>
      <c r="AM17" s="142">
        <f>B302</f>
        <v>137</v>
      </c>
      <c r="AN17" s="84" t="s">
        <v>296</v>
      </c>
      <c r="AO17" s="84" t="s">
        <v>295</v>
      </c>
      <c r="AP17" s="142">
        <f>B302</f>
        <v>137</v>
      </c>
      <c r="AQ17" s="84" t="s">
        <v>296</v>
      </c>
      <c r="AR17" s="84" t="s">
        <v>295</v>
      </c>
      <c r="AS17" s="142">
        <f>B302</f>
        <v>137</v>
      </c>
      <c r="AT17" s="84" t="s">
        <v>296</v>
      </c>
      <c r="AU17" s="84" t="s">
        <v>295</v>
      </c>
      <c r="AV17" s="142">
        <f>B302</f>
        <v>137</v>
      </c>
      <c r="AW17" s="84" t="s">
        <v>296</v>
      </c>
      <c r="AX17" s="84" t="s">
        <v>295</v>
      </c>
      <c r="AY17" s="142">
        <f>B302</f>
        <v>137</v>
      </c>
      <c r="AZ17" s="84" t="s">
        <v>296</v>
      </c>
      <c r="BA17" s="84" t="s">
        <v>295</v>
      </c>
      <c r="BB17" s="142">
        <f>B302</f>
        <v>137</v>
      </c>
      <c r="BC17" s="84" t="s">
        <v>296</v>
      </c>
      <c r="BD17" s="84" t="s">
        <v>295</v>
      </c>
      <c r="BE17" s="142">
        <f>B302</f>
        <v>137</v>
      </c>
      <c r="BF17" s="84" t="s">
        <v>296</v>
      </c>
      <c r="BG17" s="84" t="s">
        <v>295</v>
      </c>
      <c r="BH17" s="142">
        <f>B302</f>
        <v>137</v>
      </c>
      <c r="BI17" s="84" t="s">
        <v>296</v>
      </c>
      <c r="BJ17" s="84" t="s">
        <v>295</v>
      </c>
      <c r="BK17" s="142">
        <f>B302</f>
        <v>137</v>
      </c>
      <c r="BL17" s="84" t="s">
        <v>296</v>
      </c>
      <c r="BM17" s="84" t="s">
        <v>295</v>
      </c>
      <c r="BN17" s="142">
        <f>B302</f>
        <v>137</v>
      </c>
      <c r="BO17" s="84" t="s">
        <v>296</v>
      </c>
      <c r="BP17" s="84" t="s">
        <v>295</v>
      </c>
      <c r="BQ17" s="142">
        <f>B302</f>
        <v>137</v>
      </c>
      <c r="BR17" s="84" t="s">
        <v>296</v>
      </c>
      <c r="BS17" s="83" t="s">
        <v>301</v>
      </c>
      <c r="BT17" s="142">
        <f>B111</f>
        <v>1</v>
      </c>
      <c r="BV17" s="83" t="s">
        <v>65</v>
      </c>
      <c r="BW17" s="141">
        <f>B116</f>
        <v>0.5</v>
      </c>
      <c r="BX17" s="52" t="s">
        <v>66</v>
      </c>
      <c r="BY17" s="83" t="s">
        <v>43</v>
      </c>
      <c r="BZ17" s="149">
        <f>(BZ24*BZ20*(BZ26/24)*BZ34)+(BZ23*BZ21*(BZ27/24)*BZ35)</f>
        <v>55.3125</v>
      </c>
      <c r="CA17" s="52" t="s">
        <v>426</v>
      </c>
      <c r="CN17" s="84" t="s">
        <v>16</v>
      </c>
      <c r="CO17" s="137">
        <f>(CO14*CO15)/(1-EXP(-CO15*CO14))</f>
        <v>1.0115299987062558</v>
      </c>
      <c r="CT17" s="83" t="s">
        <v>263</v>
      </c>
      <c r="CU17" s="153">
        <f>DJ2</f>
        <v>8.7267965526120244E-9</v>
      </c>
      <c r="CV17" s="92" t="s">
        <v>12</v>
      </c>
      <c r="CW17" s="83" t="s">
        <v>256</v>
      </c>
      <c r="CX17" s="136">
        <f>B15</f>
        <v>4763.3999999999996</v>
      </c>
      <c r="CY17" s="83" t="s">
        <v>343</v>
      </c>
      <c r="CZ17" s="83" t="s">
        <v>511</v>
      </c>
      <c r="DA17" s="153">
        <f>DD2</f>
        <v>2.4607714886213325E-9</v>
      </c>
      <c r="DB17" s="83" t="s">
        <v>297</v>
      </c>
      <c r="DC17" s="93"/>
      <c r="DD17" s="136">
        <v>9.9999999999999995E-7</v>
      </c>
      <c r="DE17" s="88"/>
      <c r="DF17" s="92" t="s">
        <v>67</v>
      </c>
      <c r="DG17" s="142">
        <f>B198</f>
        <v>60</v>
      </c>
      <c r="DH17" s="83" t="s">
        <v>53</v>
      </c>
      <c r="DL17" s="92"/>
      <c r="DM17" s="83"/>
      <c r="DN17" s="83"/>
      <c r="DO17" s="92" t="s">
        <v>67</v>
      </c>
      <c r="DP17" s="142">
        <f>B198</f>
        <v>60</v>
      </c>
      <c r="DQ17" s="83" t="s">
        <v>53</v>
      </c>
      <c r="DR17" s="83" t="s">
        <v>475</v>
      </c>
      <c r="DS17" s="146">
        <f>B165</f>
        <v>0.15</v>
      </c>
      <c r="DU17" s="92"/>
      <c r="DV17" s="87"/>
      <c r="DW17" s="83"/>
      <c r="DX17" s="91" t="s">
        <v>231</v>
      </c>
      <c r="DY17" s="136">
        <f>B18</f>
        <v>30.167100000000001</v>
      </c>
      <c r="DZ17" s="52" t="s">
        <v>60</v>
      </c>
      <c r="EA17" s="92"/>
      <c r="EB17" s="83"/>
      <c r="EC17" s="83"/>
      <c r="ED17" s="92" t="s">
        <v>67</v>
      </c>
      <c r="EE17" s="142">
        <f>B198</f>
        <v>60</v>
      </c>
      <c r="EF17" s="83" t="s">
        <v>53</v>
      </c>
      <c r="EG17" s="83" t="s">
        <v>475</v>
      </c>
      <c r="EH17" s="146">
        <f>B165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1.0115299987062558</v>
      </c>
      <c r="EP17" s="92"/>
      <c r="EQ17" s="83"/>
      <c r="ER17" s="83"/>
      <c r="ES17" s="92" t="s">
        <v>67</v>
      </c>
      <c r="ET17" s="142">
        <f>B198</f>
        <v>60</v>
      </c>
      <c r="EU17" s="83" t="s">
        <v>53</v>
      </c>
      <c r="EV17" s="83" t="s">
        <v>475</v>
      </c>
      <c r="EW17" s="141">
        <f>B165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1.0115299987062558</v>
      </c>
      <c r="FE17" s="83"/>
      <c r="FF17" s="83"/>
      <c r="FG17" s="83"/>
      <c r="FH17" s="83" t="s">
        <v>67</v>
      </c>
      <c r="FI17" s="142">
        <f>B198</f>
        <v>60</v>
      </c>
      <c r="FJ17" s="83" t="s">
        <v>53</v>
      </c>
      <c r="FK17" s="83" t="s">
        <v>475</v>
      </c>
      <c r="FL17" s="141">
        <f>B165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B165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1.0115299987062558</v>
      </c>
      <c r="GI17" s="83"/>
      <c r="GJ17" s="83"/>
      <c r="GK17" s="83"/>
      <c r="GL17" s="83" t="s">
        <v>67</v>
      </c>
      <c r="GM17" s="142">
        <f>B198</f>
        <v>60</v>
      </c>
      <c r="GN17" s="83" t="s">
        <v>53</v>
      </c>
      <c r="GO17" s="83" t="s">
        <v>476</v>
      </c>
      <c r="GP17" s="141">
        <f>B166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1.0115299987062558</v>
      </c>
      <c r="GX17" s="83"/>
      <c r="GY17" s="83"/>
      <c r="GZ17" s="83"/>
      <c r="HA17" s="83" t="s">
        <v>67</v>
      </c>
      <c r="HB17" s="142">
        <f>B198</f>
        <v>60</v>
      </c>
      <c r="HC17" s="83" t="s">
        <v>53</v>
      </c>
      <c r="HD17" s="84"/>
      <c r="HE17" s="84"/>
    </row>
    <row r="18" spans="1:214" ht="19.5" thickTop="1" thickBot="1" x14ac:dyDescent="0.25">
      <c r="A18" s="91" t="s">
        <v>231</v>
      </c>
      <c r="B18" s="183">
        <v>30.167100000000001</v>
      </c>
      <c r="C18" s="52" t="s">
        <v>235</v>
      </c>
      <c r="D18" s="83" t="s">
        <v>301</v>
      </c>
      <c r="E18" s="142">
        <f>B60</f>
        <v>1</v>
      </c>
      <c r="G18" s="83" t="s">
        <v>371</v>
      </c>
      <c r="H18" s="146">
        <f>B43</f>
        <v>2.5</v>
      </c>
      <c r="I18" s="52" t="s">
        <v>28</v>
      </c>
      <c r="J18" s="83" t="s">
        <v>264</v>
      </c>
      <c r="K18" s="154">
        <f>(K5/(K9*(K25+K28)*K36))</f>
        <v>0.86302549719764221</v>
      </c>
      <c r="L18" s="92" t="s">
        <v>10</v>
      </c>
      <c r="M18" s="84" t="s">
        <v>293</v>
      </c>
      <c r="N18" s="161">
        <f>B304</f>
        <v>2.8000000000000002E-12</v>
      </c>
      <c r="O18" s="84"/>
      <c r="P18" s="84" t="s">
        <v>293</v>
      </c>
      <c r="Q18" s="161">
        <f>B304</f>
        <v>2.8000000000000002E-12</v>
      </c>
      <c r="R18" s="84"/>
      <c r="S18" s="84" t="s">
        <v>293</v>
      </c>
      <c r="T18" s="161">
        <f>B304</f>
        <v>2.8000000000000002E-12</v>
      </c>
      <c r="U18" s="84"/>
      <c r="V18" s="52" t="s">
        <v>261</v>
      </c>
      <c r="W18" s="144">
        <f>((W5*W7*W6)/((W12/24)*(1-EXP(-W7*W10))*W11*W13*W9*W10))*W8*W20*W21</f>
        <v>1.6872017975295554E-11</v>
      </c>
      <c r="X18" s="52" t="s">
        <v>16</v>
      </c>
      <c r="Y18" s="52" t="s">
        <v>261</v>
      </c>
      <c r="Z18" s="144">
        <f>((Z5*Z7*Z6)/((Z12/24)*(1-EXP(-Z7*Z10))*Z11*Z13*Z9*Z10))*Z8*Z20*Z21</f>
        <v>1.5184816177766E-11</v>
      </c>
      <c r="AA18" s="52" t="s">
        <v>16</v>
      </c>
      <c r="AB18" s="83" t="s">
        <v>412</v>
      </c>
      <c r="AC18" s="136">
        <f>B10</f>
        <v>3.19428</v>
      </c>
      <c r="AD18" s="136">
        <f>B10</f>
        <v>3.19428</v>
      </c>
      <c r="AE18" s="136">
        <f>B10</f>
        <v>3.19428</v>
      </c>
      <c r="AF18" s="136">
        <f>B10</f>
        <v>3.19428</v>
      </c>
      <c r="AG18" s="136">
        <f>B10</f>
        <v>3.19428</v>
      </c>
      <c r="AH18" s="83" t="s">
        <v>351</v>
      </c>
      <c r="AI18" s="84" t="s">
        <v>293</v>
      </c>
      <c r="AJ18" s="161">
        <f>B304</f>
        <v>2.8000000000000002E-12</v>
      </c>
      <c r="AK18" s="84"/>
      <c r="AL18" s="84" t="s">
        <v>293</v>
      </c>
      <c r="AM18" s="161">
        <f>B304</f>
        <v>2.8000000000000002E-12</v>
      </c>
      <c r="AN18" s="84"/>
      <c r="AO18" s="84" t="s">
        <v>293</v>
      </c>
      <c r="AP18" s="161">
        <f>B304</f>
        <v>2.8000000000000002E-12</v>
      </c>
      <c r="AQ18" s="84"/>
      <c r="AR18" s="84" t="s">
        <v>293</v>
      </c>
      <c r="AS18" s="161">
        <f>B304</f>
        <v>2.8000000000000002E-12</v>
      </c>
      <c r="AT18" s="84"/>
      <c r="AU18" s="84" t="s">
        <v>293</v>
      </c>
      <c r="AV18" s="161">
        <f>B304</f>
        <v>2.8000000000000002E-12</v>
      </c>
      <c r="AW18" s="84"/>
      <c r="AX18" s="84" t="s">
        <v>293</v>
      </c>
      <c r="AY18" s="161">
        <f>B304</f>
        <v>2.8000000000000002E-12</v>
      </c>
      <c r="AZ18" s="84"/>
      <c r="BA18" s="84" t="s">
        <v>293</v>
      </c>
      <c r="BB18" s="161">
        <f>B304</f>
        <v>2.8000000000000002E-12</v>
      </c>
      <c r="BC18" s="84"/>
      <c r="BD18" s="84" t="s">
        <v>293</v>
      </c>
      <c r="BE18" s="161">
        <f>B304</f>
        <v>2.8000000000000002E-12</v>
      </c>
      <c r="BF18" s="84"/>
      <c r="BG18" s="84" t="s">
        <v>293</v>
      </c>
      <c r="BH18" s="161">
        <f>B304</f>
        <v>2.8000000000000002E-12</v>
      </c>
      <c r="BI18" s="84"/>
      <c r="BJ18" s="84" t="s">
        <v>293</v>
      </c>
      <c r="BK18" s="161">
        <f>B304</f>
        <v>2.8000000000000002E-12</v>
      </c>
      <c r="BL18" s="84"/>
      <c r="BM18" s="84" t="s">
        <v>293</v>
      </c>
      <c r="BN18" s="161">
        <f>B304</f>
        <v>2.8000000000000002E-12</v>
      </c>
      <c r="BO18" s="84"/>
      <c r="BP18" s="84" t="s">
        <v>293</v>
      </c>
      <c r="BQ18" s="161">
        <f>B304</f>
        <v>2.8000000000000002E-12</v>
      </c>
      <c r="BR18" s="84"/>
      <c r="BS18" s="52" t="s">
        <v>261</v>
      </c>
      <c r="BT18" s="143">
        <f>((BT5)/(BT9*BT10))*BT7*BT27*BT28</f>
        <v>1.3569926272954052E-9</v>
      </c>
      <c r="BU18" s="52" t="s">
        <v>15</v>
      </c>
      <c r="BV18" s="83" t="s">
        <v>433</v>
      </c>
      <c r="BW18" s="150">
        <f>B112</f>
        <v>45</v>
      </c>
      <c r="BX18" s="83" t="s">
        <v>24</v>
      </c>
      <c r="BY18" s="83" t="s">
        <v>441</v>
      </c>
      <c r="BZ18" s="146">
        <f>B97</f>
        <v>200</v>
      </c>
      <c r="CA18" s="84" t="s">
        <v>48</v>
      </c>
      <c r="CB18" s="675" t="s">
        <v>572</v>
      </c>
      <c r="CC18" s="673"/>
      <c r="CD18" s="673"/>
      <c r="CE18" s="676" t="s">
        <v>573</v>
      </c>
      <c r="CF18" s="673"/>
      <c r="CG18" s="674"/>
      <c r="CJ18" s="83"/>
      <c r="CT18" s="83" t="s">
        <v>264</v>
      </c>
      <c r="CU18" s="153">
        <f>DD2</f>
        <v>2.4607714886213325E-9</v>
      </c>
      <c r="CV18" s="92" t="s">
        <v>12</v>
      </c>
      <c r="CW18" s="83" t="s">
        <v>301</v>
      </c>
      <c r="CX18" s="142">
        <f>B180</f>
        <v>1</v>
      </c>
      <c r="CZ18" s="91" t="s">
        <v>272</v>
      </c>
      <c r="DA18" s="144">
        <f>EZ2</f>
        <v>8.9466695294391276E-5</v>
      </c>
      <c r="DB18" s="83" t="s">
        <v>297</v>
      </c>
      <c r="DC18" s="88"/>
      <c r="DD18" s="136">
        <v>1000</v>
      </c>
      <c r="DE18" s="92" t="s">
        <v>99</v>
      </c>
      <c r="DF18" s="92" t="s">
        <v>68</v>
      </c>
      <c r="DG18" s="142">
        <f>B199</f>
        <v>2</v>
      </c>
      <c r="DH18" s="83" t="s">
        <v>56</v>
      </c>
      <c r="DL18" s="92"/>
      <c r="DM18" s="83"/>
      <c r="DN18" s="83"/>
      <c r="DO18" s="92" t="s">
        <v>68</v>
      </c>
      <c r="DP18" s="142">
        <f>B199</f>
        <v>2</v>
      </c>
      <c r="DQ18" s="83" t="s">
        <v>56</v>
      </c>
      <c r="DR18" s="83" t="s">
        <v>476</v>
      </c>
      <c r="DS18" s="146">
        <f>B166</f>
        <v>0.85</v>
      </c>
      <c r="DU18" s="92"/>
      <c r="DV18" s="83"/>
      <c r="DW18" s="83"/>
      <c r="DX18" s="84" t="s">
        <v>16</v>
      </c>
      <c r="DY18" s="137">
        <f>(DY15*DY16)/(1-EXP(-DY16*DY15))</f>
        <v>1.0115299987062558</v>
      </c>
      <c r="EA18" s="92"/>
      <c r="EB18" s="83"/>
      <c r="EC18" s="83"/>
      <c r="ED18" s="92" t="s">
        <v>68</v>
      </c>
      <c r="EE18" s="142">
        <f>B199</f>
        <v>2</v>
      </c>
      <c r="EF18" s="83" t="s">
        <v>56</v>
      </c>
      <c r="EG18" s="83" t="s">
        <v>476</v>
      </c>
      <c r="EH18" s="146">
        <f>B166</f>
        <v>0.85</v>
      </c>
      <c r="EJ18" s="92"/>
      <c r="EK18" s="83"/>
      <c r="EL18" s="83"/>
      <c r="EM18" s="95"/>
      <c r="EN18" s="176"/>
      <c r="EP18" s="92"/>
      <c r="EQ18" s="83"/>
      <c r="ER18" s="83"/>
      <c r="ES18" s="92" t="s">
        <v>68</v>
      </c>
      <c r="ET18" s="142">
        <f>B199</f>
        <v>2</v>
      </c>
      <c r="EU18" s="83" t="s">
        <v>56</v>
      </c>
      <c r="EV18" s="83" t="s">
        <v>476</v>
      </c>
      <c r="EW18" s="141">
        <f>B166</f>
        <v>0.85</v>
      </c>
      <c r="EX18" s="92"/>
      <c r="EY18" s="83"/>
      <c r="EZ18" s="83"/>
      <c r="FA18" s="83"/>
      <c r="FB18" s="95"/>
      <c r="FC18" s="176"/>
      <c r="FD18" s="83"/>
      <c r="FE18" s="83"/>
      <c r="FF18" s="83"/>
      <c r="FG18" s="83"/>
      <c r="FH18" s="83" t="s">
        <v>68</v>
      </c>
      <c r="FI18" s="142">
        <f>B199</f>
        <v>2</v>
      </c>
      <c r="FJ18" s="83" t="s">
        <v>56</v>
      </c>
      <c r="FK18" s="83" t="s">
        <v>476</v>
      </c>
      <c r="FL18" s="141">
        <f>B166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B166</f>
        <v>0.85</v>
      </c>
      <c r="GB18" s="92"/>
      <c r="GC18" s="83"/>
      <c r="GD18" s="83"/>
      <c r="GE18" s="83"/>
      <c r="GF18" s="95"/>
      <c r="GG18" s="176"/>
      <c r="GH18" s="83"/>
      <c r="GI18" s="83"/>
      <c r="GJ18" s="83"/>
      <c r="GK18" s="83"/>
      <c r="GL18" s="83" t="s">
        <v>68</v>
      </c>
      <c r="GM18" s="142">
        <f>B199</f>
        <v>2</v>
      </c>
      <c r="GN18" s="83" t="s">
        <v>56</v>
      </c>
      <c r="GO18" s="84" t="s">
        <v>295</v>
      </c>
      <c r="GP18" s="142">
        <f>B302</f>
        <v>137</v>
      </c>
      <c r="GQ18" s="84" t="s">
        <v>296</v>
      </c>
      <c r="GR18" s="83"/>
      <c r="GS18" s="83"/>
      <c r="GT18" s="83"/>
      <c r="GU18" s="95"/>
      <c r="GV18" s="176"/>
      <c r="GW18" s="83"/>
      <c r="GX18" s="83"/>
      <c r="GY18" s="83"/>
      <c r="GZ18" s="83"/>
      <c r="HA18" s="83" t="s">
        <v>68</v>
      </c>
      <c r="HB18" s="142">
        <f>B199</f>
        <v>2</v>
      </c>
      <c r="HC18" s="83" t="s">
        <v>56</v>
      </c>
    </row>
    <row r="19" spans="1:214" ht="19.5" thickTop="1" thickBot="1" x14ac:dyDescent="0.25">
      <c r="A19" s="91" t="s">
        <v>77</v>
      </c>
      <c r="B19" s="183">
        <f>PEF!D3</f>
        <v>1359344473.5814338</v>
      </c>
      <c r="C19" s="52" t="s">
        <v>524</v>
      </c>
      <c r="D19" s="52" t="s">
        <v>261</v>
      </c>
      <c r="E19" s="143">
        <f>((E5)/((E15/E16)*E11*E12))*E7*E27*E28</f>
        <v>1.2116005600851832E-11</v>
      </c>
      <c r="F19" s="52" t="s">
        <v>15</v>
      </c>
      <c r="G19" s="83" t="s">
        <v>366</v>
      </c>
      <c r="H19" s="146">
        <f>B38</f>
        <v>10</v>
      </c>
      <c r="I19" s="52" t="s">
        <v>407</v>
      </c>
      <c r="J19" s="83" t="s">
        <v>445</v>
      </c>
      <c r="K19" s="155">
        <f>K21*K31*K51+K22*K32*K52</f>
        <v>43050</v>
      </c>
      <c r="L19" s="83" t="s">
        <v>346</v>
      </c>
      <c r="V19" s="52" t="s">
        <v>271</v>
      </c>
      <c r="W19" s="145">
        <f>((W5*W7*W6)/((W12/24)*(1-EXP(-W7*W6))*W14*W9*(1/365)))*W8*W20*W21</f>
        <v>1.1959292203968439E-14</v>
      </c>
      <c r="X19" s="52" t="s">
        <v>16</v>
      </c>
      <c r="Y19" s="52" t="s">
        <v>271</v>
      </c>
      <c r="Z19" s="145">
        <f>((Z5*Z7*Z6)/((Z12/24)*(1-EXP(-Z7*Z6))*Z14*Z9*(1/365)))*Z8*Z20*Z21</f>
        <v>1.0763362983571596E-14</v>
      </c>
      <c r="AA19" s="52" t="s">
        <v>16</v>
      </c>
      <c r="AB19" s="83" t="s">
        <v>247</v>
      </c>
      <c r="AC19" s="139">
        <f>B6</f>
        <v>1.5417408700798101E-4</v>
      </c>
      <c r="AD19" s="139">
        <f>B6</f>
        <v>1.5417408700798101E-4</v>
      </c>
      <c r="AE19" s="139">
        <f>B6</f>
        <v>1.5417408700798101E-4</v>
      </c>
      <c r="AF19" s="139">
        <f>B6</f>
        <v>1.5417408700798101E-4</v>
      </c>
      <c r="AG19" s="139">
        <f>B6</f>
        <v>1.5417408700798101E-4</v>
      </c>
      <c r="AH19" s="84" t="s">
        <v>259</v>
      </c>
      <c r="BS19" s="52" t="s">
        <v>271</v>
      </c>
      <c r="BT19" s="144">
        <f>((BT5)/(BT16*BT8*(1/365)*BT15*(1/24)*BT17))*BT7*BT27*BT28</f>
        <v>2.8375136008061475E-13</v>
      </c>
      <c r="BU19" s="52" t="s">
        <v>15</v>
      </c>
      <c r="BV19" s="83" t="s">
        <v>434</v>
      </c>
      <c r="BW19" s="150">
        <f>B113</f>
        <v>45</v>
      </c>
      <c r="BX19" s="83" t="s">
        <v>24</v>
      </c>
      <c r="BY19" s="83" t="s">
        <v>442</v>
      </c>
      <c r="BZ19" s="146">
        <f>B98</f>
        <v>100</v>
      </c>
      <c r="CA19" s="84" t="s">
        <v>48</v>
      </c>
      <c r="CB19" s="268" t="s">
        <v>537</v>
      </c>
      <c r="CC19" s="262">
        <f>((CC22*CC23*CC24)/((1-EXP(-CC24*CC23))*CC31*(CC26/365)*CC29*(CC30/24)*CC28))*CC25*CC32*CC33</f>
        <v>1.6803143163005341E-4</v>
      </c>
      <c r="CD19" s="279" t="s">
        <v>297</v>
      </c>
      <c r="CE19" s="259" t="s">
        <v>537</v>
      </c>
      <c r="CF19" s="262">
        <f>((CF22*CF23*CF24)/((1-EXP(-CF24*CF23))*CF31*(CF26/365)*CF29*(CF30/24)*CF28))*CF25*CF32*CF33</f>
        <v>7.836834762399646E-3</v>
      </c>
      <c r="CG19" s="265" t="s">
        <v>297</v>
      </c>
      <c r="CH19" s="83"/>
      <c r="CI19" s="83"/>
      <c r="CK19" s="675" t="s">
        <v>576</v>
      </c>
      <c r="CL19" s="673"/>
      <c r="CM19" s="673"/>
      <c r="CN19" s="676" t="s">
        <v>576</v>
      </c>
      <c r="CO19" s="673"/>
      <c r="CP19" s="677"/>
      <c r="CQ19" s="673" t="s">
        <v>576</v>
      </c>
      <c r="CR19" s="673"/>
      <c r="CS19" s="674"/>
      <c r="CT19" s="91" t="s">
        <v>272</v>
      </c>
      <c r="CU19" s="144">
        <f>FC2</f>
        <v>4.6528661272693363E-7</v>
      </c>
      <c r="CV19" s="92" t="s">
        <v>12</v>
      </c>
      <c r="CW19" s="52" t="s">
        <v>261</v>
      </c>
      <c r="CX19" s="143">
        <f>((CX5)/((CX15/CX16)*CX11*CX12))*CX7*CX27*CX28</f>
        <v>1.1592070223517696E-11</v>
      </c>
      <c r="CY19" s="52" t="s">
        <v>15</v>
      </c>
      <c r="CZ19" s="91" t="s">
        <v>273</v>
      </c>
      <c r="DA19" s="144">
        <f>GS2</f>
        <v>3.4339711850896233E-6</v>
      </c>
      <c r="DB19" s="83" t="s">
        <v>297</v>
      </c>
      <c r="DC19" s="92" t="s">
        <v>72</v>
      </c>
      <c r="DD19" s="146">
        <f>B186</f>
        <v>1</v>
      </c>
      <c r="DE19" s="93"/>
      <c r="DF19" s="92" t="s">
        <v>70</v>
      </c>
      <c r="DG19" s="138">
        <f>B200</f>
        <v>2.6999999999999999E-5</v>
      </c>
      <c r="DH19" s="52" t="s">
        <v>64</v>
      </c>
      <c r="DL19" s="92"/>
      <c r="DO19" s="92" t="s">
        <v>70</v>
      </c>
      <c r="DP19" s="138">
        <f>B200</f>
        <v>2.6999999999999999E-5</v>
      </c>
      <c r="DQ19" s="52" t="s">
        <v>64</v>
      </c>
      <c r="DR19" s="84" t="s">
        <v>295</v>
      </c>
      <c r="DS19" s="142">
        <f>B302</f>
        <v>137</v>
      </c>
      <c r="DT19" s="84" t="s">
        <v>296</v>
      </c>
      <c r="DU19" s="92"/>
      <c r="DX19" s="95"/>
      <c r="DY19" s="176"/>
      <c r="EA19" s="92"/>
      <c r="EB19" s="84"/>
      <c r="EC19" s="84"/>
      <c r="ED19" s="92" t="s">
        <v>70</v>
      </c>
      <c r="EE19" s="163">
        <f>B200</f>
        <v>2.6999999999999999E-5</v>
      </c>
      <c r="EF19" s="84" t="s">
        <v>64</v>
      </c>
      <c r="EG19" s="84" t="s">
        <v>295</v>
      </c>
      <c r="EH19" s="142">
        <f>B302</f>
        <v>137</v>
      </c>
      <c r="EI19" s="84" t="s">
        <v>296</v>
      </c>
      <c r="EJ19" s="92"/>
      <c r="EP19" s="92"/>
      <c r="EQ19" s="84"/>
      <c r="ER19" s="84"/>
      <c r="ES19" s="92" t="s">
        <v>70</v>
      </c>
      <c r="ET19" s="163">
        <f>B200</f>
        <v>2.6999999999999999E-5</v>
      </c>
      <c r="EU19" s="84" t="s">
        <v>64</v>
      </c>
      <c r="EV19" s="84" t="s">
        <v>295</v>
      </c>
      <c r="EW19" s="142">
        <f>B302</f>
        <v>137</v>
      </c>
      <c r="EX19" s="84" t="s">
        <v>296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B200</f>
        <v>2.6999999999999999E-5</v>
      </c>
      <c r="FJ19" s="84" t="s">
        <v>64</v>
      </c>
      <c r="FK19" s="84" t="s">
        <v>295</v>
      </c>
      <c r="FL19" s="142">
        <f>B302</f>
        <v>137</v>
      </c>
      <c r="FM19" s="84" t="s">
        <v>296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84" t="s">
        <v>295</v>
      </c>
      <c r="GA19" s="142">
        <f>B302</f>
        <v>137</v>
      </c>
      <c r="GB19" s="84" t="s">
        <v>296</v>
      </c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B200</f>
        <v>2.6999999999999999E-5</v>
      </c>
      <c r="GN19" s="84" t="s">
        <v>64</v>
      </c>
      <c r="GO19" s="84" t="s">
        <v>293</v>
      </c>
      <c r="GP19" s="161">
        <f>B304</f>
        <v>2.8000000000000002E-12</v>
      </c>
      <c r="GQ19" s="84"/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B200</f>
        <v>2.6999999999999999E-5</v>
      </c>
      <c r="HC19" s="84" t="s">
        <v>64</v>
      </c>
    </row>
    <row r="20" spans="1:214" ht="19.5" thickTop="1" thickBot="1" x14ac:dyDescent="0.25">
      <c r="A20" s="91" t="s">
        <v>103</v>
      </c>
      <c r="B20" s="183">
        <f>PEF!G3</f>
        <v>776129.4078035407</v>
      </c>
      <c r="C20" s="52" t="s">
        <v>524</v>
      </c>
      <c r="D20" s="52" t="s">
        <v>271</v>
      </c>
      <c r="E20" s="144">
        <f>((E5)/((E15/E16)*E8*E17*(1/365)*E18))*E7*E27*E28</f>
        <v>2.5334942864340601E-15</v>
      </c>
      <c r="F20" s="52" t="s">
        <v>15</v>
      </c>
      <c r="G20" s="83" t="s">
        <v>367</v>
      </c>
      <c r="H20" s="146">
        <f>B39</f>
        <v>20</v>
      </c>
      <c r="I20" s="52" t="s">
        <v>407</v>
      </c>
      <c r="J20" s="83" t="s">
        <v>396</v>
      </c>
      <c r="K20" s="155">
        <f>(K31*K23*(K34/24)*K51)+(K32*K24*(K35/24)*K52)</f>
        <v>6195</v>
      </c>
      <c r="L20" s="52" t="s">
        <v>407</v>
      </c>
      <c r="M20" s="325" t="s">
        <v>533</v>
      </c>
      <c r="N20" s="326"/>
      <c r="O20" s="326"/>
      <c r="P20" s="327" t="s">
        <v>536</v>
      </c>
      <c r="Q20" s="326"/>
      <c r="R20" s="329"/>
      <c r="V20" s="84" t="s">
        <v>295</v>
      </c>
      <c r="W20" s="142">
        <f>B302</f>
        <v>137</v>
      </c>
      <c r="X20" s="84" t="s">
        <v>296</v>
      </c>
      <c r="Y20" s="84" t="s">
        <v>295</v>
      </c>
      <c r="Z20" s="142">
        <f>B302</f>
        <v>137</v>
      </c>
      <c r="AA20" s="84" t="s">
        <v>296</v>
      </c>
      <c r="AB20" s="83" t="s">
        <v>83</v>
      </c>
      <c r="AC20" s="139">
        <f>B238</f>
        <v>8</v>
      </c>
      <c r="AD20" s="139">
        <f>B250</f>
        <v>0</v>
      </c>
      <c r="AE20" s="139">
        <f>B262</f>
        <v>8</v>
      </c>
      <c r="AF20" s="139">
        <f>B274</f>
        <v>8</v>
      </c>
      <c r="AG20" s="139">
        <f>B297</f>
        <v>8</v>
      </c>
      <c r="AH20" s="84" t="s">
        <v>194</v>
      </c>
      <c r="AI20" s="658" t="s">
        <v>558</v>
      </c>
      <c r="AJ20" s="659"/>
      <c r="AK20" s="660"/>
      <c r="AL20" s="661" t="s">
        <v>545</v>
      </c>
      <c r="AM20" s="659"/>
      <c r="AN20" s="662"/>
      <c r="AR20" s="658" t="s">
        <v>560</v>
      </c>
      <c r="AS20" s="659"/>
      <c r="AT20" s="660"/>
      <c r="AU20" s="661" t="s">
        <v>550</v>
      </c>
      <c r="AV20" s="659"/>
      <c r="AW20" s="662"/>
      <c r="BA20" s="658" t="s">
        <v>562</v>
      </c>
      <c r="BB20" s="659"/>
      <c r="BC20" s="660"/>
      <c r="BD20" s="661" t="s">
        <v>553</v>
      </c>
      <c r="BE20" s="659"/>
      <c r="BF20" s="662"/>
      <c r="BJ20" s="658" t="s">
        <v>563</v>
      </c>
      <c r="BK20" s="659"/>
      <c r="BL20" s="660"/>
      <c r="BM20" s="661" t="s">
        <v>556</v>
      </c>
      <c r="BN20" s="659"/>
      <c r="BO20" s="662"/>
      <c r="BS20" s="52" t="s">
        <v>261</v>
      </c>
      <c r="BT20" s="144">
        <f>((BT5*BT24*BT6)/((1-EXP(-BT6*BT24))*BT9*BT10))*BT7*BT27*BT28</f>
        <v>1.37263875053252E-9</v>
      </c>
      <c r="BU20" s="52" t="s">
        <v>16</v>
      </c>
      <c r="BV20" s="52" t="s">
        <v>443</v>
      </c>
      <c r="BW20" s="138">
        <f>B109</f>
        <v>1</v>
      </c>
      <c r="BX20" s="52" t="s">
        <v>89</v>
      </c>
      <c r="BY20" s="83" t="s">
        <v>429</v>
      </c>
      <c r="BZ20" s="141">
        <f>B93</f>
        <v>10</v>
      </c>
      <c r="CA20" s="92" t="s">
        <v>407</v>
      </c>
      <c r="CB20" s="268"/>
      <c r="CC20" s="262"/>
      <c r="CD20" s="279"/>
      <c r="CE20" s="259"/>
      <c r="CF20" s="262"/>
      <c r="CG20" s="265"/>
      <c r="CK20" s="268" t="s">
        <v>530</v>
      </c>
      <c r="CL20" s="262">
        <f>(CL23/(CL24*CL25*CL26))*CL27*CL28*CO33</f>
        <v>3.1418556186703157E-6</v>
      </c>
      <c r="CM20" s="279" t="s">
        <v>12</v>
      </c>
      <c r="CN20" s="259" t="s">
        <v>7</v>
      </c>
      <c r="CO20" s="262">
        <f>(CL20/(CO23*((CO28*CO30*CO31*(CO24+CO25))+(CO29*CO30))))*CO34</f>
        <v>1.1294623675772363E-4</v>
      </c>
      <c r="CP20" s="279" t="s">
        <v>12</v>
      </c>
      <c r="CQ20" s="259" t="s">
        <v>6</v>
      </c>
      <c r="CR20" s="262">
        <f>CL20/(CR23*CR24*(1/CR25))</f>
        <v>0.14281161903046891</v>
      </c>
      <c r="CS20" s="265" t="s">
        <v>12</v>
      </c>
      <c r="CT20" s="91" t="s">
        <v>273</v>
      </c>
      <c r="CU20" s="144">
        <f>GV2</f>
        <v>2.3552393683391245E-8</v>
      </c>
      <c r="CV20" s="92" t="s">
        <v>12</v>
      </c>
      <c r="CW20" s="52" t="s">
        <v>271</v>
      </c>
      <c r="CX20" s="144">
        <f>((CX5)/((CX15/CX16)*CX8*CX17*(1/365)*CX18))*CX7*CX27*CX28</f>
        <v>2.5334942864340601E-15</v>
      </c>
      <c r="CY20" s="52" t="s">
        <v>15</v>
      </c>
      <c r="CZ20" s="91" t="s">
        <v>274</v>
      </c>
      <c r="DA20" s="144">
        <f>EK2</f>
        <v>3.6703776993813442E-9</v>
      </c>
      <c r="DB20" s="83" t="s">
        <v>297</v>
      </c>
      <c r="DC20" s="83" t="s">
        <v>475</v>
      </c>
      <c r="DD20" s="146">
        <f>B165</f>
        <v>0.15</v>
      </c>
      <c r="DF20" s="92" t="s">
        <v>71</v>
      </c>
      <c r="DG20" s="137">
        <f>0.693/DG23</f>
        <v>6.2937111521700834E-5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R20" s="84" t="s">
        <v>293</v>
      </c>
      <c r="DS20" s="161">
        <f>B304</f>
        <v>2.8000000000000002E-12</v>
      </c>
      <c r="DT20" s="84"/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G20" s="84" t="s">
        <v>293</v>
      </c>
      <c r="EH20" s="161">
        <f>B304</f>
        <v>2.8000000000000002E-12</v>
      </c>
      <c r="EI20" s="84"/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V20" s="84" t="s">
        <v>293</v>
      </c>
      <c r="EW20" s="161">
        <f>B304</f>
        <v>2.8000000000000002E-12</v>
      </c>
      <c r="EX20" s="84"/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K20" s="84" t="s">
        <v>293</v>
      </c>
      <c r="FL20" s="161">
        <f>B304</f>
        <v>2.8000000000000002E-12</v>
      </c>
      <c r="FM20" s="84"/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FZ20" s="84" t="s">
        <v>293</v>
      </c>
      <c r="GA20" s="161">
        <f>B304</f>
        <v>2.8000000000000002E-12</v>
      </c>
      <c r="GB20" s="84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91" t="s">
        <v>104</v>
      </c>
      <c r="B21" s="183">
        <f>PEF!J3</f>
        <v>69557565.807898715</v>
      </c>
      <c r="C21" s="52" t="s">
        <v>524</v>
      </c>
      <c r="D21" s="52" t="s">
        <v>261</v>
      </c>
      <c r="E21" s="144">
        <f>((E5*E10*E6)/((1-EXP(-E6*E10))*E11*E12))*E7*E27*E28</f>
        <v>1.2255703129754639E-11</v>
      </c>
      <c r="F21" s="52" t="s">
        <v>16</v>
      </c>
      <c r="G21" s="83" t="s">
        <v>397</v>
      </c>
      <c r="H21" s="148">
        <f>(H29*H36*H32*H68)+(H30*H37*H33*H69)</f>
        <v>234.815</v>
      </c>
      <c r="I21" s="83" t="s">
        <v>356</v>
      </c>
      <c r="J21" s="83" t="s">
        <v>368</v>
      </c>
      <c r="K21" s="146">
        <f>B40</f>
        <v>200</v>
      </c>
      <c r="L21" s="84" t="s">
        <v>48</v>
      </c>
      <c r="M21" s="330" t="s">
        <v>537</v>
      </c>
      <c r="N21" s="333">
        <f>((N24*N25*N26)/((1-EXP(-N26*N25))*N34*N32*(N28/365)*(((N33/24)*N31)+((N35/24)*N30))))*N27*N36*N37</f>
        <v>5.4978403021257433E-11</v>
      </c>
      <c r="O21" s="336" t="s">
        <v>298</v>
      </c>
      <c r="P21" s="339" t="s">
        <v>537</v>
      </c>
      <c r="Q21" s="333">
        <f>((Q24*Q25*Q26)/((1-EXP(-Q26*Q25))*Q34*Q32*(Q28/365)*(((Q33/24)*Q31)+((Q35/24)*Q30))))*Q27*Q36*Q37</f>
        <v>1.937748806438385E-8</v>
      </c>
      <c r="R21" s="342" t="s">
        <v>12</v>
      </c>
      <c r="V21" s="84" t="s">
        <v>293</v>
      </c>
      <c r="W21" s="161">
        <f>B303</f>
        <v>2.8000000000000001E-15</v>
      </c>
      <c r="X21" s="84"/>
      <c r="Y21" s="84" t="s">
        <v>293</v>
      </c>
      <c r="Z21" s="161">
        <f>B303</f>
        <v>2.8000000000000001E-15</v>
      </c>
      <c r="AA21" s="84"/>
      <c r="AB21" s="83" t="s">
        <v>85</v>
      </c>
      <c r="AC21" s="139">
        <f>B239</f>
        <v>8</v>
      </c>
      <c r="AD21" s="139">
        <f>B251</f>
        <v>8</v>
      </c>
      <c r="AE21" s="139">
        <f>B263</f>
        <v>0</v>
      </c>
      <c r="AF21" s="139">
        <f>B275</f>
        <v>8</v>
      </c>
      <c r="AG21" s="139">
        <f>B298</f>
        <v>8</v>
      </c>
      <c r="AH21" s="84" t="s">
        <v>194</v>
      </c>
      <c r="AI21" s="307" t="s">
        <v>537</v>
      </c>
      <c r="AJ21" s="304">
        <f>((AJ24*AJ25*AJ26)/((1-EXP(-AJ26*AJ25))*AJ34*(AJ28/365)*AJ29*(AJ35/24)*AJ30*AJ32))*AJ27*AJ36*AJ37</f>
        <v>2.0008290211526219E-10</v>
      </c>
      <c r="AK21" s="291" t="s">
        <v>298</v>
      </c>
      <c r="AL21" s="288" t="s">
        <v>537</v>
      </c>
      <c r="AM21" s="304">
        <f>((AM24*AM25*AM26)/((1-EXP(-AM26*AM25))*AM34*(AM28/365)*AM29*(AM35/24)*AM30*AM32))*AM27*AM36*AM37</f>
        <v>7.052049231271216E-8</v>
      </c>
      <c r="AN21" s="282" t="s">
        <v>12</v>
      </c>
      <c r="AR21" s="665" t="s">
        <v>537</v>
      </c>
      <c r="AS21" s="304">
        <f>((AS24*AS25*AS26)/((1-EXP(-AS26*AS25))*AS34*(AS28/365)*AS29*(AS33/24)*AS31*AS32))*AS27*AS36*AS37</f>
        <v>8.8925734273449874E-11</v>
      </c>
      <c r="AT21" s="667" t="s">
        <v>298</v>
      </c>
      <c r="AU21" s="663" t="s">
        <v>537</v>
      </c>
      <c r="AV21" s="304">
        <f>((AV24*AV25*AV26)/((1-EXP(-AV26*AV25))*AV34*(AV28/365)*AV29*(AV33/24)*AV31*AV32))*AV27*AV36*AV37</f>
        <v>3.1342441027872071E-8</v>
      </c>
      <c r="AW21" s="669" t="s">
        <v>12</v>
      </c>
      <c r="BA21" s="665" t="s">
        <v>537</v>
      </c>
      <c r="BB21" s="304">
        <f>((BB24*BB25*BB26)/((1-EXP(-BB26*BB25))*BB34*(BB28/365)*(BB33/24)*BB31*BB32))*BB27*BB36*BB37</f>
        <v>8.0033160846104885E-11</v>
      </c>
      <c r="BC21" s="667" t="s">
        <v>298</v>
      </c>
      <c r="BD21" s="663" t="s">
        <v>537</v>
      </c>
      <c r="BE21" s="304">
        <f>((BE24*BE25*BE26)/((1-EXP(-BE26*BE25))*BE34*(BE28/365)*(BE33/24)*BE31*BE32))*BE27*BE36*BE37</f>
        <v>2.8208196925084863E-8</v>
      </c>
      <c r="BF21" s="669" t="s">
        <v>12</v>
      </c>
      <c r="BJ21" s="665" t="s">
        <v>537</v>
      </c>
      <c r="BK21" s="285">
        <f>((BK24*BK25*BK26)/((1-EXP(-BK26*BK25))*BK35*(BK28/365)*(BK34/24)*BK32*BK33))*BK27*BK36*BK37</f>
        <v>6.3011786861270015E-6</v>
      </c>
      <c r="BL21" s="667" t="s">
        <v>298</v>
      </c>
      <c r="BM21" s="663" t="s">
        <v>537</v>
      </c>
      <c r="BN21" s="285">
        <f>((BN24*BN25*BN26)/((1-EXP(-BN26*BN25))*BN35*(BN28/365)*(BN34/24)*BN32*BN33))*BN27*BN36*BN37</f>
        <v>2.9388130358998661E-4</v>
      </c>
      <c r="BO21" s="669" t="s">
        <v>12</v>
      </c>
      <c r="BS21" s="52" t="s">
        <v>271</v>
      </c>
      <c r="BT21" s="145">
        <f>((BT5*BT24*BT6)/((1-EXP(-BT6*BT24))*BT16*BT8*(1/365)*BT15*(1/24)*BT17))*BT7*BT27*BT28</f>
        <v>2.8702301289524253E-13</v>
      </c>
      <c r="BU21" s="52" t="s">
        <v>16</v>
      </c>
      <c r="BV21" s="52" t="s">
        <v>444</v>
      </c>
      <c r="BW21" s="138">
        <f>B110</f>
        <v>1</v>
      </c>
      <c r="BX21" s="52" t="s">
        <v>89</v>
      </c>
      <c r="BY21" s="83" t="s">
        <v>430</v>
      </c>
      <c r="BZ21" s="141">
        <f>B94</f>
        <v>20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79"/>
      <c r="CN21" s="259"/>
      <c r="CO21" s="262"/>
      <c r="CP21" s="279"/>
      <c r="CQ21" s="259"/>
      <c r="CR21" s="262"/>
      <c r="CS21" s="265"/>
      <c r="CT21" s="91" t="s">
        <v>274</v>
      </c>
      <c r="CU21" s="144">
        <f>EN2</f>
        <v>5.2003644171079069E-8</v>
      </c>
      <c r="CV21" s="92" t="s">
        <v>12</v>
      </c>
      <c r="CW21" s="52" t="s">
        <v>261</v>
      </c>
      <c r="CX21" s="144">
        <f>((CX5*CX10*CX6)/((CX15/CX16)*(1-EXP(-CX6*CX9))*CX11*CX12))*CX7*CX27*CX28</f>
        <v>1.1725726778197682E-11</v>
      </c>
      <c r="CY21" s="52" t="s">
        <v>16</v>
      </c>
      <c r="CZ21" s="91" t="s">
        <v>509</v>
      </c>
      <c r="DA21" s="144">
        <f>DV2</f>
        <v>3.8002079658801638E-6</v>
      </c>
      <c r="DB21" s="83" t="s">
        <v>297</v>
      </c>
      <c r="DC21" s="83" t="s">
        <v>476</v>
      </c>
      <c r="DD21" s="146">
        <f>B166</f>
        <v>0.85</v>
      </c>
      <c r="DF21" s="92" t="s">
        <v>73</v>
      </c>
      <c r="DG21" s="138">
        <f>B201</f>
        <v>1</v>
      </c>
      <c r="DH21" s="52" t="s">
        <v>41</v>
      </c>
      <c r="DL21" s="92"/>
      <c r="DO21" s="92" t="s">
        <v>73</v>
      </c>
      <c r="DP21" s="138">
        <f>B201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B201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B201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B201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B201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B201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91" t="s">
        <v>231</v>
      </c>
      <c r="B22" s="183">
        <f>B18*365</f>
        <v>11010.9915</v>
      </c>
      <c r="C22" s="52" t="s">
        <v>222</v>
      </c>
      <c r="D22" s="52" t="s">
        <v>271</v>
      </c>
      <c r="E22" s="145">
        <f>((E5*E10*E6)/((E15/E16)*E8*(1-EXP(-E6*E10))*E17*(1/365)*E18))*E7*E27*E28</f>
        <v>2.5627054722789519E-15</v>
      </c>
      <c r="F22" s="52" t="s">
        <v>16</v>
      </c>
      <c r="G22" s="83" t="s">
        <v>398</v>
      </c>
      <c r="H22" s="149">
        <f>(H29*H23*H68)+(H30*H24*H69)</f>
        <v>56282.8</v>
      </c>
      <c r="I22" s="92" t="s">
        <v>347</v>
      </c>
      <c r="J22" s="83" t="s">
        <v>369</v>
      </c>
      <c r="K22" s="146">
        <f>B41</f>
        <v>100</v>
      </c>
      <c r="L22" s="84" t="s">
        <v>48</v>
      </c>
      <c r="M22" s="331"/>
      <c r="N22" s="334"/>
      <c r="O22" s="337"/>
      <c r="P22" s="340"/>
      <c r="Q22" s="334"/>
      <c r="R22" s="343"/>
      <c r="T22" s="85"/>
      <c r="AB22" s="83" t="s">
        <v>88</v>
      </c>
      <c r="AC22" s="150">
        <f>B240</f>
        <v>0.4</v>
      </c>
      <c r="AD22" s="150">
        <f>B252</f>
        <v>0.4</v>
      </c>
      <c r="AE22" s="150">
        <f>B264</f>
        <v>0.4</v>
      </c>
      <c r="AF22" s="150">
        <f>B276</f>
        <v>0.4</v>
      </c>
      <c r="AG22" s="150">
        <f>B299</f>
        <v>0.4</v>
      </c>
      <c r="AI22" s="307"/>
      <c r="AJ22" s="304"/>
      <c r="AK22" s="291"/>
      <c r="AL22" s="288"/>
      <c r="AM22" s="304"/>
      <c r="AN22" s="282"/>
      <c r="AR22" s="665"/>
      <c r="AS22" s="304"/>
      <c r="AT22" s="667"/>
      <c r="AU22" s="663"/>
      <c r="AV22" s="304"/>
      <c r="AW22" s="669"/>
      <c r="BA22" s="665"/>
      <c r="BB22" s="304"/>
      <c r="BC22" s="667"/>
      <c r="BD22" s="663"/>
      <c r="BE22" s="304"/>
      <c r="BF22" s="669"/>
      <c r="BJ22" s="665"/>
      <c r="BK22" s="285"/>
      <c r="BL22" s="667"/>
      <c r="BM22" s="663"/>
      <c r="BN22" s="285"/>
      <c r="BO22" s="669"/>
      <c r="BS22" s="52" t="s">
        <v>433</v>
      </c>
      <c r="BT22" s="138">
        <f>B104</f>
        <v>75</v>
      </c>
      <c r="BU22" s="52" t="s">
        <v>24</v>
      </c>
      <c r="BV22" s="83" t="s">
        <v>90</v>
      </c>
      <c r="BW22" s="150">
        <f>B108</f>
        <v>1</v>
      </c>
      <c r="BX22" s="52" t="s">
        <v>194</v>
      </c>
      <c r="BY22" s="83" t="s">
        <v>140</v>
      </c>
      <c r="BZ22" s="150">
        <f>B103</f>
        <v>75</v>
      </c>
      <c r="CA22" s="83" t="s">
        <v>24</v>
      </c>
      <c r="CB22" s="52" t="s">
        <v>267</v>
      </c>
      <c r="CC22" s="136">
        <f>B5</f>
        <v>1</v>
      </c>
      <c r="CD22" s="52" t="s">
        <v>344</v>
      </c>
      <c r="CE22" s="52" t="s">
        <v>267</v>
      </c>
      <c r="CF22" s="136">
        <f>B5</f>
        <v>1</v>
      </c>
      <c r="CG22" s="52" t="s">
        <v>344</v>
      </c>
      <c r="CK22" s="269"/>
      <c r="CL22" s="263"/>
      <c r="CM22" s="280"/>
      <c r="CN22" s="260"/>
      <c r="CO22" s="263"/>
      <c r="CP22" s="280"/>
      <c r="CQ22" s="260"/>
      <c r="CR22" s="263"/>
      <c r="CS22" s="266"/>
      <c r="CT22" s="91" t="s">
        <v>275</v>
      </c>
      <c r="CU22" s="144">
        <f>DY2</f>
        <v>5.8322516122259409E-8</v>
      </c>
      <c r="CV22" s="92" t="s">
        <v>12</v>
      </c>
      <c r="CW22" s="52" t="s">
        <v>271</v>
      </c>
      <c r="CX22" s="145">
        <f>((CX5*CX10*CX6)/((CX15/CX16)*CX8*(1-EXP(-CX6*CX10))*CX17*(1/365)*CX18))*CX7*CX27*CX28</f>
        <v>2.5627054722789519E-15</v>
      </c>
      <c r="CY22" s="52" t="s">
        <v>16</v>
      </c>
      <c r="CZ22" s="91" t="s">
        <v>510</v>
      </c>
      <c r="DA22" s="144">
        <f>GD2</f>
        <v>6.6211795148536943E-6</v>
      </c>
      <c r="DB22" s="83" t="s">
        <v>297</v>
      </c>
      <c r="DC22" s="84" t="s">
        <v>295</v>
      </c>
      <c r="DD22" s="142">
        <f>B302</f>
        <v>137</v>
      </c>
      <c r="DE22" s="84" t="s">
        <v>296</v>
      </c>
      <c r="DF22" s="92" t="s">
        <v>74</v>
      </c>
      <c r="DG22" s="138">
        <f>B202</f>
        <v>14</v>
      </c>
      <c r="DH22" s="52" t="s">
        <v>75</v>
      </c>
      <c r="DL22" s="92"/>
      <c r="DO22" s="92" t="s">
        <v>74</v>
      </c>
      <c r="DP22" s="138">
        <f>B202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B202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B202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B202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B202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B202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105</v>
      </c>
      <c r="B23" s="182">
        <v>2500</v>
      </c>
      <c r="C23" s="84" t="s">
        <v>18</v>
      </c>
      <c r="D23" s="52" t="s">
        <v>380</v>
      </c>
      <c r="E23" s="138">
        <f>B54</f>
        <v>350</v>
      </c>
      <c r="F23" s="52" t="s">
        <v>24</v>
      </c>
      <c r="G23" s="83" t="s">
        <v>399</v>
      </c>
      <c r="H23" s="146">
        <f>B149</f>
        <v>68.099999999999994</v>
      </c>
      <c r="I23" s="92" t="s">
        <v>221</v>
      </c>
      <c r="J23" s="83" t="s">
        <v>366</v>
      </c>
      <c r="K23" s="141">
        <f>B38</f>
        <v>10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666"/>
      <c r="AS23" s="305"/>
      <c r="AT23" s="668"/>
      <c r="AU23" s="664"/>
      <c r="AV23" s="305"/>
      <c r="AW23" s="670"/>
      <c r="BA23" s="666"/>
      <c r="BB23" s="305"/>
      <c r="BC23" s="668"/>
      <c r="BD23" s="664"/>
      <c r="BE23" s="305"/>
      <c r="BF23" s="670"/>
      <c r="BJ23" s="666"/>
      <c r="BK23" s="286"/>
      <c r="BL23" s="668"/>
      <c r="BM23" s="664"/>
      <c r="BN23" s="286"/>
      <c r="BO23" s="670"/>
      <c r="BS23" s="52" t="s">
        <v>434</v>
      </c>
      <c r="BT23" s="138">
        <f>B105</f>
        <v>75</v>
      </c>
      <c r="BU23" s="52" t="s">
        <v>24</v>
      </c>
      <c r="BV23" s="83" t="s">
        <v>435</v>
      </c>
      <c r="BW23" s="138">
        <f>B114</f>
        <v>1</v>
      </c>
      <c r="BX23" s="52" t="s">
        <v>80</v>
      </c>
      <c r="BY23" s="83" t="s">
        <v>434</v>
      </c>
      <c r="BZ23" s="150">
        <f>B105</f>
        <v>75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B5</f>
        <v>1</v>
      </c>
      <c r="CM23" s="52" t="s">
        <v>344</v>
      </c>
      <c r="CN23" s="52" t="s">
        <v>229</v>
      </c>
      <c r="CO23" s="136">
        <f>B29</f>
        <v>2.1999999999999999E-2</v>
      </c>
      <c r="CP23" s="52" t="s">
        <v>268</v>
      </c>
      <c r="CQ23" s="83" t="s">
        <v>229</v>
      </c>
      <c r="CR23" s="136">
        <f>CO23</f>
        <v>2.1999999999999999E-2</v>
      </c>
      <c r="CS23" s="52" t="s">
        <v>268</v>
      </c>
      <c r="CT23" s="91" t="s">
        <v>276</v>
      </c>
      <c r="CU23" s="144">
        <f>GG2</f>
        <v>3.443455890022542E-8</v>
      </c>
      <c r="CV23" s="92" t="s">
        <v>12</v>
      </c>
      <c r="CW23" s="52" t="s">
        <v>456</v>
      </c>
      <c r="CX23" s="138">
        <f>B167</f>
        <v>350</v>
      </c>
      <c r="CY23" s="52" t="s">
        <v>24</v>
      </c>
      <c r="CZ23" s="91" t="s">
        <v>277</v>
      </c>
      <c r="DA23" s="145">
        <f>FO2</f>
        <v>1.9655639016987179E-9</v>
      </c>
      <c r="DB23" s="83" t="s">
        <v>297</v>
      </c>
      <c r="DC23" s="84" t="s">
        <v>293</v>
      </c>
      <c r="DD23" s="161">
        <f>B304</f>
        <v>2.8000000000000002E-12</v>
      </c>
      <c r="DE23" s="84"/>
      <c r="DF23" s="83" t="s">
        <v>267</v>
      </c>
      <c r="DG23" s="136">
        <f>B22</f>
        <v>11010.9915</v>
      </c>
      <c r="DH23" s="52" t="s">
        <v>222</v>
      </c>
      <c r="DO23" s="83" t="s">
        <v>19</v>
      </c>
      <c r="DP23" s="161">
        <f>DP25</f>
        <v>2.5229999999999999E-2</v>
      </c>
      <c r="EA23" s="83"/>
      <c r="EB23" s="83"/>
      <c r="EC23" s="84"/>
      <c r="ED23" s="83" t="s">
        <v>19</v>
      </c>
      <c r="EE23" s="161">
        <f>EE25</f>
        <v>2.9000000000000001E-2</v>
      </c>
      <c r="EF23" s="84"/>
      <c r="EP23" s="83"/>
      <c r="EQ23" s="83"/>
      <c r="ER23" s="84"/>
      <c r="ES23" s="83" t="s">
        <v>19</v>
      </c>
      <c r="ET23" s="161">
        <f>ET25</f>
        <v>2.9000000000000001E-2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2.9000000000000001E-2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2.9000000000000001E-2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2.9000000000000001E-2</v>
      </c>
      <c r="HC23" s="84"/>
      <c r="HD23" s="67" t="s">
        <v>14</v>
      </c>
      <c r="HE23" s="126">
        <f>((HE25*HE42)*HE38*HE33*10^-3*HE32*HE27)/(HE31*HE41*(1-EXP(-HE27*HE32)))</f>
        <v>1.2430805873777104E-11</v>
      </c>
      <c r="HF23" s="220" t="s">
        <v>597</v>
      </c>
    </row>
    <row r="24" spans="1:214" ht="14.25" thickTop="1" thickBot="1" x14ac:dyDescent="0.25">
      <c r="A24" s="83" t="s">
        <v>239</v>
      </c>
      <c r="B24" s="183">
        <v>4.5999999999999999E-3</v>
      </c>
      <c r="C24" s="52" t="s">
        <v>601</v>
      </c>
      <c r="D24" s="52" t="s">
        <v>381</v>
      </c>
      <c r="E24" s="138">
        <f>B55</f>
        <v>350</v>
      </c>
      <c r="F24" s="52" t="s">
        <v>24</v>
      </c>
      <c r="G24" s="83" t="s">
        <v>310</v>
      </c>
      <c r="H24" s="146">
        <f>B46</f>
        <v>188.5</v>
      </c>
      <c r="I24" s="92" t="s">
        <v>221</v>
      </c>
      <c r="J24" s="83" t="s">
        <v>367</v>
      </c>
      <c r="K24" s="141">
        <f>B39</f>
        <v>20</v>
      </c>
      <c r="L24" s="52" t="s">
        <v>407</v>
      </c>
      <c r="M24" s="52" t="s">
        <v>267</v>
      </c>
      <c r="N24" s="136">
        <f>B5</f>
        <v>1</v>
      </c>
      <c r="O24" s="52" t="s">
        <v>344</v>
      </c>
      <c r="P24" s="52" t="s">
        <v>267</v>
      </c>
      <c r="Q24" s="136">
        <f>B5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2.2972045705420805E-2</v>
      </c>
      <c r="AD24" s="137">
        <f>0.693/AD25</f>
        <v>2.2972045705420805E-2</v>
      </c>
      <c r="AE24" s="137">
        <f>0.693/AE25</f>
        <v>2.2972045705420805E-2</v>
      </c>
      <c r="AF24" s="137">
        <f>0.693/AF25</f>
        <v>2.2972045705420805E-2</v>
      </c>
      <c r="AG24" s="137">
        <f>0.693/AG25</f>
        <v>2.2972045705420805E-2</v>
      </c>
      <c r="AI24" s="52" t="s">
        <v>267</v>
      </c>
      <c r="AJ24" s="136">
        <f>B5</f>
        <v>1</v>
      </c>
      <c r="AK24" s="52" t="s">
        <v>344</v>
      </c>
      <c r="AL24" s="52" t="s">
        <v>267</v>
      </c>
      <c r="AM24" s="136">
        <f>B5</f>
        <v>1</v>
      </c>
      <c r="AN24" s="52" t="s">
        <v>344</v>
      </c>
      <c r="AR24" s="52" t="s">
        <v>267</v>
      </c>
      <c r="AS24" s="136">
        <f>B5</f>
        <v>1</v>
      </c>
      <c r="AT24" s="52" t="s">
        <v>344</v>
      </c>
      <c r="AU24" s="52" t="s">
        <v>267</v>
      </c>
      <c r="AV24" s="136">
        <f>B5</f>
        <v>1</v>
      </c>
      <c r="AW24" s="52" t="s">
        <v>344</v>
      </c>
      <c r="BA24" s="52" t="s">
        <v>267</v>
      </c>
      <c r="BB24" s="136">
        <f>B5</f>
        <v>1</v>
      </c>
      <c r="BC24" s="52" t="s">
        <v>344</v>
      </c>
      <c r="BD24" s="52" t="s">
        <v>267</v>
      </c>
      <c r="BE24" s="136">
        <f>B5</f>
        <v>1</v>
      </c>
      <c r="BF24" s="52" t="s">
        <v>344</v>
      </c>
      <c r="BJ24" s="52" t="s">
        <v>267</v>
      </c>
      <c r="BK24" s="136">
        <f>B5</f>
        <v>1</v>
      </c>
      <c r="BL24" s="52" t="s">
        <v>344</v>
      </c>
      <c r="BM24" s="52" t="s">
        <v>267</v>
      </c>
      <c r="BN24" s="136">
        <f>B5</f>
        <v>1</v>
      </c>
      <c r="BO24" s="52" t="s">
        <v>344</v>
      </c>
      <c r="BS24" s="91" t="s">
        <v>95</v>
      </c>
      <c r="BT24" s="158">
        <f>B117</f>
        <v>1</v>
      </c>
      <c r="BU24" s="91" t="s">
        <v>60</v>
      </c>
      <c r="BV24" s="83" t="s">
        <v>436</v>
      </c>
      <c r="BW24" s="138">
        <f>B115</f>
        <v>1</v>
      </c>
      <c r="BX24" s="52" t="s">
        <v>80</v>
      </c>
      <c r="BY24" s="83" t="s">
        <v>433</v>
      </c>
      <c r="BZ24" s="150">
        <f>B104</f>
        <v>75</v>
      </c>
      <c r="CA24" s="83" t="s">
        <v>24</v>
      </c>
      <c r="CB24" s="83" t="s">
        <v>22</v>
      </c>
      <c r="CC24" s="137">
        <f>0.693/CC25</f>
        <v>2.2972045705420805E-2</v>
      </c>
      <c r="CE24" s="83" t="s">
        <v>22</v>
      </c>
      <c r="CF24" s="137">
        <f>0.693/CF25</f>
        <v>2.2972045705420805E-2</v>
      </c>
      <c r="CK24" s="52" t="s">
        <v>258</v>
      </c>
      <c r="CL24" s="136">
        <f>B17</f>
        <v>4.9109405245458101E-5</v>
      </c>
      <c r="CM24" s="92" t="s">
        <v>259</v>
      </c>
      <c r="CN24" s="52" t="s">
        <v>20</v>
      </c>
      <c r="CO24" s="139">
        <f>CO26</f>
        <v>2.9000000000000001E-2</v>
      </c>
      <c r="CQ24" s="84" t="s">
        <v>170</v>
      </c>
      <c r="CR24" s="162">
        <f>B139</f>
        <v>1</v>
      </c>
      <c r="CS24" s="52" t="s">
        <v>28</v>
      </c>
      <c r="CT24" s="91" t="s">
        <v>277</v>
      </c>
      <c r="CU24" s="145">
        <f>FR2</f>
        <v>1.9882268509423672E-11</v>
      </c>
      <c r="CV24" s="92" t="s">
        <v>12</v>
      </c>
      <c r="CW24" s="52" t="s">
        <v>465</v>
      </c>
      <c r="CX24" s="138">
        <f>B168</f>
        <v>350</v>
      </c>
      <c r="CY24" s="52" t="s">
        <v>24</v>
      </c>
      <c r="CZ24" s="83" t="s">
        <v>45</v>
      </c>
      <c r="DA24" s="149">
        <f>(DA35*DA27*DA49)+(DA36*DA28*DA50)</f>
        <v>784.7</v>
      </c>
      <c r="DB24" s="52" t="s">
        <v>345</v>
      </c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128">
        <f>((HE26*HE42)*HE38*HE33*10^-3*HE32*HE27)/(HE31*HE41*(1-EXP(-HE27*HE32)))</f>
        <v>1.9126234967524311E-13</v>
      </c>
      <c r="HF24" s="221" t="s">
        <v>598</v>
      </c>
    </row>
    <row r="25" spans="1:214" ht="15" thickTop="1" x14ac:dyDescent="0.2">
      <c r="A25" s="83" t="s">
        <v>236</v>
      </c>
      <c r="B25" s="183">
        <v>2.1999999999999999E-2</v>
      </c>
      <c r="C25" s="52" t="s">
        <v>388</v>
      </c>
      <c r="D25" s="83" t="s">
        <v>376</v>
      </c>
      <c r="E25" s="146">
        <f>B49</f>
        <v>0.23</v>
      </c>
      <c r="G25" s="83" t="s">
        <v>400</v>
      </c>
      <c r="H25" s="149">
        <f>(H29*H26*H68)+(H30*H27*H69)</f>
        <v>38095.4</v>
      </c>
      <c r="I25" s="92" t="s">
        <v>347</v>
      </c>
      <c r="J25" s="83" t="s">
        <v>446</v>
      </c>
      <c r="K25" s="149">
        <f>(K31*K26*K51)+(K32*K27*K52)</f>
        <v>56282.8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1.0755739056994434E-14</v>
      </c>
      <c r="X25" s="62" t="s">
        <v>294</v>
      </c>
      <c r="Y25" s="202" t="s">
        <v>16</v>
      </c>
      <c r="Z25" s="187">
        <f>1/((1/Z41)+(1/Z40))</f>
        <v>1.0755739056994434E-14</v>
      </c>
      <c r="AA25" s="63" t="s">
        <v>294</v>
      </c>
      <c r="AB25" s="91" t="s">
        <v>231</v>
      </c>
      <c r="AC25" s="136">
        <f>B18</f>
        <v>30.167100000000001</v>
      </c>
      <c r="AD25" s="136">
        <f>B18</f>
        <v>30.167100000000001</v>
      </c>
      <c r="AE25" s="136">
        <f>B18</f>
        <v>30.167100000000001</v>
      </c>
      <c r="AF25" s="136">
        <f>B18</f>
        <v>30.167100000000001</v>
      </c>
      <c r="AG25" s="136">
        <f>B18</f>
        <v>30.167100000000001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B101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B108</f>
        <v>1</v>
      </c>
      <c r="CA25" s="94" t="s">
        <v>194</v>
      </c>
      <c r="CB25" s="91" t="s">
        <v>231</v>
      </c>
      <c r="CC25" s="136">
        <f>B18</f>
        <v>30.167100000000001</v>
      </c>
      <c r="CD25" s="52" t="s">
        <v>60</v>
      </c>
      <c r="CE25" s="91" t="s">
        <v>231</v>
      </c>
      <c r="CF25" s="136">
        <f>B18</f>
        <v>30.167100000000001</v>
      </c>
      <c r="CG25" s="52" t="s">
        <v>60</v>
      </c>
      <c r="CK25" s="52" t="s">
        <v>140</v>
      </c>
      <c r="CL25" s="138">
        <f>B103</f>
        <v>75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40250</v>
      </c>
      <c r="CV25" s="83" t="s">
        <v>346</v>
      </c>
      <c r="CW25" s="83" t="s">
        <v>475</v>
      </c>
      <c r="CX25" s="146">
        <f>B165</f>
        <v>0.15</v>
      </c>
      <c r="CZ25" s="83" t="s">
        <v>43</v>
      </c>
      <c r="DA25" s="140">
        <f>(DA35*DA29*(DA38/24)*DA49)+(DA36*DA30*(DA39/24)*DA50)</f>
        <v>6475</v>
      </c>
      <c r="DB25" s="83" t="s">
        <v>426</v>
      </c>
      <c r="DF25" s="52" t="s">
        <v>33</v>
      </c>
      <c r="DG25" s="136">
        <f>B32</f>
        <v>2.9000000000000001E-2</v>
      </c>
      <c r="DO25" s="83" t="s">
        <v>32</v>
      </c>
      <c r="DP25" s="136">
        <f>B31</f>
        <v>2.5229999999999999E-2</v>
      </c>
      <c r="EA25" s="83"/>
      <c r="EC25" s="84"/>
      <c r="ED25" s="83" t="s">
        <v>33</v>
      </c>
      <c r="EE25" s="136">
        <f>B32</f>
        <v>2.9000000000000001E-2</v>
      </c>
      <c r="EF25" s="84"/>
      <c r="EP25" s="83"/>
      <c r="ER25" s="84"/>
      <c r="ES25" s="83" t="s">
        <v>33</v>
      </c>
      <c r="ET25" s="136">
        <f>B32</f>
        <v>2.9000000000000001E-2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B32</f>
        <v>2.9000000000000001E-2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B32</f>
        <v>2.9000000000000001E-2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B32</f>
        <v>2.9000000000000001E-2</v>
      </c>
      <c r="HC25" s="84"/>
      <c r="HD25" s="89" t="s">
        <v>21</v>
      </c>
      <c r="HE25" s="139">
        <f>B34</f>
        <v>2.3144199120000001E-9</v>
      </c>
      <c r="HF25" s="83" t="s">
        <v>13</v>
      </c>
    </row>
    <row r="26" spans="1:214" ht="13.5" thickBot="1" x14ac:dyDescent="0.25">
      <c r="A26" s="83" t="s">
        <v>237</v>
      </c>
      <c r="B26" s="183">
        <v>2.7</v>
      </c>
      <c r="C26" s="52" t="s">
        <v>388</v>
      </c>
      <c r="D26" s="83" t="s">
        <v>377</v>
      </c>
      <c r="E26" s="146">
        <f>B50</f>
        <v>0.77</v>
      </c>
      <c r="G26" s="83" t="s">
        <v>401</v>
      </c>
      <c r="H26" s="146">
        <f>B151</f>
        <v>41.7</v>
      </c>
      <c r="I26" s="92" t="s">
        <v>221</v>
      </c>
      <c r="J26" s="83" t="s">
        <v>399</v>
      </c>
      <c r="K26" s="146">
        <f>B45</f>
        <v>68.099999999999994</v>
      </c>
      <c r="L26" s="92" t="s">
        <v>221</v>
      </c>
      <c r="M26" s="83" t="s">
        <v>22</v>
      </c>
      <c r="N26" s="137">
        <f>0.693/N27</f>
        <v>2.2972045705420805E-2</v>
      </c>
      <c r="P26" s="83" t="s">
        <v>22</v>
      </c>
      <c r="Q26" s="137">
        <f>0.693/Q27</f>
        <v>2.2972045705420805E-2</v>
      </c>
      <c r="V26" s="201" t="s">
        <v>15</v>
      </c>
      <c r="W26" s="75">
        <f>1/((1/W38)+(1/W39))</f>
        <v>1.0633138978330839E-14</v>
      </c>
      <c r="X26" s="76" t="s">
        <v>294</v>
      </c>
      <c r="Y26" s="203" t="s">
        <v>15</v>
      </c>
      <c r="Z26" s="185">
        <f>1/((1/Z38)+(1/Z39))</f>
        <v>1.0633138978330839E-14</v>
      </c>
      <c r="AA26" s="77" t="s">
        <v>294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2.2972045705420805E-2</v>
      </c>
      <c r="AL26" s="83" t="s">
        <v>22</v>
      </c>
      <c r="AM26" s="137">
        <f>0.693/AM27</f>
        <v>2.2972045705420805E-2</v>
      </c>
      <c r="AR26" s="83" t="s">
        <v>22</v>
      </c>
      <c r="AS26" s="137">
        <f>0.693/AS27</f>
        <v>2.2972045705420805E-2</v>
      </c>
      <c r="AU26" s="83" t="s">
        <v>22</v>
      </c>
      <c r="AV26" s="137">
        <f>0.693/AV27</f>
        <v>2.2972045705420805E-2</v>
      </c>
      <c r="BA26" s="83" t="s">
        <v>22</v>
      </c>
      <c r="BB26" s="137">
        <f>0.693/BB27</f>
        <v>2.2972045705420805E-2</v>
      </c>
      <c r="BD26" s="83" t="s">
        <v>22</v>
      </c>
      <c r="BE26" s="137">
        <f>0.693/BE27</f>
        <v>2.2972045705420805E-2</v>
      </c>
      <c r="BJ26" s="83" t="s">
        <v>22</v>
      </c>
      <c r="BK26" s="137">
        <f>0.693/BK27</f>
        <v>2.2972045705420805E-2</v>
      </c>
      <c r="BM26" s="83" t="s">
        <v>22</v>
      </c>
      <c r="BN26" s="137">
        <f>0.693/BN27</f>
        <v>2.2972045705420805E-2</v>
      </c>
      <c r="BS26" s="91" t="s">
        <v>309</v>
      </c>
      <c r="BT26" s="177">
        <f>B102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B106</f>
        <v>1</v>
      </c>
      <c r="CA26" s="94" t="s">
        <v>194</v>
      </c>
      <c r="CB26" s="52" t="s">
        <v>140</v>
      </c>
      <c r="CC26" s="138">
        <f>B103</f>
        <v>75</v>
      </c>
      <c r="CD26" s="52" t="s">
        <v>24</v>
      </c>
      <c r="CE26" s="52" t="s">
        <v>140</v>
      </c>
      <c r="CF26" s="138">
        <f>B103</f>
        <v>75</v>
      </c>
      <c r="CG26" s="52" t="s">
        <v>24</v>
      </c>
      <c r="CK26" s="52" t="s">
        <v>160</v>
      </c>
      <c r="CL26" s="162">
        <f>B134</f>
        <v>1</v>
      </c>
      <c r="CM26" s="52" t="s">
        <v>221</v>
      </c>
      <c r="CN26" s="52" t="s">
        <v>33</v>
      </c>
      <c r="CO26" s="136">
        <f>B32</f>
        <v>2.9000000000000001E-2</v>
      </c>
      <c r="CT26" s="83" t="s">
        <v>506</v>
      </c>
      <c r="CU26" s="155">
        <f>((CU31*CU29*CU47)+(CU32*CU30*CU48))</f>
        <v>6475</v>
      </c>
      <c r="CV26" s="52" t="s">
        <v>426</v>
      </c>
      <c r="CW26" s="83" t="s">
        <v>476</v>
      </c>
      <c r="CX26" s="141">
        <f>B166</f>
        <v>0.85</v>
      </c>
      <c r="CY26" s="83"/>
      <c r="CZ26" s="83" t="s">
        <v>142</v>
      </c>
      <c r="DA26" s="149">
        <f>(DA35*DA40*DA42*DA49)+(DA36*DA41*DA43*DA50)</f>
        <v>239.57499999999999</v>
      </c>
      <c r="DB26" s="52" t="s">
        <v>356</v>
      </c>
      <c r="DF26" s="95"/>
      <c r="DG26" s="176"/>
      <c r="DO26" s="83" t="s">
        <v>393</v>
      </c>
      <c r="DP26" s="138">
        <f>B35</f>
        <v>0.26</v>
      </c>
      <c r="EA26" s="83"/>
      <c r="EB26" s="84"/>
      <c r="EC26" s="84"/>
      <c r="ED26" s="83" t="s">
        <v>392</v>
      </c>
      <c r="EE26" s="163">
        <f>B36</f>
        <v>0.25</v>
      </c>
      <c r="EF26" s="84"/>
      <c r="EP26" s="83"/>
      <c r="EQ26" s="84"/>
      <c r="ER26" s="84"/>
      <c r="ES26" s="83" t="s">
        <v>392</v>
      </c>
      <c r="ET26" s="163">
        <f>B36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B36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B36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B36</f>
        <v>0.25</v>
      </c>
      <c r="HC26" s="84"/>
      <c r="HD26" s="84" t="s">
        <v>265</v>
      </c>
      <c r="HE26" s="139">
        <f>H2</f>
        <v>3.561003164228376E-11</v>
      </c>
      <c r="HF26" s="83" t="s">
        <v>13</v>
      </c>
    </row>
    <row r="27" spans="1:214" ht="13.5" thickTop="1" x14ac:dyDescent="0.2">
      <c r="A27" s="83" t="s">
        <v>171</v>
      </c>
      <c r="B27" s="183">
        <v>0.4</v>
      </c>
      <c r="C27" s="52" t="s">
        <v>388</v>
      </c>
      <c r="D27" s="84" t="s">
        <v>295</v>
      </c>
      <c r="E27" s="142">
        <f>B302</f>
        <v>137</v>
      </c>
      <c r="F27" s="84" t="s">
        <v>296</v>
      </c>
      <c r="G27" s="83" t="s">
        <v>402</v>
      </c>
      <c r="H27" s="146">
        <f>B48</f>
        <v>128.9</v>
      </c>
      <c r="I27" s="92" t="s">
        <v>221</v>
      </c>
      <c r="J27" s="83" t="s">
        <v>310</v>
      </c>
      <c r="K27" s="146">
        <f>B46</f>
        <v>188.5</v>
      </c>
      <c r="L27" s="92" t="s">
        <v>221</v>
      </c>
      <c r="M27" s="91" t="s">
        <v>231</v>
      </c>
      <c r="N27" s="136">
        <f>B18</f>
        <v>30.167100000000001</v>
      </c>
      <c r="O27" s="52" t="s">
        <v>60</v>
      </c>
      <c r="P27" s="91" t="s">
        <v>231</v>
      </c>
      <c r="Q27" s="136">
        <f>B18</f>
        <v>30.167100000000001</v>
      </c>
      <c r="R27" s="52" t="s">
        <v>60</v>
      </c>
      <c r="V27" s="52" t="s">
        <v>267</v>
      </c>
      <c r="W27" s="136">
        <f>B5</f>
        <v>1</v>
      </c>
      <c r="X27" s="52" t="s">
        <v>344</v>
      </c>
      <c r="Y27" s="52" t="s">
        <v>267</v>
      </c>
      <c r="Z27" s="136">
        <f>B5</f>
        <v>1</v>
      </c>
      <c r="AA27" s="52" t="s">
        <v>344</v>
      </c>
      <c r="AB27" s="84" t="s">
        <v>16</v>
      </c>
      <c r="AC27" s="156">
        <f>(AC23*AC24)/(1-EXP(-AC24*AC23))</f>
        <v>1.0115299987062558</v>
      </c>
      <c r="AD27" s="156">
        <f>(AD23*AD24)/(1-EXP(-AD24*AD23))</f>
        <v>1.0115299987062558</v>
      </c>
      <c r="AE27" s="156">
        <f>(AE23*AE24)/(1-EXP(-AE24*AE23))</f>
        <v>1.0115299987062558</v>
      </c>
      <c r="AF27" s="156">
        <f>(AF23*AF24)/(1-EXP(-AF24*AF23))</f>
        <v>1.0115299987062558</v>
      </c>
      <c r="AG27" s="156">
        <f>(AG23*AG24)/(1-EXP(-AG24*AG23))</f>
        <v>1.0115299987062558</v>
      </c>
      <c r="AI27" s="91" t="s">
        <v>231</v>
      </c>
      <c r="AJ27" s="136">
        <f>B18</f>
        <v>30.167100000000001</v>
      </c>
      <c r="AK27" s="52" t="s">
        <v>60</v>
      </c>
      <c r="AL27" s="91" t="s">
        <v>231</v>
      </c>
      <c r="AM27" s="136">
        <f>B18</f>
        <v>30.167100000000001</v>
      </c>
      <c r="AN27" s="52" t="s">
        <v>60</v>
      </c>
      <c r="AR27" s="91" t="s">
        <v>231</v>
      </c>
      <c r="AS27" s="136">
        <f>B18</f>
        <v>30.167100000000001</v>
      </c>
      <c r="AT27" s="52" t="s">
        <v>60</v>
      </c>
      <c r="AU27" s="91" t="s">
        <v>231</v>
      </c>
      <c r="AV27" s="136">
        <f>B18</f>
        <v>30.167100000000001</v>
      </c>
      <c r="AW27" s="52" t="s">
        <v>60</v>
      </c>
      <c r="BA27" s="91" t="s">
        <v>231</v>
      </c>
      <c r="BB27" s="136">
        <f>B18</f>
        <v>30.167100000000001</v>
      </c>
      <c r="BC27" s="52" t="s">
        <v>60</v>
      </c>
      <c r="BD27" s="91" t="s">
        <v>231</v>
      </c>
      <c r="BE27" s="136">
        <f>B18</f>
        <v>30.167100000000001</v>
      </c>
      <c r="BF27" s="52" t="s">
        <v>60</v>
      </c>
      <c r="BJ27" s="91" t="s">
        <v>231</v>
      </c>
      <c r="BK27" s="136">
        <f>B18</f>
        <v>30.167100000000001</v>
      </c>
      <c r="BL27" s="52" t="s">
        <v>60</v>
      </c>
      <c r="BM27" s="91" t="s">
        <v>231</v>
      </c>
      <c r="BN27" s="136">
        <f>B18</f>
        <v>30.167100000000001</v>
      </c>
      <c r="BO27" s="52" t="s">
        <v>60</v>
      </c>
      <c r="BS27" s="84" t="s">
        <v>295</v>
      </c>
      <c r="BT27" s="142">
        <f>B302</f>
        <v>137</v>
      </c>
      <c r="BU27" s="84" t="s">
        <v>296</v>
      </c>
      <c r="BW27" s="138">
        <v>1000</v>
      </c>
      <c r="BX27" s="52" t="s">
        <v>218</v>
      </c>
      <c r="BY27" s="83" t="s">
        <v>90</v>
      </c>
      <c r="BZ27" s="150">
        <f>B107</f>
        <v>1</v>
      </c>
      <c r="CA27" s="52" t="s">
        <v>194</v>
      </c>
      <c r="CB27" s="52" t="s">
        <v>51</v>
      </c>
      <c r="CC27" s="138">
        <f>B117</f>
        <v>1</v>
      </c>
      <c r="CD27" s="52" t="s">
        <v>146</v>
      </c>
      <c r="CE27" s="52" t="s">
        <v>51</v>
      </c>
      <c r="CF27" s="138">
        <f>B117</f>
        <v>1</v>
      </c>
      <c r="CG27" s="52" t="s">
        <v>146</v>
      </c>
      <c r="CK27" s="84" t="s">
        <v>295</v>
      </c>
      <c r="CL27" s="142">
        <f>B302</f>
        <v>137</v>
      </c>
      <c r="CM27" s="84" t="s">
        <v>296</v>
      </c>
      <c r="CN27" s="52" t="s">
        <v>392</v>
      </c>
      <c r="CO27" s="162">
        <f>B36</f>
        <v>0.25</v>
      </c>
      <c r="CT27" s="83" t="s">
        <v>449</v>
      </c>
      <c r="CU27" s="146">
        <f>B141</f>
        <v>200</v>
      </c>
      <c r="CV27" s="84" t="s">
        <v>48</v>
      </c>
      <c r="CW27" s="84" t="s">
        <v>295</v>
      </c>
      <c r="CX27" s="142">
        <f>B302</f>
        <v>137</v>
      </c>
      <c r="CY27" s="84" t="s">
        <v>296</v>
      </c>
      <c r="CZ27" s="92" t="s">
        <v>451</v>
      </c>
      <c r="DA27" s="142">
        <f t="shared" ref="DA27:DA34" si="0">B145</f>
        <v>0.78</v>
      </c>
      <c r="DB27" s="83" t="s">
        <v>28</v>
      </c>
      <c r="DO27" s="95"/>
      <c r="DP27" s="176"/>
      <c r="DW27" s="88"/>
      <c r="DX27" s="88"/>
      <c r="DY27" s="88"/>
      <c r="DZ27" s="88"/>
      <c r="EA27" s="83"/>
      <c r="EB27" s="85"/>
      <c r="ED27" s="83" t="s">
        <v>517</v>
      </c>
      <c r="EE27" s="136">
        <f>B24</f>
        <v>4.5999999999999999E-3</v>
      </c>
      <c r="EF27" s="52" t="s">
        <v>388</v>
      </c>
      <c r="EP27" s="83"/>
      <c r="EQ27" s="86"/>
      <c r="ES27" s="83" t="s">
        <v>236</v>
      </c>
      <c r="ET27" s="169">
        <f>B25</f>
        <v>2.1999999999999999E-2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B27</f>
        <v>0.4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B26</f>
        <v>2.7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B28</f>
        <v>0.2</v>
      </c>
      <c r="HC27" s="52" t="s">
        <v>388</v>
      </c>
      <c r="HD27" s="83" t="s">
        <v>22</v>
      </c>
      <c r="HE27" s="137">
        <f>0.693/HE29</f>
        <v>2.2972045705420805E-2</v>
      </c>
    </row>
    <row r="28" spans="1:214" x14ac:dyDescent="0.2">
      <c r="A28" s="83" t="s">
        <v>238</v>
      </c>
      <c r="B28" s="183">
        <v>0.2</v>
      </c>
      <c r="C28" s="52" t="s">
        <v>388</v>
      </c>
      <c r="D28" s="84" t="s">
        <v>293</v>
      </c>
      <c r="E28" s="161">
        <f>B303</f>
        <v>2.8000000000000001E-15</v>
      </c>
      <c r="F28" s="84"/>
      <c r="G28" s="83" t="s">
        <v>65</v>
      </c>
      <c r="H28" s="141">
        <f>B65</f>
        <v>0.5</v>
      </c>
      <c r="I28" s="52" t="s">
        <v>66</v>
      </c>
      <c r="J28" s="83" t="s">
        <v>447</v>
      </c>
      <c r="K28" s="149">
        <f>(K31*K29*K51)+(K32*K30*K52)</f>
        <v>38095.4</v>
      </c>
      <c r="L28" s="92" t="s">
        <v>347</v>
      </c>
      <c r="M28" s="52" t="s">
        <v>382</v>
      </c>
      <c r="N28" s="138">
        <f>B56</f>
        <v>350</v>
      </c>
      <c r="O28" s="52" t="s">
        <v>24</v>
      </c>
      <c r="P28" s="52" t="s">
        <v>382</v>
      </c>
      <c r="Q28" s="138">
        <f>B56</f>
        <v>350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B243</f>
        <v>250</v>
      </c>
      <c r="AK28" s="52" t="s">
        <v>24</v>
      </c>
      <c r="AL28" s="52" t="s">
        <v>35</v>
      </c>
      <c r="AM28" s="138">
        <f>B243</f>
        <v>250</v>
      </c>
      <c r="AN28" s="52" t="s">
        <v>24</v>
      </c>
      <c r="AR28" s="52" t="s">
        <v>423</v>
      </c>
      <c r="AS28" s="138">
        <f>B255</f>
        <v>225</v>
      </c>
      <c r="AT28" s="52" t="s">
        <v>24</v>
      </c>
      <c r="AU28" s="52" t="s">
        <v>423</v>
      </c>
      <c r="AV28" s="138">
        <f>B255</f>
        <v>225</v>
      </c>
      <c r="AW28" s="52" t="s">
        <v>24</v>
      </c>
      <c r="BA28" s="52" t="s">
        <v>316</v>
      </c>
      <c r="BB28" s="138">
        <f>B231</f>
        <v>250</v>
      </c>
      <c r="BC28" s="52" t="s">
        <v>24</v>
      </c>
      <c r="BD28" s="52" t="s">
        <v>316</v>
      </c>
      <c r="BE28" s="138">
        <f>B231</f>
        <v>250</v>
      </c>
      <c r="BF28" s="52" t="s">
        <v>24</v>
      </c>
      <c r="BJ28" s="52" t="s">
        <v>191</v>
      </c>
      <c r="BK28" s="138">
        <f>BK29*BK30</f>
        <v>250</v>
      </c>
      <c r="BL28" s="52" t="s">
        <v>24</v>
      </c>
      <c r="BM28" s="52" t="s">
        <v>191</v>
      </c>
      <c r="BN28" s="138">
        <f>BN29*BN30</f>
        <v>250</v>
      </c>
      <c r="BO28" s="52" t="s">
        <v>24</v>
      </c>
      <c r="BS28" s="84" t="s">
        <v>293</v>
      </c>
      <c r="BT28" s="161">
        <f>B303</f>
        <v>2.8000000000000001E-15</v>
      </c>
      <c r="BU28" s="84"/>
      <c r="BV28" s="83"/>
      <c r="BW28" s="146">
        <v>365</v>
      </c>
      <c r="BX28" s="84" t="s">
        <v>24</v>
      </c>
      <c r="BY28" s="83" t="s">
        <v>302</v>
      </c>
      <c r="BZ28" s="141">
        <f>B118</f>
        <v>2.41E-4</v>
      </c>
      <c r="CB28" s="52" t="s">
        <v>300</v>
      </c>
      <c r="CC28" s="138">
        <f>B126</f>
        <v>1.5699999999999999E-5</v>
      </c>
      <c r="CE28" s="52" t="s">
        <v>300</v>
      </c>
      <c r="CF28" s="138">
        <f>B122</f>
        <v>1.35E-4</v>
      </c>
      <c r="CK28" s="84" t="s">
        <v>293</v>
      </c>
      <c r="CL28" s="161">
        <f>B304</f>
        <v>2.8000000000000002E-12</v>
      </c>
      <c r="CM28" s="84"/>
      <c r="CN28" s="52" t="s">
        <v>165</v>
      </c>
      <c r="CO28" s="162">
        <f>B135</f>
        <v>1</v>
      </c>
      <c r="CP28" s="52" t="s">
        <v>246</v>
      </c>
      <c r="CT28" s="83" t="s">
        <v>458</v>
      </c>
      <c r="CU28" s="146">
        <f>B142</f>
        <v>100</v>
      </c>
      <c r="CV28" s="84" t="s">
        <v>48</v>
      </c>
      <c r="CW28" s="84" t="s">
        <v>293</v>
      </c>
      <c r="CX28" s="161">
        <f>B303</f>
        <v>2.8000000000000001E-15</v>
      </c>
      <c r="CY28" s="84"/>
      <c r="CZ28" s="92" t="s">
        <v>460</v>
      </c>
      <c r="DA28" s="142">
        <f t="shared" si="0"/>
        <v>2.5</v>
      </c>
      <c r="DB28" s="83" t="s">
        <v>28</v>
      </c>
      <c r="DW28" s="88"/>
      <c r="DX28" s="88"/>
      <c r="DY28" s="88"/>
      <c r="DZ28" s="88"/>
      <c r="ED28" s="95"/>
      <c r="EE28" s="176"/>
      <c r="ES28" s="95"/>
      <c r="ET28" s="176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95"/>
      <c r="FI28" s="176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95"/>
      <c r="GM28" s="176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95"/>
      <c r="HB28" s="176"/>
      <c r="HD28" s="52" t="s">
        <v>16</v>
      </c>
      <c r="HE28" s="137">
        <f>1-EXP(-HE27*HE32)</f>
        <v>2.2710197161529555E-2</v>
      </c>
    </row>
    <row r="29" spans="1:214" ht="15.75" thickBot="1" x14ac:dyDescent="0.25">
      <c r="A29" s="52" t="s">
        <v>229</v>
      </c>
      <c r="B29" s="183">
        <v>2.1999999999999999E-2</v>
      </c>
      <c r="C29" s="52" t="s">
        <v>388</v>
      </c>
      <c r="G29" s="83" t="s">
        <v>380</v>
      </c>
      <c r="H29" s="150">
        <f>B54</f>
        <v>350</v>
      </c>
      <c r="I29" s="83" t="s">
        <v>24</v>
      </c>
      <c r="J29" s="83" t="s">
        <v>401</v>
      </c>
      <c r="K29" s="146">
        <f>B47</f>
        <v>41.7</v>
      </c>
      <c r="L29" s="92" t="s">
        <v>221</v>
      </c>
      <c r="M29" s="52" t="s">
        <v>379</v>
      </c>
      <c r="N29" s="138">
        <f>B53</f>
        <v>1</v>
      </c>
      <c r="O29" s="52" t="s">
        <v>146</v>
      </c>
      <c r="P29" s="52" t="s">
        <v>379</v>
      </c>
      <c r="Q29" s="138">
        <f>B53</f>
        <v>1</v>
      </c>
      <c r="R29" s="52" t="s">
        <v>146</v>
      </c>
      <c r="V29" s="83" t="s">
        <v>22</v>
      </c>
      <c r="W29" s="137">
        <f>0.693/W30</f>
        <v>2.2972045705420805E-2</v>
      </c>
      <c r="Y29" s="83" t="s">
        <v>22</v>
      </c>
      <c r="Z29" s="137">
        <f>0.693/Z30</f>
        <v>2.2972045705420805E-2</v>
      </c>
      <c r="AB29" s="83" t="s">
        <v>260</v>
      </c>
      <c r="AC29" s="143">
        <f>((AC5/(AC8*AC13*AC7*AC9*(1/AC6)))*AC27)*AC25*AC35*AC36</f>
        <v>9.3048695174526746E-6</v>
      </c>
      <c r="AD29" s="143">
        <f>((AD5/(AD8*AD13*AD7*AD9*(1/AD6)))*AD27)*AD25*AD35*AD36</f>
        <v>1.8609739034905349E-5</v>
      </c>
      <c r="AE29" s="143">
        <f>((AE5/(AE8*AE13*AE7*AE9*(1/AE6)))*AE27)*AE25*AE35*AE36</f>
        <v>1.033874390828075E-5</v>
      </c>
      <c r="AF29" s="143">
        <f>((AF5*AF23*AF24)/((1-EXP(-AF24*AF23))*AF8*AF7*AF9*AF13*(1/AF28)))*AF25*AF35*AF36</f>
        <v>2.8196574295311133E-6</v>
      </c>
      <c r="AG29" s="143">
        <f>((AG5*AG23*AG24)/((1-EXP(-AG24*AG23))*AG8*AG7*AG9*AG13*(1/AG28)))*AG25*AG35*AG36</f>
        <v>2.8196574295311133E-6</v>
      </c>
      <c r="AH29" s="83" t="s">
        <v>297</v>
      </c>
      <c r="AI29" s="52" t="s">
        <v>420</v>
      </c>
      <c r="AJ29" s="138">
        <f>B244</f>
        <v>1</v>
      </c>
      <c r="AK29" s="52" t="s">
        <v>146</v>
      </c>
      <c r="AL29" s="52" t="s">
        <v>420</v>
      </c>
      <c r="AM29" s="138">
        <f>B244</f>
        <v>1</v>
      </c>
      <c r="AN29" s="52" t="s">
        <v>146</v>
      </c>
      <c r="AR29" s="52" t="s">
        <v>424</v>
      </c>
      <c r="AS29" s="138">
        <f>B256</f>
        <v>1</v>
      </c>
      <c r="AT29" s="52" t="s">
        <v>146</v>
      </c>
      <c r="AU29" s="52" t="s">
        <v>424</v>
      </c>
      <c r="AV29" s="138">
        <f>B256</f>
        <v>1</v>
      </c>
      <c r="AW29" s="52" t="s">
        <v>146</v>
      </c>
      <c r="BA29" s="52" t="s">
        <v>422</v>
      </c>
      <c r="BB29" s="138">
        <f>B232</f>
        <v>1</v>
      </c>
      <c r="BC29" s="52" t="s">
        <v>146</v>
      </c>
      <c r="BD29" s="52" t="s">
        <v>422</v>
      </c>
      <c r="BE29" s="138">
        <f>B232</f>
        <v>1</v>
      </c>
      <c r="BF29" s="52" t="s">
        <v>146</v>
      </c>
      <c r="BJ29" s="52" t="s">
        <v>220</v>
      </c>
      <c r="BK29" s="138">
        <f>B278</f>
        <v>50</v>
      </c>
      <c r="BL29" s="52" t="s">
        <v>113</v>
      </c>
      <c r="BM29" s="52" t="s">
        <v>220</v>
      </c>
      <c r="BN29" s="138">
        <f>B278</f>
        <v>50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41">
        <f>B119</f>
        <v>0.753</v>
      </c>
      <c r="CB29" s="52" t="s">
        <v>411</v>
      </c>
      <c r="CC29" s="138">
        <f>B127</f>
        <v>0.80900000000000005</v>
      </c>
      <c r="CE29" s="52" t="s">
        <v>418</v>
      </c>
      <c r="CF29" s="138">
        <f>B123</f>
        <v>0.71099999999999997</v>
      </c>
      <c r="CN29" s="52" t="s">
        <v>166</v>
      </c>
      <c r="CO29" s="162">
        <f>B136</f>
        <v>1</v>
      </c>
      <c r="CP29" s="52" t="s">
        <v>246</v>
      </c>
      <c r="CT29" s="83" t="s">
        <v>450</v>
      </c>
      <c r="CU29" s="141">
        <f>B147</f>
        <v>10</v>
      </c>
      <c r="CV29" s="92" t="s">
        <v>407</v>
      </c>
      <c r="CZ29" s="92" t="s">
        <v>450</v>
      </c>
      <c r="DA29" s="142">
        <f t="shared" si="0"/>
        <v>10</v>
      </c>
      <c r="DB29" s="83" t="s">
        <v>143</v>
      </c>
      <c r="DW29" s="88"/>
      <c r="DX29" s="88"/>
      <c r="DY29" s="88"/>
      <c r="DZ29" s="8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B18</f>
        <v>30.167100000000001</v>
      </c>
      <c r="HF29" s="52" t="s">
        <v>60</v>
      </c>
    </row>
    <row r="30" spans="1:214" ht="19.5" thickTop="1" thickBot="1" x14ac:dyDescent="0.25">
      <c r="A30" s="83" t="s">
        <v>228</v>
      </c>
      <c r="B30" s="183">
        <v>2.7</v>
      </c>
      <c r="C30" s="52" t="s">
        <v>388</v>
      </c>
      <c r="D30" s="353" t="s">
        <v>528</v>
      </c>
      <c r="E30" s="354"/>
      <c r="F30" s="355"/>
      <c r="G30" s="83" t="s">
        <v>381</v>
      </c>
      <c r="H30" s="150">
        <f>B55</f>
        <v>350</v>
      </c>
      <c r="I30" s="83" t="s">
        <v>24</v>
      </c>
      <c r="J30" s="83" t="s">
        <v>402</v>
      </c>
      <c r="K30" s="146">
        <f>B48</f>
        <v>128.9</v>
      </c>
      <c r="L30" s="92" t="s">
        <v>221</v>
      </c>
      <c r="M30" s="52" t="s">
        <v>299</v>
      </c>
      <c r="N30" s="138">
        <f>B61</f>
        <v>0.4</v>
      </c>
      <c r="P30" s="52" t="s">
        <v>299</v>
      </c>
      <c r="Q30" s="138">
        <f>B61</f>
        <v>0.4</v>
      </c>
      <c r="V30" s="91" t="s">
        <v>231</v>
      </c>
      <c r="W30" s="136">
        <f>B18</f>
        <v>30.167100000000001</v>
      </c>
      <c r="X30" s="52" t="s">
        <v>60</v>
      </c>
      <c r="Y30" s="91" t="s">
        <v>231</v>
      </c>
      <c r="Z30" s="136">
        <f>B18</f>
        <v>30.167100000000001</v>
      </c>
      <c r="AA30" s="52" t="s">
        <v>60</v>
      </c>
      <c r="AB30" s="83" t="s">
        <v>261</v>
      </c>
      <c r="AC30" s="144">
        <f>((AC5/(AC19*AC15*AC7*AC9*(1/AC32)*((8/1)/(24/1))*AC28))*AC27)*AC25*AC35*AC36</f>
        <v>2.0641395953596164E-2</v>
      </c>
      <c r="AD30" s="144">
        <f>((AD5/(AD19*AD15*AD7*((8/1)/(24/1))*AD9*(1/AD32)*AD28))*AD27)*AD25*AD35*AD36</f>
        <v>2.0641395953596164E-2</v>
      </c>
      <c r="AE30" s="144">
        <f>((AE5/(AE19*AE15*AE7*((8/1)/(24/1))*AE9*(1/AE32)*AE28))*AE27)*AE25*AE35*AE36</f>
        <v>2.2934884392884634E-2</v>
      </c>
      <c r="AF30" s="144">
        <f>((AF5*AF23*AF24)/((1-EXP(-AF24*AF23))*AF19*AF7*AF9*(AF12/24)*AF15*(1/AF33)*AF28))*AF25*AF35*AF36</f>
        <v>1.1785382387655152E-5</v>
      </c>
      <c r="AG30" s="144">
        <f>((AG5*AG23*AG24)/((1-EXP(-AG24*AG23))*AG19*AG7*AG9*(AG12/24)*AG15*(1/AG34)*AG28))*AG25*AG35*AG36</f>
        <v>1.0562188505658034E-3</v>
      </c>
      <c r="AH30" s="83" t="s">
        <v>297</v>
      </c>
      <c r="AI30" s="52" t="s">
        <v>299</v>
      </c>
      <c r="AJ30" s="138">
        <f>B248</f>
        <v>0.4</v>
      </c>
      <c r="AL30" s="52" t="s">
        <v>299</v>
      </c>
      <c r="AM30" s="138">
        <f>B248</f>
        <v>0.4</v>
      </c>
      <c r="AR30" s="52" t="s">
        <v>299</v>
      </c>
      <c r="AS30" s="138">
        <f>B260</f>
        <v>0.4</v>
      </c>
      <c r="AV30" s="138"/>
      <c r="BA30" s="52" t="s">
        <v>299</v>
      </c>
      <c r="BB30" s="138">
        <f>B236</f>
        <v>0.4</v>
      </c>
      <c r="BD30" s="52" t="s">
        <v>299</v>
      </c>
      <c r="BE30" s="138">
        <f>B236</f>
        <v>0.4</v>
      </c>
      <c r="BJ30" s="52" t="s">
        <v>219</v>
      </c>
      <c r="BK30" s="138">
        <f>B277</f>
        <v>5</v>
      </c>
      <c r="BL30" s="52" t="s">
        <v>112</v>
      </c>
      <c r="BM30" s="52" t="s">
        <v>219</v>
      </c>
      <c r="BN30" s="138">
        <f>B277</f>
        <v>5</v>
      </c>
      <c r="BO30" s="52" t="s">
        <v>112</v>
      </c>
      <c r="BS30" s="91"/>
      <c r="BT30" s="97"/>
      <c r="BU30" s="91"/>
      <c r="BV30" s="91" t="s">
        <v>308</v>
      </c>
      <c r="BW30" s="146">
        <f>B101</f>
        <v>0.23</v>
      </c>
      <c r="BY30" s="94" t="s">
        <v>95</v>
      </c>
      <c r="BZ30" s="150">
        <f>B117</f>
        <v>1</v>
      </c>
      <c r="CA30" s="94" t="s">
        <v>60</v>
      </c>
      <c r="CB30" s="52" t="s">
        <v>90</v>
      </c>
      <c r="CC30" s="138">
        <f>B108</f>
        <v>1</v>
      </c>
      <c r="CD30" s="52" t="s">
        <v>194</v>
      </c>
      <c r="CE30" s="52" t="s">
        <v>90</v>
      </c>
      <c r="CF30" s="138">
        <f>B108</f>
        <v>1</v>
      </c>
      <c r="CG30" s="52" t="s">
        <v>194</v>
      </c>
      <c r="CM30" s="83"/>
      <c r="CN30" s="93" t="s">
        <v>167</v>
      </c>
      <c r="CO30" s="162">
        <f>B137</f>
        <v>1</v>
      </c>
      <c r="CP30" s="52" t="s">
        <v>41</v>
      </c>
      <c r="CQ30" s="88"/>
      <c r="CR30" s="83"/>
      <c r="CS30" s="83"/>
      <c r="CT30" s="83" t="s">
        <v>459</v>
      </c>
      <c r="CU30" s="141">
        <f>B148</f>
        <v>20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20</v>
      </c>
      <c r="DB30" s="83" t="s">
        <v>143</v>
      </c>
      <c r="DW30" s="88"/>
      <c r="DX30" s="88"/>
      <c r="DY30" s="88"/>
      <c r="DZ30" s="8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B83</f>
        <v>0.3</v>
      </c>
    </row>
    <row r="31" spans="1:214" x14ac:dyDescent="0.2">
      <c r="A31" s="84" t="s">
        <v>32</v>
      </c>
      <c r="B31" s="183">
        <f>0.02523</f>
        <v>2.5229999999999999E-2</v>
      </c>
      <c r="D31" s="323" t="s">
        <v>530</v>
      </c>
      <c r="E31" s="347">
        <f>E38</f>
        <v>7.8641711060536169E-3</v>
      </c>
      <c r="F31" s="345" t="s">
        <v>12</v>
      </c>
      <c r="G31" s="83" t="s">
        <v>379</v>
      </c>
      <c r="H31" s="150">
        <f>B53</f>
        <v>1</v>
      </c>
      <c r="I31" s="84" t="s">
        <v>60</v>
      </c>
      <c r="J31" s="83" t="s">
        <v>380</v>
      </c>
      <c r="K31" s="150">
        <f>B54</f>
        <v>350</v>
      </c>
      <c r="L31" s="83" t="s">
        <v>24</v>
      </c>
      <c r="M31" s="52" t="s">
        <v>300</v>
      </c>
      <c r="N31" s="138">
        <f>B62</f>
        <v>1</v>
      </c>
      <c r="P31" s="52" t="s">
        <v>300</v>
      </c>
      <c r="Q31" s="138">
        <f>B62</f>
        <v>1</v>
      </c>
      <c r="V31" s="52" t="s">
        <v>35</v>
      </c>
      <c r="W31" s="138">
        <f>B243</f>
        <v>250</v>
      </c>
      <c r="X31" s="52" t="s">
        <v>24</v>
      </c>
      <c r="Y31" s="52" t="s">
        <v>191</v>
      </c>
      <c r="Z31" s="138">
        <f>B267</f>
        <v>250</v>
      </c>
      <c r="AA31" s="52" t="s">
        <v>24</v>
      </c>
      <c r="AB31" s="83" t="s">
        <v>262</v>
      </c>
      <c r="AC31" s="145">
        <f>((AC5*AC23*AC24)/((1-EXP(-AC24*AC23))*AC18*AC7*(1/365)*AC12*(1/24)*AC14*AC17))*AC25*AC35*AC36</f>
        <v>1.6050629010589219E-8</v>
      </c>
      <c r="AD31" s="145">
        <f>((AD5*AD23*AD24)/((1-EXP(-AD24*AD23))*AD18*AD7*(1/365)*AD12*(1/24)*AD16*AD17))*AD25*AD35*AD36</f>
        <v>4.0126572526473046E-8</v>
      </c>
      <c r="AE31" s="145">
        <f>((AE5*AE23*AE24)/((1-EXP(-AE24*AE23))*AE18*AE7*(1/365)*AE12*(1/24)*AE14*AE17))*AE25*AE35*AE36</f>
        <v>1.7834032233988024E-8</v>
      </c>
      <c r="AF31" s="145">
        <f>((AF5*AF23*AF24)/((1-EXP(-AF24*AF23))*AF18*(AF11*AF10)*(1/365)*AF12*(1/24)*AF14*AF17))*AF25*AF35*AF36</f>
        <v>8.8446375001180444E-5</v>
      </c>
      <c r="AG31" s="145">
        <f>((AG5*AG23*AG24)/((1-EXP(-AG24*AG23))*AG18*AG7*(1/365)*AG9*(AG12/24)*AG14*AG17))*AG25*AG35*AG36</f>
        <v>8.8446375001180444E-5</v>
      </c>
      <c r="AH31" s="83" t="s">
        <v>297</v>
      </c>
      <c r="AI31" s="52" t="s">
        <v>300</v>
      </c>
      <c r="AJ31" s="138">
        <f>B235</f>
        <v>1</v>
      </c>
      <c r="AL31" s="52" t="s">
        <v>300</v>
      </c>
      <c r="AM31" s="138">
        <f>B235</f>
        <v>1</v>
      </c>
      <c r="AR31" s="52" t="s">
        <v>300</v>
      </c>
      <c r="AS31" s="138">
        <f>B259</f>
        <v>1</v>
      </c>
      <c r="AU31" s="52" t="s">
        <v>300</v>
      </c>
      <c r="AV31" s="138">
        <f>B259</f>
        <v>1</v>
      </c>
      <c r="BA31" s="52" t="s">
        <v>300</v>
      </c>
      <c r="BB31" s="138">
        <f>B235</f>
        <v>1</v>
      </c>
      <c r="BD31" s="52" t="s">
        <v>300</v>
      </c>
      <c r="BE31" s="138">
        <f>B235</f>
        <v>1</v>
      </c>
      <c r="BJ31" s="52" t="s">
        <v>158</v>
      </c>
      <c r="BK31" s="138">
        <f>B268</f>
        <v>1</v>
      </c>
      <c r="BL31" s="52" t="s">
        <v>146</v>
      </c>
      <c r="BM31" s="52" t="s">
        <v>158</v>
      </c>
      <c r="BN31" s="138">
        <f>B268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B102</f>
        <v>0.77</v>
      </c>
      <c r="BZ31" s="150">
        <v>365</v>
      </c>
      <c r="CA31" s="52" t="s">
        <v>24</v>
      </c>
      <c r="CB31" s="52" t="s">
        <v>410</v>
      </c>
      <c r="CC31" s="139">
        <f>B11</f>
        <v>0.64061199999999996</v>
      </c>
      <c r="CD31" s="84" t="s">
        <v>353</v>
      </c>
      <c r="CE31" s="52" t="s">
        <v>419</v>
      </c>
      <c r="CF31" s="139">
        <f>B13</f>
        <v>1.817564</v>
      </c>
      <c r="CG31" s="84" t="s">
        <v>353</v>
      </c>
      <c r="CM31" s="83"/>
      <c r="CN31" s="83" t="s">
        <v>168</v>
      </c>
      <c r="CO31" s="162">
        <f>B138</f>
        <v>1</v>
      </c>
      <c r="CP31" s="52" t="s">
        <v>41</v>
      </c>
      <c r="CQ31" s="83"/>
      <c r="CR31" s="83"/>
      <c r="CS31" s="83"/>
      <c r="CT31" s="83" t="s">
        <v>456</v>
      </c>
      <c r="CU31" s="150">
        <f>B167</f>
        <v>350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68.099999999999994</v>
      </c>
      <c r="DB31" s="83" t="s">
        <v>221</v>
      </c>
      <c r="DW31" s="88"/>
      <c r="DX31" s="88"/>
      <c r="DY31" s="88"/>
      <c r="DZ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B84</f>
        <v>1.5</v>
      </c>
    </row>
    <row r="32" spans="1:214" ht="13.5" thickBot="1" x14ac:dyDescent="0.25">
      <c r="A32" s="52" t="s">
        <v>33</v>
      </c>
      <c r="B32" s="183">
        <v>2.9000000000000001E-2</v>
      </c>
      <c r="D32" s="324"/>
      <c r="E32" s="348"/>
      <c r="F32" s="346"/>
      <c r="G32" s="52" t="s">
        <v>403</v>
      </c>
      <c r="H32" s="138">
        <f>B57</f>
        <v>0.54</v>
      </c>
      <c r="I32" s="52" t="s">
        <v>89</v>
      </c>
      <c r="J32" s="83" t="s">
        <v>381</v>
      </c>
      <c r="K32" s="150">
        <f>B55</f>
        <v>350</v>
      </c>
      <c r="L32" s="83" t="s">
        <v>24</v>
      </c>
      <c r="M32" s="52" t="s">
        <v>54</v>
      </c>
      <c r="N32" s="138">
        <f>B63</f>
        <v>1</v>
      </c>
      <c r="P32" s="52" t="s">
        <v>54</v>
      </c>
      <c r="Q32" s="138">
        <f>B63</f>
        <v>1</v>
      </c>
      <c r="V32" s="52" t="s">
        <v>420</v>
      </c>
      <c r="W32" s="138">
        <f>B244</f>
        <v>1</v>
      </c>
      <c r="X32" s="52" t="s">
        <v>146</v>
      </c>
      <c r="Y32" s="52" t="s">
        <v>158</v>
      </c>
      <c r="Z32" s="138">
        <f>B268</f>
        <v>1</v>
      </c>
      <c r="AA32" s="52" t="s">
        <v>146</v>
      </c>
      <c r="AB32" s="83" t="s">
        <v>77</v>
      </c>
      <c r="AC32" s="136">
        <f>B19</f>
        <v>1359344473.5814338</v>
      </c>
      <c r="AD32" s="136">
        <f>B19</f>
        <v>1359344473.5814338</v>
      </c>
      <c r="AE32" s="136">
        <f>B19</f>
        <v>1359344473.5814338</v>
      </c>
      <c r="AF32" s="136"/>
      <c r="AG32" s="136"/>
      <c r="AH32" s="104" t="s">
        <v>78</v>
      </c>
      <c r="AI32" s="52" t="s">
        <v>54</v>
      </c>
      <c r="AJ32" s="138">
        <f>B249</f>
        <v>1</v>
      </c>
      <c r="AL32" s="52" t="s">
        <v>54</v>
      </c>
      <c r="AM32" s="138">
        <f>B249</f>
        <v>1</v>
      </c>
      <c r="AR32" s="52" t="s">
        <v>54</v>
      </c>
      <c r="AS32" s="138">
        <f>B261</f>
        <v>1</v>
      </c>
      <c r="AU32" s="52" t="s">
        <v>54</v>
      </c>
      <c r="AV32" s="138">
        <f>B261</f>
        <v>1</v>
      </c>
      <c r="BA32" s="52" t="s">
        <v>54</v>
      </c>
      <c r="BB32" s="138">
        <f>B237</f>
        <v>1</v>
      </c>
      <c r="BD32" s="52" t="s">
        <v>54</v>
      </c>
      <c r="BE32" s="138">
        <f>B237</f>
        <v>1</v>
      </c>
      <c r="BJ32" s="52" t="s">
        <v>300</v>
      </c>
      <c r="BK32" s="136">
        <f>B281</f>
        <v>1.5699999999999999E-5</v>
      </c>
      <c r="BM32" s="52" t="s">
        <v>300</v>
      </c>
      <c r="BN32" s="136">
        <f>B285</f>
        <v>1.35E-4</v>
      </c>
      <c r="BS32" s="91"/>
      <c r="BT32" s="99"/>
      <c r="BU32" s="100"/>
      <c r="BV32" s="84" t="s">
        <v>295</v>
      </c>
      <c r="BW32" s="142">
        <f>B302</f>
        <v>137</v>
      </c>
      <c r="BX32" s="84" t="s">
        <v>296</v>
      </c>
      <c r="BZ32" s="138">
        <v>1000</v>
      </c>
      <c r="CA32" s="52" t="s">
        <v>99</v>
      </c>
      <c r="CB32" s="84" t="s">
        <v>295</v>
      </c>
      <c r="CC32" s="142">
        <f>B302</f>
        <v>137</v>
      </c>
      <c r="CD32" s="84" t="s">
        <v>296</v>
      </c>
      <c r="CE32" s="84" t="s">
        <v>295</v>
      </c>
      <c r="CF32" s="142">
        <f>B302</f>
        <v>137</v>
      </c>
      <c r="CG32" s="84" t="s">
        <v>296</v>
      </c>
      <c r="CM32" s="83"/>
      <c r="CN32" s="83" t="s">
        <v>22</v>
      </c>
      <c r="CO32" s="137">
        <f>0.693/CO33</f>
        <v>2.2972045705420805E-2</v>
      </c>
      <c r="CR32" s="83"/>
      <c r="CS32" s="83"/>
      <c r="CT32" s="83" t="s">
        <v>465</v>
      </c>
      <c r="CU32" s="150">
        <f>B168</f>
        <v>350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176.8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5" thickTop="1" x14ac:dyDescent="0.2">
      <c r="A33" s="83" t="s">
        <v>156</v>
      </c>
      <c r="B33" s="182">
        <v>10</v>
      </c>
      <c r="C33" s="83" t="s">
        <v>18</v>
      </c>
      <c r="D33" s="83" t="s">
        <v>267</v>
      </c>
      <c r="E33" s="136">
        <f>B5</f>
        <v>1</v>
      </c>
      <c r="F33" s="52" t="s">
        <v>344</v>
      </c>
      <c r="G33" s="52" t="s">
        <v>404</v>
      </c>
      <c r="H33" s="138">
        <f>B58</f>
        <v>0.71</v>
      </c>
      <c r="I33" s="52" t="s">
        <v>89</v>
      </c>
      <c r="J33" s="83" t="s">
        <v>379</v>
      </c>
      <c r="K33" s="141">
        <f>B53</f>
        <v>1</v>
      </c>
      <c r="L33" s="92" t="s">
        <v>60</v>
      </c>
      <c r="M33" s="52" t="s">
        <v>408</v>
      </c>
      <c r="N33" s="150">
        <f>B78</f>
        <v>1.752</v>
      </c>
      <c r="O33" s="52" t="s">
        <v>194</v>
      </c>
      <c r="P33" s="52" t="s">
        <v>408</v>
      </c>
      <c r="Q33" s="150">
        <f>B78</f>
        <v>1.752</v>
      </c>
      <c r="R33" s="52" t="s">
        <v>194</v>
      </c>
      <c r="V33" s="52" t="s">
        <v>247</v>
      </c>
      <c r="W33" s="139">
        <f>B6</f>
        <v>1.5417408700798101E-4</v>
      </c>
      <c r="X33" s="84" t="s">
        <v>39</v>
      </c>
      <c r="Y33" s="52" t="s">
        <v>247</v>
      </c>
      <c r="Z33" s="139">
        <f>B6</f>
        <v>1.5417408700798101E-4</v>
      </c>
      <c r="AA33" s="84" t="s">
        <v>39</v>
      </c>
      <c r="AB33" s="104" t="s">
        <v>103</v>
      </c>
      <c r="AC33" s="136"/>
      <c r="AD33" s="136"/>
      <c r="AE33" s="136"/>
      <c r="AF33" s="157">
        <f>B20</f>
        <v>776129.4078035407</v>
      </c>
      <c r="AG33" s="136"/>
      <c r="AH33" s="104" t="s">
        <v>78</v>
      </c>
      <c r="AI33" s="52" t="s">
        <v>57</v>
      </c>
      <c r="AJ33" s="136">
        <f>B250</f>
        <v>0</v>
      </c>
      <c r="AK33" s="52" t="s">
        <v>194</v>
      </c>
      <c r="AL33" s="52" t="s">
        <v>57</v>
      </c>
      <c r="AM33" s="136">
        <f>B250</f>
        <v>0</v>
      </c>
      <c r="AN33" s="52" t="s">
        <v>194</v>
      </c>
      <c r="AR33" s="52" t="s">
        <v>57</v>
      </c>
      <c r="AS33" s="136">
        <f>B262</f>
        <v>8</v>
      </c>
      <c r="AT33" s="52" t="s">
        <v>194</v>
      </c>
      <c r="AU33" s="52" t="s">
        <v>57</v>
      </c>
      <c r="AV33" s="136">
        <f>B262</f>
        <v>8</v>
      </c>
      <c r="AW33" s="52" t="s">
        <v>194</v>
      </c>
      <c r="BA33" s="52" t="s">
        <v>58</v>
      </c>
      <c r="BB33" s="136">
        <f>B238</f>
        <v>8</v>
      </c>
      <c r="BC33" s="52" t="s">
        <v>194</v>
      </c>
      <c r="BD33" s="52" t="s">
        <v>57</v>
      </c>
      <c r="BE33" s="136">
        <f>B238</f>
        <v>8</v>
      </c>
      <c r="BF33" s="52" t="s">
        <v>194</v>
      </c>
      <c r="BJ33" s="52" t="s">
        <v>411</v>
      </c>
      <c r="BK33" s="136">
        <f>B282</f>
        <v>0.80900000000000005</v>
      </c>
      <c r="BM33" s="52" t="s">
        <v>418</v>
      </c>
      <c r="BN33" s="136">
        <f>B286</f>
        <v>0.71099999999999997</v>
      </c>
      <c r="BS33" s="91"/>
      <c r="BT33" s="99"/>
      <c r="BU33" s="100"/>
      <c r="BV33" s="84" t="s">
        <v>293</v>
      </c>
      <c r="BW33" s="161">
        <f>B303</f>
        <v>2.8000000000000001E-15</v>
      </c>
      <c r="BX33" s="84"/>
      <c r="BZ33" s="146">
        <v>1000</v>
      </c>
      <c r="CA33" s="52" t="s">
        <v>23</v>
      </c>
      <c r="CB33" s="84" t="s">
        <v>293</v>
      </c>
      <c r="CC33" s="161">
        <f>B303</f>
        <v>2.8000000000000001E-15</v>
      </c>
      <c r="CD33" s="84"/>
      <c r="CE33" s="84" t="s">
        <v>293</v>
      </c>
      <c r="CF33" s="161">
        <f>B304</f>
        <v>2.8000000000000002E-12</v>
      </c>
      <c r="CG33" s="84"/>
      <c r="CM33" s="83"/>
      <c r="CN33" s="91" t="s">
        <v>231</v>
      </c>
      <c r="CO33" s="136">
        <f>B18</f>
        <v>30.167100000000001</v>
      </c>
      <c r="CP33" s="52" t="s">
        <v>60</v>
      </c>
      <c r="CR33" s="83"/>
      <c r="CS33" s="83"/>
      <c r="CT33" s="83" t="s">
        <v>363</v>
      </c>
      <c r="CU33" s="141">
        <f t="shared" ref="CU33:CU42" si="1">B170</f>
        <v>1</v>
      </c>
      <c r="CV33" s="92" t="s">
        <v>60</v>
      </c>
      <c r="CZ33" s="92" t="s">
        <v>513</v>
      </c>
      <c r="DA33" s="141">
        <f t="shared" si="0"/>
        <v>41.7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B82</f>
        <v>70</v>
      </c>
    </row>
    <row r="34" spans="1:214" ht="13.5" customHeight="1" x14ac:dyDescent="0.2">
      <c r="A34" s="84" t="s">
        <v>21</v>
      </c>
      <c r="B34" s="188">
        <f>200*B302*B18*B303</f>
        <v>2.3144199120000001E-9</v>
      </c>
      <c r="C34" s="52" t="s">
        <v>13</v>
      </c>
      <c r="D34" s="83" t="s">
        <v>382</v>
      </c>
      <c r="E34" s="150">
        <f>B56</f>
        <v>350</v>
      </c>
      <c r="F34" s="83" t="s">
        <v>24</v>
      </c>
      <c r="G34" s="83" t="s">
        <v>383</v>
      </c>
      <c r="H34" s="150">
        <f>B59</f>
        <v>24</v>
      </c>
      <c r="I34" s="94" t="s">
        <v>194</v>
      </c>
      <c r="J34" s="83" t="s">
        <v>383</v>
      </c>
      <c r="K34" s="150">
        <f>B59</f>
        <v>24</v>
      </c>
      <c r="L34" s="94" t="s">
        <v>194</v>
      </c>
      <c r="M34" s="52" t="s">
        <v>410</v>
      </c>
      <c r="N34" s="139">
        <f>B11</f>
        <v>0.64061199999999996</v>
      </c>
      <c r="O34" s="84" t="s">
        <v>354</v>
      </c>
      <c r="P34" s="52" t="s">
        <v>419</v>
      </c>
      <c r="Q34" s="139">
        <f>B13</f>
        <v>1.817564</v>
      </c>
      <c r="R34" s="84" t="s">
        <v>353</v>
      </c>
      <c r="V34" s="52" t="s">
        <v>421</v>
      </c>
      <c r="W34" s="150">
        <f>B251</f>
        <v>8</v>
      </c>
      <c r="X34" s="84" t="s">
        <v>194</v>
      </c>
      <c r="Y34" s="52" t="s">
        <v>192</v>
      </c>
      <c r="Z34" s="150">
        <f>B274</f>
        <v>8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B21</f>
        <v>69557565.807898715</v>
      </c>
      <c r="AH34" s="104" t="s">
        <v>78</v>
      </c>
      <c r="AI34" s="52" t="s">
        <v>410</v>
      </c>
      <c r="AJ34" s="139">
        <f>B11</f>
        <v>0.64061199999999996</v>
      </c>
      <c r="AK34" s="84" t="s">
        <v>353</v>
      </c>
      <c r="AL34" s="52" t="s">
        <v>419</v>
      </c>
      <c r="AM34" s="139">
        <f>B13</f>
        <v>1.817564</v>
      </c>
      <c r="AN34" s="84" t="s">
        <v>353</v>
      </c>
      <c r="AR34" s="52" t="s">
        <v>410</v>
      </c>
      <c r="AS34" s="139">
        <f>B11</f>
        <v>0.64061199999999996</v>
      </c>
      <c r="AT34" s="84" t="s">
        <v>353</v>
      </c>
      <c r="AU34" s="52" t="s">
        <v>419</v>
      </c>
      <c r="AV34" s="139">
        <f>B13</f>
        <v>1.817564</v>
      </c>
      <c r="AW34" s="84" t="s">
        <v>353</v>
      </c>
      <c r="BA34" s="52" t="s">
        <v>410</v>
      </c>
      <c r="BB34" s="139">
        <f>B11</f>
        <v>0.64061199999999996</v>
      </c>
      <c r="BC34" s="84" t="s">
        <v>353</v>
      </c>
      <c r="BD34" s="52" t="s">
        <v>419</v>
      </c>
      <c r="BE34" s="139">
        <f>B13</f>
        <v>1.817564</v>
      </c>
      <c r="BF34" s="84" t="s">
        <v>353</v>
      </c>
      <c r="BJ34" s="52" t="s">
        <v>57</v>
      </c>
      <c r="BK34" s="136">
        <f>B274</f>
        <v>8</v>
      </c>
      <c r="BL34" s="52" t="s">
        <v>194</v>
      </c>
      <c r="BM34" s="52" t="s">
        <v>57</v>
      </c>
      <c r="BN34" s="136">
        <f>B274</f>
        <v>8</v>
      </c>
      <c r="BO34" s="52" t="s">
        <v>194</v>
      </c>
      <c r="BT34" s="102"/>
      <c r="BU34" s="91"/>
      <c r="BV34" s="91" t="s">
        <v>231</v>
      </c>
      <c r="BW34" s="136">
        <f>B18</f>
        <v>30.167100000000001</v>
      </c>
      <c r="BX34" s="52" t="s">
        <v>60</v>
      </c>
      <c r="BY34" s="91" t="s">
        <v>308</v>
      </c>
      <c r="BZ34" s="146">
        <f>B101</f>
        <v>0.23</v>
      </c>
      <c r="CM34" s="83"/>
      <c r="CN34" s="84" t="s">
        <v>16</v>
      </c>
      <c r="CO34" s="137">
        <f>(CO31*CO32)/(1-EXP(-CO32*CO31))</f>
        <v>1.0115299987062558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125.7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B33</f>
        <v>10</v>
      </c>
    </row>
    <row r="35" spans="1:214" ht="12.75" customHeight="1" x14ac:dyDescent="0.2">
      <c r="A35" s="52" t="s">
        <v>393</v>
      </c>
      <c r="B35" s="131">
        <v>0.26</v>
      </c>
      <c r="D35" s="83" t="s">
        <v>258</v>
      </c>
      <c r="E35" s="136">
        <f>B17</f>
        <v>4.9109405245458101E-5</v>
      </c>
      <c r="F35" s="83" t="s">
        <v>87</v>
      </c>
      <c r="G35" s="83" t="s">
        <v>384</v>
      </c>
      <c r="H35" s="150">
        <f>B59</f>
        <v>24</v>
      </c>
      <c r="I35" s="52" t="s">
        <v>194</v>
      </c>
      <c r="J35" s="83" t="s">
        <v>384</v>
      </c>
      <c r="K35" s="150">
        <f>B59</f>
        <v>24</v>
      </c>
      <c r="L35" s="52" t="s">
        <v>194</v>
      </c>
      <c r="M35" s="52" t="s">
        <v>409</v>
      </c>
      <c r="N35" s="150">
        <f>B79</f>
        <v>16.416</v>
      </c>
      <c r="O35" s="52" t="s">
        <v>194</v>
      </c>
      <c r="P35" s="52" t="s">
        <v>409</v>
      </c>
      <c r="Q35" s="150">
        <f>B79</f>
        <v>16.416</v>
      </c>
      <c r="R35" s="52" t="s">
        <v>194</v>
      </c>
      <c r="V35" s="52" t="s">
        <v>304</v>
      </c>
      <c r="W35" s="146">
        <f>B242</f>
        <v>60</v>
      </c>
      <c r="X35" s="84" t="s">
        <v>407</v>
      </c>
      <c r="Y35" s="52" t="s">
        <v>348</v>
      </c>
      <c r="Z35" s="146">
        <f>B266</f>
        <v>60</v>
      </c>
      <c r="AA35" s="84" t="s">
        <v>407</v>
      </c>
      <c r="AB35" s="84" t="s">
        <v>295</v>
      </c>
      <c r="AC35" s="141">
        <f>B302</f>
        <v>137</v>
      </c>
      <c r="AD35" s="150">
        <f>B302</f>
        <v>137</v>
      </c>
      <c r="AE35" s="150">
        <f>B302</f>
        <v>137</v>
      </c>
      <c r="AF35" s="150">
        <f>B302</f>
        <v>137</v>
      </c>
      <c r="AG35" s="150">
        <f>B302</f>
        <v>137</v>
      </c>
      <c r="AH35" s="84" t="s">
        <v>296</v>
      </c>
      <c r="AI35" s="52" t="s">
        <v>69</v>
      </c>
      <c r="AJ35" s="136">
        <f>B251</f>
        <v>8</v>
      </c>
      <c r="AK35" s="52" t="s">
        <v>194</v>
      </c>
      <c r="AL35" s="52" t="s">
        <v>69</v>
      </c>
      <c r="AM35" s="136">
        <f>B251</f>
        <v>8</v>
      </c>
      <c r="AN35" s="52" t="s">
        <v>194</v>
      </c>
      <c r="AR35" s="52" t="s">
        <v>69</v>
      </c>
      <c r="AS35" s="136">
        <f>B263</f>
        <v>0</v>
      </c>
      <c r="AT35" s="52" t="s">
        <v>194</v>
      </c>
      <c r="AU35" s="52" t="s">
        <v>69</v>
      </c>
      <c r="AV35" s="136">
        <f>B263</f>
        <v>0</v>
      </c>
      <c r="AW35" s="52" t="s">
        <v>194</v>
      </c>
      <c r="BA35" s="52" t="s">
        <v>69</v>
      </c>
      <c r="BB35" s="136">
        <f>B239</f>
        <v>8</v>
      </c>
      <c r="BC35" s="52" t="s">
        <v>194</v>
      </c>
      <c r="BD35" s="52" t="s">
        <v>69</v>
      </c>
      <c r="BE35" s="136">
        <f>B239</f>
        <v>8</v>
      </c>
      <c r="BF35" s="52" t="s">
        <v>194</v>
      </c>
      <c r="BJ35" s="52" t="s">
        <v>410</v>
      </c>
      <c r="BK35" s="139">
        <f>B11</f>
        <v>0.64061199999999996</v>
      </c>
      <c r="BL35" s="84" t="s">
        <v>353</v>
      </c>
      <c r="BM35" s="52" t="s">
        <v>419</v>
      </c>
      <c r="BN35" s="139">
        <f>B13</f>
        <v>1.817564</v>
      </c>
      <c r="BO35" s="84" t="s">
        <v>353</v>
      </c>
      <c r="BY35" s="91" t="s">
        <v>309</v>
      </c>
      <c r="BZ35" s="146">
        <f>B102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B167</f>
        <v>350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B65</f>
        <v>0.5</v>
      </c>
      <c r="HF35" s="52" t="s">
        <v>355</v>
      </c>
    </row>
    <row r="36" spans="1:214" x14ac:dyDescent="0.2">
      <c r="A36" s="52" t="s">
        <v>392</v>
      </c>
      <c r="B36" s="131">
        <v>0.25</v>
      </c>
      <c r="D36" s="83" t="s">
        <v>389</v>
      </c>
      <c r="E36" s="146">
        <f>B80</f>
        <v>1</v>
      </c>
      <c r="G36" s="83" t="s">
        <v>405</v>
      </c>
      <c r="H36" s="138">
        <f>B66</f>
        <v>1</v>
      </c>
      <c r="I36" s="52" t="s">
        <v>80</v>
      </c>
      <c r="J36" s="83" t="s">
        <v>390</v>
      </c>
      <c r="K36" s="141">
        <f>B68</f>
        <v>0.25</v>
      </c>
      <c r="M36" s="84" t="s">
        <v>295</v>
      </c>
      <c r="N36" s="142">
        <f>B302</f>
        <v>137</v>
      </c>
      <c r="O36" s="84" t="s">
        <v>296</v>
      </c>
      <c r="P36" s="84" t="s">
        <v>295</v>
      </c>
      <c r="Q36" s="142">
        <f>B302</f>
        <v>137</v>
      </c>
      <c r="R36" s="84" t="s">
        <v>296</v>
      </c>
      <c r="V36" s="83" t="s">
        <v>256</v>
      </c>
      <c r="W36" s="136">
        <f>B15</f>
        <v>4763.3999999999996</v>
      </c>
      <c r="X36" s="83" t="s">
        <v>343</v>
      </c>
      <c r="Y36" s="83" t="s">
        <v>256</v>
      </c>
      <c r="Z36" s="136">
        <f>B15</f>
        <v>4763.3999999999996</v>
      </c>
      <c r="AA36" s="83" t="s">
        <v>343</v>
      </c>
      <c r="AB36" s="84" t="s">
        <v>293</v>
      </c>
      <c r="AC36" s="161">
        <f>B304</f>
        <v>2.8000000000000002E-12</v>
      </c>
      <c r="AD36" s="136">
        <f>B304</f>
        <v>2.8000000000000002E-12</v>
      </c>
      <c r="AE36" s="136">
        <f>B304</f>
        <v>2.8000000000000002E-12</v>
      </c>
      <c r="AF36" s="136">
        <f>B304</f>
        <v>2.8000000000000002E-12</v>
      </c>
      <c r="AG36" s="136">
        <f>B304</f>
        <v>2.8000000000000002E-12</v>
      </c>
      <c r="AI36" s="84" t="s">
        <v>295</v>
      </c>
      <c r="AJ36" s="142">
        <f>B302</f>
        <v>137</v>
      </c>
      <c r="AK36" s="84" t="s">
        <v>296</v>
      </c>
      <c r="AL36" s="84" t="s">
        <v>295</v>
      </c>
      <c r="AM36" s="142">
        <f>B302</f>
        <v>137</v>
      </c>
      <c r="AN36" s="84" t="s">
        <v>296</v>
      </c>
      <c r="AR36" s="84" t="s">
        <v>295</v>
      </c>
      <c r="AS36" s="142">
        <f>B302</f>
        <v>137</v>
      </c>
      <c r="AT36" s="84" t="s">
        <v>296</v>
      </c>
      <c r="AU36" s="84" t="s">
        <v>295</v>
      </c>
      <c r="AV36" s="142">
        <f>B302</f>
        <v>137</v>
      </c>
      <c r="AW36" s="84" t="s">
        <v>296</v>
      </c>
      <c r="BA36" s="84" t="s">
        <v>295</v>
      </c>
      <c r="BB36" s="142">
        <f>B302</f>
        <v>137</v>
      </c>
      <c r="BC36" s="84" t="s">
        <v>296</v>
      </c>
      <c r="BD36" s="84" t="s">
        <v>295</v>
      </c>
      <c r="BE36" s="142">
        <f>B302</f>
        <v>137</v>
      </c>
      <c r="BF36" s="84" t="s">
        <v>296</v>
      </c>
      <c r="BJ36" s="84" t="s">
        <v>295</v>
      </c>
      <c r="BK36" s="142">
        <f>B302</f>
        <v>137</v>
      </c>
      <c r="BL36" s="84" t="s">
        <v>296</v>
      </c>
      <c r="BM36" s="84" t="s">
        <v>295</v>
      </c>
      <c r="BN36" s="142">
        <f>B302</f>
        <v>137</v>
      </c>
      <c r="BO36" s="84" t="s">
        <v>296</v>
      </c>
      <c r="BS36" s="100"/>
      <c r="BT36" s="100"/>
      <c r="BU36" s="91"/>
      <c r="BY36" s="84" t="s">
        <v>295</v>
      </c>
      <c r="BZ36" s="142">
        <f>B302</f>
        <v>137</v>
      </c>
      <c r="CA36" s="84" t="s">
        <v>296</v>
      </c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B168</f>
        <v>350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B87</f>
        <v>5</v>
      </c>
      <c r="HF36" s="52" t="s">
        <v>94</v>
      </c>
    </row>
    <row r="37" spans="1:214" x14ac:dyDescent="0.2">
      <c r="A37" s="381" t="s">
        <v>2</v>
      </c>
      <c r="B37" s="382"/>
      <c r="C37" s="383"/>
      <c r="D37" s="83" t="s">
        <v>394</v>
      </c>
      <c r="E37" s="146">
        <f>B44</f>
        <v>54</v>
      </c>
      <c r="F37" s="52" t="s">
        <v>48</v>
      </c>
      <c r="G37" s="83" t="s">
        <v>406</v>
      </c>
      <c r="H37" s="138">
        <f>B67</f>
        <v>1</v>
      </c>
      <c r="I37" s="52" t="s">
        <v>80</v>
      </c>
      <c r="J37" s="83" t="s">
        <v>408</v>
      </c>
      <c r="K37" s="150">
        <f>B78</f>
        <v>1.752</v>
      </c>
      <c r="L37" s="84" t="s">
        <v>194</v>
      </c>
      <c r="M37" s="84" t="s">
        <v>293</v>
      </c>
      <c r="N37" s="161">
        <f>B303</f>
        <v>2.8000000000000001E-15</v>
      </c>
      <c r="O37" s="84"/>
      <c r="P37" s="84" t="s">
        <v>293</v>
      </c>
      <c r="Q37" s="161">
        <f>B304</f>
        <v>2.8000000000000002E-12</v>
      </c>
      <c r="R37" s="84"/>
      <c r="V37" s="83" t="s">
        <v>301</v>
      </c>
      <c r="W37" s="142">
        <f>B246</f>
        <v>1</v>
      </c>
      <c r="Y37" s="83" t="s">
        <v>301</v>
      </c>
      <c r="Z37" s="142">
        <f>B270</f>
        <v>1</v>
      </c>
      <c r="AI37" s="84" t="s">
        <v>293</v>
      </c>
      <c r="AJ37" s="161">
        <f>B303</f>
        <v>2.8000000000000001E-15</v>
      </c>
      <c r="AK37" s="84"/>
      <c r="AL37" s="84" t="s">
        <v>293</v>
      </c>
      <c r="AM37" s="161">
        <f>B304</f>
        <v>2.8000000000000002E-12</v>
      </c>
      <c r="AN37" s="84"/>
      <c r="AR37" s="84" t="s">
        <v>293</v>
      </c>
      <c r="AS37" s="161">
        <f>B303</f>
        <v>2.8000000000000001E-15</v>
      </c>
      <c r="AT37" s="84"/>
      <c r="AU37" s="84" t="s">
        <v>293</v>
      </c>
      <c r="AV37" s="161">
        <f>B304</f>
        <v>2.8000000000000002E-12</v>
      </c>
      <c r="AW37" s="84"/>
      <c r="BA37" s="84" t="s">
        <v>293</v>
      </c>
      <c r="BB37" s="161">
        <f>B303</f>
        <v>2.8000000000000001E-15</v>
      </c>
      <c r="BC37" s="84"/>
      <c r="BD37" s="84" t="s">
        <v>293</v>
      </c>
      <c r="BE37" s="161">
        <f>B304</f>
        <v>2.8000000000000002E-12</v>
      </c>
      <c r="BF37" s="84"/>
      <c r="BJ37" s="84" t="s">
        <v>293</v>
      </c>
      <c r="BK37" s="161">
        <f>B303</f>
        <v>2.8000000000000001E-15</v>
      </c>
      <c r="BL37" s="84"/>
      <c r="BM37" s="84" t="s">
        <v>293</v>
      </c>
      <c r="BN37" s="161">
        <f>B304</f>
        <v>2.8000000000000002E-12</v>
      </c>
      <c r="BO37" s="84"/>
      <c r="BS37" s="91"/>
      <c r="BT37" s="91"/>
      <c r="BU37" s="91"/>
      <c r="BY37" s="84" t="s">
        <v>293</v>
      </c>
      <c r="BZ37" s="161">
        <f>B304</f>
        <v>2.8000000000000002E-12</v>
      </c>
      <c r="CA37" s="84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12.167999999999999</v>
      </c>
      <c r="CV37" s="84" t="s">
        <v>194</v>
      </c>
      <c r="CZ37" s="92" t="s">
        <v>363</v>
      </c>
      <c r="DA37" s="141">
        <f>B170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4.25" x14ac:dyDescent="0.2">
      <c r="A38" s="83" t="s">
        <v>366</v>
      </c>
      <c r="B38" s="130">
        <v>10</v>
      </c>
      <c r="C38" s="92" t="s">
        <v>407</v>
      </c>
      <c r="D38" s="83" t="s">
        <v>260</v>
      </c>
      <c r="E38" s="152">
        <f>(E33/(E35*E34*E37*E36))/E39</f>
        <v>7.8641711060536169E-3</v>
      </c>
      <c r="F38" s="84" t="s">
        <v>297</v>
      </c>
      <c r="H38" s="138">
        <f>1/1000</f>
        <v>1E-3</v>
      </c>
      <c r="I38" s="52" t="s">
        <v>82</v>
      </c>
      <c r="J38" s="83" t="s">
        <v>409</v>
      </c>
      <c r="K38" s="150">
        <f>B79</f>
        <v>16.416</v>
      </c>
      <c r="L38" s="84" t="s">
        <v>194</v>
      </c>
      <c r="V38" s="52" t="s">
        <v>261</v>
      </c>
      <c r="W38" s="143">
        <f>((W27)/((W34/24)*W31*W32*W33*W35))*W30*W42*W43</f>
        <v>1.5011730939455422E-11</v>
      </c>
      <c r="X38" s="52" t="s">
        <v>15</v>
      </c>
      <c r="Y38" s="52" t="s">
        <v>261</v>
      </c>
      <c r="Z38" s="143">
        <f>((Z27)/((Z34/24)*Z31*Z32*Z33*Z35))*Z30*Z45*Z46</f>
        <v>1.5011730939455422E-11</v>
      </c>
      <c r="AA38" s="52" t="s">
        <v>15</v>
      </c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10.007999999999999</v>
      </c>
      <c r="CV38" s="84" t="s">
        <v>194</v>
      </c>
      <c r="CZ38" s="92" t="s">
        <v>364</v>
      </c>
      <c r="DA38" s="141">
        <f>B171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B88</f>
        <v>0.18</v>
      </c>
      <c r="HF38" s="52" t="s">
        <v>355</v>
      </c>
    </row>
    <row r="39" spans="1:214" ht="14.25" customHeight="1" x14ac:dyDescent="0.2">
      <c r="A39" s="83" t="s">
        <v>367</v>
      </c>
      <c r="B39" s="130">
        <v>20</v>
      </c>
      <c r="C39" s="92" t="s">
        <v>407</v>
      </c>
      <c r="D39" s="84" t="s">
        <v>295</v>
      </c>
      <c r="E39" s="142">
        <f>B302</f>
        <v>137</v>
      </c>
      <c r="F39" s="84" t="s">
        <v>296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((W27)/((W34/24)*W31*W36*(1/365)))*W30*W42*W43</f>
        <v>1.0640676003023053E-14</v>
      </c>
      <c r="X39" s="52" t="s">
        <v>15</v>
      </c>
      <c r="Y39" s="52" t="s">
        <v>271</v>
      </c>
      <c r="Z39" s="144">
        <f>((Z27)/((Z34/24)*Z31*Z36*(1/365)))*Z30*Z45*Z46</f>
        <v>1.0640676003023053E-14</v>
      </c>
      <c r="AA39" s="52" t="s">
        <v>15</v>
      </c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B172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B89</f>
        <v>55</v>
      </c>
      <c r="HF39" s="52" t="s">
        <v>97</v>
      </c>
    </row>
    <row r="40" spans="1:214" ht="14.25" customHeight="1" x14ac:dyDescent="0.2">
      <c r="A40" s="83" t="s">
        <v>368</v>
      </c>
      <c r="B40" s="130">
        <v>200</v>
      </c>
      <c r="C40" s="84" t="s">
        <v>48</v>
      </c>
      <c r="D40" s="84" t="s">
        <v>293</v>
      </c>
      <c r="E40" s="161">
        <f>B304</f>
        <v>2.8000000000000002E-12</v>
      </c>
      <c r="F40" s="84"/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((W27*W29*W28)/((W34/24)*(1-EXP(-W29*W32))*W33*W35*W31*W32))*W30*W42*W43</f>
        <v>1.5184816177766E-11</v>
      </c>
      <c r="X40" s="52" t="s">
        <v>16</v>
      </c>
      <c r="Y40" s="52" t="s">
        <v>261</v>
      </c>
      <c r="Z40" s="144">
        <f>((Z27*Z29*Z28)/((Z34/24)*(1-EXP(-Z29*Z32))*Z33*Z35*Z31*Z32))*Z30*Z45*Z46</f>
        <v>1.5184816177766E-11</v>
      </c>
      <c r="AA40" s="52" t="s">
        <v>16</v>
      </c>
      <c r="BK40" s="352" t="s">
        <v>230</v>
      </c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0.4</v>
      </c>
      <c r="CZ40" s="92" t="s">
        <v>457</v>
      </c>
      <c r="DA40" s="141">
        <f>B181</f>
        <v>1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B90</f>
        <v>5</v>
      </c>
      <c r="HF40" s="52" t="s">
        <v>97</v>
      </c>
    </row>
    <row r="41" spans="1:214" ht="13.5" thickBot="1" x14ac:dyDescent="0.25">
      <c r="A41" s="83" t="s">
        <v>369</v>
      </c>
      <c r="B41" s="130">
        <v>100</v>
      </c>
      <c r="C41" s="84" t="s">
        <v>48</v>
      </c>
      <c r="E41" s="138"/>
      <c r="G41" s="83" t="s">
        <v>390</v>
      </c>
      <c r="H41" s="141">
        <f>B68</f>
        <v>0.25</v>
      </c>
      <c r="I41" s="84"/>
      <c r="J41" s="83" t="s">
        <v>302</v>
      </c>
      <c r="K41" s="141">
        <v>1</v>
      </c>
      <c r="O41" s="238"/>
      <c r="P41" s="238"/>
      <c r="Q41" s="238"/>
      <c r="R41" s="238"/>
      <c r="V41" s="52" t="s">
        <v>271</v>
      </c>
      <c r="W41" s="145">
        <f>((W27*W29*W28)/((W34/24)*(1-EXP(-W29*W28))*W36*W31*(1/365)))*W30*W42*W43</f>
        <v>1.0763362983571596E-14</v>
      </c>
      <c r="X41" s="52" t="s">
        <v>16</v>
      </c>
      <c r="Y41" s="52" t="s">
        <v>271</v>
      </c>
      <c r="Z41" s="145">
        <f>((Z27*Z29*Z28)/((Z34/24)*(1-EXP(-Z29*Z28))*Z36*Z31*(1/365)))*Z30*Z45*Z46</f>
        <v>1.0763362983571596E-14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41">
        <f t="shared" si="1"/>
        <v>1</v>
      </c>
      <c r="CZ41" s="92" t="s">
        <v>466</v>
      </c>
      <c r="DA41" s="141">
        <f>B182</f>
        <v>1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B91</f>
        <v>5</v>
      </c>
      <c r="HF41" s="52" t="s">
        <v>97</v>
      </c>
    </row>
    <row r="42" spans="1:214" ht="19.5" thickTop="1" thickBot="1" x14ac:dyDescent="0.25">
      <c r="A42" s="83" t="s">
        <v>370</v>
      </c>
      <c r="B42" s="130">
        <v>0.78</v>
      </c>
      <c r="C42" s="83" t="s">
        <v>28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41">
        <v>1</v>
      </c>
      <c r="O42" s="238"/>
      <c r="P42" s="238"/>
      <c r="Q42" s="238"/>
      <c r="R42" s="238"/>
      <c r="V42" s="84" t="s">
        <v>295</v>
      </c>
      <c r="W42" s="142">
        <f>B302</f>
        <v>137</v>
      </c>
      <c r="X42" s="84" t="s">
        <v>296</v>
      </c>
      <c r="Y42" s="52" t="s">
        <v>220</v>
      </c>
      <c r="Z42" s="138">
        <f>B278</f>
        <v>50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41">
        <f t="shared" si="1"/>
        <v>1</v>
      </c>
      <c r="CW42" s="84"/>
      <c r="CX42" s="84"/>
      <c r="CY42" s="84"/>
      <c r="CZ42" s="52" t="s">
        <v>477</v>
      </c>
      <c r="DA42" s="141">
        <f>B183</f>
        <v>0.54</v>
      </c>
      <c r="DB42" s="92" t="s">
        <v>358</v>
      </c>
      <c r="DW42" s="88"/>
      <c r="DX42" s="88"/>
      <c r="DY42" s="88"/>
      <c r="DZ42" s="88"/>
      <c r="HD42" s="52" t="s">
        <v>225</v>
      </c>
      <c r="HE42" s="241">
        <f>1+((HE35*HE36*HE37)/(HE38*HE39))</f>
        <v>3.1605966718331597</v>
      </c>
    </row>
    <row r="43" spans="1:214" ht="12.75" customHeight="1" x14ac:dyDescent="0.2">
      <c r="A43" s="83" t="s">
        <v>371</v>
      </c>
      <c r="B43" s="130">
        <v>2.5</v>
      </c>
      <c r="C43" s="52" t="s">
        <v>28</v>
      </c>
      <c r="D43" s="323" t="s">
        <v>530</v>
      </c>
      <c r="E43" s="347">
        <f>E53</f>
        <v>3.145668442421447E-3</v>
      </c>
      <c r="F43" s="345" t="s">
        <v>13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V43" s="84" t="s">
        <v>293</v>
      </c>
      <c r="W43" s="161">
        <f>B303</f>
        <v>2.8000000000000001E-15</v>
      </c>
      <c r="X43" s="84"/>
      <c r="Y43" s="52" t="s">
        <v>219</v>
      </c>
      <c r="Z43" s="138">
        <f>B277</f>
        <v>5</v>
      </c>
      <c r="AA43" s="52" t="s">
        <v>157</v>
      </c>
      <c r="AE43" s="352" t="s">
        <v>226</v>
      </c>
      <c r="AF43" s="352"/>
      <c r="AG43" s="352"/>
      <c r="AI43" s="104"/>
      <c r="AJ43" s="104"/>
      <c r="AK43" s="104"/>
      <c r="BK43" s="352"/>
      <c r="BL43" s="352"/>
      <c r="BM43" s="352"/>
      <c r="BN43" s="352"/>
      <c r="BO43" s="352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B184</f>
        <v>0.71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83" t="s">
        <v>310</v>
      </c>
      <c r="B44" s="130">
        <v>54</v>
      </c>
      <c r="C44" s="52" t="s">
        <v>48</v>
      </c>
      <c r="D44" s="324"/>
      <c r="E44" s="348"/>
      <c r="F44" s="346"/>
      <c r="G44" s="52" t="s">
        <v>19</v>
      </c>
      <c r="H44" s="136">
        <f>H46</f>
        <v>2.5229999999999999E-2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AE44" s="352"/>
      <c r="AF44" s="352"/>
      <c r="AG44" s="352"/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5.75" thickTop="1" x14ac:dyDescent="0.2">
      <c r="A45" s="83" t="s">
        <v>372</v>
      </c>
      <c r="B45" s="130">
        <v>68.099999999999994</v>
      </c>
      <c r="C45" s="92" t="s">
        <v>221</v>
      </c>
      <c r="D45" s="83" t="s">
        <v>267</v>
      </c>
      <c r="E45" s="136">
        <f>B5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Y45" s="84" t="s">
        <v>295</v>
      </c>
      <c r="Z45" s="142">
        <f>B302</f>
        <v>137</v>
      </c>
      <c r="AA45" s="84" t="s">
        <v>296</v>
      </c>
      <c r="AB45" s="104"/>
      <c r="AC45" s="105"/>
      <c r="AE45" s="352"/>
      <c r="AF45" s="352"/>
      <c r="AG45" s="352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B185</f>
        <v>0.5</v>
      </c>
      <c r="DB45" s="92" t="s">
        <v>145</v>
      </c>
      <c r="DW45" s="88"/>
      <c r="DX45" s="88"/>
      <c r="DY45" s="88"/>
      <c r="DZ45" s="88"/>
    </row>
    <row r="46" spans="1:214" ht="13.5" customHeight="1" x14ac:dyDescent="0.2">
      <c r="A46" s="83" t="s">
        <v>373</v>
      </c>
      <c r="B46" s="130">
        <v>188.5</v>
      </c>
      <c r="C46" s="92" t="s">
        <v>221</v>
      </c>
      <c r="D46" s="83" t="s">
        <v>382</v>
      </c>
      <c r="E46" s="150">
        <f>B56</f>
        <v>350</v>
      </c>
      <c r="F46" s="83" t="s">
        <v>24</v>
      </c>
      <c r="G46" s="84" t="s">
        <v>32</v>
      </c>
      <c r="H46" s="139">
        <f>B31</f>
        <v>2.5229999999999999E-2</v>
      </c>
      <c r="K46" s="146">
        <v>1000</v>
      </c>
      <c r="L46" s="52" t="s">
        <v>23</v>
      </c>
      <c r="Y46" s="84" t="s">
        <v>293</v>
      </c>
      <c r="Z46" s="161">
        <f>B303</f>
        <v>2.8000000000000001E-15</v>
      </c>
      <c r="AA46" s="84"/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83" t="s">
        <v>374</v>
      </c>
      <c r="B47" s="130">
        <v>41.7</v>
      </c>
      <c r="C47" s="92" t="s">
        <v>221</v>
      </c>
      <c r="D47" s="83" t="s">
        <v>258</v>
      </c>
      <c r="E47" s="136">
        <f>B17</f>
        <v>4.9109405245458101E-5</v>
      </c>
      <c r="F47" s="83" t="s">
        <v>87</v>
      </c>
      <c r="G47" s="83" t="s">
        <v>393</v>
      </c>
      <c r="H47" s="142">
        <f>B35</f>
        <v>0.26</v>
      </c>
      <c r="J47" s="52" t="s">
        <v>19</v>
      </c>
      <c r="K47" s="136">
        <f>K49</f>
        <v>2.5229999999999999E-2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B165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83" t="s">
        <v>375</v>
      </c>
      <c r="B48" s="130">
        <v>128.9</v>
      </c>
      <c r="C48" s="92" t="s">
        <v>221</v>
      </c>
      <c r="D48" s="83" t="s">
        <v>379</v>
      </c>
      <c r="E48" s="146">
        <f>B53</f>
        <v>1</v>
      </c>
      <c r="F48" s="52" t="s">
        <v>60</v>
      </c>
      <c r="G48" s="52" t="s">
        <v>17</v>
      </c>
      <c r="H48" s="137">
        <f>((H51*H52*H53)*((1-EXP(-H54*H55))))/(H56*H54)</f>
        <v>0.66271991443607436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B166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83" t="s">
        <v>376</v>
      </c>
      <c r="B49" s="130">
        <v>0.23</v>
      </c>
      <c r="D49" s="83" t="s">
        <v>394</v>
      </c>
      <c r="E49" s="146">
        <f>B44</f>
        <v>54</v>
      </c>
      <c r="F49" s="52" t="s">
        <v>48</v>
      </c>
      <c r="G49" s="52" t="s">
        <v>25</v>
      </c>
      <c r="H49" s="137">
        <f>(H51*H52*H57*((1-EXP(-H54*H55))))/(H56*H54)</f>
        <v>6.8294561138874093</v>
      </c>
      <c r="I49" s="52" t="s">
        <v>18</v>
      </c>
      <c r="J49" s="84" t="s">
        <v>32</v>
      </c>
      <c r="K49" s="139">
        <f>B31</f>
        <v>2.5229999999999999E-2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T49" s="84" t="s">
        <v>295</v>
      </c>
      <c r="CU49" s="142">
        <f>B302</f>
        <v>137</v>
      </c>
      <c r="CV49" s="84" t="s">
        <v>296</v>
      </c>
      <c r="CZ49" s="83" t="s">
        <v>475</v>
      </c>
      <c r="DA49" s="146">
        <f>B165</f>
        <v>0.15</v>
      </c>
      <c r="DW49" s="88"/>
      <c r="DX49" s="88"/>
      <c r="DY49" s="88"/>
      <c r="DZ49" s="88"/>
    </row>
    <row r="50" spans="1:130" x14ac:dyDescent="0.2">
      <c r="A50" s="83" t="s">
        <v>377</v>
      </c>
      <c r="B50" s="130">
        <v>0.77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3.6385364930662121</v>
      </c>
      <c r="I50" s="52" t="s">
        <v>18</v>
      </c>
      <c r="J50" s="83" t="s">
        <v>393</v>
      </c>
      <c r="K50" s="142">
        <f>B35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T50" s="84" t="s">
        <v>293</v>
      </c>
      <c r="CU50" s="161">
        <f>B304</f>
        <v>2.8000000000000002E-12</v>
      </c>
      <c r="CV50" s="84"/>
      <c r="CZ50" s="83" t="s">
        <v>476</v>
      </c>
      <c r="DA50" s="146">
        <f>B166</f>
        <v>0.85</v>
      </c>
      <c r="DW50" s="88"/>
      <c r="DX50" s="88"/>
      <c r="DY50" s="88"/>
      <c r="DZ50" s="88"/>
    </row>
    <row r="51" spans="1:130" x14ac:dyDescent="0.2">
      <c r="A51" s="52" t="s">
        <v>378</v>
      </c>
      <c r="B51" s="131">
        <v>1</v>
      </c>
      <c r="C51" s="52" t="s">
        <v>60</v>
      </c>
      <c r="D51" s="83" t="s">
        <v>105</v>
      </c>
      <c r="E51" s="150">
        <f>B23</f>
        <v>2500</v>
      </c>
      <c r="F51" s="84" t="s">
        <v>18</v>
      </c>
      <c r="G51" s="83" t="s">
        <v>36</v>
      </c>
      <c r="H51" s="138">
        <f>B69</f>
        <v>3.62</v>
      </c>
      <c r="I51" s="52" t="s">
        <v>37</v>
      </c>
      <c r="J51" s="83" t="s">
        <v>376</v>
      </c>
      <c r="K51" s="146">
        <f>B49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CZ51" s="84" t="s">
        <v>295</v>
      </c>
      <c r="DA51" s="142">
        <f>B302</f>
        <v>137</v>
      </c>
      <c r="DB51" s="84" t="s">
        <v>296</v>
      </c>
      <c r="DW51" s="88"/>
      <c r="DX51" s="88"/>
      <c r="DY51" s="88"/>
      <c r="DZ51" s="88"/>
    </row>
    <row r="52" spans="1:130" x14ac:dyDescent="0.2">
      <c r="A52" s="52" t="s">
        <v>448</v>
      </c>
      <c r="B52" s="131">
        <v>1</v>
      </c>
      <c r="C52" s="52" t="s">
        <v>60</v>
      </c>
      <c r="D52" s="83" t="s">
        <v>107</v>
      </c>
      <c r="E52" s="138">
        <f>B64</f>
        <v>1</v>
      </c>
      <c r="F52" s="84" t="s">
        <v>108</v>
      </c>
      <c r="G52" s="83" t="s">
        <v>40</v>
      </c>
      <c r="H52" s="138">
        <f>B70</f>
        <v>0.25</v>
      </c>
      <c r="I52" s="52" t="s">
        <v>41</v>
      </c>
      <c r="J52" s="83" t="s">
        <v>377</v>
      </c>
      <c r="K52" s="146">
        <f>B50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CZ52" s="84" t="s">
        <v>293</v>
      </c>
      <c r="DA52" s="161">
        <f>B303</f>
        <v>2.8000000000000001E-15</v>
      </c>
      <c r="DB52" s="84"/>
      <c r="DW52" s="88"/>
      <c r="DX52" s="88"/>
      <c r="DY52" s="88"/>
      <c r="DZ52" s="88"/>
    </row>
    <row r="53" spans="1:130" x14ac:dyDescent="0.2">
      <c r="A53" s="52" t="s">
        <v>379</v>
      </c>
      <c r="B53" s="131">
        <v>1</v>
      </c>
      <c r="C53" s="52" t="s">
        <v>60</v>
      </c>
      <c r="D53" s="83" t="s">
        <v>260</v>
      </c>
      <c r="E53" s="152">
        <f>(E45/(E47*E46*E48*E49*E51*E52*(1/E50)))/E54</f>
        <v>3.145668442421447E-3</v>
      </c>
      <c r="F53" s="52" t="s">
        <v>13</v>
      </c>
      <c r="G53" s="92" t="s">
        <v>32</v>
      </c>
      <c r="H53" s="136">
        <f>B31</f>
        <v>2.5229999999999999E-2</v>
      </c>
      <c r="J53" s="84" t="s">
        <v>295</v>
      </c>
      <c r="K53" s="142">
        <f>B302</f>
        <v>137</v>
      </c>
      <c r="L53" s="84" t="s">
        <v>296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52" t="s">
        <v>380</v>
      </c>
      <c r="B54" s="131">
        <v>350</v>
      </c>
      <c r="C54" s="83" t="s">
        <v>24</v>
      </c>
      <c r="D54" s="84" t="s">
        <v>295</v>
      </c>
      <c r="E54" s="142">
        <f>B302</f>
        <v>137</v>
      </c>
      <c r="F54" s="84" t="s">
        <v>296</v>
      </c>
      <c r="G54" s="92" t="s">
        <v>49</v>
      </c>
      <c r="H54" s="137">
        <f>H62+H63</f>
        <v>8.993711152170084E-5</v>
      </c>
      <c r="J54" s="84" t="s">
        <v>293</v>
      </c>
      <c r="K54" s="161">
        <f>B304</f>
        <v>2.8000000000000002E-12</v>
      </c>
      <c r="L54" s="84"/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52" t="s">
        <v>381</v>
      </c>
      <c r="B55" s="131">
        <v>350</v>
      </c>
      <c r="C55" s="83" t="s">
        <v>24</v>
      </c>
      <c r="D55" s="84" t="s">
        <v>293</v>
      </c>
      <c r="E55" s="161">
        <f>B303</f>
        <v>2.8000000000000001E-15</v>
      </c>
      <c r="F55" s="84"/>
      <c r="G55" s="92" t="s">
        <v>52</v>
      </c>
      <c r="H55" s="138">
        <f>B71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52" t="s">
        <v>382</v>
      </c>
      <c r="B56" s="131">
        <v>350</v>
      </c>
      <c r="C56" s="83" t="s">
        <v>24</v>
      </c>
      <c r="G56" s="92" t="s">
        <v>55</v>
      </c>
      <c r="H56" s="138">
        <f>B72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52" t="s">
        <v>403</v>
      </c>
      <c r="B57" s="131">
        <v>0.54</v>
      </c>
      <c r="C57" s="52" t="s">
        <v>89</v>
      </c>
      <c r="G57" s="92" t="s">
        <v>393</v>
      </c>
      <c r="H57" s="138">
        <f>B35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52" t="s">
        <v>404</v>
      </c>
      <c r="B58" s="131">
        <v>0.71</v>
      </c>
      <c r="C58" s="52" t="s">
        <v>89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52" t="s">
        <v>385</v>
      </c>
      <c r="B59" s="131">
        <v>24</v>
      </c>
      <c r="C59" s="52" t="s">
        <v>194</v>
      </c>
      <c r="G59" s="92" t="s">
        <v>63</v>
      </c>
      <c r="H59" s="151">
        <f>H63+(0.693/H65)</f>
        <v>4.9562937111521696E-2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52" t="s">
        <v>318</v>
      </c>
      <c r="B60" s="131">
        <v>1</v>
      </c>
      <c r="G60" s="92" t="s">
        <v>67</v>
      </c>
      <c r="H60" s="142">
        <f>B73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52" t="s">
        <v>303</v>
      </c>
      <c r="B61" s="131">
        <v>0.4</v>
      </c>
      <c r="G61" s="92" t="s">
        <v>68</v>
      </c>
      <c r="H61" s="142">
        <f>B74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52" t="s">
        <v>302</v>
      </c>
      <c r="B62" s="131">
        <v>1</v>
      </c>
      <c r="G62" s="92" t="s">
        <v>70</v>
      </c>
      <c r="H62" s="138">
        <f>B75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386</v>
      </c>
      <c r="B63" s="131">
        <v>1</v>
      </c>
      <c r="G63" s="92" t="s">
        <v>71</v>
      </c>
      <c r="H63" s="137">
        <f>0.693/H67</f>
        <v>6.2937111521700834E-5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83" t="s">
        <v>107</v>
      </c>
      <c r="B64" s="131">
        <v>1</v>
      </c>
      <c r="C64" s="84" t="s">
        <v>108</v>
      </c>
      <c r="G64" s="92" t="s">
        <v>73</v>
      </c>
      <c r="H64" s="138">
        <f>B76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65</v>
      </c>
      <c r="B65" s="131">
        <v>0.5</v>
      </c>
      <c r="C65" s="52" t="s">
        <v>66</v>
      </c>
      <c r="G65" s="92" t="s">
        <v>74</v>
      </c>
      <c r="H65" s="138">
        <f>B77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79</v>
      </c>
      <c r="B66" s="131">
        <v>1</v>
      </c>
      <c r="C66" s="52" t="s">
        <v>80</v>
      </c>
      <c r="G66" s="52" t="s">
        <v>33</v>
      </c>
      <c r="H66" s="136">
        <f>B32</f>
        <v>2.9000000000000001E-2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81</v>
      </c>
      <c r="B67" s="131">
        <v>1</v>
      </c>
      <c r="C67" s="52" t="s">
        <v>80</v>
      </c>
      <c r="G67" s="83" t="s">
        <v>234</v>
      </c>
      <c r="H67" s="136">
        <f>B22</f>
        <v>11010.9915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390</v>
      </c>
      <c r="B68" s="131">
        <v>0.25</v>
      </c>
      <c r="G68" s="83" t="s">
        <v>376</v>
      </c>
      <c r="H68" s="146">
        <f>B49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83" t="s">
        <v>36</v>
      </c>
      <c r="B69" s="131">
        <v>3.62</v>
      </c>
      <c r="C69" s="52" t="s">
        <v>37</v>
      </c>
      <c r="G69" s="83" t="s">
        <v>377</v>
      </c>
      <c r="H69" s="146">
        <f>B50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83" t="s">
        <v>40</v>
      </c>
      <c r="B70" s="131">
        <v>0.25</v>
      </c>
      <c r="C70" s="52" t="s">
        <v>41</v>
      </c>
      <c r="G70" s="84" t="s">
        <v>295</v>
      </c>
      <c r="H70" s="142">
        <f>B302</f>
        <v>137</v>
      </c>
      <c r="I70" s="84" t="s">
        <v>296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92" t="s">
        <v>52</v>
      </c>
      <c r="B71" s="131">
        <v>10950</v>
      </c>
      <c r="C71" s="52" t="s">
        <v>53</v>
      </c>
      <c r="G71" s="84" t="s">
        <v>293</v>
      </c>
      <c r="H71" s="161">
        <f>B303</f>
        <v>2.8000000000000001E-15</v>
      </c>
      <c r="I71" s="84"/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92" t="s">
        <v>55</v>
      </c>
      <c r="B72" s="131">
        <v>240</v>
      </c>
      <c r="C72" s="52" t="s">
        <v>56</v>
      </c>
      <c r="G72" s="84" t="s">
        <v>293</v>
      </c>
      <c r="H72" s="161">
        <f>B304</f>
        <v>2.8000000000000002E-12</v>
      </c>
      <c r="AF72" s="109"/>
      <c r="AG72" s="106"/>
      <c r="AH72" s="106"/>
      <c r="AI72" s="106"/>
      <c r="AJ72" s="106"/>
      <c r="AK72" s="106"/>
    </row>
    <row r="73" spans="1:105" x14ac:dyDescent="0.2">
      <c r="A73" s="92" t="s">
        <v>67</v>
      </c>
      <c r="B73" s="131">
        <v>60</v>
      </c>
      <c r="C73" s="83" t="s">
        <v>53</v>
      </c>
      <c r="G73" s="91" t="s">
        <v>231</v>
      </c>
      <c r="H73" s="85">
        <f>B18</f>
        <v>30.167100000000001</v>
      </c>
      <c r="I73" s="52" t="s">
        <v>235</v>
      </c>
      <c r="AF73" s="109"/>
      <c r="AG73" s="106"/>
      <c r="AH73" s="106"/>
      <c r="AI73" s="106"/>
      <c r="AJ73" s="106"/>
      <c r="AK73" s="106"/>
    </row>
    <row r="74" spans="1:105" x14ac:dyDescent="0.2">
      <c r="A74" s="92" t="s">
        <v>68</v>
      </c>
      <c r="B74" s="131">
        <v>2</v>
      </c>
      <c r="C74" s="83" t="s">
        <v>56</v>
      </c>
      <c r="AF74" s="109"/>
      <c r="AG74" s="106"/>
      <c r="AH74" s="106"/>
      <c r="AI74" s="106"/>
      <c r="AJ74" s="106"/>
      <c r="AK74" s="106"/>
    </row>
    <row r="75" spans="1:105" x14ac:dyDescent="0.2">
      <c r="A75" s="92" t="s">
        <v>70</v>
      </c>
      <c r="B75" s="131">
        <v>2.6999999999999999E-5</v>
      </c>
      <c r="C75" s="52" t="s">
        <v>64</v>
      </c>
      <c r="AF75" s="108"/>
      <c r="AG75" s="106"/>
      <c r="AH75" s="106"/>
      <c r="AI75" s="106"/>
      <c r="AJ75" s="106"/>
      <c r="AK75" s="106"/>
    </row>
    <row r="76" spans="1:105" x14ac:dyDescent="0.2">
      <c r="A76" s="92" t="s">
        <v>73</v>
      </c>
      <c r="B76" s="131">
        <v>1</v>
      </c>
      <c r="C76" s="52" t="s">
        <v>41</v>
      </c>
      <c r="AF76" s="109"/>
      <c r="AG76" s="106"/>
      <c r="AH76" s="106"/>
      <c r="AI76" s="106"/>
      <c r="AJ76" s="106"/>
      <c r="AK76" s="106"/>
    </row>
    <row r="77" spans="1:105" x14ac:dyDescent="0.2">
      <c r="A77" s="92" t="s">
        <v>74</v>
      </c>
      <c r="B77" s="131">
        <v>14</v>
      </c>
      <c r="C77" s="52" t="s">
        <v>75</v>
      </c>
      <c r="AF77" s="109"/>
      <c r="AG77" s="106"/>
      <c r="AH77" s="106"/>
      <c r="AI77" s="106"/>
      <c r="AJ77" s="106"/>
      <c r="AK77" s="106"/>
    </row>
    <row r="78" spans="1:105" x14ac:dyDescent="0.2">
      <c r="A78" s="83" t="s">
        <v>408</v>
      </c>
      <c r="B78" s="130">
        <v>1.752</v>
      </c>
      <c r="C78" s="84" t="s">
        <v>194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409</v>
      </c>
      <c r="B79" s="130">
        <v>16.416</v>
      </c>
      <c r="C79" s="84" t="s">
        <v>194</v>
      </c>
      <c r="AF79" s="109"/>
      <c r="AG79" s="106"/>
    </row>
    <row r="80" spans="1:105" x14ac:dyDescent="0.2">
      <c r="A80" s="83" t="s">
        <v>389</v>
      </c>
      <c r="B80" s="130">
        <v>1</v>
      </c>
      <c r="C80" s="84"/>
      <c r="AF80" s="109"/>
      <c r="AG80" s="106"/>
      <c r="AH80" s="106"/>
      <c r="AI80" s="106"/>
      <c r="AJ80" s="106"/>
      <c r="AK80" s="106"/>
    </row>
    <row r="81" spans="1:37" x14ac:dyDescent="0.2">
      <c r="A81" s="385" t="s">
        <v>387</v>
      </c>
      <c r="B81" s="385"/>
      <c r="C81" s="385"/>
      <c r="AF81" s="109"/>
      <c r="AG81" s="106"/>
      <c r="AH81" s="106"/>
      <c r="AI81" s="106"/>
      <c r="AJ81" s="106"/>
      <c r="AK81" s="106"/>
    </row>
    <row r="82" spans="1:37" x14ac:dyDescent="0.2">
      <c r="A82" s="52" t="s">
        <v>34</v>
      </c>
      <c r="B82" s="131">
        <v>70</v>
      </c>
      <c r="C82" s="52" t="s">
        <v>60</v>
      </c>
      <c r="AF82" s="109"/>
      <c r="AG82" s="106"/>
      <c r="AH82" s="106"/>
      <c r="AI82" s="106"/>
      <c r="AJ82" s="106"/>
      <c r="AK82" s="106"/>
    </row>
    <row r="83" spans="1:37" x14ac:dyDescent="0.2">
      <c r="A83" s="84" t="s">
        <v>38</v>
      </c>
      <c r="B83" s="131">
        <v>0.3</v>
      </c>
      <c r="C83" s="52" t="s">
        <v>391</v>
      </c>
      <c r="AF83" s="109"/>
      <c r="AG83" s="106"/>
      <c r="AH83" s="106"/>
      <c r="AI83" s="106"/>
      <c r="AJ83" s="106"/>
      <c r="AK83" s="106"/>
    </row>
    <row r="84" spans="1:37" x14ac:dyDescent="0.2">
      <c r="A84" s="84" t="s">
        <v>42</v>
      </c>
      <c r="B84" s="130">
        <v>1.5</v>
      </c>
      <c r="C84" s="52" t="s">
        <v>286</v>
      </c>
      <c r="AF84" s="108"/>
      <c r="AG84" s="106"/>
    </row>
    <row r="85" spans="1:37" x14ac:dyDescent="0.2">
      <c r="A85" s="84" t="s">
        <v>47</v>
      </c>
      <c r="B85" s="131">
        <v>1</v>
      </c>
      <c r="C85" s="52" t="s">
        <v>60</v>
      </c>
      <c r="AF85" s="108"/>
      <c r="AG85" s="106"/>
      <c r="AH85" s="106"/>
      <c r="AI85" s="106"/>
      <c r="AJ85" s="106"/>
      <c r="AK85" s="106"/>
    </row>
    <row r="86" spans="1:37" x14ac:dyDescent="0.2">
      <c r="A86" s="84" t="s">
        <v>225</v>
      </c>
      <c r="B86" s="130">
        <v>1</v>
      </c>
      <c r="AF86" s="108"/>
      <c r="AG86" s="106"/>
    </row>
    <row r="87" spans="1:37" x14ac:dyDescent="0.2">
      <c r="A87" s="52" t="s">
        <v>93</v>
      </c>
      <c r="B87" s="130">
        <v>5</v>
      </c>
      <c r="C87" s="52" t="s">
        <v>94</v>
      </c>
      <c r="AH87" s="108"/>
      <c r="AI87" s="108"/>
      <c r="AJ87" s="108"/>
      <c r="AK87" s="108"/>
    </row>
    <row r="88" spans="1:37" x14ac:dyDescent="0.2">
      <c r="A88" s="52" t="s">
        <v>98</v>
      </c>
      <c r="B88" s="130">
        <v>0.18</v>
      </c>
      <c r="C88" s="52" t="s">
        <v>355</v>
      </c>
    </row>
    <row r="89" spans="1:37" x14ac:dyDescent="0.2">
      <c r="A89" s="52" t="s">
        <v>100</v>
      </c>
      <c r="B89" s="130">
        <v>55</v>
      </c>
      <c r="C89" s="52" t="s">
        <v>97</v>
      </c>
    </row>
    <row r="90" spans="1:37" x14ac:dyDescent="0.2">
      <c r="A90" s="52" t="s">
        <v>101</v>
      </c>
      <c r="B90" s="130">
        <v>5</v>
      </c>
      <c r="C90" s="52" t="s">
        <v>97</v>
      </c>
    </row>
    <row r="91" spans="1:37" x14ac:dyDescent="0.2">
      <c r="A91" s="52" t="s">
        <v>102</v>
      </c>
      <c r="B91" s="130">
        <v>5</v>
      </c>
      <c r="C91" s="52" t="s">
        <v>97</v>
      </c>
    </row>
    <row r="92" spans="1:37" x14ac:dyDescent="0.2">
      <c r="A92" s="384" t="s">
        <v>5</v>
      </c>
      <c r="B92" s="384"/>
      <c r="C92" s="384"/>
    </row>
    <row r="93" spans="1:37" x14ac:dyDescent="0.2">
      <c r="A93" s="83" t="s">
        <v>429</v>
      </c>
      <c r="B93" s="131">
        <v>10</v>
      </c>
      <c r="C93" s="92" t="s">
        <v>407</v>
      </c>
    </row>
    <row r="94" spans="1:37" x14ac:dyDescent="0.2">
      <c r="A94" s="83" t="s">
        <v>430</v>
      </c>
      <c r="B94" s="131">
        <v>20</v>
      </c>
      <c r="C94" s="92" t="s">
        <v>407</v>
      </c>
    </row>
    <row r="95" spans="1:37" x14ac:dyDescent="0.2">
      <c r="A95" s="83" t="s">
        <v>439</v>
      </c>
      <c r="B95" s="130">
        <v>0.05</v>
      </c>
      <c r="C95" s="83" t="s">
        <v>357</v>
      </c>
    </row>
    <row r="96" spans="1:37" x14ac:dyDescent="0.2">
      <c r="A96" s="83" t="s">
        <v>438</v>
      </c>
      <c r="B96" s="130">
        <v>0.05</v>
      </c>
      <c r="C96" s="83" t="s">
        <v>357</v>
      </c>
    </row>
    <row r="97" spans="1:3" x14ac:dyDescent="0.2">
      <c r="A97" s="83" t="s">
        <v>441</v>
      </c>
      <c r="B97" s="131">
        <v>200</v>
      </c>
      <c r="C97" s="84" t="s">
        <v>48</v>
      </c>
    </row>
    <row r="98" spans="1:3" x14ac:dyDescent="0.2">
      <c r="A98" s="83" t="s">
        <v>442</v>
      </c>
      <c r="B98" s="131">
        <v>100</v>
      </c>
      <c r="C98" s="84" t="s">
        <v>48</v>
      </c>
    </row>
    <row r="99" spans="1:3" x14ac:dyDescent="0.2">
      <c r="A99" s="52" t="s">
        <v>159</v>
      </c>
      <c r="B99" s="131">
        <v>1</v>
      </c>
      <c r="C99" s="52" t="s">
        <v>221</v>
      </c>
    </row>
    <row r="100" spans="1:3" x14ac:dyDescent="0.2">
      <c r="A100" s="52" t="s">
        <v>160</v>
      </c>
      <c r="B100" s="131">
        <v>1</v>
      </c>
      <c r="C100" s="52" t="s">
        <v>221</v>
      </c>
    </row>
    <row r="101" spans="1:3" x14ac:dyDescent="0.2">
      <c r="A101" s="83" t="s">
        <v>308</v>
      </c>
      <c r="B101" s="130">
        <v>0.23</v>
      </c>
    </row>
    <row r="102" spans="1:3" x14ac:dyDescent="0.2">
      <c r="A102" s="83" t="s">
        <v>309</v>
      </c>
      <c r="B102" s="130">
        <v>0.77</v>
      </c>
    </row>
    <row r="103" spans="1:3" x14ac:dyDescent="0.2">
      <c r="A103" s="52" t="s">
        <v>140</v>
      </c>
      <c r="B103" s="131">
        <v>75</v>
      </c>
      <c r="C103" s="52" t="s">
        <v>24</v>
      </c>
    </row>
    <row r="104" spans="1:3" x14ac:dyDescent="0.2">
      <c r="A104" s="52" t="s">
        <v>433</v>
      </c>
      <c r="B104" s="131">
        <v>75</v>
      </c>
      <c r="C104" s="52" t="s">
        <v>24</v>
      </c>
    </row>
    <row r="105" spans="1:3" x14ac:dyDescent="0.2">
      <c r="A105" s="52" t="s">
        <v>434</v>
      </c>
      <c r="B105" s="131">
        <v>75</v>
      </c>
      <c r="C105" s="52" t="s">
        <v>24</v>
      </c>
    </row>
    <row r="106" spans="1:3" x14ac:dyDescent="0.2">
      <c r="A106" s="52" t="s">
        <v>431</v>
      </c>
      <c r="B106" s="130">
        <v>1</v>
      </c>
      <c r="C106" s="52" t="s">
        <v>194</v>
      </c>
    </row>
    <row r="107" spans="1:3" x14ac:dyDescent="0.2">
      <c r="A107" s="52" t="s">
        <v>432</v>
      </c>
      <c r="B107" s="130">
        <v>1</v>
      </c>
      <c r="C107" s="52" t="s">
        <v>194</v>
      </c>
    </row>
    <row r="108" spans="1:3" x14ac:dyDescent="0.2">
      <c r="A108" s="52" t="s">
        <v>90</v>
      </c>
      <c r="B108" s="131">
        <v>1</v>
      </c>
      <c r="C108" s="52" t="s">
        <v>194</v>
      </c>
    </row>
    <row r="109" spans="1:3" x14ac:dyDescent="0.2">
      <c r="A109" s="52" t="s">
        <v>443</v>
      </c>
      <c r="B109" s="131">
        <v>1</v>
      </c>
      <c r="C109" s="52" t="s">
        <v>89</v>
      </c>
    </row>
    <row r="110" spans="1:3" x14ac:dyDescent="0.2">
      <c r="A110" s="52" t="s">
        <v>444</v>
      </c>
      <c r="B110" s="131">
        <v>1</v>
      </c>
      <c r="C110" s="52" t="s">
        <v>89</v>
      </c>
    </row>
    <row r="111" spans="1:3" x14ac:dyDescent="0.2">
      <c r="A111" s="83" t="s">
        <v>301</v>
      </c>
      <c r="B111" s="131">
        <v>1</v>
      </c>
    </row>
    <row r="112" spans="1:3" x14ac:dyDescent="0.2">
      <c r="A112" s="83" t="s">
        <v>433</v>
      </c>
      <c r="B112" s="130">
        <v>45</v>
      </c>
      <c r="C112" s="83" t="s">
        <v>24</v>
      </c>
    </row>
    <row r="113" spans="1:3" x14ac:dyDescent="0.2">
      <c r="A113" s="83" t="s">
        <v>434</v>
      </c>
      <c r="B113" s="130">
        <v>45</v>
      </c>
      <c r="C113" s="83" t="s">
        <v>24</v>
      </c>
    </row>
    <row r="114" spans="1:3" x14ac:dyDescent="0.2">
      <c r="A114" s="83" t="s">
        <v>435</v>
      </c>
      <c r="B114" s="131">
        <v>1</v>
      </c>
      <c r="C114" s="52" t="s">
        <v>80</v>
      </c>
    </row>
    <row r="115" spans="1:3" x14ac:dyDescent="0.2">
      <c r="A115" s="83" t="s">
        <v>436</v>
      </c>
      <c r="B115" s="131">
        <v>1</v>
      </c>
      <c r="C115" s="52" t="s">
        <v>80</v>
      </c>
    </row>
    <row r="116" spans="1:3" x14ac:dyDescent="0.2">
      <c r="A116" s="83" t="s">
        <v>65</v>
      </c>
      <c r="B116" s="130">
        <v>0.5</v>
      </c>
      <c r="C116" s="52" t="s">
        <v>66</v>
      </c>
    </row>
    <row r="117" spans="1:3" x14ac:dyDescent="0.2">
      <c r="A117" s="52" t="s">
        <v>51</v>
      </c>
      <c r="B117" s="131">
        <v>1</v>
      </c>
      <c r="C117" s="52" t="s">
        <v>60</v>
      </c>
    </row>
    <row r="118" spans="1:3" x14ac:dyDescent="0.2">
      <c r="A118" s="52" t="s">
        <v>329</v>
      </c>
      <c r="B118" s="131">
        <v>2.41E-4</v>
      </c>
    </row>
    <row r="119" spans="1:3" x14ac:dyDescent="0.2">
      <c r="A119" s="52" t="s">
        <v>330</v>
      </c>
      <c r="B119" s="131">
        <v>0.753</v>
      </c>
    </row>
    <row r="120" spans="1:3" x14ac:dyDescent="0.2">
      <c r="A120" s="52" t="s">
        <v>331</v>
      </c>
      <c r="B120" s="131">
        <v>1.17E-4</v>
      </c>
    </row>
    <row r="121" spans="1:3" x14ac:dyDescent="0.2">
      <c r="A121" s="52" t="s">
        <v>332</v>
      </c>
      <c r="B121" s="131">
        <v>0.74299999999999999</v>
      </c>
    </row>
    <row r="122" spans="1:3" x14ac:dyDescent="0.2">
      <c r="A122" s="52" t="s">
        <v>333</v>
      </c>
      <c r="B122" s="131">
        <v>1.35E-4</v>
      </c>
    </row>
    <row r="123" spans="1:3" x14ac:dyDescent="0.2">
      <c r="A123" s="52" t="s">
        <v>334</v>
      </c>
      <c r="B123" s="131">
        <v>0.71099999999999997</v>
      </c>
    </row>
    <row r="124" spans="1:3" x14ac:dyDescent="0.2">
      <c r="A124" s="52" t="s">
        <v>335</v>
      </c>
      <c r="B124" s="131">
        <v>2.2599999999999999E-4</v>
      </c>
    </row>
    <row r="125" spans="1:3" x14ac:dyDescent="0.2">
      <c r="A125" s="52" t="s">
        <v>336</v>
      </c>
      <c r="B125" s="131">
        <v>0.66200000000000003</v>
      </c>
    </row>
    <row r="126" spans="1:3" x14ac:dyDescent="0.2">
      <c r="A126" s="52" t="s">
        <v>337</v>
      </c>
      <c r="B126" s="131">
        <v>1.5699999999999999E-5</v>
      </c>
    </row>
    <row r="127" spans="1:3" x14ac:dyDescent="0.2">
      <c r="A127" s="52" t="s">
        <v>338</v>
      </c>
      <c r="B127" s="131">
        <v>0.80900000000000005</v>
      </c>
    </row>
    <row r="128" spans="1:3" x14ac:dyDescent="0.2">
      <c r="A128" s="52" t="s">
        <v>159</v>
      </c>
      <c r="B128" s="130">
        <v>1</v>
      </c>
      <c r="C128" s="52" t="s">
        <v>221</v>
      </c>
    </row>
    <row r="129" spans="1:3" x14ac:dyDescent="0.2">
      <c r="A129" s="84" t="s">
        <v>164</v>
      </c>
      <c r="B129" s="130">
        <v>1</v>
      </c>
      <c r="C129" s="52" t="s">
        <v>246</v>
      </c>
    </row>
    <row r="130" spans="1:3" x14ac:dyDescent="0.2">
      <c r="A130" s="84" t="s">
        <v>161</v>
      </c>
      <c r="B130" s="130">
        <v>1</v>
      </c>
      <c r="C130" s="52" t="s">
        <v>246</v>
      </c>
    </row>
    <row r="131" spans="1:3" x14ac:dyDescent="0.2">
      <c r="A131" s="84" t="s">
        <v>162</v>
      </c>
      <c r="B131" s="130">
        <v>1</v>
      </c>
      <c r="C131" s="52" t="s">
        <v>41</v>
      </c>
    </row>
    <row r="132" spans="1:3" x14ac:dyDescent="0.2">
      <c r="A132" s="84" t="s">
        <v>163</v>
      </c>
      <c r="B132" s="130">
        <v>1</v>
      </c>
      <c r="C132" s="52" t="s">
        <v>41</v>
      </c>
    </row>
    <row r="133" spans="1:3" x14ac:dyDescent="0.2">
      <c r="A133" s="84" t="s">
        <v>169</v>
      </c>
      <c r="B133" s="130">
        <v>1</v>
      </c>
      <c r="C133" s="52" t="s">
        <v>28</v>
      </c>
    </row>
    <row r="134" spans="1:3" x14ac:dyDescent="0.2">
      <c r="A134" s="52" t="s">
        <v>160</v>
      </c>
      <c r="B134" s="130">
        <v>1</v>
      </c>
      <c r="C134" s="52" t="s">
        <v>221</v>
      </c>
    </row>
    <row r="135" spans="1:3" x14ac:dyDescent="0.2">
      <c r="A135" s="52" t="s">
        <v>165</v>
      </c>
      <c r="B135" s="130">
        <v>1</v>
      </c>
      <c r="C135" s="52" t="s">
        <v>246</v>
      </c>
    </row>
    <row r="136" spans="1:3" x14ac:dyDescent="0.2">
      <c r="A136" s="52" t="s">
        <v>166</v>
      </c>
      <c r="B136" s="130">
        <v>1</v>
      </c>
      <c r="C136" s="52" t="s">
        <v>246</v>
      </c>
    </row>
    <row r="137" spans="1:3" x14ac:dyDescent="0.2">
      <c r="A137" s="93" t="s">
        <v>167</v>
      </c>
      <c r="B137" s="130">
        <v>1</v>
      </c>
      <c r="C137" s="52" t="s">
        <v>41</v>
      </c>
    </row>
    <row r="138" spans="1:3" x14ac:dyDescent="0.2">
      <c r="A138" s="83" t="s">
        <v>168</v>
      </c>
      <c r="B138" s="130">
        <v>1</v>
      </c>
      <c r="C138" s="52" t="s">
        <v>41</v>
      </c>
    </row>
    <row r="139" spans="1:3" x14ac:dyDescent="0.2">
      <c r="A139" s="84" t="s">
        <v>170</v>
      </c>
      <c r="B139" s="130">
        <v>1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200</v>
      </c>
      <c r="C141" s="84" t="s">
        <v>48</v>
      </c>
    </row>
    <row r="142" spans="1:3" x14ac:dyDescent="0.2">
      <c r="A142" s="83" t="s">
        <v>458</v>
      </c>
      <c r="B142" s="130">
        <v>100</v>
      </c>
      <c r="C142" s="84" t="s">
        <v>48</v>
      </c>
    </row>
    <row r="143" spans="1:3" x14ac:dyDescent="0.2">
      <c r="A143" s="83" t="s">
        <v>450</v>
      </c>
      <c r="B143" s="130">
        <v>10</v>
      </c>
      <c r="C143" s="92" t="s">
        <v>407</v>
      </c>
    </row>
    <row r="144" spans="1:3" x14ac:dyDescent="0.2">
      <c r="A144" s="83" t="s">
        <v>459</v>
      </c>
      <c r="B144" s="130">
        <v>20</v>
      </c>
      <c r="C144" s="92" t="s">
        <v>407</v>
      </c>
    </row>
    <row r="145" spans="1:3" x14ac:dyDescent="0.2">
      <c r="A145" s="92" t="s">
        <v>451</v>
      </c>
      <c r="B145" s="131">
        <v>0.78</v>
      </c>
      <c r="C145" s="83" t="s">
        <v>28</v>
      </c>
    </row>
    <row r="146" spans="1:3" x14ac:dyDescent="0.2">
      <c r="A146" s="92" t="s">
        <v>460</v>
      </c>
      <c r="B146" s="131">
        <v>2.5</v>
      </c>
      <c r="C146" s="83" t="s">
        <v>28</v>
      </c>
    </row>
    <row r="147" spans="1:3" ht="15" x14ac:dyDescent="0.2">
      <c r="A147" s="92" t="s">
        <v>450</v>
      </c>
      <c r="B147" s="131">
        <v>10</v>
      </c>
      <c r="C147" s="83" t="s">
        <v>143</v>
      </c>
    </row>
    <row r="148" spans="1:3" ht="15" x14ac:dyDescent="0.2">
      <c r="A148" s="92" t="s">
        <v>459</v>
      </c>
      <c r="B148" s="131">
        <v>20</v>
      </c>
      <c r="C148" s="83" t="s">
        <v>143</v>
      </c>
    </row>
    <row r="149" spans="1:3" x14ac:dyDescent="0.2">
      <c r="A149" s="83" t="s">
        <v>467</v>
      </c>
      <c r="B149" s="130">
        <v>68.099999999999994</v>
      </c>
      <c r="C149" s="92" t="s">
        <v>221</v>
      </c>
    </row>
    <row r="150" spans="1:3" x14ac:dyDescent="0.2">
      <c r="A150" s="83" t="s">
        <v>468</v>
      </c>
      <c r="B150" s="130">
        <v>176.8</v>
      </c>
      <c r="C150" s="92" t="s">
        <v>221</v>
      </c>
    </row>
    <row r="151" spans="1:3" x14ac:dyDescent="0.2">
      <c r="A151" s="83" t="s">
        <v>469</v>
      </c>
      <c r="B151" s="130">
        <v>41.7</v>
      </c>
      <c r="C151" s="92" t="s">
        <v>221</v>
      </c>
    </row>
    <row r="152" spans="1:3" x14ac:dyDescent="0.2">
      <c r="A152" s="83" t="s">
        <v>470</v>
      </c>
      <c r="B152" s="130">
        <v>125.7</v>
      </c>
      <c r="C152" s="92" t="s">
        <v>221</v>
      </c>
    </row>
    <row r="153" spans="1:3" x14ac:dyDescent="0.2">
      <c r="A153" s="83" t="s">
        <v>452</v>
      </c>
      <c r="B153" s="130">
        <v>349.5</v>
      </c>
      <c r="C153" s="92" t="s">
        <v>221</v>
      </c>
    </row>
    <row r="154" spans="1:3" x14ac:dyDescent="0.2">
      <c r="A154" s="83" t="s">
        <v>461</v>
      </c>
      <c r="B154" s="130">
        <v>445.6</v>
      </c>
      <c r="C154" s="92" t="s">
        <v>221</v>
      </c>
    </row>
    <row r="155" spans="1:3" x14ac:dyDescent="0.2">
      <c r="A155" s="83" t="s">
        <v>453</v>
      </c>
      <c r="B155" s="132">
        <v>40.1</v>
      </c>
      <c r="C155" s="92" t="s">
        <v>221</v>
      </c>
    </row>
    <row r="156" spans="1:3" x14ac:dyDescent="0.2">
      <c r="A156" s="83" t="s">
        <v>462</v>
      </c>
      <c r="B156" s="132">
        <v>178</v>
      </c>
      <c r="C156" s="92" t="s">
        <v>221</v>
      </c>
    </row>
    <row r="157" spans="1:3" x14ac:dyDescent="0.2">
      <c r="A157" s="83" t="s">
        <v>454</v>
      </c>
      <c r="B157" s="133">
        <v>10.95</v>
      </c>
      <c r="C157" s="92" t="s">
        <v>221</v>
      </c>
    </row>
    <row r="158" spans="1:3" x14ac:dyDescent="0.2">
      <c r="A158" s="83" t="s">
        <v>463</v>
      </c>
      <c r="B158" s="132">
        <v>53.4</v>
      </c>
      <c r="C158" s="92" t="s">
        <v>221</v>
      </c>
    </row>
    <row r="159" spans="1:3" x14ac:dyDescent="0.2">
      <c r="A159" s="83" t="s">
        <v>471</v>
      </c>
      <c r="B159" s="130">
        <v>32.799999999999997</v>
      </c>
      <c r="C159" s="92" t="s">
        <v>221</v>
      </c>
    </row>
    <row r="160" spans="1:3" x14ac:dyDescent="0.2">
      <c r="A160" s="83" t="s">
        <v>472</v>
      </c>
      <c r="B160" s="130">
        <v>155.4</v>
      </c>
      <c r="C160" s="92" t="s">
        <v>221</v>
      </c>
    </row>
    <row r="161" spans="1:3" x14ac:dyDescent="0.2">
      <c r="A161" s="83" t="s">
        <v>473</v>
      </c>
      <c r="B161" s="132">
        <v>23.6</v>
      </c>
      <c r="C161" s="92" t="s">
        <v>221</v>
      </c>
    </row>
    <row r="162" spans="1:3" x14ac:dyDescent="0.2">
      <c r="A162" s="83" t="s">
        <v>474</v>
      </c>
      <c r="B162" s="132">
        <v>106.6</v>
      </c>
      <c r="C162" s="92" t="s">
        <v>221</v>
      </c>
    </row>
    <row r="163" spans="1:3" x14ac:dyDescent="0.2">
      <c r="A163" s="83" t="s">
        <v>455</v>
      </c>
      <c r="B163" s="130">
        <v>18.5</v>
      </c>
      <c r="C163" s="92" t="s">
        <v>221</v>
      </c>
    </row>
    <row r="164" spans="1:3" x14ac:dyDescent="0.2">
      <c r="A164" s="83" t="s">
        <v>464</v>
      </c>
      <c r="B164" s="130">
        <v>97.9</v>
      </c>
      <c r="C164" s="92" t="s">
        <v>221</v>
      </c>
    </row>
    <row r="165" spans="1:3" x14ac:dyDescent="0.2">
      <c r="A165" s="83" t="s">
        <v>475</v>
      </c>
      <c r="B165" s="130">
        <v>0.15</v>
      </c>
      <c r="C165" s="88"/>
    </row>
    <row r="166" spans="1:3" x14ac:dyDescent="0.2">
      <c r="A166" s="83" t="s">
        <v>476</v>
      </c>
      <c r="B166" s="130">
        <v>0.85</v>
      </c>
      <c r="C166" s="88"/>
    </row>
    <row r="167" spans="1:3" x14ac:dyDescent="0.2">
      <c r="A167" s="83" t="s">
        <v>456</v>
      </c>
      <c r="B167" s="130">
        <v>350</v>
      </c>
      <c r="C167" s="83" t="s">
        <v>24</v>
      </c>
    </row>
    <row r="168" spans="1:3" x14ac:dyDescent="0.2">
      <c r="A168" s="83" t="s">
        <v>465</v>
      </c>
      <c r="B168" s="130">
        <v>350</v>
      </c>
      <c r="C168" s="83" t="s">
        <v>24</v>
      </c>
    </row>
    <row r="169" spans="1:3" x14ac:dyDescent="0.2">
      <c r="A169" s="52" t="s">
        <v>362</v>
      </c>
      <c r="B169" s="131">
        <v>350</v>
      </c>
      <c r="C169" s="83" t="s">
        <v>24</v>
      </c>
    </row>
    <row r="170" spans="1:3" x14ac:dyDescent="0.2">
      <c r="A170" s="83" t="s">
        <v>363</v>
      </c>
      <c r="B170" s="130">
        <v>1</v>
      </c>
      <c r="C170" s="92" t="s">
        <v>60</v>
      </c>
    </row>
    <row r="171" spans="1:3" x14ac:dyDescent="0.2">
      <c r="A171" s="83" t="s">
        <v>364</v>
      </c>
      <c r="B171" s="130">
        <v>24</v>
      </c>
      <c r="C171" s="94" t="s">
        <v>194</v>
      </c>
    </row>
    <row r="172" spans="1:3" x14ac:dyDescent="0.2">
      <c r="A172" s="83" t="s">
        <v>365</v>
      </c>
      <c r="B172" s="130">
        <v>24</v>
      </c>
      <c r="C172" s="52" t="s">
        <v>194</v>
      </c>
    </row>
    <row r="173" spans="1:3" x14ac:dyDescent="0.2">
      <c r="A173" s="83" t="s">
        <v>361</v>
      </c>
      <c r="B173" s="130">
        <v>1</v>
      </c>
    </row>
    <row r="174" spans="1:3" x14ac:dyDescent="0.2">
      <c r="A174" s="83" t="s">
        <v>83</v>
      </c>
      <c r="B174" s="130">
        <v>12.167999999999999</v>
      </c>
      <c r="C174" s="84" t="s">
        <v>194</v>
      </c>
    </row>
    <row r="175" spans="1:3" x14ac:dyDescent="0.2">
      <c r="A175" s="83" t="s">
        <v>85</v>
      </c>
      <c r="B175" s="130">
        <v>10.007999999999999</v>
      </c>
      <c r="C175" s="84" t="s">
        <v>194</v>
      </c>
    </row>
    <row r="176" spans="1:3" x14ac:dyDescent="0.2">
      <c r="A176" s="83" t="s">
        <v>88</v>
      </c>
      <c r="B176" s="130">
        <v>0.4</v>
      </c>
    </row>
    <row r="177" spans="1:3" x14ac:dyDescent="0.2">
      <c r="A177" s="83" t="s">
        <v>303</v>
      </c>
      <c r="B177" s="130">
        <v>0.4</v>
      </c>
    </row>
    <row r="178" spans="1:3" x14ac:dyDescent="0.2">
      <c r="A178" s="83" t="s">
        <v>302</v>
      </c>
      <c r="B178" s="130">
        <v>1</v>
      </c>
    </row>
    <row r="179" spans="1:3" x14ac:dyDescent="0.2">
      <c r="A179" s="83" t="s">
        <v>54</v>
      </c>
      <c r="B179" s="130">
        <v>1</v>
      </c>
    </row>
    <row r="180" spans="1:3" x14ac:dyDescent="0.2">
      <c r="A180" s="83" t="s">
        <v>301</v>
      </c>
      <c r="B180" s="131">
        <v>1</v>
      </c>
    </row>
    <row r="181" spans="1:3" x14ac:dyDescent="0.2">
      <c r="A181" s="92" t="s">
        <v>457</v>
      </c>
      <c r="B181" s="130">
        <v>1</v>
      </c>
      <c r="C181" s="92" t="s">
        <v>144</v>
      </c>
    </row>
    <row r="182" spans="1:3" x14ac:dyDescent="0.2">
      <c r="A182" s="92" t="s">
        <v>466</v>
      </c>
      <c r="B182" s="130">
        <v>1</v>
      </c>
      <c r="C182" s="92" t="s">
        <v>144</v>
      </c>
    </row>
    <row r="183" spans="1:3" x14ac:dyDescent="0.2">
      <c r="A183" s="52" t="s">
        <v>477</v>
      </c>
      <c r="B183" s="130">
        <v>0.54</v>
      </c>
      <c r="C183" s="92" t="s">
        <v>358</v>
      </c>
    </row>
    <row r="184" spans="1:3" x14ac:dyDescent="0.2">
      <c r="A184" s="52" t="s">
        <v>478</v>
      </c>
      <c r="B184" s="130">
        <v>0.71</v>
      </c>
      <c r="C184" s="92" t="s">
        <v>358</v>
      </c>
    </row>
    <row r="185" spans="1:3" ht="15" x14ac:dyDescent="0.2">
      <c r="A185" s="84" t="s">
        <v>65</v>
      </c>
      <c r="B185" s="130">
        <v>0.5</v>
      </c>
      <c r="C185" s="92" t="s">
        <v>145</v>
      </c>
    </row>
    <row r="186" spans="1:3" x14ac:dyDescent="0.2">
      <c r="A186" s="92" t="s">
        <v>361</v>
      </c>
      <c r="B186" s="130">
        <v>1</v>
      </c>
    </row>
    <row r="187" spans="1:3" x14ac:dyDescent="0.2">
      <c r="A187" s="92" t="s">
        <v>479</v>
      </c>
      <c r="B187" s="130">
        <v>1</v>
      </c>
    </row>
    <row r="188" spans="1:3" x14ac:dyDescent="0.2">
      <c r="A188" s="92" t="s">
        <v>480</v>
      </c>
      <c r="B188" s="130">
        <v>1</v>
      </c>
    </row>
    <row r="189" spans="1:3" x14ac:dyDescent="0.2">
      <c r="A189" s="92" t="s">
        <v>481</v>
      </c>
      <c r="B189" s="130">
        <v>1</v>
      </c>
    </row>
    <row r="190" spans="1:3" x14ac:dyDescent="0.2">
      <c r="A190" s="92" t="s">
        <v>482</v>
      </c>
      <c r="B190" s="130">
        <v>1</v>
      </c>
    </row>
    <row r="191" spans="1:3" x14ac:dyDescent="0.2">
      <c r="A191" s="92" t="s">
        <v>483</v>
      </c>
      <c r="B191" s="130">
        <v>1</v>
      </c>
    </row>
    <row r="192" spans="1:3" x14ac:dyDescent="0.2">
      <c r="A192" s="92" t="s">
        <v>484</v>
      </c>
      <c r="B192" s="131">
        <v>1</v>
      </c>
    </row>
    <row r="193" spans="1:3" x14ac:dyDescent="0.2">
      <c r="A193" s="83" t="s">
        <v>36</v>
      </c>
      <c r="B193" s="131">
        <v>3.62</v>
      </c>
      <c r="C193" s="52" t="s">
        <v>37</v>
      </c>
    </row>
    <row r="194" spans="1:3" x14ac:dyDescent="0.2">
      <c r="A194" s="83" t="s">
        <v>40</v>
      </c>
      <c r="B194" s="131">
        <v>0.25</v>
      </c>
      <c r="C194" s="52" t="s">
        <v>41</v>
      </c>
    </row>
    <row r="195" spans="1:3" x14ac:dyDescent="0.2">
      <c r="A195" s="92" t="s">
        <v>52</v>
      </c>
      <c r="B195" s="131">
        <v>10950</v>
      </c>
      <c r="C195" s="52" t="s">
        <v>53</v>
      </c>
    </row>
    <row r="196" spans="1:3" x14ac:dyDescent="0.2">
      <c r="A196" s="92" t="s">
        <v>55</v>
      </c>
      <c r="B196" s="131">
        <v>240</v>
      </c>
      <c r="C196" s="52" t="s">
        <v>56</v>
      </c>
    </row>
    <row r="197" spans="1:3" x14ac:dyDescent="0.2">
      <c r="A197" s="92" t="s">
        <v>61</v>
      </c>
      <c r="B197" s="131">
        <v>0.42</v>
      </c>
      <c r="C197" s="52" t="s">
        <v>41</v>
      </c>
    </row>
    <row r="198" spans="1:3" x14ac:dyDescent="0.2">
      <c r="A198" s="92" t="s">
        <v>67</v>
      </c>
      <c r="B198" s="131">
        <v>60</v>
      </c>
      <c r="C198" s="83" t="s">
        <v>53</v>
      </c>
    </row>
    <row r="199" spans="1:3" x14ac:dyDescent="0.2">
      <c r="A199" s="92" t="s">
        <v>68</v>
      </c>
      <c r="B199" s="131">
        <v>2</v>
      </c>
      <c r="C199" s="83" t="s">
        <v>56</v>
      </c>
    </row>
    <row r="200" spans="1:3" x14ac:dyDescent="0.2">
      <c r="A200" s="92" t="s">
        <v>70</v>
      </c>
      <c r="B200" s="131">
        <v>2.6999999999999999E-5</v>
      </c>
      <c r="C200" s="52" t="s">
        <v>64</v>
      </c>
    </row>
    <row r="201" spans="1:3" x14ac:dyDescent="0.2">
      <c r="A201" s="92" t="s">
        <v>73</v>
      </c>
      <c r="B201" s="131">
        <v>1</v>
      </c>
      <c r="C201" s="52" t="s">
        <v>41</v>
      </c>
    </row>
    <row r="202" spans="1:3" x14ac:dyDescent="0.2">
      <c r="A202" s="92" t="s">
        <v>74</v>
      </c>
      <c r="B202" s="131">
        <v>14</v>
      </c>
      <c r="C202" s="52" t="s">
        <v>75</v>
      </c>
    </row>
    <row r="203" spans="1:3" x14ac:dyDescent="0.2">
      <c r="A203" s="83" t="s">
        <v>27</v>
      </c>
      <c r="B203" s="131">
        <v>92</v>
      </c>
      <c r="C203" s="83" t="s">
        <v>28</v>
      </c>
    </row>
    <row r="204" spans="1:3" x14ac:dyDescent="0.2">
      <c r="A204" s="52" t="s">
        <v>285</v>
      </c>
      <c r="B204" s="130">
        <v>1.03</v>
      </c>
      <c r="C204" s="52" t="s">
        <v>286</v>
      </c>
    </row>
    <row r="205" spans="1:3" x14ac:dyDescent="0.2">
      <c r="A205" s="83" t="s">
        <v>498</v>
      </c>
      <c r="B205" s="131">
        <v>20.3</v>
      </c>
      <c r="C205" s="52" t="s">
        <v>246</v>
      </c>
    </row>
    <row r="206" spans="1:3" x14ac:dyDescent="0.2">
      <c r="A206" s="83" t="s">
        <v>499</v>
      </c>
      <c r="B206" s="131">
        <v>0.04</v>
      </c>
      <c r="C206" s="52" t="s">
        <v>246</v>
      </c>
    </row>
    <row r="207" spans="1:3" x14ac:dyDescent="0.2">
      <c r="A207" s="83" t="s">
        <v>500</v>
      </c>
      <c r="B207" s="131">
        <v>1</v>
      </c>
    </row>
    <row r="208" spans="1:3" x14ac:dyDescent="0.2">
      <c r="A208" s="83" t="s">
        <v>501</v>
      </c>
      <c r="B208" s="131">
        <v>1</v>
      </c>
    </row>
    <row r="209" spans="1:3" x14ac:dyDescent="0.2">
      <c r="A209" s="83" t="s">
        <v>29</v>
      </c>
      <c r="B209" s="131">
        <v>53</v>
      </c>
      <c r="C209" s="83" t="s">
        <v>28</v>
      </c>
    </row>
    <row r="210" spans="1:3" x14ac:dyDescent="0.2">
      <c r="A210" s="83" t="s">
        <v>494</v>
      </c>
      <c r="B210" s="131">
        <v>11.77</v>
      </c>
      <c r="C210" s="52" t="s">
        <v>246</v>
      </c>
    </row>
    <row r="211" spans="1:3" x14ac:dyDescent="0.2">
      <c r="A211" s="83" t="s">
        <v>495</v>
      </c>
      <c r="B211" s="131">
        <v>0.5</v>
      </c>
      <c r="C211" s="52" t="s">
        <v>246</v>
      </c>
    </row>
    <row r="212" spans="1:3" x14ac:dyDescent="0.2">
      <c r="A212" s="83" t="s">
        <v>496</v>
      </c>
      <c r="B212" s="131">
        <v>1</v>
      </c>
    </row>
    <row r="213" spans="1:3" x14ac:dyDescent="0.2">
      <c r="A213" s="83" t="s">
        <v>497</v>
      </c>
      <c r="B213" s="131">
        <v>1</v>
      </c>
    </row>
    <row r="214" spans="1:3" x14ac:dyDescent="0.2">
      <c r="A214" s="83" t="s">
        <v>148</v>
      </c>
      <c r="B214" s="130">
        <v>0.4</v>
      </c>
      <c r="C214" s="83" t="s">
        <v>28</v>
      </c>
    </row>
    <row r="215" spans="1:3" x14ac:dyDescent="0.2">
      <c r="A215" s="83" t="s">
        <v>152</v>
      </c>
      <c r="B215" s="131">
        <v>0.2</v>
      </c>
      <c r="C215" s="52" t="s">
        <v>246</v>
      </c>
    </row>
    <row r="216" spans="1:3" x14ac:dyDescent="0.2">
      <c r="A216" s="83" t="s">
        <v>151</v>
      </c>
      <c r="B216" s="131">
        <v>2.1999999999999999E-2</v>
      </c>
      <c r="C216" s="52" t="s">
        <v>246</v>
      </c>
    </row>
    <row r="217" spans="1:3" x14ac:dyDescent="0.2">
      <c r="A217" s="83" t="s">
        <v>153</v>
      </c>
      <c r="B217" s="130">
        <v>1</v>
      </c>
    </row>
    <row r="218" spans="1:3" x14ac:dyDescent="0.2">
      <c r="A218" s="83" t="s">
        <v>154</v>
      </c>
      <c r="B218" s="130">
        <v>1</v>
      </c>
    </row>
    <row r="219" spans="1:3" x14ac:dyDescent="0.2">
      <c r="A219" s="83" t="s">
        <v>485</v>
      </c>
      <c r="B219" s="130">
        <v>0.4</v>
      </c>
      <c r="C219" s="83" t="s">
        <v>28</v>
      </c>
    </row>
    <row r="220" spans="1:3" x14ac:dyDescent="0.2">
      <c r="A220" s="83" t="s">
        <v>486</v>
      </c>
      <c r="B220" s="131">
        <v>0.2</v>
      </c>
      <c r="C220" s="52" t="s">
        <v>246</v>
      </c>
    </row>
    <row r="221" spans="1:3" x14ac:dyDescent="0.2">
      <c r="A221" s="83" t="s">
        <v>487</v>
      </c>
      <c r="B221" s="131">
        <v>2.1999999999999999E-2</v>
      </c>
      <c r="C221" s="52" t="s">
        <v>246</v>
      </c>
    </row>
    <row r="222" spans="1:3" x14ac:dyDescent="0.2">
      <c r="A222" s="83" t="s">
        <v>488</v>
      </c>
      <c r="B222" s="131">
        <v>1</v>
      </c>
    </row>
    <row r="223" spans="1:3" x14ac:dyDescent="0.2">
      <c r="A223" s="83" t="s">
        <v>489</v>
      </c>
      <c r="B223" s="131">
        <v>1</v>
      </c>
    </row>
    <row r="224" spans="1:3" x14ac:dyDescent="0.2">
      <c r="A224" s="83" t="s">
        <v>150</v>
      </c>
      <c r="B224" s="131">
        <v>11.4</v>
      </c>
      <c r="C224" s="83" t="s">
        <v>28</v>
      </c>
    </row>
    <row r="225" spans="1:3" x14ac:dyDescent="0.2">
      <c r="A225" s="83" t="s">
        <v>490</v>
      </c>
      <c r="B225" s="131">
        <v>4.7</v>
      </c>
      <c r="C225" s="52" t="s">
        <v>246</v>
      </c>
    </row>
    <row r="226" spans="1:3" x14ac:dyDescent="0.2">
      <c r="A226" s="83" t="s">
        <v>491</v>
      </c>
      <c r="B226" s="131">
        <v>0.37</v>
      </c>
      <c r="C226" s="52" t="s">
        <v>246</v>
      </c>
    </row>
    <row r="227" spans="1:3" x14ac:dyDescent="0.2">
      <c r="A227" s="83" t="s">
        <v>492</v>
      </c>
      <c r="B227" s="131">
        <v>1</v>
      </c>
    </row>
    <row r="228" spans="1:3" x14ac:dyDescent="0.2">
      <c r="A228" s="83" t="s">
        <v>493</v>
      </c>
      <c r="B228" s="131">
        <v>1</v>
      </c>
    </row>
    <row r="229" spans="1:3" x14ac:dyDescent="0.2">
      <c r="A229" s="370" t="s">
        <v>311</v>
      </c>
      <c r="B229" s="370"/>
      <c r="C229" s="370"/>
    </row>
    <row r="230" spans="1:3" x14ac:dyDescent="0.2">
      <c r="A230" s="52" t="s">
        <v>504</v>
      </c>
      <c r="B230" s="130">
        <v>60</v>
      </c>
      <c r="C230" s="84" t="s">
        <v>407</v>
      </c>
    </row>
    <row r="231" spans="1:3" x14ac:dyDescent="0.2">
      <c r="A231" s="83" t="s">
        <v>316</v>
      </c>
      <c r="B231" s="130">
        <v>250</v>
      </c>
      <c r="C231" s="52" t="s">
        <v>24</v>
      </c>
    </row>
    <row r="232" spans="1:3" x14ac:dyDescent="0.2">
      <c r="A232" s="83" t="s">
        <v>422</v>
      </c>
      <c r="B232" s="131">
        <v>1</v>
      </c>
      <c r="C232" s="52" t="s">
        <v>60</v>
      </c>
    </row>
    <row r="233" spans="1:3" x14ac:dyDescent="0.2">
      <c r="A233" s="83" t="s">
        <v>317</v>
      </c>
      <c r="B233" s="130">
        <v>100</v>
      </c>
      <c r="C233" s="84" t="s">
        <v>48</v>
      </c>
    </row>
    <row r="234" spans="1:3" x14ac:dyDescent="0.2">
      <c r="A234" s="52" t="s">
        <v>318</v>
      </c>
      <c r="B234" s="131">
        <v>1</v>
      </c>
    </row>
    <row r="235" spans="1:3" x14ac:dyDescent="0.2">
      <c r="A235" s="83" t="s">
        <v>300</v>
      </c>
      <c r="B235" s="131">
        <v>1</v>
      </c>
    </row>
    <row r="236" spans="1:3" x14ac:dyDescent="0.2">
      <c r="A236" s="83" t="s">
        <v>299</v>
      </c>
      <c r="B236" s="131">
        <v>0.4</v>
      </c>
    </row>
    <row r="237" spans="1:3" x14ac:dyDescent="0.2">
      <c r="A237" s="83" t="s">
        <v>54</v>
      </c>
      <c r="B237" s="131">
        <v>1</v>
      </c>
    </row>
    <row r="238" spans="1:3" x14ac:dyDescent="0.2">
      <c r="A238" s="83" t="s">
        <v>83</v>
      </c>
      <c r="B238" s="130">
        <v>8</v>
      </c>
      <c r="C238" s="52" t="s">
        <v>194</v>
      </c>
    </row>
    <row r="239" spans="1:3" x14ac:dyDescent="0.2">
      <c r="A239" s="83" t="s">
        <v>85</v>
      </c>
      <c r="B239" s="130">
        <v>8</v>
      </c>
      <c r="C239" s="52" t="s">
        <v>194</v>
      </c>
    </row>
    <row r="240" spans="1:3" x14ac:dyDescent="0.2">
      <c r="A240" s="83" t="s">
        <v>88</v>
      </c>
      <c r="B240" s="130">
        <v>0.4</v>
      </c>
    </row>
    <row r="241" spans="1:3" x14ac:dyDescent="0.2">
      <c r="A241" s="370" t="s">
        <v>312</v>
      </c>
      <c r="B241" s="370"/>
      <c r="C241" s="370"/>
    </row>
    <row r="242" spans="1:3" x14ac:dyDescent="0.2">
      <c r="A242" s="52" t="s">
        <v>304</v>
      </c>
      <c r="B242" s="130">
        <v>60</v>
      </c>
      <c r="C242" s="84" t="s">
        <v>407</v>
      </c>
    </row>
    <row r="243" spans="1:3" x14ac:dyDescent="0.2">
      <c r="A243" s="83" t="s">
        <v>35</v>
      </c>
      <c r="B243" s="130">
        <v>250</v>
      </c>
      <c r="C243" s="52" t="s">
        <v>24</v>
      </c>
    </row>
    <row r="244" spans="1:3" x14ac:dyDescent="0.2">
      <c r="A244" s="83" t="s">
        <v>420</v>
      </c>
      <c r="B244" s="131">
        <v>1</v>
      </c>
      <c r="C244" s="52" t="s">
        <v>60</v>
      </c>
    </row>
    <row r="245" spans="1:3" x14ac:dyDescent="0.2">
      <c r="A245" s="83" t="s">
        <v>62</v>
      </c>
      <c r="B245" s="130">
        <v>50</v>
      </c>
      <c r="C245" s="84" t="s">
        <v>48</v>
      </c>
    </row>
    <row r="246" spans="1:3" x14ac:dyDescent="0.2">
      <c r="A246" s="52" t="s">
        <v>318</v>
      </c>
      <c r="B246" s="131">
        <v>1</v>
      </c>
    </row>
    <row r="247" spans="1:3" x14ac:dyDescent="0.2">
      <c r="A247" s="83" t="s">
        <v>300</v>
      </c>
      <c r="B247" s="131">
        <v>1</v>
      </c>
    </row>
    <row r="248" spans="1:3" x14ac:dyDescent="0.2">
      <c r="A248" s="83" t="s">
        <v>299</v>
      </c>
      <c r="B248" s="131">
        <v>0.4</v>
      </c>
    </row>
    <row r="249" spans="1:3" x14ac:dyDescent="0.2">
      <c r="A249" s="83" t="s">
        <v>54</v>
      </c>
      <c r="B249" s="131">
        <v>1</v>
      </c>
    </row>
    <row r="250" spans="1:3" x14ac:dyDescent="0.2">
      <c r="A250" s="83" t="s">
        <v>83</v>
      </c>
      <c r="B250" s="130">
        <v>0</v>
      </c>
      <c r="C250" s="52" t="s">
        <v>194</v>
      </c>
    </row>
    <row r="251" spans="1:3" x14ac:dyDescent="0.2">
      <c r="A251" s="83" t="s">
        <v>85</v>
      </c>
      <c r="B251" s="130">
        <v>8</v>
      </c>
      <c r="C251" s="52" t="s">
        <v>194</v>
      </c>
    </row>
    <row r="252" spans="1:3" x14ac:dyDescent="0.2">
      <c r="A252" s="83" t="s">
        <v>88</v>
      </c>
      <c r="B252" s="130">
        <v>0.4</v>
      </c>
    </row>
    <row r="253" spans="1:3" x14ac:dyDescent="0.2">
      <c r="A253" s="370" t="s">
        <v>313</v>
      </c>
      <c r="B253" s="370"/>
      <c r="C253" s="370"/>
    </row>
    <row r="254" spans="1:3" x14ac:dyDescent="0.2">
      <c r="A254" s="52" t="s">
        <v>50</v>
      </c>
      <c r="B254" s="130">
        <v>60</v>
      </c>
      <c r="C254" s="84" t="s">
        <v>407</v>
      </c>
    </row>
    <row r="255" spans="1:3" x14ac:dyDescent="0.2">
      <c r="A255" s="83" t="s">
        <v>423</v>
      </c>
      <c r="B255" s="130">
        <v>225</v>
      </c>
      <c r="C255" s="52" t="s">
        <v>24</v>
      </c>
    </row>
    <row r="256" spans="1:3" x14ac:dyDescent="0.2">
      <c r="A256" s="83" t="s">
        <v>424</v>
      </c>
      <c r="B256" s="131">
        <v>1</v>
      </c>
      <c r="C256" s="52" t="s">
        <v>60</v>
      </c>
    </row>
    <row r="257" spans="1:3" x14ac:dyDescent="0.2">
      <c r="A257" s="83" t="s">
        <v>503</v>
      </c>
      <c r="B257" s="130">
        <v>100</v>
      </c>
      <c r="C257" s="84" t="s">
        <v>48</v>
      </c>
    </row>
    <row r="258" spans="1:3" x14ac:dyDescent="0.2">
      <c r="A258" s="52" t="s">
        <v>318</v>
      </c>
      <c r="B258" s="131">
        <v>1</v>
      </c>
    </row>
    <row r="259" spans="1:3" x14ac:dyDescent="0.2">
      <c r="A259" s="83" t="s">
        <v>300</v>
      </c>
      <c r="B259" s="131">
        <v>1</v>
      </c>
    </row>
    <row r="260" spans="1:3" x14ac:dyDescent="0.2">
      <c r="A260" s="83" t="s">
        <v>299</v>
      </c>
      <c r="B260" s="131">
        <v>0.4</v>
      </c>
    </row>
    <row r="261" spans="1:3" x14ac:dyDescent="0.2">
      <c r="A261" s="83" t="s">
        <v>54</v>
      </c>
      <c r="B261" s="131">
        <v>1</v>
      </c>
    </row>
    <row r="262" spans="1:3" x14ac:dyDescent="0.2">
      <c r="A262" s="83" t="s">
        <v>83</v>
      </c>
      <c r="B262" s="130">
        <v>8</v>
      </c>
      <c r="C262" s="52" t="s">
        <v>194</v>
      </c>
    </row>
    <row r="263" spans="1:3" x14ac:dyDescent="0.2">
      <c r="A263" s="83" t="s">
        <v>85</v>
      </c>
      <c r="B263" s="130">
        <v>0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370" t="s">
        <v>314</v>
      </c>
      <c r="B265" s="370"/>
      <c r="C265" s="370"/>
    </row>
    <row r="266" spans="1:3" x14ac:dyDescent="0.2">
      <c r="A266" s="52" t="s">
        <v>348</v>
      </c>
      <c r="B266" s="130">
        <v>60</v>
      </c>
      <c r="C266" s="84" t="s">
        <v>407</v>
      </c>
    </row>
    <row r="267" spans="1:3" x14ac:dyDescent="0.2">
      <c r="A267" s="83" t="s">
        <v>191</v>
      </c>
      <c r="B267" s="130">
        <v>250</v>
      </c>
      <c r="C267" s="52" t="s">
        <v>24</v>
      </c>
    </row>
    <row r="268" spans="1:3" x14ac:dyDescent="0.2">
      <c r="A268" s="83" t="s">
        <v>158</v>
      </c>
      <c r="B268" s="131">
        <v>1</v>
      </c>
      <c r="C268" s="52" t="s">
        <v>60</v>
      </c>
    </row>
    <row r="269" spans="1:3" x14ac:dyDescent="0.2">
      <c r="A269" s="83" t="s">
        <v>502</v>
      </c>
      <c r="B269" s="130">
        <v>330</v>
      </c>
      <c r="C269" s="84" t="s">
        <v>48</v>
      </c>
    </row>
    <row r="270" spans="1:3" x14ac:dyDescent="0.2">
      <c r="A270" s="52" t="s">
        <v>318</v>
      </c>
      <c r="B270" s="131">
        <v>1</v>
      </c>
    </row>
    <row r="271" spans="1:3" x14ac:dyDescent="0.2">
      <c r="A271" s="83" t="s">
        <v>300</v>
      </c>
      <c r="B271" s="131">
        <v>1</v>
      </c>
    </row>
    <row r="272" spans="1:3" x14ac:dyDescent="0.2">
      <c r="A272" s="83" t="s">
        <v>299</v>
      </c>
      <c r="B272" s="131">
        <v>0.4</v>
      </c>
    </row>
    <row r="273" spans="1:3" x14ac:dyDescent="0.2">
      <c r="A273" s="83" t="s">
        <v>54</v>
      </c>
      <c r="B273" s="131">
        <v>1</v>
      </c>
    </row>
    <row r="274" spans="1:3" x14ac:dyDescent="0.2">
      <c r="A274" s="83" t="s">
        <v>83</v>
      </c>
      <c r="B274" s="130">
        <v>8</v>
      </c>
      <c r="C274" s="52" t="s">
        <v>194</v>
      </c>
    </row>
    <row r="275" spans="1:3" x14ac:dyDescent="0.2">
      <c r="A275" s="83" t="s">
        <v>85</v>
      </c>
      <c r="B275" s="130">
        <v>8</v>
      </c>
      <c r="C275" s="52" t="s">
        <v>194</v>
      </c>
    </row>
    <row r="276" spans="1:3" x14ac:dyDescent="0.2">
      <c r="A276" s="83" t="s">
        <v>88</v>
      </c>
      <c r="B276" s="130">
        <v>0.4</v>
      </c>
    </row>
    <row r="277" spans="1:3" x14ac:dyDescent="0.2">
      <c r="A277" s="83" t="s">
        <v>219</v>
      </c>
      <c r="B277" s="130">
        <v>5</v>
      </c>
      <c r="C277" s="52" t="s">
        <v>112</v>
      </c>
    </row>
    <row r="278" spans="1:3" x14ac:dyDescent="0.2">
      <c r="A278" s="83" t="s">
        <v>220</v>
      </c>
      <c r="B278" s="130">
        <v>50</v>
      </c>
      <c r="C278" s="52" t="s">
        <v>113</v>
      </c>
    </row>
    <row r="279" spans="1:3" x14ac:dyDescent="0.2">
      <c r="A279" s="52" t="s">
        <v>319</v>
      </c>
      <c r="B279" s="131">
        <v>2.41E-4</v>
      </c>
    </row>
    <row r="280" spans="1:3" x14ac:dyDescent="0.2">
      <c r="A280" s="52" t="s">
        <v>320</v>
      </c>
      <c r="B280" s="131">
        <v>0.753</v>
      </c>
    </row>
    <row r="281" spans="1:3" x14ac:dyDescent="0.2">
      <c r="A281" s="52" t="s">
        <v>321</v>
      </c>
      <c r="B281" s="131">
        <v>1.5699999999999999E-5</v>
      </c>
    </row>
    <row r="282" spans="1:3" x14ac:dyDescent="0.2">
      <c r="A282" s="52" t="s">
        <v>322</v>
      </c>
      <c r="B282" s="131">
        <v>0.80900000000000005</v>
      </c>
    </row>
    <row r="283" spans="1:3" x14ac:dyDescent="0.2">
      <c r="A283" s="52" t="s">
        <v>323</v>
      </c>
      <c r="B283" s="131">
        <v>1.17E-4</v>
      </c>
    </row>
    <row r="284" spans="1:3" x14ac:dyDescent="0.2">
      <c r="A284" s="52" t="s">
        <v>324</v>
      </c>
      <c r="B284" s="131">
        <v>0.74299999999999999</v>
      </c>
    </row>
    <row r="285" spans="1:3" x14ac:dyDescent="0.2">
      <c r="A285" s="52" t="s">
        <v>325</v>
      </c>
      <c r="B285" s="131">
        <v>1.35E-4</v>
      </c>
    </row>
    <row r="286" spans="1:3" x14ac:dyDescent="0.2">
      <c r="A286" s="52" t="s">
        <v>326</v>
      </c>
      <c r="B286" s="131">
        <v>0.71099999999999997</v>
      </c>
    </row>
    <row r="287" spans="1:3" x14ac:dyDescent="0.2">
      <c r="A287" s="52" t="s">
        <v>327</v>
      </c>
      <c r="B287" s="131">
        <v>2.2599999999999999E-4</v>
      </c>
    </row>
    <row r="288" spans="1:3" x14ac:dyDescent="0.2">
      <c r="A288" s="52" t="s">
        <v>328</v>
      </c>
      <c r="B288" s="131">
        <v>0.66200000000000003</v>
      </c>
    </row>
    <row r="289" spans="1:3" x14ac:dyDescent="0.2">
      <c r="A289" s="370" t="s">
        <v>315</v>
      </c>
      <c r="B289" s="370"/>
      <c r="C289" s="370"/>
    </row>
    <row r="290" spans="1:3" x14ac:dyDescent="0.2">
      <c r="A290" s="52" t="s">
        <v>348</v>
      </c>
      <c r="B290" s="130">
        <v>60</v>
      </c>
      <c r="C290" s="84" t="s">
        <v>407</v>
      </c>
    </row>
    <row r="291" spans="1:3" x14ac:dyDescent="0.2">
      <c r="A291" s="83" t="s">
        <v>191</v>
      </c>
      <c r="B291" s="130">
        <v>250</v>
      </c>
      <c r="C291" s="52" t="s">
        <v>24</v>
      </c>
    </row>
    <row r="292" spans="1:3" x14ac:dyDescent="0.2">
      <c r="A292" s="83" t="s">
        <v>158</v>
      </c>
      <c r="B292" s="131">
        <v>1</v>
      </c>
      <c r="C292" s="52" t="s">
        <v>60</v>
      </c>
    </row>
    <row r="293" spans="1:3" x14ac:dyDescent="0.2">
      <c r="A293" s="83" t="s">
        <v>502</v>
      </c>
      <c r="B293" s="130">
        <v>330</v>
      </c>
      <c r="C293" s="84" t="s">
        <v>48</v>
      </c>
    </row>
    <row r="294" spans="1:3" x14ac:dyDescent="0.2">
      <c r="A294" s="83" t="s">
        <v>300</v>
      </c>
      <c r="B294" s="131">
        <v>1</v>
      </c>
    </row>
    <row r="295" spans="1:3" x14ac:dyDescent="0.2">
      <c r="A295" s="83" t="s">
        <v>299</v>
      </c>
      <c r="B295" s="131">
        <v>0.4</v>
      </c>
    </row>
    <row r="296" spans="1:3" x14ac:dyDescent="0.2">
      <c r="A296" s="83" t="s">
        <v>54</v>
      </c>
      <c r="B296" s="131">
        <v>1</v>
      </c>
    </row>
    <row r="297" spans="1:3" x14ac:dyDescent="0.2">
      <c r="A297" s="83" t="s">
        <v>83</v>
      </c>
      <c r="B297" s="130">
        <v>8</v>
      </c>
      <c r="C297" s="52" t="s">
        <v>194</v>
      </c>
    </row>
    <row r="298" spans="1:3" x14ac:dyDescent="0.2">
      <c r="A298" s="83" t="s">
        <v>85</v>
      </c>
      <c r="B298" s="130">
        <v>8</v>
      </c>
      <c r="C298" s="52" t="s">
        <v>194</v>
      </c>
    </row>
    <row r="299" spans="1:3" x14ac:dyDescent="0.2">
      <c r="A299" s="83" t="s">
        <v>88</v>
      </c>
      <c r="B299" s="130">
        <v>0.4</v>
      </c>
    </row>
    <row r="300" spans="1:3" x14ac:dyDescent="0.2">
      <c r="A300" s="83" t="s">
        <v>219</v>
      </c>
      <c r="B300" s="130">
        <v>5</v>
      </c>
      <c r="C300" s="52" t="s">
        <v>112</v>
      </c>
    </row>
    <row r="301" spans="1:3" x14ac:dyDescent="0.2">
      <c r="A301" s="83" t="s">
        <v>220</v>
      </c>
      <c r="B301" s="130">
        <v>50</v>
      </c>
      <c r="C301" s="52" t="s">
        <v>113</v>
      </c>
    </row>
    <row r="302" spans="1:3" x14ac:dyDescent="0.2">
      <c r="A302" s="84" t="s">
        <v>295</v>
      </c>
      <c r="B302" s="234">
        <v>137</v>
      </c>
      <c r="C302" s="84" t="s">
        <v>296</v>
      </c>
    </row>
    <row r="303" spans="1:3" x14ac:dyDescent="0.2">
      <c r="A303" s="84" t="s">
        <v>293</v>
      </c>
      <c r="B303" s="129">
        <v>2.8000000000000001E-15</v>
      </c>
      <c r="C303" s="84"/>
    </row>
    <row r="304" spans="1:3" x14ac:dyDescent="0.2">
      <c r="A304" s="83" t="s">
        <v>293</v>
      </c>
      <c r="B304" s="129">
        <v>2.8000000000000002E-12</v>
      </c>
      <c r="C304" s="84"/>
    </row>
    <row r="308" spans="1:3" x14ac:dyDescent="0.2">
      <c r="A308" s="83"/>
      <c r="B308" s="101"/>
      <c r="C308" s="88"/>
    </row>
    <row r="309" spans="1:3" x14ac:dyDescent="0.2">
      <c r="A309" s="83"/>
      <c r="B309" s="101"/>
      <c r="C309" s="88"/>
    </row>
    <row r="310" spans="1:3" x14ac:dyDescent="0.2">
      <c r="A310" s="83"/>
      <c r="B310" s="101"/>
      <c r="C310" s="88"/>
    </row>
  </sheetData>
  <mergeCells count="346">
    <mergeCell ref="CC35:CG38"/>
    <mergeCell ref="BK40:BO43"/>
    <mergeCell ref="D42:F42"/>
    <mergeCell ref="D43:D44"/>
    <mergeCell ref="E43:E44"/>
    <mergeCell ref="F43:F44"/>
    <mergeCell ref="AE43:AG45"/>
    <mergeCell ref="BO21:BO23"/>
    <mergeCell ref="BA20:BC20"/>
    <mergeCell ref="BD20:BF20"/>
    <mergeCell ref="BJ20:BL20"/>
    <mergeCell ref="BM20:BO20"/>
    <mergeCell ref="P20:R20"/>
    <mergeCell ref="AI20:AK20"/>
    <mergeCell ref="AL20:AN20"/>
    <mergeCell ref="AR20:AT20"/>
    <mergeCell ref="AU20:AW20"/>
    <mergeCell ref="HD21:HF21"/>
    <mergeCell ref="V23:X23"/>
    <mergeCell ref="Y23:AA23"/>
    <mergeCell ref="D30:F30"/>
    <mergeCell ref="AS21:AS23"/>
    <mergeCell ref="AT21:AT23"/>
    <mergeCell ref="AU21:AU23"/>
    <mergeCell ref="AV21:AV23"/>
    <mergeCell ref="AW21:AW23"/>
    <mergeCell ref="AK21:AK23"/>
    <mergeCell ref="AL21:AL23"/>
    <mergeCell ref="AM21:AM23"/>
    <mergeCell ref="AN21:AN23"/>
    <mergeCell ref="AR21:AR23"/>
    <mergeCell ref="P21:P23"/>
    <mergeCell ref="Q21:Q23"/>
    <mergeCell ref="R21:R23"/>
    <mergeCell ref="AI21:AI23"/>
    <mergeCell ref="AJ21:AJ23"/>
    <mergeCell ref="CO20:CO22"/>
    <mergeCell ref="CP20:CP22"/>
    <mergeCell ref="CQ20:CQ22"/>
    <mergeCell ref="CR20:CR22"/>
    <mergeCell ref="CS20:CS22"/>
    <mergeCell ref="CK20:CK22"/>
    <mergeCell ref="BA21:BA23"/>
    <mergeCell ref="BB21:BB23"/>
    <mergeCell ref="BC21:BC23"/>
    <mergeCell ref="BD21:BD23"/>
    <mergeCell ref="BE21:BE23"/>
    <mergeCell ref="BF21:BF23"/>
    <mergeCell ref="BJ21:BJ23"/>
    <mergeCell ref="BK21:BK23"/>
    <mergeCell ref="BL21:BL23"/>
    <mergeCell ref="BM21:BM23"/>
    <mergeCell ref="BN21:BN23"/>
    <mergeCell ref="HB2:HB4"/>
    <mergeCell ref="HC2:HC4"/>
    <mergeCell ref="CB18:CD18"/>
    <mergeCell ref="CE18:CG18"/>
    <mergeCell ref="CB19:CB21"/>
    <mergeCell ref="CC19:CC21"/>
    <mergeCell ref="CD19:CD21"/>
    <mergeCell ref="CE19:CE21"/>
    <mergeCell ref="CF19:CF21"/>
    <mergeCell ref="CG19:CG21"/>
    <mergeCell ref="CK19:CM19"/>
    <mergeCell ref="CN19:CP19"/>
    <mergeCell ref="CQ19:CS19"/>
    <mergeCell ref="CL20:CL22"/>
    <mergeCell ref="CM20:CM22"/>
    <mergeCell ref="CN20:CN22"/>
    <mergeCell ref="GW2:GW4"/>
    <mergeCell ref="GX2:GX4"/>
    <mergeCell ref="GY2:GY4"/>
    <mergeCell ref="GZ2:GZ4"/>
    <mergeCell ref="HA2:HA4"/>
    <mergeCell ref="GR2:GR4"/>
    <mergeCell ref="GS2:GS4"/>
    <mergeCell ref="GT2:GT4"/>
    <mergeCell ref="GU2:GU4"/>
    <mergeCell ref="GV2:GV4"/>
    <mergeCell ref="GM2:GM4"/>
    <mergeCell ref="GN2:GN4"/>
    <mergeCell ref="GO2:GO4"/>
    <mergeCell ref="GP2:GP4"/>
    <mergeCell ref="GQ2:GQ4"/>
    <mergeCell ref="GH2:GH4"/>
    <mergeCell ref="GI2:GI4"/>
    <mergeCell ref="GJ2:GJ4"/>
    <mergeCell ref="GK2:GK4"/>
    <mergeCell ref="GL2:GL4"/>
    <mergeCell ref="GC2:GC4"/>
    <mergeCell ref="GD2:GD4"/>
    <mergeCell ref="GE2:GE4"/>
    <mergeCell ref="GF2:GF4"/>
    <mergeCell ref="GG2:GG4"/>
    <mergeCell ref="FX2:FX4"/>
    <mergeCell ref="FY2:FY4"/>
    <mergeCell ref="FZ2:FZ4"/>
    <mergeCell ref="GA2:GA4"/>
    <mergeCell ref="GB2:GB4"/>
    <mergeCell ref="FS2:FS4"/>
    <mergeCell ref="FT2:FT4"/>
    <mergeCell ref="FU2:FU4"/>
    <mergeCell ref="FV2:FV4"/>
    <mergeCell ref="FW2:FW4"/>
    <mergeCell ref="FN2:FN4"/>
    <mergeCell ref="FO2:FO4"/>
    <mergeCell ref="FP2:FP4"/>
    <mergeCell ref="FQ2:FQ4"/>
    <mergeCell ref="FR2:FR4"/>
    <mergeCell ref="FI2:FI4"/>
    <mergeCell ref="FJ2:FJ4"/>
    <mergeCell ref="FK2:FK4"/>
    <mergeCell ref="FL2:FL4"/>
    <mergeCell ref="FM2:FM4"/>
    <mergeCell ref="FD2:FD4"/>
    <mergeCell ref="FE2:FE4"/>
    <mergeCell ref="FF2:FF4"/>
    <mergeCell ref="FG2:FG4"/>
    <mergeCell ref="FH2:FH4"/>
    <mergeCell ref="EY2:EY4"/>
    <mergeCell ref="EZ2:EZ4"/>
    <mergeCell ref="FA2:FA4"/>
    <mergeCell ref="FB2:FB4"/>
    <mergeCell ref="FC2:FC4"/>
    <mergeCell ref="ET2:ET4"/>
    <mergeCell ref="EU2:EU4"/>
    <mergeCell ref="EV2:EV4"/>
    <mergeCell ref="EW2:EW4"/>
    <mergeCell ref="EX2:EX4"/>
    <mergeCell ref="EO2:EO4"/>
    <mergeCell ref="EP2:EP4"/>
    <mergeCell ref="EQ2:EQ4"/>
    <mergeCell ref="ER2:ER4"/>
    <mergeCell ref="ES2:ES4"/>
    <mergeCell ref="EJ2:EJ4"/>
    <mergeCell ref="EK2:EK4"/>
    <mergeCell ref="EL2:EL4"/>
    <mergeCell ref="EM2:EM4"/>
    <mergeCell ref="EN2:EN4"/>
    <mergeCell ref="EE2:EE4"/>
    <mergeCell ref="EF2:EF4"/>
    <mergeCell ref="EG2:EG4"/>
    <mergeCell ref="EH2:EH4"/>
    <mergeCell ref="EI2:EI4"/>
    <mergeCell ref="DZ2:DZ4"/>
    <mergeCell ref="EA2:EA4"/>
    <mergeCell ref="EB2:EB4"/>
    <mergeCell ref="EC2:EC4"/>
    <mergeCell ref="ED2:ED4"/>
    <mergeCell ref="DU2:DU4"/>
    <mergeCell ref="DV2:DV4"/>
    <mergeCell ref="DW2:DW4"/>
    <mergeCell ref="DX2:DX4"/>
    <mergeCell ref="DY2:DY4"/>
    <mergeCell ref="DP2:DP4"/>
    <mergeCell ref="DQ2:DQ4"/>
    <mergeCell ref="DR2:DR4"/>
    <mergeCell ref="DS2:DS4"/>
    <mergeCell ref="DT2:DT4"/>
    <mergeCell ref="DK2:DK4"/>
    <mergeCell ref="DL2:DL4"/>
    <mergeCell ref="DM2:DM4"/>
    <mergeCell ref="DN2:DN4"/>
    <mergeCell ref="DO2:DO4"/>
    <mergeCell ref="DF2:DF4"/>
    <mergeCell ref="DG2:DG4"/>
    <mergeCell ref="DH2:DH4"/>
    <mergeCell ref="DI2:DI4"/>
    <mergeCell ref="DJ2:DJ4"/>
    <mergeCell ref="DA2:DA4"/>
    <mergeCell ref="DB2:DB4"/>
    <mergeCell ref="DC2:DC4"/>
    <mergeCell ref="DD2:DD4"/>
    <mergeCell ref="DE2:DE4"/>
    <mergeCell ref="CS2:CS4"/>
    <mergeCell ref="CT2:CT4"/>
    <mergeCell ref="CU2:CU4"/>
    <mergeCell ref="CV2:CV4"/>
    <mergeCell ref="CZ2:CZ4"/>
    <mergeCell ref="CN2:CN4"/>
    <mergeCell ref="CO2:CO4"/>
    <mergeCell ref="CP2:CP4"/>
    <mergeCell ref="CQ2:CQ4"/>
    <mergeCell ref="CR2:CR4"/>
    <mergeCell ref="CI2:CI4"/>
    <mergeCell ref="CJ2:CJ4"/>
    <mergeCell ref="CK2:CK4"/>
    <mergeCell ref="CL2:CL4"/>
    <mergeCell ref="CM2:CM4"/>
    <mergeCell ref="CF2:CF4"/>
    <mergeCell ref="CG2:CG4"/>
    <mergeCell ref="CH2:CH4"/>
    <mergeCell ref="BY2:BY4"/>
    <mergeCell ref="BZ2:BZ4"/>
    <mergeCell ref="CA2:CA4"/>
    <mergeCell ref="CB2:CB4"/>
    <mergeCell ref="CC2:CC4"/>
    <mergeCell ref="BQ2:BQ4"/>
    <mergeCell ref="BR2:BR4"/>
    <mergeCell ref="BV2:BV4"/>
    <mergeCell ref="BW2:BW4"/>
    <mergeCell ref="BX2:BX4"/>
    <mergeCell ref="CD2:CD4"/>
    <mergeCell ref="CE2:CE4"/>
    <mergeCell ref="BL2:BL4"/>
    <mergeCell ref="BM2:BM4"/>
    <mergeCell ref="BN2:BN4"/>
    <mergeCell ref="BO2:BO4"/>
    <mergeCell ref="BP2:BP4"/>
    <mergeCell ref="BG2:BG4"/>
    <mergeCell ref="BH2:BH4"/>
    <mergeCell ref="BI2:BI4"/>
    <mergeCell ref="BJ2:BJ4"/>
    <mergeCell ref="BK2:BK4"/>
    <mergeCell ref="BB2:BB4"/>
    <mergeCell ref="BC2:BC4"/>
    <mergeCell ref="BD2:BD4"/>
    <mergeCell ref="BE2:BE4"/>
    <mergeCell ref="BF2:BF4"/>
    <mergeCell ref="AW2:AW4"/>
    <mergeCell ref="AX2:AX4"/>
    <mergeCell ref="AY2:AY4"/>
    <mergeCell ref="AZ2:AZ4"/>
    <mergeCell ref="BA2:BA4"/>
    <mergeCell ref="AR2:AR4"/>
    <mergeCell ref="AS2:AS4"/>
    <mergeCell ref="AT2:AT4"/>
    <mergeCell ref="AU2:AU4"/>
    <mergeCell ref="AV2:AV4"/>
    <mergeCell ref="AM2:AM4"/>
    <mergeCell ref="AN2:AN4"/>
    <mergeCell ref="AO2:AO4"/>
    <mergeCell ref="AP2:AP4"/>
    <mergeCell ref="AQ2:AQ4"/>
    <mergeCell ref="AH2:AH4"/>
    <mergeCell ref="AI2:AI4"/>
    <mergeCell ref="AJ2:AJ4"/>
    <mergeCell ref="AK2:AK4"/>
    <mergeCell ref="AL2:AL4"/>
    <mergeCell ref="AC2:AC4"/>
    <mergeCell ref="AD2:AD4"/>
    <mergeCell ref="AE2:AE4"/>
    <mergeCell ref="AF2:AF4"/>
    <mergeCell ref="AG2:AG4"/>
    <mergeCell ref="GR1:GT1"/>
    <mergeCell ref="GU1:GW1"/>
    <mergeCell ref="GX1:GZ1"/>
    <mergeCell ref="HA1:HC1"/>
    <mergeCell ref="HD1:HF1"/>
    <mergeCell ref="GC1:GE1"/>
    <mergeCell ref="GF1:GH1"/>
    <mergeCell ref="GI1:GK1"/>
    <mergeCell ref="GL1:GN1"/>
    <mergeCell ref="GO1:GQ1"/>
    <mergeCell ref="FN1:FP1"/>
    <mergeCell ref="FQ1:FS1"/>
    <mergeCell ref="FT1:FV1"/>
    <mergeCell ref="FW1:FX1"/>
    <mergeCell ref="FZ1:GB1"/>
    <mergeCell ref="EY1:FA1"/>
    <mergeCell ref="FB1:FD1"/>
    <mergeCell ref="FE1:FG1"/>
    <mergeCell ref="FH1:FJ1"/>
    <mergeCell ref="FK1:FM1"/>
    <mergeCell ref="EJ1:EL1"/>
    <mergeCell ref="EM1:EO1"/>
    <mergeCell ref="EP1:ER1"/>
    <mergeCell ref="ES1:EU1"/>
    <mergeCell ref="EV1:EX1"/>
    <mergeCell ref="DU1:DW1"/>
    <mergeCell ref="DX1:DZ1"/>
    <mergeCell ref="EA1:EC1"/>
    <mergeCell ref="ED1:EF1"/>
    <mergeCell ref="EG1:EI1"/>
    <mergeCell ref="DF1:DH1"/>
    <mergeCell ref="DI1:DK1"/>
    <mergeCell ref="DL1:DN1"/>
    <mergeCell ref="DO1:DQ1"/>
    <mergeCell ref="DR1:DT1"/>
    <mergeCell ref="CQ1:CS1"/>
    <mergeCell ref="CT1:CV1"/>
    <mergeCell ref="CW1:CY1"/>
    <mergeCell ref="CZ1:DB1"/>
    <mergeCell ref="DC1:DE1"/>
    <mergeCell ref="CB1:CD1"/>
    <mergeCell ref="CE1:CG1"/>
    <mergeCell ref="CH1:CJ1"/>
    <mergeCell ref="CK1:CM1"/>
    <mergeCell ref="CN1:CP1"/>
    <mergeCell ref="BM1:BO1"/>
    <mergeCell ref="BP1:BR1"/>
    <mergeCell ref="BS1:BU1"/>
    <mergeCell ref="BV1:BX1"/>
    <mergeCell ref="BY1:CA1"/>
    <mergeCell ref="AX1:AZ1"/>
    <mergeCell ref="BA1:BC1"/>
    <mergeCell ref="BD1:BF1"/>
    <mergeCell ref="BG1:BI1"/>
    <mergeCell ref="BJ1:BL1"/>
    <mergeCell ref="AI1:AK1"/>
    <mergeCell ref="AL1:AN1"/>
    <mergeCell ref="AO1:AQ1"/>
    <mergeCell ref="AR1:AT1"/>
    <mergeCell ref="AU1:AW1"/>
    <mergeCell ref="A2:C4"/>
    <mergeCell ref="A1:C1"/>
    <mergeCell ref="P1:R1"/>
    <mergeCell ref="S1:U1"/>
    <mergeCell ref="V1:X1"/>
    <mergeCell ref="Y1:AA1"/>
    <mergeCell ref="AB1:AB4"/>
    <mergeCell ref="P2:P4"/>
    <mergeCell ref="Q2:Q4"/>
    <mergeCell ref="R2:R4"/>
    <mergeCell ref="S2:S4"/>
    <mergeCell ref="T2:T4"/>
    <mergeCell ref="U2:U4"/>
    <mergeCell ref="H2:H4"/>
    <mergeCell ref="I2:I4"/>
    <mergeCell ref="J2:J4"/>
    <mergeCell ref="K2:K4"/>
    <mergeCell ref="L2:L4"/>
    <mergeCell ref="A81:C81"/>
    <mergeCell ref="A92:C92"/>
    <mergeCell ref="A289:C289"/>
    <mergeCell ref="D1:F1"/>
    <mergeCell ref="G1:I1"/>
    <mergeCell ref="J1:L1"/>
    <mergeCell ref="M1:O1"/>
    <mergeCell ref="M2:M4"/>
    <mergeCell ref="N2:N4"/>
    <mergeCell ref="O2:O4"/>
    <mergeCell ref="M20:O20"/>
    <mergeCell ref="M21:M23"/>
    <mergeCell ref="N21:N23"/>
    <mergeCell ref="O21:O23"/>
    <mergeCell ref="D31:D32"/>
    <mergeCell ref="E31:E32"/>
    <mergeCell ref="F31:F32"/>
    <mergeCell ref="G2:G4"/>
    <mergeCell ref="A140:C140"/>
    <mergeCell ref="A229:C229"/>
    <mergeCell ref="A241:C241"/>
    <mergeCell ref="A253:C253"/>
    <mergeCell ref="A265:C265"/>
    <mergeCell ref="A37:C37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310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C1"/>
    </sheetView>
  </sheetViews>
  <sheetFormatPr defaultRowHeight="12.75" x14ac:dyDescent="0.2"/>
  <cols>
    <col min="1" max="1" width="13.7109375" style="52" customWidth="1"/>
    <col min="2" max="2" width="10.85546875" style="52" bestFit="1" customWidth="1"/>
    <col min="3" max="3" width="20.1406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5.1406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29" width="11.7109375" style="52" bestFit="1" customWidth="1"/>
    <col min="30" max="31" width="9.28515625" style="52" bestFit="1" customWidth="1"/>
    <col min="32" max="32" width="11.5703125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85546875" style="52" bestFit="1" customWidth="1"/>
    <col min="79" max="79" width="18.85546875" style="52" bestFit="1" customWidth="1"/>
    <col min="80" max="80" width="11" style="52" bestFit="1" customWidth="1"/>
    <col min="81" max="81" width="10.85546875" style="52" bestFit="1" customWidth="1"/>
    <col min="82" max="82" width="20.28515625" style="52" bestFit="1" customWidth="1"/>
    <col min="83" max="83" width="12.42578125" style="52" bestFit="1" customWidth="1"/>
    <col min="84" max="84" width="9.85546875" style="52" bestFit="1" customWidth="1"/>
    <col min="85" max="85" width="20.28515625" style="52" bestFit="1" customWidth="1"/>
    <col min="86" max="86" width="13.5703125" style="52" bestFit="1" customWidth="1"/>
    <col min="87" max="87" width="9.8554687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425781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7.42578125" style="52" bestFit="1" customWidth="1"/>
    <col min="116" max="116" width="12.42578125" style="52" bestFit="1" customWidth="1"/>
    <col min="117" max="117" width="8.85546875" style="52" bestFit="1" customWidth="1"/>
    <col min="118" max="118" width="7.425781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8.85546875" style="52" bestFit="1" customWidth="1"/>
    <col min="127" max="127" width="6.28515625" style="52" bestFit="1" customWidth="1"/>
    <col min="128" max="128" width="12" style="52" bestFit="1" customWidth="1"/>
    <col min="129" max="129" width="9.28515625" style="52" bestFit="1" customWidth="1"/>
    <col min="130" max="130" width="7.42578125" style="52" bestFit="1" customWidth="1"/>
    <col min="131" max="131" width="12" style="52" bestFit="1" customWidth="1"/>
    <col min="132" max="132" width="8.85546875" style="52" bestFit="1" customWidth="1"/>
    <col min="133" max="133" width="7.42578125" style="52" bestFit="1" customWidth="1"/>
    <col min="134" max="134" width="12" style="52" bestFit="1" customWidth="1"/>
    <col min="135" max="135" width="10" style="52" bestFit="1" customWidth="1"/>
    <col min="136" max="136" width="7.8554687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8.85546875" style="52" bestFit="1" customWidth="1"/>
    <col min="142" max="142" width="6.28515625" style="52" bestFit="1" customWidth="1"/>
    <col min="143" max="143" width="12" style="52" bestFit="1" customWidth="1"/>
    <col min="144" max="144" width="9.28515625" style="52" bestFit="1" customWidth="1"/>
    <col min="145" max="145" width="7.42578125" style="52" bestFit="1" customWidth="1"/>
    <col min="146" max="146" width="12" style="52" bestFit="1" customWidth="1"/>
    <col min="147" max="147" width="8.85546875" style="52" bestFit="1" customWidth="1"/>
    <col min="148" max="148" width="7.42578125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8.85546875" style="52" bestFit="1" customWidth="1"/>
    <col min="157" max="157" width="6.28515625" style="52" bestFit="1" customWidth="1"/>
    <col min="158" max="158" width="12" style="52" bestFit="1" customWidth="1"/>
    <col min="159" max="159" width="9.28515625" style="52" bestFit="1" customWidth="1"/>
    <col min="160" max="160" width="7.42578125" style="52" bestFit="1" customWidth="1"/>
    <col min="161" max="161" width="12" style="52" bestFit="1" customWidth="1"/>
    <col min="162" max="162" width="8.85546875" style="52" bestFit="1" customWidth="1"/>
    <col min="163" max="163" width="7.42578125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7.42578125" style="52" bestFit="1" customWidth="1"/>
    <col min="176" max="176" width="10.140625" style="52" bestFit="1" customWidth="1"/>
    <col min="177" max="177" width="9.28515625" style="52" bestFit="1" customWidth="1"/>
    <col min="178" max="178" width="7.425781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8.85546875" style="52" customWidth="1"/>
    <col min="187" max="187" width="6.28515625" style="52" bestFit="1" customWidth="1"/>
    <col min="188" max="188" width="12" style="52" bestFit="1" customWidth="1"/>
    <col min="189" max="189" width="9.28515625" style="52" bestFit="1" customWidth="1"/>
    <col min="190" max="190" width="7.42578125" style="52" bestFit="1" customWidth="1"/>
    <col min="191" max="191" width="12" style="52" bestFit="1" customWidth="1"/>
    <col min="192" max="192" width="8.85546875" style="52" bestFit="1" customWidth="1"/>
    <col min="193" max="193" width="7.42578125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8.85546875" style="52" bestFit="1" customWidth="1"/>
    <col min="202" max="202" width="6.28515625" style="52" bestFit="1" customWidth="1"/>
    <col min="203" max="203" width="12" style="52" bestFit="1" customWidth="1"/>
    <col min="204" max="204" width="9.28515625" style="52" bestFit="1" customWidth="1"/>
    <col min="205" max="205" width="7.42578125" style="52" bestFit="1" customWidth="1"/>
    <col min="206" max="206" width="12" style="52" bestFit="1" customWidth="1"/>
    <col min="207" max="207" width="8.85546875" style="52" bestFit="1" customWidth="1"/>
    <col min="208" max="208" width="7.42578125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9.28515625" style="52" bestFit="1" customWidth="1"/>
    <col min="214" max="214" width="22.42578125" style="52" bestFit="1" customWidth="1"/>
    <col min="215" max="16384" width="9.140625" style="52"/>
  </cols>
  <sheetData>
    <row r="1" spans="1:214" ht="21.75" customHeight="1" thickTop="1" thickBot="1" x14ac:dyDescent="0.25">
      <c r="A1" s="652" t="s">
        <v>359</v>
      </c>
      <c r="B1" s="653"/>
      <c r="C1" s="654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532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658" t="s">
        <v>557</v>
      </c>
      <c r="AJ1" s="659"/>
      <c r="AK1" s="660"/>
      <c r="AL1" s="661" t="s">
        <v>546</v>
      </c>
      <c r="AM1" s="659"/>
      <c r="AN1" s="660"/>
      <c r="AO1" s="661" t="s">
        <v>547</v>
      </c>
      <c r="AP1" s="659"/>
      <c r="AQ1" s="662"/>
      <c r="AR1" s="658" t="s">
        <v>559</v>
      </c>
      <c r="AS1" s="659"/>
      <c r="AT1" s="660"/>
      <c r="AU1" s="661" t="s">
        <v>548</v>
      </c>
      <c r="AV1" s="659"/>
      <c r="AW1" s="660"/>
      <c r="AX1" s="661" t="s">
        <v>549</v>
      </c>
      <c r="AY1" s="659"/>
      <c r="AZ1" s="662"/>
      <c r="BA1" s="658" t="s">
        <v>561</v>
      </c>
      <c r="BB1" s="659"/>
      <c r="BC1" s="660"/>
      <c r="BD1" s="661" t="s">
        <v>551</v>
      </c>
      <c r="BE1" s="659"/>
      <c r="BF1" s="660"/>
      <c r="BG1" s="661" t="s">
        <v>552</v>
      </c>
      <c r="BH1" s="659"/>
      <c r="BI1" s="662"/>
      <c r="BJ1" s="658" t="s">
        <v>564</v>
      </c>
      <c r="BK1" s="659"/>
      <c r="BL1" s="660"/>
      <c r="BM1" s="661" t="s">
        <v>554</v>
      </c>
      <c r="BN1" s="659"/>
      <c r="BO1" s="660"/>
      <c r="BP1" s="661" t="s">
        <v>555</v>
      </c>
      <c r="BQ1" s="659"/>
      <c r="BR1" s="662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675" t="s">
        <v>569</v>
      </c>
      <c r="CC1" s="673"/>
      <c r="CD1" s="673"/>
      <c r="CE1" s="676" t="s">
        <v>570</v>
      </c>
      <c r="CF1" s="673"/>
      <c r="CG1" s="677"/>
      <c r="CH1" s="673" t="s">
        <v>571</v>
      </c>
      <c r="CI1" s="673"/>
      <c r="CJ1" s="674"/>
      <c r="CK1" s="675" t="s">
        <v>575</v>
      </c>
      <c r="CL1" s="673"/>
      <c r="CM1" s="673"/>
      <c r="CN1" s="676" t="s">
        <v>575</v>
      </c>
      <c r="CO1" s="673"/>
      <c r="CP1" s="677"/>
      <c r="CQ1" s="673" t="s">
        <v>575</v>
      </c>
      <c r="CR1" s="673"/>
      <c r="CS1" s="674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3.5" customHeight="1" thickTop="1" x14ac:dyDescent="0.2">
      <c r="A2" s="375" t="s">
        <v>233</v>
      </c>
      <c r="B2" s="376"/>
      <c r="C2" s="377"/>
      <c r="D2" s="193"/>
      <c r="E2" s="194"/>
      <c r="F2" s="194"/>
      <c r="G2" s="363" t="s">
        <v>531</v>
      </c>
      <c r="H2" s="360">
        <f>(1/((1/H10)+(1/H11)+(1/H12)+(1/H13)))*H70*H71*H73</f>
        <v>8.4029191939294425E-12</v>
      </c>
      <c r="I2" s="625" t="s">
        <v>13</v>
      </c>
      <c r="J2" s="622" t="s">
        <v>531</v>
      </c>
      <c r="K2" s="360">
        <f>(1/((1/K14)+(1/K15)+(1/K16)+(1/K17)))*K13*K53*K54</f>
        <v>7.0106082227491833E-8</v>
      </c>
      <c r="L2" s="345" t="s">
        <v>12</v>
      </c>
      <c r="M2" s="330" t="s">
        <v>537</v>
      </c>
      <c r="N2" s="333">
        <f>((N5*N6*N7)/((1-EXP(-N7*N6))*N15*N13*(N9/365)*(((N14/24)*N12)+((N16/24)*N11))))*N8*N17*N18</f>
        <v>2.9188966564506022E-7</v>
      </c>
      <c r="O2" s="336" t="s">
        <v>12</v>
      </c>
      <c r="P2" s="339" t="s">
        <v>537</v>
      </c>
      <c r="Q2" s="333">
        <f>((Q5*Q6*Q7)/((1-EXP(-Q7*Q6))*Q15*Q13*(Q9/365)*(((Q14/24)*Q12)+((Q16/24)*Q11))))*Q8*Q17*Q18</f>
        <v>1.5813051789314914E-6</v>
      </c>
      <c r="R2" s="336" t="s">
        <v>12</v>
      </c>
      <c r="S2" s="339" t="s">
        <v>537</v>
      </c>
      <c r="T2" s="333">
        <f>((T5*T6*T7)/((1-EXP(-T7*T6))*T15*T13*(T9/365)*(((T14/24)*T12)+((T16/24)*T11))))*T8*T17*T18</f>
        <v>3.4434341105696319E-7</v>
      </c>
      <c r="U2" s="342" t="s">
        <v>12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4.2031052050052597E-7</v>
      </c>
      <c r="AD2" s="315">
        <f>1/((1/AD29)+(1/AD30)+(1/AD31))</f>
        <v>1.0478646659894874E-6</v>
      </c>
      <c r="AE2" s="315">
        <f>1/((1/AE29)+(1/AE30)+(1/AE31))</f>
        <v>4.6701168944502876E-7</v>
      </c>
      <c r="AF2" s="315">
        <f>1/((1/AF29)+(1/AF30)+(1/AF31))</f>
        <v>3.0550611221338278E-6</v>
      </c>
      <c r="AG2" s="320">
        <f>1/((1/AG29)+(1/AG31)+(1/AG30))</f>
        <v>1.1408290868039744E-5</v>
      </c>
      <c r="AH2" s="318" t="s">
        <v>12</v>
      </c>
      <c r="AI2" s="307" t="s">
        <v>537</v>
      </c>
      <c r="AJ2" s="304">
        <f>((AJ5*AJ6*AJ7)/((1-EXP(-AJ7*AJ6))*AJ15*(AJ9/365)*AJ10*(AJ16/24)*AJ11*AJ13))*AJ8*AJ17*AJ18</f>
        <v>1.0622740601820677E-6</v>
      </c>
      <c r="AK2" s="291" t="s">
        <v>12</v>
      </c>
      <c r="AL2" s="288" t="s">
        <v>537</v>
      </c>
      <c r="AM2" s="304">
        <f>((AM5*AM6*AM7)/((1-EXP(-AM7*AM6))*AM15*(AM9/365)*AM10*(AM16/24)*AM11*AM13))*AM8*AM17*AM18</f>
        <v>5.7548439376853758E-6</v>
      </c>
      <c r="AN2" s="291" t="s">
        <v>12</v>
      </c>
      <c r="AO2" s="288" t="s">
        <v>537</v>
      </c>
      <c r="AP2" s="304">
        <f>((AP5*AP6*AP7)/((1-EXP(-AP7*AP6))*AP15*(AP9/365)*AP10*(AP16/24)*AP11*AP13))*AP8*AP17*AP18</f>
        <v>1.2531689758596062E-6</v>
      </c>
      <c r="AQ2" s="282" t="s">
        <v>12</v>
      </c>
      <c r="AR2" s="665" t="s">
        <v>537</v>
      </c>
      <c r="AS2" s="304">
        <f>((AS5*AS6*AS7)/((1-EXP(-AS7*AS6))*AS15*(AS9/365)*AS10*(AS14/24)*AS12*AS13))*AS8*AS17*AS18</f>
        <v>4.7212180452536335E-7</v>
      </c>
      <c r="AT2" s="667" t="s">
        <v>12</v>
      </c>
      <c r="AU2" s="663" t="s">
        <v>537</v>
      </c>
      <c r="AV2" s="304">
        <f>((AV5*AV6*AV7)/((1-EXP(-AV7*AV6))*AV15*(AV9/365)*AV10*(AV14/24)*AV12*AV13))*AV8*AV17*AV18</f>
        <v>2.5577084167490559E-6</v>
      </c>
      <c r="AW2" s="671" t="s">
        <v>12</v>
      </c>
      <c r="AX2" s="663" t="s">
        <v>537</v>
      </c>
      <c r="AY2" s="304">
        <f>((AY5*AY6*AY7)/((1-EXP(-AY7*AY6))*AY15*(AY9/365)*AY10*(AY14/24)*AY12*AY13))*AY8*AY17*AY18</f>
        <v>5.5696398927093603E-7</v>
      </c>
      <c r="AZ2" s="669" t="s">
        <v>12</v>
      </c>
      <c r="BA2" s="665" t="s">
        <v>537</v>
      </c>
      <c r="BB2" s="304">
        <f>((BB5*BB6*BB7)/((1-EXP(-BB7*BB6))*BB15*(BB9/365)*(BB14/24)*BB12*BB13))*BB8*BB17*BB18</f>
        <v>4.2490962407282707E-7</v>
      </c>
      <c r="BC2" s="667" t="s">
        <v>12</v>
      </c>
      <c r="BD2" s="663" t="s">
        <v>537</v>
      </c>
      <c r="BE2" s="304">
        <f>((BE5*BE6*BE7)/((1-EXP(-BE7*BE6))*BE15*(BE9/365)*(BE14/24)*BE12*BE13))*BE8*BE17*BE18</f>
        <v>2.3019375750741509E-6</v>
      </c>
      <c r="BF2" s="667" t="s">
        <v>12</v>
      </c>
      <c r="BG2" s="663" t="s">
        <v>537</v>
      </c>
      <c r="BH2" s="304">
        <f>((BH5*BH6*BH7)/((1-EXP(-BH7*BH6))*BH15*(BH9/365)*(BH14/24)*BH12*BH13))*BH8*BH17*BH18</f>
        <v>5.0126759034384247E-7</v>
      </c>
      <c r="BI2" s="669" t="s">
        <v>12</v>
      </c>
      <c r="BJ2" s="665" t="s">
        <v>537</v>
      </c>
      <c r="BK2" s="285">
        <f>((BK5*BK6*BK7)/((1-EXP(-BK7*BK6))*BK16*(BK9/365)*(BK15/24)*BK13*BK14))*BK8*BK17*BK18</f>
        <v>2.3414481717546247E-3</v>
      </c>
      <c r="BL2" s="667" t="s">
        <v>12</v>
      </c>
      <c r="BM2" s="663" t="s">
        <v>537</v>
      </c>
      <c r="BN2" s="285">
        <f>((BN5*BN6*BN7)/((1-EXP(-BN7*BN6))*BN16*(BN9/365)*(BN15/24)*BN13*BN14))*BN8*BN17*BN18</f>
        <v>2.6480054009204432E-2</v>
      </c>
      <c r="BO2" s="667" t="s">
        <v>12</v>
      </c>
      <c r="BP2" s="663" t="s">
        <v>537</v>
      </c>
      <c r="BQ2" s="285">
        <f>((BQ5*BQ6*BQ7)/((1-EXP(-BQ7*BQ6))*BQ16*(BQ9/365)*(BQ15/24)*BQ13*BQ14))*BQ8*BQ17*BQ18</f>
        <v>3.3504504340817753E-3</v>
      </c>
      <c r="BR2" s="669" t="s">
        <v>12</v>
      </c>
      <c r="BS2" s="214"/>
      <c r="BT2" s="120"/>
      <c r="BU2" s="215"/>
      <c r="BV2" s="258" t="s">
        <v>531</v>
      </c>
      <c r="BW2" s="261">
        <f>1/((1/BW10)+(1/BW12))</f>
        <v>5.7683049068387111E-9</v>
      </c>
      <c r="BX2" s="278" t="s">
        <v>13</v>
      </c>
      <c r="BY2" s="258" t="s">
        <v>531</v>
      </c>
      <c r="BZ2" s="261">
        <f>1/((1/BZ13)+(1/BZ14)+(1/BZ15))</f>
        <v>6.5206484900105053E-5</v>
      </c>
      <c r="CA2" s="264" t="s">
        <v>12</v>
      </c>
      <c r="CB2" s="268" t="s">
        <v>537</v>
      </c>
      <c r="CC2" s="262">
        <f>((CC5*CC6*CC7)/((1-EXP(-CC7*CC6))*CC14*(CC9/365)*CC12*(CC13/24)*CC11))*CC8*CC15*CC16</f>
        <v>6.243861791345668E-2</v>
      </c>
      <c r="CD2" s="279" t="s">
        <v>297</v>
      </c>
      <c r="CE2" s="259" t="s">
        <v>537</v>
      </c>
      <c r="CF2" s="262">
        <f>((CF5*CF6*CF7)/((1-EXP(-CF7*CF6))*CF14*(CF9/365)*CF12*(CF13/24)*CF11))*CF8*CF15*CF16</f>
        <v>0.70613477357878496</v>
      </c>
      <c r="CG2" s="279" t="s">
        <v>297</v>
      </c>
      <c r="CH2" s="259" t="s">
        <v>537</v>
      </c>
      <c r="CI2" s="262">
        <f>((CI5*CI6*CI7)/((1-EXP(-CI7*CI6))*CI14*(CI9/365)*CI12*(CI13/24)*CI11))*CI8*CI15*CI16</f>
        <v>8.9345344908847338E-2</v>
      </c>
      <c r="CJ2" s="265" t="s">
        <v>297</v>
      </c>
      <c r="CK2" s="268" t="s">
        <v>530</v>
      </c>
      <c r="CL2" s="262">
        <f>(CL5/(CL6*CL7*CL8))*CL9*CL10*CO16</f>
        <v>8.0278460649819253E-6</v>
      </c>
      <c r="CM2" s="279" t="s">
        <v>12</v>
      </c>
      <c r="CN2" s="259" t="s">
        <v>7</v>
      </c>
      <c r="CO2" s="262" t="e">
        <f>(CL2/(CO5*((CO10*CO12*CO13*(CO6+CO7))+(CO11*CO12))))*CO17</f>
        <v>#DIV/0!</v>
      </c>
      <c r="CP2" s="279" t="s">
        <v>12</v>
      </c>
      <c r="CQ2" s="259" t="s">
        <v>6</v>
      </c>
      <c r="CR2" s="262" t="e">
        <f>CL2/(CR5*CR6*(1/CR7))</f>
        <v>#DIV/0!</v>
      </c>
      <c r="CS2" s="265" t="s">
        <v>12</v>
      </c>
      <c r="CT2" s="395" t="s">
        <v>531</v>
      </c>
      <c r="CU2" s="392">
        <f>1/((1/CU14)+(1/CU15)+(1/CU16)+(1/CU17)+(1/CU21)+(1/CU22)+(1/CU24))</f>
        <v>2.7024162716784665E-9</v>
      </c>
      <c r="CV2" s="389" t="s">
        <v>12</v>
      </c>
      <c r="CW2" s="218"/>
      <c r="CX2" s="219"/>
      <c r="CY2" s="219"/>
      <c r="CZ2" s="407" t="s">
        <v>531</v>
      </c>
      <c r="DA2" s="404">
        <f>1/((1/DA13)+(1/DA15)+(1/DA16)+(1/DA14))</f>
        <v>7.9385201459923738E-12</v>
      </c>
      <c r="DB2" s="401" t="s">
        <v>13</v>
      </c>
      <c r="DC2" s="442" t="s">
        <v>530</v>
      </c>
      <c r="DD2" s="439">
        <f>DD7</f>
        <v>6.2875883265791139E-9</v>
      </c>
      <c r="DE2" s="436" t="s">
        <v>12</v>
      </c>
      <c r="DF2" s="433" t="s">
        <v>530</v>
      </c>
      <c r="DG2" s="424">
        <f>DD7/((1/DG24)*(DG5+DG6+DG7))</f>
        <v>4.6904670737309435E-7</v>
      </c>
      <c r="DH2" s="430" t="s">
        <v>13</v>
      </c>
      <c r="DI2" s="427" t="s">
        <v>530</v>
      </c>
      <c r="DJ2" s="424">
        <f>(DD7/(DJ5+DJ6))*DJ12</f>
        <v>2.2885553423291997E-8</v>
      </c>
      <c r="DK2" s="430" t="s">
        <v>12</v>
      </c>
      <c r="DL2" s="427" t="s">
        <v>581</v>
      </c>
      <c r="DM2" s="424">
        <f>((DD7)/(DM5+DM6))*DJ12</f>
        <v>2.2885553423291997E-8</v>
      </c>
      <c r="DN2" s="430" t="s">
        <v>12</v>
      </c>
      <c r="DO2" s="427" t="s">
        <v>582</v>
      </c>
      <c r="DP2" s="424">
        <f>-(DP5+DP6+DP7)/(DP23+DP24)</f>
        <v>-49.001215422593845</v>
      </c>
      <c r="DQ2" s="421" t="s">
        <v>18</v>
      </c>
      <c r="DR2" s="574" t="s">
        <v>530</v>
      </c>
      <c r="DS2" s="445">
        <f>DS7</f>
        <v>3.9895931635154585E-9</v>
      </c>
      <c r="DT2" s="484" t="s">
        <v>12</v>
      </c>
      <c r="DU2" s="481" t="s">
        <v>530</v>
      </c>
      <c r="DV2" s="463">
        <f>(DS7*DV8)/(DV5*DV6*(1/1000))</f>
        <v>1.1754236151089595E-4</v>
      </c>
      <c r="DW2" s="466" t="s">
        <v>13</v>
      </c>
      <c r="DX2" s="478" t="s">
        <v>530</v>
      </c>
      <c r="DY2" s="463">
        <f>(DS7*DY14)/(DY9*((DY10*DY12*DY13*(DY5+DY6))+(DY11*DY12)))*DY18</f>
        <v>1.8584284312438635E-6</v>
      </c>
      <c r="DZ2" s="466" t="s">
        <v>12</v>
      </c>
      <c r="EA2" s="478" t="s">
        <v>581</v>
      </c>
      <c r="EB2" s="463">
        <f>(DS7*DY14)/(EB9*((EB10*EB12*EB13*(EB5+EB6))+(EB11*EB12)))*DY18</f>
        <v>1.8584284312438635E-6</v>
      </c>
      <c r="EC2" s="466" t="s">
        <v>12</v>
      </c>
      <c r="ED2" s="478" t="s">
        <v>582</v>
      </c>
      <c r="EE2" s="463">
        <f>-EE15/((EE10*EE12*EE13*(EE5+EE6))+(EE11*EE12))</f>
        <v>-15.807288534561259</v>
      </c>
      <c r="EF2" s="460" t="s">
        <v>18</v>
      </c>
      <c r="EG2" s="475" t="s">
        <v>530</v>
      </c>
      <c r="EH2" s="469">
        <f>EH7</f>
        <v>1.0935083928490053E-8</v>
      </c>
      <c r="EI2" s="457" t="s">
        <v>12</v>
      </c>
      <c r="EJ2" s="472" t="s">
        <v>530</v>
      </c>
      <c r="EK2" s="454">
        <f>EH7/(EK5*EK6)</f>
        <v>1.213660813372925E-7</v>
      </c>
      <c r="EL2" s="451" t="s">
        <v>13</v>
      </c>
      <c r="EM2" s="448" t="s">
        <v>530</v>
      </c>
      <c r="EN2" s="454">
        <f>(EH7/(EN9*((EN10*EN12*EN13*(EN5+EN6))+(EN11*EN12))))*EN17</f>
        <v>1.7662694479917847E-6</v>
      </c>
      <c r="EO2" s="451" t="s">
        <v>12</v>
      </c>
      <c r="EP2" s="448" t="s">
        <v>581</v>
      </c>
      <c r="EQ2" s="454">
        <f>(EH7/(EQ9*((EQ10*EQ12*EQ13*(EQ5+EQ6))+(EQ11*EQ12))))*EN17</f>
        <v>1.7662694479917847E-6</v>
      </c>
      <c r="ER2" s="451" t="s">
        <v>12</v>
      </c>
      <c r="ES2" s="448" t="s">
        <v>582</v>
      </c>
      <c r="ET2" s="454">
        <f>-ET15/((ET10*ET12*ET13*(ET5+ET6))+(ET11*ET12))</f>
        <v>-14.550086614194845</v>
      </c>
      <c r="EU2" s="499" t="s">
        <v>18</v>
      </c>
      <c r="EV2" s="496" t="s">
        <v>530</v>
      </c>
      <c r="EW2" s="493">
        <f>EW7</f>
        <v>3.6575830079421947E-8</v>
      </c>
      <c r="EX2" s="490" t="s">
        <v>12</v>
      </c>
      <c r="EY2" s="487" t="s">
        <v>530</v>
      </c>
      <c r="EZ2" s="586" t="e">
        <f>EW7/(EZ5*EZ6*(1/EZ7))</f>
        <v>#DIV/0!</v>
      </c>
      <c r="FA2" s="592" t="s">
        <v>13</v>
      </c>
      <c r="FB2" s="589" t="s">
        <v>530</v>
      </c>
      <c r="FC2" s="586" t="e">
        <f>(EW7/(FC9*((FC10*FC12*FC13*(FC5+FC6))+(FC11*FC12))))*FC17</f>
        <v>#DIV/0!</v>
      </c>
      <c r="FD2" s="595" t="s">
        <v>12</v>
      </c>
      <c r="FE2" s="589" t="s">
        <v>581</v>
      </c>
      <c r="FF2" s="586">
        <f>(EW7/(FF9*(FF10*FF12*FF13*(FF5*FF6))+(FF11*FF12)))*FC17</f>
        <v>1.6628978002007932E-6</v>
      </c>
      <c r="FG2" s="592" t="s">
        <v>12</v>
      </c>
      <c r="FH2" s="589" t="s">
        <v>582</v>
      </c>
      <c r="FI2" s="586">
        <f>FI15/((FI10*FI12*FI13*(FI5+FI6))+(FI11*FI12))</f>
        <v>5.3050397877984095</v>
      </c>
      <c r="FJ2" s="583" t="s">
        <v>18</v>
      </c>
      <c r="FK2" s="580" t="s">
        <v>530</v>
      </c>
      <c r="FL2" s="577">
        <f>FL7</f>
        <v>1.2555672784544286E-8</v>
      </c>
      <c r="FM2" s="571" t="s">
        <v>12</v>
      </c>
      <c r="FN2" s="568" t="s">
        <v>530</v>
      </c>
      <c r="FO2" s="505">
        <f>FL7/(FO5*(1/FO6))</f>
        <v>3.1389181961360713E-6</v>
      </c>
      <c r="FP2" s="511" t="s">
        <v>13</v>
      </c>
      <c r="FQ2" s="508" t="s">
        <v>530</v>
      </c>
      <c r="FR2" s="505">
        <f>((FL7*FR6)/FR5)*FR10</f>
        <v>3.1395980171789717E-9</v>
      </c>
      <c r="FS2" s="511" t="s">
        <v>12</v>
      </c>
      <c r="FT2" s="508" t="s">
        <v>581</v>
      </c>
      <c r="FU2" s="505">
        <f>((FL7*FU6)/FU5)*FR10</f>
        <v>3.1395980171789717E-9</v>
      </c>
      <c r="FV2" s="511" t="s">
        <v>12</v>
      </c>
      <c r="FW2" s="508" t="s">
        <v>582</v>
      </c>
      <c r="FX2" s="505">
        <f>-FX5/FX6</f>
        <v>-1E-3</v>
      </c>
      <c r="FY2" s="502" t="s">
        <v>18</v>
      </c>
      <c r="FZ2" s="556" t="s">
        <v>530</v>
      </c>
      <c r="GA2" s="553">
        <f>GA7</f>
        <v>1.8271404441958712E-8</v>
      </c>
      <c r="GB2" s="550" t="s">
        <v>12</v>
      </c>
      <c r="GC2" s="559" t="s">
        <v>530</v>
      </c>
      <c r="GD2" s="538" t="e">
        <f>GA7/(GD5*GD6*(1/GD7))</f>
        <v>#DIV/0!</v>
      </c>
      <c r="GE2" s="544" t="s">
        <v>13</v>
      </c>
      <c r="GF2" s="541" t="s">
        <v>530</v>
      </c>
      <c r="GG2" s="538" t="e">
        <f>(GA7/((GG9)*((GG10*GG12*GG13*(GG5+GG6))+(GG11*GG12))))*GG17</f>
        <v>#DIV/0!</v>
      </c>
      <c r="GH2" s="544" t="s">
        <v>12</v>
      </c>
      <c r="GI2" s="541" t="s">
        <v>581</v>
      </c>
      <c r="GJ2" s="538" t="e">
        <f>(GA7/((GJ9)*((GJ10*GJ12*GJ13*(GJ5+GJ6))+(GJ11*GJ12))))*GG17</f>
        <v>#DIV/0!</v>
      </c>
      <c r="GK2" s="544" t="s">
        <v>12</v>
      </c>
      <c r="GL2" s="541" t="s">
        <v>582</v>
      </c>
      <c r="GM2" s="538">
        <f>GM15/((GM10*GM12*GM13*(GM5+GM6))+(GM11*GM12))</f>
        <v>5.3050397877984095</v>
      </c>
      <c r="GN2" s="535" t="s">
        <v>18</v>
      </c>
      <c r="GO2" s="532" t="s">
        <v>530</v>
      </c>
      <c r="GP2" s="529">
        <f>GP7</f>
        <v>2.0005264893713374E-8</v>
      </c>
      <c r="GQ2" s="526" t="s">
        <v>12</v>
      </c>
      <c r="GR2" s="523" t="s">
        <v>530</v>
      </c>
      <c r="GS2" s="517" t="e">
        <f>GP7/(GS5*GS6*(1/GS7))</f>
        <v>#DIV/0!</v>
      </c>
      <c r="GT2" s="514" t="s">
        <v>13</v>
      </c>
      <c r="GU2" s="520" t="s">
        <v>530</v>
      </c>
      <c r="GV2" s="517" t="e">
        <f>(GP7/((GV9)*((GV10*GV12*GV13*(GV5+GV6))+(GV11*GV12))))*GV17</f>
        <v>#DIV/0!</v>
      </c>
      <c r="GW2" s="514" t="s">
        <v>12</v>
      </c>
      <c r="GX2" s="520" t="s">
        <v>581</v>
      </c>
      <c r="GY2" s="517" t="e">
        <f>(GP7/((GY9*((GY10*GY12*GY13*(GY5+GY6))+(GY11*GY12)))))*GV17</f>
        <v>#DIV/0!</v>
      </c>
      <c r="GZ2" s="514" t="s">
        <v>12</v>
      </c>
      <c r="HA2" s="520" t="s">
        <v>582</v>
      </c>
      <c r="HB2" s="517">
        <f>GP7/((HB10*HB12*HB13*(HB5+HB6))+(HB11*HB12))</f>
        <v>1.2311689884739596E-8</v>
      </c>
      <c r="HC2" s="547" t="s">
        <v>18</v>
      </c>
      <c r="HD2" s="54"/>
      <c r="HE2" s="55"/>
      <c r="HF2" s="56"/>
    </row>
    <row r="3" spans="1:214" ht="12.75" customHeight="1" x14ac:dyDescent="0.2">
      <c r="A3" s="375"/>
      <c r="B3" s="376"/>
      <c r="C3" s="377"/>
      <c r="D3" s="189" t="s">
        <v>15</v>
      </c>
      <c r="E3" s="134">
        <f>1/((1/E19)+(1/E20))</f>
        <v>6.7365840998663978E-14</v>
      </c>
      <c r="F3" s="58" t="s">
        <v>294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3.0308505055372128E-13</v>
      </c>
      <c r="X3" s="62" t="s">
        <v>294</v>
      </c>
      <c r="Y3" s="202" t="s">
        <v>16</v>
      </c>
      <c r="Z3" s="187">
        <f>1/((1/Z18)+(1/Z19))</f>
        <v>2.7277654549834912E-13</v>
      </c>
      <c r="AA3" s="63" t="s">
        <v>294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665"/>
      <c r="AS3" s="304"/>
      <c r="AT3" s="667"/>
      <c r="AU3" s="663"/>
      <c r="AV3" s="304"/>
      <c r="AW3" s="671"/>
      <c r="AX3" s="663"/>
      <c r="AY3" s="304"/>
      <c r="AZ3" s="669"/>
      <c r="BA3" s="665"/>
      <c r="BB3" s="304"/>
      <c r="BC3" s="667"/>
      <c r="BD3" s="663"/>
      <c r="BE3" s="304"/>
      <c r="BF3" s="667"/>
      <c r="BG3" s="663"/>
      <c r="BH3" s="304"/>
      <c r="BI3" s="669"/>
      <c r="BJ3" s="665"/>
      <c r="BK3" s="285"/>
      <c r="BL3" s="667"/>
      <c r="BM3" s="663"/>
      <c r="BN3" s="285"/>
      <c r="BO3" s="667"/>
      <c r="BP3" s="663"/>
      <c r="BQ3" s="285"/>
      <c r="BR3" s="669"/>
      <c r="BS3" s="212" t="s">
        <v>15</v>
      </c>
      <c r="BT3" s="64">
        <f>1/((1/BT18)+(1/BT19))</f>
        <v>7.5449741918503673E-12</v>
      </c>
      <c r="BU3" s="53" t="s">
        <v>294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79"/>
      <c r="CN3" s="259"/>
      <c r="CO3" s="262"/>
      <c r="CP3" s="279"/>
      <c r="CQ3" s="259"/>
      <c r="CR3" s="262"/>
      <c r="CS3" s="265"/>
      <c r="CT3" s="396"/>
      <c r="CU3" s="393"/>
      <c r="CV3" s="390"/>
      <c r="CW3" s="216" t="s">
        <v>15</v>
      </c>
      <c r="CX3" s="65">
        <f>1/((1/CX19)+(1/CX20))</f>
        <v>6.731813430756964E-14</v>
      </c>
      <c r="CY3" s="66" t="s">
        <v>294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687">
        <f>(HE5*HE14)*(10^-3)*(HE13+(HE10/HE11))*((HE12*HE7)/HE8)</f>
        <v>6.076878828010807E-12</v>
      </c>
      <c r="HF3" s="220" t="s">
        <v>597</v>
      </c>
    </row>
    <row r="4" spans="1:214" ht="13.5" customHeight="1" thickBot="1" x14ac:dyDescent="0.25">
      <c r="A4" s="378"/>
      <c r="B4" s="379"/>
      <c r="C4" s="380"/>
      <c r="D4" s="190" t="s">
        <v>16</v>
      </c>
      <c r="E4" s="135">
        <f>1/((1/E21)+(1/E22))</f>
        <v>6.7380430966742789E-14</v>
      </c>
      <c r="F4" s="68" t="s">
        <v>294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3.0301942317275487E-13</v>
      </c>
      <c r="X4" s="76" t="s">
        <v>294</v>
      </c>
      <c r="Y4" s="203" t="s">
        <v>15</v>
      </c>
      <c r="Z4" s="186">
        <f>1/((1/Z16)+(1/Z17))</f>
        <v>2.7271748085547941E-13</v>
      </c>
      <c r="AA4" s="77" t="s">
        <v>294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666"/>
      <c r="AS4" s="305"/>
      <c r="AT4" s="668"/>
      <c r="AU4" s="664"/>
      <c r="AV4" s="305"/>
      <c r="AW4" s="672"/>
      <c r="AX4" s="664"/>
      <c r="AY4" s="305"/>
      <c r="AZ4" s="670"/>
      <c r="BA4" s="666"/>
      <c r="BB4" s="305"/>
      <c r="BC4" s="668"/>
      <c r="BD4" s="664"/>
      <c r="BE4" s="305"/>
      <c r="BF4" s="668"/>
      <c r="BG4" s="664"/>
      <c r="BH4" s="305"/>
      <c r="BI4" s="670"/>
      <c r="BJ4" s="666"/>
      <c r="BK4" s="286"/>
      <c r="BL4" s="668"/>
      <c r="BM4" s="664"/>
      <c r="BN4" s="286"/>
      <c r="BO4" s="668"/>
      <c r="BP4" s="664"/>
      <c r="BQ4" s="286"/>
      <c r="BR4" s="670"/>
      <c r="BS4" s="213" t="s">
        <v>16</v>
      </c>
      <c r="BT4" s="78">
        <f>1/((1/BT20)+(1/BT21))</f>
        <v>7.5466082682751914E-12</v>
      </c>
      <c r="BU4" s="79" t="s">
        <v>294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80"/>
      <c r="CN4" s="260"/>
      <c r="CO4" s="263"/>
      <c r="CP4" s="280"/>
      <c r="CQ4" s="260"/>
      <c r="CR4" s="263"/>
      <c r="CS4" s="266"/>
      <c r="CT4" s="397"/>
      <c r="CU4" s="394"/>
      <c r="CV4" s="391"/>
      <c r="CW4" s="217" t="s">
        <v>16</v>
      </c>
      <c r="CX4" s="80">
        <f>1/((1/CX21)+(1/CX22))</f>
        <v>6.7332713943422346E-14</v>
      </c>
      <c r="CY4" s="81" t="s">
        <v>294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224">
        <f>(HE6*HE14)*10^-3*(HE13+(HE10/HE11))*((HE12*HE7)/(HE8))</f>
        <v>1.0085686898977354E-14</v>
      </c>
      <c r="HF4" s="221" t="s">
        <v>598</v>
      </c>
    </row>
    <row r="5" spans="1:214" ht="13.5" thickTop="1" x14ac:dyDescent="0.2">
      <c r="A5" s="52" t="s">
        <v>267</v>
      </c>
      <c r="B5" s="129">
        <v>1</v>
      </c>
      <c r="C5" s="52" t="s">
        <v>344</v>
      </c>
      <c r="D5" s="52" t="s">
        <v>267</v>
      </c>
      <c r="E5" s="136">
        <f>B5</f>
        <v>1</v>
      </c>
      <c r="F5" s="52" t="s">
        <v>344</v>
      </c>
      <c r="G5" s="83" t="s">
        <v>267</v>
      </c>
      <c r="H5" s="136">
        <f>B5</f>
        <v>1</v>
      </c>
      <c r="I5" s="52" t="s">
        <v>344</v>
      </c>
      <c r="J5" s="83" t="s">
        <v>267</v>
      </c>
      <c r="K5" s="136">
        <f>B5</f>
        <v>1</v>
      </c>
      <c r="L5" s="52" t="s">
        <v>344</v>
      </c>
      <c r="M5" s="52" t="s">
        <v>267</v>
      </c>
      <c r="N5" s="136">
        <f>B5</f>
        <v>1</v>
      </c>
      <c r="O5" s="52" t="s">
        <v>344</v>
      </c>
      <c r="P5" s="52" t="s">
        <v>267</v>
      </c>
      <c r="Q5" s="136">
        <f>B5</f>
        <v>1</v>
      </c>
      <c r="R5" s="52" t="s">
        <v>344</v>
      </c>
      <c r="S5" s="52" t="s">
        <v>267</v>
      </c>
      <c r="T5" s="136">
        <f>B5</f>
        <v>1</v>
      </c>
      <c r="U5" s="52" t="s">
        <v>344</v>
      </c>
      <c r="V5" s="52" t="s">
        <v>267</v>
      </c>
      <c r="W5" s="136">
        <f>B5</f>
        <v>1</v>
      </c>
      <c r="X5" s="52" t="s">
        <v>344</v>
      </c>
      <c r="Y5" s="52" t="s">
        <v>267</v>
      </c>
      <c r="Z5" s="136">
        <f>B5</f>
        <v>1</v>
      </c>
      <c r="AA5" s="52" t="s">
        <v>344</v>
      </c>
      <c r="AB5" s="83" t="s">
        <v>267</v>
      </c>
      <c r="AC5" s="136">
        <f>B5</f>
        <v>1</v>
      </c>
      <c r="AD5" s="136">
        <f>B5</f>
        <v>1</v>
      </c>
      <c r="AE5" s="136">
        <f>B5</f>
        <v>1</v>
      </c>
      <c r="AF5" s="136">
        <f>B5</f>
        <v>1</v>
      </c>
      <c r="AG5" s="136">
        <f>B5</f>
        <v>1</v>
      </c>
      <c r="AH5" s="52" t="s">
        <v>344</v>
      </c>
      <c r="AI5" s="52" t="s">
        <v>267</v>
      </c>
      <c r="AJ5" s="136">
        <f>B5</f>
        <v>1</v>
      </c>
      <c r="AK5" s="52" t="s">
        <v>344</v>
      </c>
      <c r="AL5" s="52" t="s">
        <v>267</v>
      </c>
      <c r="AM5" s="136">
        <f>B5</f>
        <v>1</v>
      </c>
      <c r="AN5" s="52" t="s">
        <v>344</v>
      </c>
      <c r="AO5" s="52" t="s">
        <v>267</v>
      </c>
      <c r="AP5" s="136">
        <f>B5</f>
        <v>1</v>
      </c>
      <c r="AQ5" s="52" t="s">
        <v>344</v>
      </c>
      <c r="AR5" s="52" t="s">
        <v>267</v>
      </c>
      <c r="AS5" s="136">
        <f>B5</f>
        <v>1</v>
      </c>
      <c r="AT5" s="52" t="s">
        <v>344</v>
      </c>
      <c r="AU5" s="52" t="s">
        <v>267</v>
      </c>
      <c r="AV5" s="136">
        <f>B5</f>
        <v>1</v>
      </c>
      <c r="AW5" s="52" t="s">
        <v>344</v>
      </c>
      <c r="AX5" s="52" t="s">
        <v>267</v>
      </c>
      <c r="AY5" s="136">
        <f>B5</f>
        <v>1</v>
      </c>
      <c r="AZ5" s="52" t="s">
        <v>344</v>
      </c>
      <c r="BA5" s="52" t="s">
        <v>267</v>
      </c>
      <c r="BB5" s="136">
        <f>B5</f>
        <v>1</v>
      </c>
      <c r="BC5" s="52" t="s">
        <v>344</v>
      </c>
      <c r="BD5" s="52" t="s">
        <v>267</v>
      </c>
      <c r="BE5" s="136">
        <f>B5</f>
        <v>1</v>
      </c>
      <c r="BF5" s="52" t="s">
        <v>344</v>
      </c>
      <c r="BG5" s="52" t="s">
        <v>267</v>
      </c>
      <c r="BH5" s="136">
        <f>B5</f>
        <v>1</v>
      </c>
      <c r="BI5" s="52" t="s">
        <v>344</v>
      </c>
      <c r="BJ5" s="52" t="s">
        <v>267</v>
      </c>
      <c r="BK5" s="136">
        <f>B5</f>
        <v>1</v>
      </c>
      <c r="BL5" s="52" t="s">
        <v>344</v>
      </c>
      <c r="BM5" s="52" t="s">
        <v>267</v>
      </c>
      <c r="BN5" s="136">
        <f>B5</f>
        <v>1</v>
      </c>
      <c r="BO5" s="52" t="s">
        <v>344</v>
      </c>
      <c r="BP5" s="52" t="s">
        <v>267</v>
      </c>
      <c r="BQ5" s="136">
        <f>B5</f>
        <v>1</v>
      </c>
      <c r="BR5" s="52" t="s">
        <v>344</v>
      </c>
      <c r="BS5" s="52" t="s">
        <v>267</v>
      </c>
      <c r="BT5" s="136">
        <f>B5</f>
        <v>1</v>
      </c>
      <c r="BU5" s="52" t="s">
        <v>344</v>
      </c>
      <c r="BV5" s="83" t="s">
        <v>267</v>
      </c>
      <c r="BW5" s="136">
        <f>B5</f>
        <v>1</v>
      </c>
      <c r="BX5" s="52" t="s">
        <v>344</v>
      </c>
      <c r="BY5" s="83" t="s">
        <v>267</v>
      </c>
      <c r="BZ5" s="136">
        <f>B5</f>
        <v>1</v>
      </c>
      <c r="CA5" s="52" t="s">
        <v>344</v>
      </c>
      <c r="CB5" s="52" t="s">
        <v>267</v>
      </c>
      <c r="CC5" s="136">
        <f>B5</f>
        <v>1</v>
      </c>
      <c r="CD5" s="52" t="s">
        <v>344</v>
      </c>
      <c r="CE5" s="52" t="s">
        <v>267</v>
      </c>
      <c r="CF5" s="136">
        <f>B5</f>
        <v>1</v>
      </c>
      <c r="CG5" s="52" t="s">
        <v>344</v>
      </c>
      <c r="CH5" s="52" t="s">
        <v>267</v>
      </c>
      <c r="CI5" s="136">
        <f>B5</f>
        <v>1</v>
      </c>
      <c r="CJ5" s="52" t="s">
        <v>344</v>
      </c>
      <c r="CK5" s="52" t="s">
        <v>267</v>
      </c>
      <c r="CL5" s="136">
        <f>B5</f>
        <v>1</v>
      </c>
      <c r="CM5" s="52" t="s">
        <v>344</v>
      </c>
      <c r="CN5" s="83" t="s">
        <v>228</v>
      </c>
      <c r="CO5" s="136">
        <f>B30</f>
        <v>0</v>
      </c>
      <c r="CP5" s="52" t="s">
        <v>268</v>
      </c>
      <c r="CQ5" s="83" t="s">
        <v>228</v>
      </c>
      <c r="CR5" s="136">
        <f>CO5</f>
        <v>0</v>
      </c>
      <c r="CS5" s="52" t="s">
        <v>268</v>
      </c>
      <c r="CT5" s="83" t="s">
        <v>267</v>
      </c>
      <c r="CU5" s="136">
        <f>B5</f>
        <v>1</v>
      </c>
      <c r="CV5" s="52" t="s">
        <v>344</v>
      </c>
      <c r="CW5" s="52" t="s">
        <v>267</v>
      </c>
      <c r="CX5" s="136">
        <f>B5</f>
        <v>1</v>
      </c>
      <c r="CY5" s="52" t="s">
        <v>344</v>
      </c>
      <c r="CZ5" s="83" t="s">
        <v>267</v>
      </c>
      <c r="DA5" s="136">
        <f>B5</f>
        <v>1</v>
      </c>
      <c r="DB5" s="52" t="s">
        <v>344</v>
      </c>
      <c r="DC5" s="83" t="s">
        <v>267</v>
      </c>
      <c r="DD5" s="136">
        <f>B5</f>
        <v>1</v>
      </c>
      <c r="DE5" s="52" t="s">
        <v>344</v>
      </c>
      <c r="DF5" s="52" t="s">
        <v>17</v>
      </c>
      <c r="DG5" s="137">
        <f>(DG8*DG9*DG10*((1-EXP(-DG11*DG12))))/(DG13*DG11)</f>
        <v>0.52579260245651049</v>
      </c>
      <c r="DH5" s="52" t="s">
        <v>18</v>
      </c>
      <c r="DI5" s="83" t="s">
        <v>19</v>
      </c>
      <c r="DJ5" s="161">
        <f>DJ7</f>
        <v>1.4800000000000001E-2</v>
      </c>
      <c r="DK5" s="83"/>
      <c r="DL5" s="83" t="s">
        <v>19</v>
      </c>
      <c r="DM5" s="161">
        <f>DM7</f>
        <v>1.4800000000000001E-2</v>
      </c>
      <c r="DO5" s="52" t="s">
        <v>17</v>
      </c>
      <c r="DP5" s="137">
        <f>(DP8*DP9*DP10*((1-EXP(-DP11*DP12))))/(DP13*DP11)</f>
        <v>0.52904687928279526</v>
      </c>
      <c r="DQ5" s="52" t="s">
        <v>18</v>
      </c>
      <c r="DR5" s="83" t="s">
        <v>267</v>
      </c>
      <c r="DS5" s="136">
        <f>B5</f>
        <v>1</v>
      </c>
      <c r="DT5" s="52" t="s">
        <v>344</v>
      </c>
      <c r="DU5" s="83" t="s">
        <v>239</v>
      </c>
      <c r="DV5" s="169">
        <f>B24</f>
        <v>3.8000000000000002E-4</v>
      </c>
      <c r="DW5" s="52" t="s">
        <v>388</v>
      </c>
      <c r="DX5" s="83" t="s">
        <v>20</v>
      </c>
      <c r="DY5" s="161">
        <f>DY7</f>
        <v>1.7000000000000001E-2</v>
      </c>
      <c r="DZ5" s="83"/>
      <c r="EA5" s="83" t="s">
        <v>20</v>
      </c>
      <c r="EB5" s="161">
        <f>EB7</f>
        <v>1.7000000000000001E-2</v>
      </c>
      <c r="EC5" s="84"/>
      <c r="ED5" s="83" t="s">
        <v>20</v>
      </c>
      <c r="EE5" s="161">
        <f>EE7</f>
        <v>1.7000000000000001E-2</v>
      </c>
      <c r="EF5" s="84"/>
      <c r="EG5" s="83" t="s">
        <v>267</v>
      </c>
      <c r="EH5" s="136">
        <f>B5</f>
        <v>1</v>
      </c>
      <c r="EI5" s="52" t="s">
        <v>344</v>
      </c>
      <c r="EJ5" s="83" t="s">
        <v>236</v>
      </c>
      <c r="EK5" s="169">
        <f>B25</f>
        <v>1.6999999999999999E-3</v>
      </c>
      <c r="EL5" s="52" t="s">
        <v>388</v>
      </c>
      <c r="EM5" s="83" t="s">
        <v>20</v>
      </c>
      <c r="EN5" s="161">
        <f>EN7</f>
        <v>1.7000000000000001E-2</v>
      </c>
      <c r="EO5" s="83"/>
      <c r="EP5" s="83" t="s">
        <v>20</v>
      </c>
      <c r="EQ5" s="161">
        <f>EQ7</f>
        <v>1.7000000000000001E-2</v>
      </c>
      <c r="ER5" s="84"/>
      <c r="ES5" s="83" t="s">
        <v>20</v>
      </c>
      <c r="ET5" s="161">
        <f>ET7</f>
        <v>1.7000000000000001E-2</v>
      </c>
      <c r="EU5" s="84"/>
      <c r="EV5" s="83" t="s">
        <v>267</v>
      </c>
      <c r="EW5" s="136">
        <f>B5</f>
        <v>1</v>
      </c>
      <c r="EX5" s="52" t="s">
        <v>344</v>
      </c>
      <c r="EY5" s="83" t="s">
        <v>171</v>
      </c>
      <c r="EZ5" s="169">
        <f>B27</f>
        <v>0</v>
      </c>
      <c r="FA5" s="52" t="s">
        <v>388</v>
      </c>
      <c r="FB5" s="83" t="s">
        <v>20</v>
      </c>
      <c r="FC5" s="161">
        <f>FC7</f>
        <v>1.7000000000000001E-2</v>
      </c>
      <c r="FD5" s="83"/>
      <c r="FE5" s="83" t="s">
        <v>20</v>
      </c>
      <c r="FF5" s="161">
        <f>FF7</f>
        <v>1.7000000000000001E-2</v>
      </c>
      <c r="FG5" s="83"/>
      <c r="FH5" s="83" t="s">
        <v>20</v>
      </c>
      <c r="FI5" s="161">
        <f>FI7</f>
        <v>1.7000000000000001E-2</v>
      </c>
      <c r="FJ5" s="84"/>
      <c r="FK5" s="83" t="s">
        <v>267</v>
      </c>
      <c r="FL5" s="136">
        <f>B5</f>
        <v>1</v>
      </c>
      <c r="FM5" s="52" t="s">
        <v>344</v>
      </c>
      <c r="FN5" s="83" t="s">
        <v>105</v>
      </c>
      <c r="FO5" s="161">
        <f>B23</f>
        <v>4</v>
      </c>
      <c r="FP5" s="83" t="s">
        <v>18</v>
      </c>
      <c r="FQ5" s="83" t="s">
        <v>105</v>
      </c>
      <c r="FR5" s="161">
        <f>B23</f>
        <v>4</v>
      </c>
      <c r="FS5" s="83" t="s">
        <v>18</v>
      </c>
      <c r="FT5" s="83" t="s">
        <v>105</v>
      </c>
      <c r="FU5" s="161">
        <f>B23</f>
        <v>4</v>
      </c>
      <c r="FV5" s="83" t="s">
        <v>18</v>
      </c>
      <c r="FW5" s="83" t="s">
        <v>156</v>
      </c>
      <c r="FX5" s="161">
        <f>B33</f>
        <v>1</v>
      </c>
      <c r="FY5" s="88" t="s">
        <v>18</v>
      </c>
      <c r="FZ5" s="83" t="s">
        <v>267</v>
      </c>
      <c r="GA5" s="136">
        <f>B5</f>
        <v>1</v>
      </c>
      <c r="GB5" s="52" t="s">
        <v>344</v>
      </c>
      <c r="GC5" s="83" t="s">
        <v>237</v>
      </c>
      <c r="GD5" s="169">
        <f>B26</f>
        <v>0</v>
      </c>
      <c r="GE5" s="52" t="s">
        <v>388</v>
      </c>
      <c r="GF5" s="83" t="s">
        <v>20</v>
      </c>
      <c r="GG5" s="161">
        <f>GG7</f>
        <v>1.7000000000000001E-2</v>
      </c>
      <c r="GH5" s="83"/>
      <c r="GI5" s="83" t="s">
        <v>20</v>
      </c>
      <c r="GJ5" s="161">
        <f>GJ7</f>
        <v>1.7000000000000001E-2</v>
      </c>
      <c r="GK5" s="83"/>
      <c r="GL5" s="83" t="s">
        <v>20</v>
      </c>
      <c r="GM5" s="161">
        <f>GM7</f>
        <v>1.7000000000000001E-2</v>
      </c>
      <c r="GN5" s="84"/>
      <c r="GO5" s="83" t="s">
        <v>267</v>
      </c>
      <c r="GP5" s="136">
        <f>B5</f>
        <v>1</v>
      </c>
      <c r="GQ5" s="52" t="s">
        <v>344</v>
      </c>
      <c r="GR5" s="83" t="s">
        <v>599</v>
      </c>
      <c r="GS5" s="169">
        <f>B28</f>
        <v>0</v>
      </c>
      <c r="GT5" s="52" t="s">
        <v>388</v>
      </c>
      <c r="GU5" s="83" t="s">
        <v>20</v>
      </c>
      <c r="GV5" s="161">
        <f>GV7</f>
        <v>1.7000000000000001E-2</v>
      </c>
      <c r="GW5" s="83"/>
      <c r="GX5" s="83" t="s">
        <v>20</v>
      </c>
      <c r="GY5" s="161">
        <f>GY7</f>
        <v>1.7000000000000001E-2</v>
      </c>
      <c r="GZ5" s="83"/>
      <c r="HA5" s="83" t="s">
        <v>20</v>
      </c>
      <c r="HB5" s="161">
        <f>HB7</f>
        <v>1.7000000000000001E-2</v>
      </c>
      <c r="HC5" s="84"/>
      <c r="HD5" s="89" t="s">
        <v>21</v>
      </c>
      <c r="HE5" s="225">
        <f>B34</f>
        <v>5.0629691616000001E-9</v>
      </c>
      <c r="HF5" s="83" t="s">
        <v>13</v>
      </c>
    </row>
    <row r="6" spans="1:214" x14ac:dyDescent="0.2">
      <c r="A6" s="83" t="s">
        <v>247</v>
      </c>
      <c r="B6" s="184">
        <v>3.8043873993229303E-2</v>
      </c>
      <c r="C6" s="84" t="s">
        <v>259</v>
      </c>
      <c r="D6" s="83" t="s">
        <v>22</v>
      </c>
      <c r="E6" s="137">
        <f>0.693/E7</f>
        <v>4.3312499999999997E-4</v>
      </c>
      <c r="G6" s="83" t="s">
        <v>248</v>
      </c>
      <c r="H6" s="136">
        <f>B7</f>
        <v>1.67911012348351E-3</v>
      </c>
      <c r="I6" s="83" t="s">
        <v>259</v>
      </c>
      <c r="J6" s="83" t="s">
        <v>249</v>
      </c>
      <c r="K6" s="136">
        <f>B8</f>
        <v>1.67911012348351E-3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4.3312499999999997E-4</v>
      </c>
      <c r="BV6" s="83" t="s">
        <v>248</v>
      </c>
      <c r="BW6" s="136">
        <f>B7</f>
        <v>1.67911012348351E-3</v>
      </c>
      <c r="BX6" s="83" t="s">
        <v>259</v>
      </c>
      <c r="BY6" s="83" t="s">
        <v>249</v>
      </c>
      <c r="BZ6" s="136">
        <f>B8</f>
        <v>1.67911012348351E-3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B17</f>
        <v>1.67911012348351E-3</v>
      </c>
      <c r="CM6" s="92" t="s">
        <v>259</v>
      </c>
      <c r="CN6" s="84" t="s">
        <v>20</v>
      </c>
      <c r="CO6" s="139">
        <f>CO8</f>
        <v>1.7000000000000001E-2</v>
      </c>
      <c r="CQ6" s="84" t="s">
        <v>169</v>
      </c>
      <c r="CR6" s="162">
        <f>B133</f>
        <v>1</v>
      </c>
      <c r="CS6" s="52" t="s">
        <v>28</v>
      </c>
      <c r="CT6" s="83" t="s">
        <v>249</v>
      </c>
      <c r="CU6" s="136">
        <f>B8</f>
        <v>1.67911012348351E-3</v>
      </c>
      <c r="CV6" s="83" t="s">
        <v>259</v>
      </c>
      <c r="CW6" s="83" t="s">
        <v>22</v>
      </c>
      <c r="CX6" s="137">
        <f>0.693/CX7</f>
        <v>4.3312499999999997E-4</v>
      </c>
      <c r="CZ6" s="83" t="s">
        <v>248</v>
      </c>
      <c r="DA6" s="136">
        <f>B7</f>
        <v>1.67911012348351E-3</v>
      </c>
      <c r="DB6" s="83" t="s">
        <v>259</v>
      </c>
      <c r="DC6" s="83" t="s">
        <v>258</v>
      </c>
      <c r="DD6" s="136">
        <f>B17</f>
        <v>1.67911012348351E-3</v>
      </c>
      <c r="DE6" s="92" t="s">
        <v>259</v>
      </c>
      <c r="DF6" s="52" t="s">
        <v>25</v>
      </c>
      <c r="DG6" s="137">
        <f>(DG8*DG9*DG14*((1-EXP(-DG11*DG12))))/(DG13*DG11)</f>
        <v>9.2368970701819411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B17</f>
        <v>1.67911012348351E-3</v>
      </c>
      <c r="DT6" s="83" t="s">
        <v>259</v>
      </c>
      <c r="DU6" s="83" t="s">
        <v>27</v>
      </c>
      <c r="DV6" s="142">
        <f>B203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B17</f>
        <v>1.67911012348351E-3</v>
      </c>
      <c r="EI6" s="83" t="s">
        <v>259</v>
      </c>
      <c r="EJ6" s="83" t="s">
        <v>29</v>
      </c>
      <c r="EK6" s="142">
        <f>B209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B17</f>
        <v>1.67911012348351E-3</v>
      </c>
      <c r="EX6" s="83" t="s">
        <v>259</v>
      </c>
      <c r="EY6" s="83" t="s">
        <v>148</v>
      </c>
      <c r="EZ6" s="164">
        <f>B214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B17</f>
        <v>1.67911012348351E-3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B33</f>
        <v>1</v>
      </c>
      <c r="FS6" s="83" t="s">
        <v>18</v>
      </c>
      <c r="FT6" s="83" t="s">
        <v>156</v>
      </c>
      <c r="FU6" s="161">
        <f>B33</f>
        <v>1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B17</f>
        <v>1.67911012348351E-3</v>
      </c>
      <c r="GB6" s="83" t="s">
        <v>259</v>
      </c>
      <c r="GC6" s="83" t="s">
        <v>485</v>
      </c>
      <c r="GD6" s="164">
        <f>B219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B17</f>
        <v>1.67911012348351E-3</v>
      </c>
      <c r="GQ6" s="83" t="s">
        <v>259</v>
      </c>
      <c r="GR6" s="83" t="s">
        <v>150</v>
      </c>
      <c r="GS6" s="142">
        <f>B224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8.4029191939294425E-12</v>
      </c>
      <c r="HF6" s="83" t="s">
        <v>13</v>
      </c>
    </row>
    <row r="7" spans="1:214" x14ac:dyDescent="0.2">
      <c r="A7" s="83" t="s">
        <v>248</v>
      </c>
      <c r="B7" s="183">
        <v>1.67911012348351E-3</v>
      </c>
      <c r="C7" s="84" t="s">
        <v>259</v>
      </c>
      <c r="D7" s="91" t="s">
        <v>231</v>
      </c>
      <c r="E7" s="136">
        <f>B18</f>
        <v>1600</v>
      </c>
      <c r="F7" s="52" t="s">
        <v>60</v>
      </c>
      <c r="G7" s="83" t="s">
        <v>247</v>
      </c>
      <c r="H7" s="139">
        <f>B6</f>
        <v>3.8043873993229303E-2</v>
      </c>
      <c r="I7" s="84" t="s">
        <v>259</v>
      </c>
      <c r="J7" s="83" t="s">
        <v>247</v>
      </c>
      <c r="K7" s="136">
        <f>B6</f>
        <v>3.8043873993229303E-2</v>
      </c>
      <c r="L7" s="84" t="s">
        <v>259</v>
      </c>
      <c r="M7" s="83" t="s">
        <v>22</v>
      </c>
      <c r="N7" s="137">
        <f>0.693/N8</f>
        <v>4.3312499999999997E-4</v>
      </c>
      <c r="P7" s="83" t="s">
        <v>22</v>
      </c>
      <c r="Q7" s="137">
        <f>0.693/Q8</f>
        <v>4.3312499999999997E-4</v>
      </c>
      <c r="S7" s="83" t="s">
        <v>22</v>
      </c>
      <c r="T7" s="137">
        <f>0.693/T8</f>
        <v>4.3312499999999997E-4</v>
      </c>
      <c r="V7" s="83" t="s">
        <v>22</v>
      </c>
      <c r="W7" s="137">
        <f>0.693/W8</f>
        <v>4.3312499999999997E-4</v>
      </c>
      <c r="Y7" s="83" t="s">
        <v>22</v>
      </c>
      <c r="Z7" s="137">
        <f>0.693/Z8</f>
        <v>4.3312499999999997E-4</v>
      </c>
      <c r="AB7" s="83" t="s">
        <v>425</v>
      </c>
      <c r="AC7" s="150">
        <f>B231</f>
        <v>250</v>
      </c>
      <c r="AD7" s="150">
        <f>B243</f>
        <v>250</v>
      </c>
      <c r="AE7" s="150">
        <f>B255</f>
        <v>225</v>
      </c>
      <c r="AF7" s="150">
        <f>B267</f>
        <v>250</v>
      </c>
      <c r="AG7" s="150">
        <f>B291</f>
        <v>250</v>
      </c>
      <c r="AH7" s="83" t="s">
        <v>24</v>
      </c>
      <c r="AI7" s="83" t="s">
        <v>22</v>
      </c>
      <c r="AJ7" s="137">
        <f>0.693/AJ8</f>
        <v>4.3312499999999997E-4</v>
      </c>
      <c r="AL7" s="83" t="s">
        <v>22</v>
      </c>
      <c r="AM7" s="137">
        <f>0.693/AM8</f>
        <v>4.3312499999999997E-4</v>
      </c>
      <c r="AO7" s="83" t="s">
        <v>22</v>
      </c>
      <c r="AP7" s="137">
        <f>0.693/AP8</f>
        <v>4.3312499999999997E-4</v>
      </c>
      <c r="AR7" s="83" t="s">
        <v>22</v>
      </c>
      <c r="AS7" s="137">
        <f>0.693/AS8</f>
        <v>4.3312499999999997E-4</v>
      </c>
      <c r="AU7" s="83" t="s">
        <v>22</v>
      </c>
      <c r="AV7" s="137">
        <f>0.693/AV8</f>
        <v>4.3312499999999997E-4</v>
      </c>
      <c r="AX7" s="83" t="s">
        <v>22</v>
      </c>
      <c r="AY7" s="137">
        <f>0.693/AY8</f>
        <v>4.3312499999999997E-4</v>
      </c>
      <c r="BA7" s="83" t="s">
        <v>22</v>
      </c>
      <c r="BB7" s="137">
        <f>0.693/BB8</f>
        <v>4.3312499999999997E-4</v>
      </c>
      <c r="BD7" s="83" t="s">
        <v>22</v>
      </c>
      <c r="BE7" s="137">
        <f>0.693/BE8</f>
        <v>4.3312499999999997E-4</v>
      </c>
      <c r="BG7" s="83" t="s">
        <v>22</v>
      </c>
      <c r="BH7" s="137">
        <f>0.693/BH8</f>
        <v>4.3312499999999997E-4</v>
      </c>
      <c r="BJ7" s="83" t="s">
        <v>22</v>
      </c>
      <c r="BK7" s="137">
        <f>0.693/BK8</f>
        <v>4.3312499999999997E-4</v>
      </c>
      <c r="BM7" s="83" t="s">
        <v>22</v>
      </c>
      <c r="BN7" s="137">
        <f>0.693/BN8</f>
        <v>4.3312499999999997E-4</v>
      </c>
      <c r="BP7" s="83" t="s">
        <v>22</v>
      </c>
      <c r="BQ7" s="137">
        <f>0.693/BQ8</f>
        <v>4.3312499999999997E-4</v>
      </c>
      <c r="BS7" s="91" t="s">
        <v>231</v>
      </c>
      <c r="BT7" s="136">
        <f>B18</f>
        <v>1600</v>
      </c>
      <c r="BU7" s="52" t="s">
        <v>60</v>
      </c>
      <c r="BV7" s="83" t="s">
        <v>247</v>
      </c>
      <c r="BW7" s="139">
        <f>B6</f>
        <v>3.8043873993229303E-2</v>
      </c>
      <c r="BX7" s="84" t="s">
        <v>259</v>
      </c>
      <c r="BY7" s="83" t="s">
        <v>247</v>
      </c>
      <c r="BZ7" s="139">
        <f>B6</f>
        <v>3.8043873993229303E-2</v>
      </c>
      <c r="CA7" s="84" t="s">
        <v>259</v>
      </c>
      <c r="CB7" s="83" t="s">
        <v>22</v>
      </c>
      <c r="CC7" s="137">
        <f>0.693/CC8</f>
        <v>4.3312499999999997E-4</v>
      </c>
      <c r="CE7" s="83" t="s">
        <v>22</v>
      </c>
      <c r="CF7" s="137">
        <f>0.693/CF8</f>
        <v>4.3312499999999997E-4</v>
      </c>
      <c r="CH7" s="83" t="s">
        <v>22</v>
      </c>
      <c r="CI7" s="137">
        <f>0.693/CI8</f>
        <v>4.3312499999999997E-4</v>
      </c>
      <c r="CK7" s="52" t="s">
        <v>140</v>
      </c>
      <c r="CL7" s="138">
        <f>B103</f>
        <v>75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B6</f>
        <v>3.8043873993229303E-2</v>
      </c>
      <c r="CV7" s="84" t="s">
        <v>259</v>
      </c>
      <c r="CW7" s="91" t="s">
        <v>231</v>
      </c>
      <c r="CX7" s="136">
        <f>B18</f>
        <v>1600</v>
      </c>
      <c r="CY7" s="52" t="s">
        <v>60</v>
      </c>
      <c r="CZ7" s="84" t="s">
        <v>247</v>
      </c>
      <c r="DA7" s="139">
        <f>B6</f>
        <v>3.8043873993229303E-2</v>
      </c>
      <c r="DB7" s="84" t="s">
        <v>259</v>
      </c>
      <c r="DC7" s="83" t="s">
        <v>260</v>
      </c>
      <c r="DD7" s="166">
        <f>((DD5)/(DD6*(DD8+DD11)*DD19))*DD22*DD23*DJ11</f>
        <v>6.2875883265791139E-9</v>
      </c>
      <c r="DE7" s="92" t="s">
        <v>12</v>
      </c>
      <c r="DF7" s="52" t="s">
        <v>31</v>
      </c>
      <c r="DG7" s="137">
        <f>(DG8*DG9*DG15*DG21*((1-EXP(-DG16*DG17))))/(DG18*DG16)</f>
        <v>3.6423470278489711</v>
      </c>
      <c r="DH7" s="52" t="s">
        <v>18</v>
      </c>
      <c r="DI7" s="83" t="s">
        <v>32</v>
      </c>
      <c r="DJ7" s="136">
        <f>B31</f>
        <v>1.4800000000000001E-2</v>
      </c>
      <c r="DL7" s="83" t="s">
        <v>32</v>
      </c>
      <c r="DM7" s="136">
        <f>B31</f>
        <v>1.4800000000000001E-2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(DS5/(DS6*DS8*DS15))*DS19*DS20*DY17</f>
        <v>3.9895931635154585E-9</v>
      </c>
      <c r="DT7" s="52" t="s">
        <v>12</v>
      </c>
      <c r="DV7" s="138"/>
      <c r="DX7" s="83" t="s">
        <v>33</v>
      </c>
      <c r="DY7" s="136">
        <f>B32</f>
        <v>1.7000000000000001E-2</v>
      </c>
      <c r="EA7" s="83" t="s">
        <v>33</v>
      </c>
      <c r="EB7" s="136">
        <f>B32</f>
        <v>1.7000000000000001E-2</v>
      </c>
      <c r="EC7" s="84"/>
      <c r="ED7" s="83" t="s">
        <v>33</v>
      </c>
      <c r="EE7" s="136">
        <f>B32</f>
        <v>1.7000000000000001E-2</v>
      </c>
      <c r="EF7" s="84"/>
      <c r="EG7" s="83" t="s">
        <v>260</v>
      </c>
      <c r="EH7" s="168">
        <f>(EH5/(EH6*EH8*EH15))*EH19*EH20*EN16</f>
        <v>1.0935083928490053E-8</v>
      </c>
      <c r="EI7" s="52" t="s">
        <v>12</v>
      </c>
      <c r="EJ7" s="95"/>
      <c r="EK7" s="176"/>
      <c r="EM7" s="83" t="s">
        <v>33</v>
      </c>
      <c r="EN7" s="136">
        <f>B32</f>
        <v>1.7000000000000001E-2</v>
      </c>
      <c r="EP7" s="83" t="s">
        <v>33</v>
      </c>
      <c r="EQ7" s="136">
        <f>B32</f>
        <v>1.7000000000000001E-2</v>
      </c>
      <c r="ER7" s="84"/>
      <c r="ES7" s="83" t="s">
        <v>33</v>
      </c>
      <c r="ET7" s="136">
        <f>B32</f>
        <v>1.7000000000000001E-2</v>
      </c>
      <c r="EU7" s="84"/>
      <c r="EV7" s="83" t="s">
        <v>260</v>
      </c>
      <c r="EW7" s="168">
        <f>(EW5/(EW6*EW8*EW15))*EW19*EW20*FC16</f>
        <v>3.6575830079421947E-8</v>
      </c>
      <c r="EX7" s="52" t="s">
        <v>12</v>
      </c>
      <c r="EY7" s="83"/>
      <c r="EZ7" s="142">
        <v>1000</v>
      </c>
      <c r="FA7" s="83" t="s">
        <v>132</v>
      </c>
      <c r="FB7" s="83" t="s">
        <v>33</v>
      </c>
      <c r="FC7" s="161">
        <f>B32</f>
        <v>1.7000000000000001E-2</v>
      </c>
      <c r="FD7" s="83"/>
      <c r="FE7" s="83" t="s">
        <v>33</v>
      </c>
      <c r="FF7" s="161">
        <f>B32</f>
        <v>1.7000000000000001E-2</v>
      </c>
      <c r="FG7" s="83"/>
      <c r="FH7" s="83" t="s">
        <v>33</v>
      </c>
      <c r="FI7" s="161">
        <f>B32</f>
        <v>1.7000000000000001E-2</v>
      </c>
      <c r="FJ7" s="84"/>
      <c r="FK7" s="83" t="s">
        <v>260</v>
      </c>
      <c r="FL7" s="168">
        <f>(FL5/(FL6*FL8*FL15))*FL19*FL20*FR9</f>
        <v>1.2555672784544286E-8</v>
      </c>
      <c r="FM7" s="52" t="s">
        <v>12</v>
      </c>
      <c r="FN7" s="95"/>
      <c r="FO7" s="176"/>
      <c r="FQ7" s="52" t="s">
        <v>350</v>
      </c>
      <c r="FR7" s="164">
        <f>B170</f>
        <v>1</v>
      </c>
      <c r="FT7" s="95"/>
      <c r="FU7" s="176"/>
      <c r="FV7" s="83"/>
      <c r="FW7" s="95"/>
      <c r="FX7" s="176"/>
      <c r="FZ7" s="83" t="s">
        <v>260</v>
      </c>
      <c r="GA7" s="168">
        <f>(GA5/(GA6*GA8*GA15))*GA19*GA20*GG16</f>
        <v>1.8271404441958712E-8</v>
      </c>
      <c r="GB7" s="52" t="s">
        <v>12</v>
      </c>
      <c r="GC7" s="83"/>
      <c r="GD7" s="142">
        <v>1000</v>
      </c>
      <c r="GE7" s="83" t="s">
        <v>132</v>
      </c>
      <c r="GF7" s="83" t="s">
        <v>33</v>
      </c>
      <c r="GG7" s="161">
        <f>B32</f>
        <v>1.7000000000000001E-2</v>
      </c>
      <c r="GH7" s="83"/>
      <c r="GI7" s="83" t="s">
        <v>33</v>
      </c>
      <c r="GJ7" s="161">
        <f>B32</f>
        <v>1.7000000000000001E-2</v>
      </c>
      <c r="GK7" s="83"/>
      <c r="GL7" s="83" t="s">
        <v>33</v>
      </c>
      <c r="GM7" s="161">
        <f>B32</f>
        <v>1.7000000000000001E-2</v>
      </c>
      <c r="GN7" s="84"/>
      <c r="GO7" s="83" t="s">
        <v>260</v>
      </c>
      <c r="GP7" s="168">
        <f>(GP5/(GP6*GP8*GP14))*GP18*GP19*GV16</f>
        <v>2.0005264893713374E-8</v>
      </c>
      <c r="GQ7" s="52" t="s">
        <v>12</v>
      </c>
      <c r="GR7" s="88"/>
      <c r="GS7" s="142">
        <v>1000</v>
      </c>
      <c r="GT7" s="83" t="s">
        <v>132</v>
      </c>
      <c r="GU7" s="83" t="s">
        <v>33</v>
      </c>
      <c r="GV7" s="161">
        <f>B32</f>
        <v>1.7000000000000001E-2</v>
      </c>
      <c r="GW7" s="83"/>
      <c r="GX7" s="83" t="s">
        <v>33</v>
      </c>
      <c r="GY7" s="161">
        <f>B32</f>
        <v>1.7000000000000001E-2</v>
      </c>
      <c r="GZ7" s="83"/>
      <c r="HA7" s="83" t="s">
        <v>33</v>
      </c>
      <c r="HB7" s="161">
        <f>B32</f>
        <v>1.7000000000000001E-2</v>
      </c>
      <c r="HC7" s="84"/>
      <c r="HD7" s="83" t="s">
        <v>22</v>
      </c>
      <c r="HE7" s="137">
        <f>0.693/HE9</f>
        <v>4.3312499999999997E-4</v>
      </c>
    </row>
    <row r="8" spans="1:214" x14ac:dyDescent="0.2">
      <c r="A8" s="83" t="s">
        <v>249</v>
      </c>
      <c r="B8" s="183">
        <v>1.67911012348351E-3</v>
      </c>
      <c r="C8" s="83" t="s">
        <v>259</v>
      </c>
      <c r="D8" s="52" t="s">
        <v>382</v>
      </c>
      <c r="E8" s="138">
        <f>B56</f>
        <v>350</v>
      </c>
      <c r="F8" s="52" t="s">
        <v>24</v>
      </c>
      <c r="G8" s="91" t="s">
        <v>257</v>
      </c>
      <c r="H8" s="136">
        <f>B16</f>
        <v>33.437199999999997</v>
      </c>
      <c r="I8" s="84" t="s">
        <v>259</v>
      </c>
      <c r="J8" s="83" t="s">
        <v>269</v>
      </c>
      <c r="K8" s="136">
        <f>B10</f>
        <v>10.423439999999999</v>
      </c>
      <c r="L8" s="83" t="s">
        <v>351</v>
      </c>
      <c r="M8" s="91" t="s">
        <v>231</v>
      </c>
      <c r="N8" s="136">
        <f>B18</f>
        <v>1600</v>
      </c>
      <c r="O8" s="52" t="s">
        <v>60</v>
      </c>
      <c r="P8" s="91" t="s">
        <v>231</v>
      </c>
      <c r="Q8" s="136">
        <f>B18</f>
        <v>1600</v>
      </c>
      <c r="R8" s="52" t="s">
        <v>60</v>
      </c>
      <c r="S8" s="91" t="s">
        <v>231</v>
      </c>
      <c r="T8" s="136">
        <f>B18</f>
        <v>1600</v>
      </c>
      <c r="U8" s="52" t="s">
        <v>60</v>
      </c>
      <c r="V8" s="91" t="s">
        <v>231</v>
      </c>
      <c r="W8" s="136">
        <f>B18</f>
        <v>1600</v>
      </c>
      <c r="X8" s="52" t="s">
        <v>60</v>
      </c>
      <c r="Y8" s="91" t="s">
        <v>231</v>
      </c>
      <c r="Z8" s="136">
        <f>B18</f>
        <v>1600</v>
      </c>
      <c r="AA8" s="52" t="s">
        <v>60</v>
      </c>
      <c r="AB8" s="83" t="s">
        <v>249</v>
      </c>
      <c r="AC8" s="136">
        <f>B9</f>
        <v>1.036E-3</v>
      </c>
      <c r="AD8" s="136">
        <f>B9</f>
        <v>1.036E-3</v>
      </c>
      <c r="AE8" s="136">
        <f>B9</f>
        <v>1.036E-3</v>
      </c>
      <c r="AF8" s="136">
        <f>B9</f>
        <v>1.036E-3</v>
      </c>
      <c r="AG8" s="136">
        <f>B9</f>
        <v>1.036E-3</v>
      </c>
      <c r="AH8" s="83" t="s">
        <v>259</v>
      </c>
      <c r="AI8" s="91" t="s">
        <v>231</v>
      </c>
      <c r="AJ8" s="136">
        <f>B18</f>
        <v>1600</v>
      </c>
      <c r="AK8" s="52" t="s">
        <v>60</v>
      </c>
      <c r="AL8" s="91" t="s">
        <v>231</v>
      </c>
      <c r="AM8" s="136">
        <f>B18</f>
        <v>1600</v>
      </c>
      <c r="AN8" s="52" t="s">
        <v>60</v>
      </c>
      <c r="AO8" s="91" t="s">
        <v>231</v>
      </c>
      <c r="AP8" s="136">
        <f>B18</f>
        <v>1600</v>
      </c>
      <c r="AQ8" s="52" t="s">
        <v>60</v>
      </c>
      <c r="AR8" s="91" t="s">
        <v>231</v>
      </c>
      <c r="AS8" s="136">
        <f>B18</f>
        <v>1600</v>
      </c>
      <c r="AT8" s="52" t="s">
        <v>60</v>
      </c>
      <c r="AU8" s="91" t="s">
        <v>231</v>
      </c>
      <c r="AV8" s="136">
        <f>B18</f>
        <v>1600</v>
      </c>
      <c r="AW8" s="52" t="s">
        <v>60</v>
      </c>
      <c r="AX8" s="91" t="s">
        <v>231</v>
      </c>
      <c r="AY8" s="136">
        <f>B18</f>
        <v>1600</v>
      </c>
      <c r="AZ8" s="52" t="s">
        <v>60</v>
      </c>
      <c r="BA8" s="91" t="s">
        <v>231</v>
      </c>
      <c r="BB8" s="136">
        <f>B18</f>
        <v>1600</v>
      </c>
      <c r="BC8" s="52" t="s">
        <v>60</v>
      </c>
      <c r="BD8" s="91" t="s">
        <v>231</v>
      </c>
      <c r="BE8" s="136">
        <f>B18</f>
        <v>1600</v>
      </c>
      <c r="BF8" s="52" t="s">
        <v>60</v>
      </c>
      <c r="BG8" s="91" t="s">
        <v>231</v>
      </c>
      <c r="BH8" s="136">
        <f>B18</f>
        <v>1600</v>
      </c>
      <c r="BI8" s="52" t="s">
        <v>60</v>
      </c>
      <c r="BJ8" s="91" t="s">
        <v>231</v>
      </c>
      <c r="BK8" s="136">
        <f>B18</f>
        <v>1600</v>
      </c>
      <c r="BL8" s="52" t="s">
        <v>60</v>
      </c>
      <c r="BM8" s="91" t="s">
        <v>231</v>
      </c>
      <c r="BN8" s="136">
        <f>B18</f>
        <v>1600</v>
      </c>
      <c r="BO8" s="52" t="s">
        <v>60</v>
      </c>
      <c r="BP8" s="91" t="s">
        <v>231</v>
      </c>
      <c r="BQ8" s="136">
        <f>B18</f>
        <v>1600</v>
      </c>
      <c r="BR8" s="52" t="s">
        <v>60</v>
      </c>
      <c r="BS8" s="52" t="s">
        <v>140</v>
      </c>
      <c r="BT8" s="138">
        <f>B103</f>
        <v>75</v>
      </c>
      <c r="BU8" s="52" t="s">
        <v>24</v>
      </c>
      <c r="BV8" s="91" t="s">
        <v>257</v>
      </c>
      <c r="BW8" s="136">
        <f>B16</f>
        <v>33.437199999999997</v>
      </c>
      <c r="BX8" s="84" t="s">
        <v>259</v>
      </c>
      <c r="BY8" s="83" t="s">
        <v>269</v>
      </c>
      <c r="BZ8" s="136">
        <f>B10</f>
        <v>10.423439999999999</v>
      </c>
      <c r="CA8" s="83" t="s">
        <v>351</v>
      </c>
      <c r="CB8" s="91" t="s">
        <v>231</v>
      </c>
      <c r="CC8" s="136">
        <f>B18</f>
        <v>1600</v>
      </c>
      <c r="CD8" s="52" t="s">
        <v>60</v>
      </c>
      <c r="CE8" s="91" t="s">
        <v>231</v>
      </c>
      <c r="CF8" s="136">
        <f>B18</f>
        <v>1600</v>
      </c>
      <c r="CG8" s="52" t="s">
        <v>60</v>
      </c>
      <c r="CH8" s="91" t="s">
        <v>231</v>
      </c>
      <c r="CI8" s="136">
        <f>B18</f>
        <v>1600</v>
      </c>
      <c r="CJ8" s="52" t="s">
        <v>60</v>
      </c>
      <c r="CK8" s="52" t="s">
        <v>159</v>
      </c>
      <c r="CL8" s="162">
        <f>B128</f>
        <v>1</v>
      </c>
      <c r="CM8" s="52" t="s">
        <v>221</v>
      </c>
      <c r="CN8" s="84" t="s">
        <v>33</v>
      </c>
      <c r="CO8" s="136">
        <f>B32</f>
        <v>1.7000000000000001E-2</v>
      </c>
      <c r="CT8" s="83" t="s">
        <v>269</v>
      </c>
      <c r="CU8" s="136">
        <f>B10</f>
        <v>10.423439999999999</v>
      </c>
      <c r="CV8" s="83" t="s">
        <v>351</v>
      </c>
      <c r="CW8" s="52" t="s">
        <v>362</v>
      </c>
      <c r="CX8" s="138">
        <f>B169</f>
        <v>350</v>
      </c>
      <c r="CY8" s="52" t="s">
        <v>24</v>
      </c>
      <c r="CZ8" s="83" t="s">
        <v>270</v>
      </c>
      <c r="DA8" s="165">
        <f>B16</f>
        <v>33.437199999999997</v>
      </c>
      <c r="DB8" s="83" t="s">
        <v>259</v>
      </c>
      <c r="DC8" s="83" t="s">
        <v>516</v>
      </c>
      <c r="DD8" s="149">
        <f>(DD9*DD15*DD20)+(DD10*DD14*DD21)</f>
        <v>39585</v>
      </c>
      <c r="DE8" s="92" t="s">
        <v>347</v>
      </c>
      <c r="DF8" s="83" t="s">
        <v>36</v>
      </c>
      <c r="DG8" s="138">
        <f>B193</f>
        <v>3.62</v>
      </c>
      <c r="DH8" s="52" t="s">
        <v>37</v>
      </c>
      <c r="DI8" s="83" t="s">
        <v>393</v>
      </c>
      <c r="DJ8" s="138">
        <f>B35</f>
        <v>0.26</v>
      </c>
      <c r="DL8" s="83" t="s">
        <v>393</v>
      </c>
      <c r="DM8" s="138">
        <f>B35</f>
        <v>0.26</v>
      </c>
      <c r="DO8" s="83" t="s">
        <v>36</v>
      </c>
      <c r="DP8" s="138">
        <f>B193</f>
        <v>3.62</v>
      </c>
      <c r="DQ8" s="52" t="s">
        <v>37</v>
      </c>
      <c r="DR8" s="83" t="s">
        <v>147</v>
      </c>
      <c r="DS8" s="149">
        <f>(DS11*DS9*DS17)+(DS12*DS10*DS18)</f>
        <v>150914.75</v>
      </c>
      <c r="DT8" s="92" t="s">
        <v>347</v>
      </c>
      <c r="DU8" s="52" t="s">
        <v>518</v>
      </c>
      <c r="DV8" s="146">
        <f>B204</f>
        <v>1.03</v>
      </c>
      <c r="DW8" s="52" t="s">
        <v>286</v>
      </c>
      <c r="DX8" s="83" t="s">
        <v>392</v>
      </c>
      <c r="DY8" s="138">
        <f>B36</f>
        <v>0.25</v>
      </c>
      <c r="EA8" s="83" t="s">
        <v>392</v>
      </c>
      <c r="EB8" s="138">
        <f>B36</f>
        <v>0.25</v>
      </c>
      <c r="EC8" s="84"/>
      <c r="ED8" s="83" t="s">
        <v>392</v>
      </c>
      <c r="EE8" s="138">
        <f>B36</f>
        <v>0.25</v>
      </c>
      <c r="EF8" s="84"/>
      <c r="EG8" s="83" t="s">
        <v>519</v>
      </c>
      <c r="EH8" s="149">
        <f>(EH11*EH9*EH17)+(EH12*EH10*EH18)</f>
        <v>55060.25</v>
      </c>
      <c r="EI8" s="92" t="s">
        <v>347</v>
      </c>
      <c r="EJ8" s="83"/>
      <c r="EM8" s="83" t="s">
        <v>392</v>
      </c>
      <c r="EN8" s="138">
        <f>B36</f>
        <v>0.25</v>
      </c>
      <c r="EP8" s="83" t="s">
        <v>392</v>
      </c>
      <c r="EQ8" s="138">
        <f>B36</f>
        <v>0.25</v>
      </c>
      <c r="ER8" s="84"/>
      <c r="ES8" s="83" t="s">
        <v>392</v>
      </c>
      <c r="ET8" s="138">
        <f>B36</f>
        <v>0.25</v>
      </c>
      <c r="EU8" s="84"/>
      <c r="EV8" s="83" t="s">
        <v>520</v>
      </c>
      <c r="EW8" s="149">
        <f>(EW11*EW9*EW17)+(EW12*EW10*EW18)</f>
        <v>16461.375</v>
      </c>
      <c r="EX8" s="92" t="s">
        <v>347</v>
      </c>
      <c r="EY8" s="95"/>
      <c r="EZ8" s="176"/>
      <c r="FA8" s="83"/>
      <c r="FB8" s="83" t="s">
        <v>392</v>
      </c>
      <c r="FC8" s="142">
        <f>B36</f>
        <v>0.25</v>
      </c>
      <c r="FD8" s="83"/>
      <c r="FE8" s="83" t="s">
        <v>392</v>
      </c>
      <c r="FF8" s="142">
        <f>B36</f>
        <v>0.25</v>
      </c>
      <c r="FG8" s="83"/>
      <c r="FH8" s="83" t="s">
        <v>392</v>
      </c>
      <c r="FI8" s="142">
        <f>B36</f>
        <v>0.25</v>
      </c>
      <c r="FJ8" s="84"/>
      <c r="FK8" s="83" t="s">
        <v>521</v>
      </c>
      <c r="FL8" s="173">
        <f>(FL9*FL11*FL17)+(FL10*FL12*FL18)</f>
        <v>47953.5</v>
      </c>
      <c r="FM8" s="92" t="s">
        <v>347</v>
      </c>
      <c r="FN8" s="83"/>
      <c r="FO8" s="83"/>
      <c r="FP8" s="83"/>
      <c r="FQ8" s="83" t="s">
        <v>22</v>
      </c>
      <c r="FR8" s="137">
        <f>0.693/FR9</f>
        <v>4.3312499999999997E-4</v>
      </c>
      <c r="FT8" s="83"/>
      <c r="FU8" s="83"/>
      <c r="FV8" s="83"/>
      <c r="FZ8" s="83" t="s">
        <v>522</v>
      </c>
      <c r="GA8" s="173">
        <f>(GA11*GA9*GA17)+(GA10*GA12*GA18)</f>
        <v>32952.5</v>
      </c>
      <c r="GB8" s="92" t="s">
        <v>347</v>
      </c>
      <c r="GC8" s="95"/>
      <c r="GD8" s="176"/>
      <c r="GE8" s="83"/>
      <c r="GF8" s="83" t="s">
        <v>392</v>
      </c>
      <c r="GG8" s="142">
        <f>B36</f>
        <v>0.25</v>
      </c>
      <c r="GH8" s="83"/>
      <c r="GI8" s="83" t="s">
        <v>392</v>
      </c>
      <c r="GJ8" s="142">
        <f>B36</f>
        <v>0.25</v>
      </c>
      <c r="GK8" s="83"/>
      <c r="GL8" s="83" t="s">
        <v>392</v>
      </c>
      <c r="GM8" s="142">
        <f>B36</f>
        <v>0.25</v>
      </c>
      <c r="GN8" s="84"/>
      <c r="GO8" s="83" t="s">
        <v>523</v>
      </c>
      <c r="GP8" s="149">
        <f>(GP9*GP11*GP16)+(GP10*GP12*GP17)</f>
        <v>30096.5</v>
      </c>
      <c r="GQ8" s="92" t="s">
        <v>347</v>
      </c>
      <c r="GR8" s="95"/>
      <c r="GS8" s="176"/>
      <c r="GT8" s="83"/>
      <c r="GU8" s="83" t="s">
        <v>392</v>
      </c>
      <c r="GV8" s="142">
        <f>B36</f>
        <v>0.25</v>
      </c>
      <c r="GW8" s="83"/>
      <c r="GX8" s="83" t="s">
        <v>392</v>
      </c>
      <c r="GY8" s="142">
        <f>B36</f>
        <v>0.25</v>
      </c>
      <c r="GZ8" s="83"/>
      <c r="HA8" s="83" t="s">
        <v>392</v>
      </c>
      <c r="HB8" s="142">
        <f>B36</f>
        <v>0.25</v>
      </c>
      <c r="HC8" s="84"/>
      <c r="HD8" s="52" t="s">
        <v>16</v>
      </c>
      <c r="HE8" s="137">
        <f>1-EXP(-HE7*HE12)</f>
        <v>4.3303121490789742E-4</v>
      </c>
    </row>
    <row r="9" spans="1:214" x14ac:dyDescent="0.2">
      <c r="A9" s="83" t="s">
        <v>250</v>
      </c>
      <c r="B9" s="183">
        <v>1.036E-3</v>
      </c>
      <c r="C9" s="83" t="s">
        <v>259</v>
      </c>
      <c r="D9" s="52" t="s">
        <v>379</v>
      </c>
      <c r="E9" s="138">
        <f>B53</f>
        <v>1</v>
      </c>
      <c r="F9" s="52" t="s">
        <v>146</v>
      </c>
      <c r="G9" s="83" t="s">
        <v>258</v>
      </c>
      <c r="H9" s="136">
        <f>B17</f>
        <v>1.67911012348351E-3</v>
      </c>
      <c r="I9" s="92" t="s">
        <v>259</v>
      </c>
      <c r="J9" s="83" t="s">
        <v>258</v>
      </c>
      <c r="K9" s="136">
        <f>B17</f>
        <v>1.67911012348351E-3</v>
      </c>
      <c r="L9" s="92" t="s">
        <v>259</v>
      </c>
      <c r="M9" s="52" t="s">
        <v>382</v>
      </c>
      <c r="N9" s="138">
        <f>B56</f>
        <v>350</v>
      </c>
      <c r="O9" s="52" t="s">
        <v>24</v>
      </c>
      <c r="P9" s="52" t="s">
        <v>382</v>
      </c>
      <c r="Q9" s="138">
        <f>B56</f>
        <v>350</v>
      </c>
      <c r="R9" s="52" t="s">
        <v>24</v>
      </c>
      <c r="S9" s="52" t="s">
        <v>382</v>
      </c>
      <c r="T9" s="138">
        <f>B56</f>
        <v>350</v>
      </c>
      <c r="U9" s="52" t="s">
        <v>24</v>
      </c>
      <c r="V9" s="52" t="s">
        <v>423</v>
      </c>
      <c r="W9" s="138">
        <f>B255</f>
        <v>225</v>
      </c>
      <c r="X9" s="52" t="s">
        <v>24</v>
      </c>
      <c r="Y9" s="52" t="s">
        <v>316</v>
      </c>
      <c r="Z9" s="138">
        <f>B231</f>
        <v>250</v>
      </c>
      <c r="AA9" s="52" t="s">
        <v>24</v>
      </c>
      <c r="AB9" s="83" t="s">
        <v>34</v>
      </c>
      <c r="AC9" s="146">
        <f>B232</f>
        <v>1</v>
      </c>
      <c r="AD9" s="146">
        <f>B244</f>
        <v>1</v>
      </c>
      <c r="AE9" s="146">
        <f>B256</f>
        <v>1</v>
      </c>
      <c r="AF9" s="146">
        <f>B268</f>
        <v>1</v>
      </c>
      <c r="AG9" s="146">
        <f>B292</f>
        <v>1</v>
      </c>
      <c r="AH9" s="83" t="s">
        <v>60</v>
      </c>
      <c r="AI9" s="52" t="s">
        <v>35</v>
      </c>
      <c r="AJ9" s="138">
        <f>B243</f>
        <v>250</v>
      </c>
      <c r="AK9" s="52" t="s">
        <v>24</v>
      </c>
      <c r="AL9" s="52" t="s">
        <v>35</v>
      </c>
      <c r="AM9" s="138">
        <f>B243</f>
        <v>250</v>
      </c>
      <c r="AN9" s="52" t="s">
        <v>24</v>
      </c>
      <c r="AO9" s="52" t="s">
        <v>35</v>
      </c>
      <c r="AP9" s="138">
        <f>B243</f>
        <v>250</v>
      </c>
      <c r="AQ9" s="52" t="s">
        <v>24</v>
      </c>
      <c r="AR9" s="52" t="s">
        <v>423</v>
      </c>
      <c r="AS9" s="138">
        <f>B255</f>
        <v>225</v>
      </c>
      <c r="AT9" s="52" t="s">
        <v>24</v>
      </c>
      <c r="AU9" s="52" t="s">
        <v>423</v>
      </c>
      <c r="AV9" s="138">
        <f>B255</f>
        <v>225</v>
      </c>
      <c r="AW9" s="52" t="s">
        <v>24</v>
      </c>
      <c r="AX9" s="52" t="s">
        <v>423</v>
      </c>
      <c r="AY9" s="138">
        <f>B255</f>
        <v>225</v>
      </c>
      <c r="AZ9" s="52" t="s">
        <v>24</v>
      </c>
      <c r="BA9" s="52" t="s">
        <v>316</v>
      </c>
      <c r="BB9" s="138">
        <f>B231</f>
        <v>250</v>
      </c>
      <c r="BC9" s="52" t="s">
        <v>24</v>
      </c>
      <c r="BD9" s="52" t="s">
        <v>316</v>
      </c>
      <c r="BE9" s="138">
        <f>B231</f>
        <v>250</v>
      </c>
      <c r="BF9" s="52" t="s">
        <v>24</v>
      </c>
      <c r="BG9" s="52" t="s">
        <v>316</v>
      </c>
      <c r="BH9" s="138">
        <f>B231</f>
        <v>250</v>
      </c>
      <c r="BI9" s="52" t="s">
        <v>24</v>
      </c>
      <c r="BJ9" s="52" t="s">
        <v>191</v>
      </c>
      <c r="BK9" s="138">
        <f>BK10*BK11</f>
        <v>250</v>
      </c>
      <c r="BL9" s="52" t="s">
        <v>24</v>
      </c>
      <c r="BM9" s="52" t="s">
        <v>191</v>
      </c>
      <c r="BN9" s="138">
        <f>BN10*BN11</f>
        <v>250</v>
      </c>
      <c r="BO9" s="52" t="s">
        <v>24</v>
      </c>
      <c r="BP9" s="52" t="s">
        <v>191</v>
      </c>
      <c r="BQ9" s="138">
        <f>BQ10*BQ11</f>
        <v>250</v>
      </c>
      <c r="BR9" s="52" t="s">
        <v>24</v>
      </c>
      <c r="BS9" s="52" t="s">
        <v>247</v>
      </c>
      <c r="BT9" s="139">
        <f>E11</f>
        <v>3.8043873993229303E-2</v>
      </c>
      <c r="BU9" s="84" t="s">
        <v>259</v>
      </c>
      <c r="BV9" s="83" t="s">
        <v>258</v>
      </c>
      <c r="BW9" s="136">
        <f>B17</f>
        <v>1.67911012348351E-3</v>
      </c>
      <c r="BX9" s="92" t="s">
        <v>259</v>
      </c>
      <c r="BY9" s="83" t="s">
        <v>77</v>
      </c>
      <c r="BZ9" s="136">
        <f>B19</f>
        <v>1359344473.5814338</v>
      </c>
      <c r="CA9" s="83" t="s">
        <v>78</v>
      </c>
      <c r="CB9" s="52" t="s">
        <v>140</v>
      </c>
      <c r="CC9" s="138">
        <f>B103</f>
        <v>75</v>
      </c>
      <c r="CD9" s="52" t="s">
        <v>24</v>
      </c>
      <c r="CE9" s="52" t="s">
        <v>140</v>
      </c>
      <c r="CF9" s="138">
        <f>B103</f>
        <v>75</v>
      </c>
      <c r="CG9" s="52" t="s">
        <v>24</v>
      </c>
      <c r="CH9" s="52" t="s">
        <v>140</v>
      </c>
      <c r="CI9" s="138">
        <f>B103</f>
        <v>75</v>
      </c>
      <c r="CJ9" s="52" t="s">
        <v>24</v>
      </c>
      <c r="CK9" s="84" t="s">
        <v>295</v>
      </c>
      <c r="CL9" s="142">
        <f>B302</f>
        <v>226.025409</v>
      </c>
      <c r="CM9" s="84" t="s">
        <v>296</v>
      </c>
      <c r="CN9" s="84" t="s">
        <v>392</v>
      </c>
      <c r="CO9" s="162">
        <f>B36</f>
        <v>0.25</v>
      </c>
      <c r="CT9" s="83" t="s">
        <v>258</v>
      </c>
      <c r="CU9" s="136">
        <f>B17</f>
        <v>1.67911012348351E-3</v>
      </c>
      <c r="CV9" s="92" t="s">
        <v>259</v>
      </c>
      <c r="CW9" s="52" t="s">
        <v>363</v>
      </c>
      <c r="CX9" s="138">
        <f>B170</f>
        <v>1</v>
      </c>
      <c r="CY9" s="52" t="s">
        <v>146</v>
      </c>
      <c r="CZ9" s="83" t="s">
        <v>258</v>
      </c>
      <c r="DA9" s="136">
        <f>B17</f>
        <v>1.67911012348351E-3</v>
      </c>
      <c r="DB9" s="84" t="s">
        <v>259</v>
      </c>
      <c r="DC9" s="83" t="s">
        <v>513</v>
      </c>
      <c r="DD9" s="146">
        <f>B151</f>
        <v>41.7</v>
      </c>
      <c r="DE9" s="92" t="s">
        <v>221</v>
      </c>
      <c r="DF9" s="83" t="s">
        <v>40</v>
      </c>
      <c r="DG9" s="138">
        <f>B194</f>
        <v>0.25</v>
      </c>
      <c r="DH9" s="52" t="s">
        <v>41</v>
      </c>
      <c r="DI9" s="52" t="s">
        <v>350</v>
      </c>
      <c r="DJ9" s="164">
        <f>B170</f>
        <v>1</v>
      </c>
      <c r="DL9" s="95"/>
      <c r="DM9" s="176"/>
      <c r="DO9" s="83" t="s">
        <v>40</v>
      </c>
      <c r="DP9" s="138">
        <f>B194</f>
        <v>0.25</v>
      </c>
      <c r="DQ9" s="52" t="s">
        <v>41</v>
      </c>
      <c r="DR9" s="83" t="s">
        <v>452</v>
      </c>
      <c r="DS9" s="146">
        <f>B153</f>
        <v>349.5</v>
      </c>
      <c r="DT9" s="92" t="s">
        <v>221</v>
      </c>
      <c r="DU9" s="95"/>
      <c r="DV9" s="176"/>
      <c r="DX9" s="83" t="s">
        <v>517</v>
      </c>
      <c r="DY9" s="136">
        <f>B24</f>
        <v>3.8000000000000002E-4</v>
      </c>
      <c r="DZ9" s="52" t="s">
        <v>388</v>
      </c>
      <c r="EA9" s="83" t="s">
        <v>517</v>
      </c>
      <c r="EB9" s="136">
        <f>B24</f>
        <v>3.8000000000000002E-4</v>
      </c>
      <c r="EC9" s="52" t="s">
        <v>388</v>
      </c>
      <c r="ED9" s="83" t="s">
        <v>517</v>
      </c>
      <c r="EE9" s="136">
        <f>B24</f>
        <v>3.8000000000000002E-4</v>
      </c>
      <c r="EF9" s="52" t="s">
        <v>388</v>
      </c>
      <c r="EG9" s="83" t="s">
        <v>453</v>
      </c>
      <c r="EH9" s="170">
        <f>B155</f>
        <v>40.1</v>
      </c>
      <c r="EI9" s="92" t="s">
        <v>221</v>
      </c>
      <c r="EJ9" s="83"/>
      <c r="EM9" s="83" t="s">
        <v>236</v>
      </c>
      <c r="EN9" s="136">
        <f>B25</f>
        <v>1.6999999999999999E-3</v>
      </c>
      <c r="EO9" s="52" t="s">
        <v>388</v>
      </c>
      <c r="EP9" s="83" t="s">
        <v>236</v>
      </c>
      <c r="EQ9" s="169">
        <f>B25</f>
        <v>1.6999999999999999E-3</v>
      </c>
      <c r="ER9" s="52" t="s">
        <v>388</v>
      </c>
      <c r="ES9" s="83" t="s">
        <v>236</v>
      </c>
      <c r="ET9" s="169">
        <f>B25</f>
        <v>1.6999999999999999E-3</v>
      </c>
      <c r="EU9" s="52" t="s">
        <v>388</v>
      </c>
      <c r="EV9" s="83" t="s">
        <v>454</v>
      </c>
      <c r="EW9" s="171">
        <f>B157</f>
        <v>10.95</v>
      </c>
      <c r="EX9" s="92" t="s">
        <v>221</v>
      </c>
      <c r="EY9" s="83"/>
      <c r="EZ9" s="83"/>
      <c r="FA9" s="83"/>
      <c r="FB9" s="83" t="s">
        <v>171</v>
      </c>
      <c r="FC9" s="169">
        <f>B27</f>
        <v>0</v>
      </c>
      <c r="FD9" s="52" t="s">
        <v>388</v>
      </c>
      <c r="FE9" s="83" t="s">
        <v>171</v>
      </c>
      <c r="FF9" s="169">
        <f>B27</f>
        <v>0</v>
      </c>
      <c r="FG9" s="52" t="s">
        <v>388</v>
      </c>
      <c r="FH9" s="83" t="s">
        <v>171</v>
      </c>
      <c r="FI9" s="169">
        <f>B27</f>
        <v>0</v>
      </c>
      <c r="FJ9" s="52" t="s">
        <v>388</v>
      </c>
      <c r="FK9" s="83" t="s">
        <v>471</v>
      </c>
      <c r="FL9" s="150">
        <f>B159</f>
        <v>32.799999999999997</v>
      </c>
      <c r="FM9" s="92" t="s">
        <v>221</v>
      </c>
      <c r="FN9" s="83"/>
      <c r="FO9" s="83"/>
      <c r="FP9" s="83"/>
      <c r="FQ9" s="91" t="s">
        <v>231</v>
      </c>
      <c r="FR9" s="136">
        <f>B18</f>
        <v>1600</v>
      </c>
      <c r="FS9" s="52" t="s">
        <v>60</v>
      </c>
      <c r="FT9" s="83"/>
      <c r="FU9" s="93"/>
      <c r="FV9" s="83"/>
      <c r="FW9" s="83"/>
      <c r="FX9" s="93"/>
      <c r="FY9" s="83"/>
      <c r="FZ9" s="83" t="s">
        <v>473</v>
      </c>
      <c r="GA9" s="174">
        <f>B161</f>
        <v>23.6</v>
      </c>
      <c r="GB9" s="92" t="s">
        <v>221</v>
      </c>
      <c r="GC9" s="83"/>
      <c r="GD9" s="83"/>
      <c r="GE9" s="83"/>
      <c r="GF9" s="83" t="s">
        <v>237</v>
      </c>
      <c r="GG9" s="169">
        <f>B26</f>
        <v>0</v>
      </c>
      <c r="GH9" s="52" t="s">
        <v>388</v>
      </c>
      <c r="GI9" s="83" t="s">
        <v>237</v>
      </c>
      <c r="GJ9" s="169">
        <f>B26</f>
        <v>0</v>
      </c>
      <c r="GK9" s="52" t="s">
        <v>388</v>
      </c>
      <c r="GL9" s="83" t="s">
        <v>237</v>
      </c>
      <c r="GM9" s="169">
        <f>B26</f>
        <v>0</v>
      </c>
      <c r="GN9" s="52" t="s">
        <v>388</v>
      </c>
      <c r="GO9" s="83" t="s">
        <v>455</v>
      </c>
      <c r="GP9" s="150">
        <f>B163</f>
        <v>18.5</v>
      </c>
      <c r="GQ9" s="92" t="s">
        <v>221</v>
      </c>
      <c r="GR9" s="83"/>
      <c r="GS9" s="83"/>
      <c r="GT9" s="83"/>
      <c r="GU9" s="83" t="s">
        <v>238</v>
      </c>
      <c r="GV9" s="169">
        <f>B28</f>
        <v>0</v>
      </c>
      <c r="GW9" s="52" t="s">
        <v>388</v>
      </c>
      <c r="GX9" s="83" t="s">
        <v>238</v>
      </c>
      <c r="GY9" s="169">
        <f>B28</f>
        <v>0</v>
      </c>
      <c r="GZ9" s="52" t="s">
        <v>388</v>
      </c>
      <c r="HA9" s="83" t="s">
        <v>238</v>
      </c>
      <c r="HB9" s="169">
        <f>B28</f>
        <v>0</v>
      </c>
      <c r="HC9" s="52" t="s">
        <v>388</v>
      </c>
      <c r="HD9" s="91" t="s">
        <v>231</v>
      </c>
      <c r="HE9" s="136">
        <f>B18</f>
        <v>1600</v>
      </c>
      <c r="HF9" s="52" t="s">
        <v>60</v>
      </c>
    </row>
    <row r="10" spans="1:214" x14ac:dyDescent="0.2">
      <c r="A10" s="83" t="s">
        <v>251</v>
      </c>
      <c r="B10" s="183">
        <v>10.423439999999999</v>
      </c>
      <c r="C10" s="83" t="s">
        <v>351</v>
      </c>
      <c r="D10" s="52" t="s">
        <v>92</v>
      </c>
      <c r="E10" s="138">
        <f>E9</f>
        <v>1</v>
      </c>
      <c r="G10" s="83" t="s">
        <v>260</v>
      </c>
      <c r="H10" s="143">
        <f>(H5/(H6*H15))</f>
        <v>0.80858276950106633</v>
      </c>
      <c r="I10" s="92" t="s">
        <v>11</v>
      </c>
      <c r="J10" s="83" t="s">
        <v>77</v>
      </c>
      <c r="K10" s="136">
        <f>B19</f>
        <v>1359344473.5814338</v>
      </c>
      <c r="L10" s="83" t="s">
        <v>78</v>
      </c>
      <c r="M10" s="52" t="s">
        <v>379</v>
      </c>
      <c r="N10" s="138">
        <f>B53</f>
        <v>1</v>
      </c>
      <c r="O10" s="52" t="s">
        <v>146</v>
      </c>
      <c r="P10" s="52" t="s">
        <v>379</v>
      </c>
      <c r="Q10" s="138">
        <f>B53</f>
        <v>1</v>
      </c>
      <c r="R10" s="52" t="s">
        <v>146</v>
      </c>
      <c r="S10" s="52" t="s">
        <v>379</v>
      </c>
      <c r="T10" s="138">
        <f>B53</f>
        <v>1</v>
      </c>
      <c r="U10" s="52" t="s">
        <v>146</v>
      </c>
      <c r="V10" s="52" t="s">
        <v>424</v>
      </c>
      <c r="W10" s="138">
        <f>B256</f>
        <v>1</v>
      </c>
      <c r="X10" s="52" t="s">
        <v>146</v>
      </c>
      <c r="Y10" s="52" t="s">
        <v>422</v>
      </c>
      <c r="Z10" s="138">
        <f>B232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B277</f>
        <v>5</v>
      </c>
      <c r="AG10" s="146">
        <f>B300</f>
        <v>5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B244</f>
        <v>1</v>
      </c>
      <c r="AN10" s="52" t="s">
        <v>146</v>
      </c>
      <c r="AO10" s="52" t="s">
        <v>420</v>
      </c>
      <c r="AP10" s="138">
        <f>B244</f>
        <v>1</v>
      </c>
      <c r="AQ10" s="52" t="s">
        <v>146</v>
      </c>
      <c r="AR10" s="52" t="s">
        <v>424</v>
      </c>
      <c r="AS10" s="138">
        <f>B256</f>
        <v>1</v>
      </c>
      <c r="AT10" s="52" t="s">
        <v>146</v>
      </c>
      <c r="AU10" s="52" t="s">
        <v>424</v>
      </c>
      <c r="AV10" s="138">
        <f>B256</f>
        <v>1</v>
      </c>
      <c r="AW10" s="52" t="s">
        <v>146</v>
      </c>
      <c r="AX10" s="52" t="s">
        <v>424</v>
      </c>
      <c r="AY10" s="138">
        <f>B256</f>
        <v>1</v>
      </c>
      <c r="AZ10" s="52" t="s">
        <v>146</v>
      </c>
      <c r="BA10" s="52" t="s">
        <v>422</v>
      </c>
      <c r="BB10" s="138">
        <f>B232</f>
        <v>1</v>
      </c>
      <c r="BC10" s="52" t="s">
        <v>146</v>
      </c>
      <c r="BD10" s="52" t="s">
        <v>422</v>
      </c>
      <c r="BE10" s="138">
        <f>B232</f>
        <v>1</v>
      </c>
      <c r="BF10" s="52" t="s">
        <v>146</v>
      </c>
      <c r="BG10" s="52" t="s">
        <v>422</v>
      </c>
      <c r="BH10" s="138">
        <f>B232</f>
        <v>1</v>
      </c>
      <c r="BI10" s="52" t="s">
        <v>146</v>
      </c>
      <c r="BJ10" s="52" t="s">
        <v>220</v>
      </c>
      <c r="BK10" s="138">
        <f>B278</f>
        <v>50</v>
      </c>
      <c r="BL10" s="52" t="s">
        <v>113</v>
      </c>
      <c r="BM10" s="52" t="s">
        <v>220</v>
      </c>
      <c r="BN10" s="138">
        <f>B278</f>
        <v>50</v>
      </c>
      <c r="BO10" s="52" t="s">
        <v>113</v>
      </c>
      <c r="BP10" s="52" t="s">
        <v>220</v>
      </c>
      <c r="BQ10" s="138">
        <f>B278</f>
        <v>50</v>
      </c>
      <c r="BR10" s="52" t="s">
        <v>113</v>
      </c>
      <c r="BS10" s="83" t="s">
        <v>428</v>
      </c>
      <c r="BT10" s="149">
        <f>(BT22*BT13*(1/24)*BT11*BT25)+(BT23*BT14*(1/24)*BT12*BT26)</f>
        <v>55.3125</v>
      </c>
      <c r="BU10" s="52" t="s">
        <v>426</v>
      </c>
      <c r="BV10" s="83" t="s">
        <v>260</v>
      </c>
      <c r="BW10" s="143">
        <f>(BW5/(BW6*BW13))*BW32*BW33*BW34</f>
        <v>2.6802393539243833E-7</v>
      </c>
      <c r="BX10" s="92" t="s">
        <v>13</v>
      </c>
      <c r="BY10" s="84" t="s">
        <v>16</v>
      </c>
      <c r="BZ10" s="137">
        <f>(BZ30*BZ11)/(1-EXP(-BZ11*BZ30))</f>
        <v>1.0002165781331087</v>
      </c>
      <c r="CB10" s="52" t="s">
        <v>51</v>
      </c>
      <c r="CC10" s="138">
        <f>B117</f>
        <v>1</v>
      </c>
      <c r="CD10" s="52" t="s">
        <v>146</v>
      </c>
      <c r="CE10" s="52" t="s">
        <v>51</v>
      </c>
      <c r="CF10" s="138">
        <f>B117</f>
        <v>1</v>
      </c>
      <c r="CG10" s="52" t="s">
        <v>146</v>
      </c>
      <c r="CH10" s="52" t="s">
        <v>51</v>
      </c>
      <c r="CI10" s="138">
        <f>B117</f>
        <v>1</v>
      </c>
      <c r="CJ10" s="52" t="s">
        <v>146</v>
      </c>
      <c r="CK10" s="84" t="s">
        <v>293</v>
      </c>
      <c r="CL10" s="161">
        <f>B304</f>
        <v>2.7955176153748299E-12</v>
      </c>
      <c r="CM10" s="84"/>
      <c r="CN10" s="84" t="s">
        <v>164</v>
      </c>
      <c r="CO10" s="162">
        <f>B129</f>
        <v>1</v>
      </c>
      <c r="CP10" s="52" t="s">
        <v>246</v>
      </c>
      <c r="CT10" s="83" t="s">
        <v>77</v>
      </c>
      <c r="CU10" s="136">
        <f>B19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1.0002165781331087</v>
      </c>
      <c r="DC10" s="83" t="s">
        <v>514</v>
      </c>
      <c r="DD10" s="146">
        <f>B152</f>
        <v>125.7</v>
      </c>
      <c r="DE10" s="92" t="s">
        <v>221</v>
      </c>
      <c r="DF10" s="92" t="s">
        <v>32</v>
      </c>
      <c r="DG10" s="136">
        <f>B31</f>
        <v>1.4800000000000001E-2</v>
      </c>
      <c r="DI10" s="83" t="s">
        <v>22</v>
      </c>
      <c r="DJ10" s="137">
        <f>0.693/DJ11</f>
        <v>4.3312499999999997E-4</v>
      </c>
      <c r="DL10" s="92"/>
      <c r="DO10" s="92" t="s">
        <v>32</v>
      </c>
      <c r="DP10" s="136">
        <f>B31</f>
        <v>1.4800000000000001E-2</v>
      </c>
      <c r="DR10" s="83" t="s">
        <v>461</v>
      </c>
      <c r="DS10" s="146">
        <f>B154</f>
        <v>445.6</v>
      </c>
      <c r="DT10" s="92" t="s">
        <v>221</v>
      </c>
      <c r="DU10" s="92"/>
      <c r="DX10" s="83" t="s">
        <v>498</v>
      </c>
      <c r="DY10" s="138">
        <f>B205</f>
        <v>20.3</v>
      </c>
      <c r="DZ10" s="52" t="s">
        <v>246</v>
      </c>
      <c r="EA10" s="83" t="s">
        <v>498</v>
      </c>
      <c r="EB10" s="138">
        <f>B205</f>
        <v>20.3</v>
      </c>
      <c r="EC10" s="52" t="s">
        <v>246</v>
      </c>
      <c r="ED10" s="83" t="s">
        <v>498</v>
      </c>
      <c r="EE10" s="138">
        <f>B205</f>
        <v>20.3</v>
      </c>
      <c r="EF10" s="52" t="s">
        <v>246</v>
      </c>
      <c r="EG10" s="83" t="s">
        <v>462</v>
      </c>
      <c r="EH10" s="170">
        <f>B156</f>
        <v>178</v>
      </c>
      <c r="EI10" s="92" t="s">
        <v>221</v>
      </c>
      <c r="EJ10" s="92"/>
      <c r="EM10" s="83" t="s">
        <v>494</v>
      </c>
      <c r="EN10" s="138">
        <f>B210</f>
        <v>11.77</v>
      </c>
      <c r="EO10" s="52" t="s">
        <v>246</v>
      </c>
      <c r="EP10" s="83" t="s">
        <v>494</v>
      </c>
      <c r="EQ10" s="138">
        <f>B210</f>
        <v>11.77</v>
      </c>
      <c r="ER10" s="52" t="s">
        <v>246</v>
      </c>
      <c r="ES10" s="83" t="s">
        <v>494</v>
      </c>
      <c r="ET10" s="138">
        <f>B210</f>
        <v>11.77</v>
      </c>
      <c r="EU10" s="52" t="s">
        <v>246</v>
      </c>
      <c r="EV10" s="83" t="s">
        <v>463</v>
      </c>
      <c r="EW10" s="170">
        <f>B158</f>
        <v>53.4</v>
      </c>
      <c r="EX10" s="92" t="s">
        <v>221</v>
      </c>
      <c r="EY10" s="83"/>
      <c r="EZ10" s="83"/>
      <c r="FA10" s="83"/>
      <c r="FB10" s="83" t="s">
        <v>152</v>
      </c>
      <c r="FC10" s="142">
        <f>B215</f>
        <v>0.2</v>
      </c>
      <c r="FD10" s="52" t="s">
        <v>246</v>
      </c>
      <c r="FE10" s="83" t="s">
        <v>152</v>
      </c>
      <c r="FF10" s="142">
        <f>B215</f>
        <v>0.2</v>
      </c>
      <c r="FG10" s="52" t="s">
        <v>246</v>
      </c>
      <c r="FH10" s="83" t="s">
        <v>152</v>
      </c>
      <c r="FI10" s="142">
        <f>B215</f>
        <v>0.2</v>
      </c>
      <c r="FJ10" s="52" t="s">
        <v>246</v>
      </c>
      <c r="FK10" s="83" t="s">
        <v>472</v>
      </c>
      <c r="FL10" s="150">
        <f>B160</f>
        <v>155.4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1.0002165781331087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B162</f>
        <v>106.6</v>
      </c>
      <c r="GB10" s="92" t="s">
        <v>221</v>
      </c>
      <c r="GC10" s="83"/>
      <c r="GD10" s="83"/>
      <c r="GE10" s="83"/>
      <c r="GF10" s="83" t="s">
        <v>486</v>
      </c>
      <c r="GG10" s="142">
        <f>B220</f>
        <v>0.2</v>
      </c>
      <c r="GH10" s="52" t="s">
        <v>246</v>
      </c>
      <c r="GI10" s="83" t="s">
        <v>486</v>
      </c>
      <c r="GJ10" s="142">
        <f>B220</f>
        <v>0.2</v>
      </c>
      <c r="GK10" s="52" t="s">
        <v>246</v>
      </c>
      <c r="GL10" s="83" t="s">
        <v>486</v>
      </c>
      <c r="GM10" s="142">
        <f>B220</f>
        <v>0.2</v>
      </c>
      <c r="GN10" s="52" t="s">
        <v>246</v>
      </c>
      <c r="GO10" s="83" t="s">
        <v>464</v>
      </c>
      <c r="GP10" s="150">
        <f>B164</f>
        <v>97.9</v>
      </c>
      <c r="GQ10" s="92" t="s">
        <v>221</v>
      </c>
      <c r="GR10" s="83"/>
      <c r="GS10" s="83"/>
      <c r="GT10" s="83"/>
      <c r="GU10" s="83" t="s">
        <v>490</v>
      </c>
      <c r="GV10" s="142">
        <f>B225</f>
        <v>4.7</v>
      </c>
      <c r="GW10" s="52" t="s">
        <v>246</v>
      </c>
      <c r="GX10" s="83" t="s">
        <v>490</v>
      </c>
      <c r="GY10" s="142">
        <f>B225</f>
        <v>4.7</v>
      </c>
      <c r="GZ10" s="52" t="s">
        <v>246</v>
      </c>
      <c r="HA10" s="83" t="s">
        <v>490</v>
      </c>
      <c r="HB10" s="142">
        <f>B225</f>
        <v>4.7</v>
      </c>
      <c r="HC10" s="52" t="s">
        <v>246</v>
      </c>
      <c r="HD10" s="84" t="s">
        <v>38</v>
      </c>
      <c r="HE10" s="163">
        <f>B83</f>
        <v>0.3</v>
      </c>
    </row>
    <row r="11" spans="1:214" x14ac:dyDescent="0.2">
      <c r="A11" s="83" t="s">
        <v>252</v>
      </c>
      <c r="B11" s="183">
        <v>1.9522299999999999</v>
      </c>
      <c r="C11" s="83" t="s">
        <v>352</v>
      </c>
      <c r="D11" s="52" t="s">
        <v>247</v>
      </c>
      <c r="E11" s="139">
        <f>B6</f>
        <v>3.8043873993229303E-2</v>
      </c>
      <c r="F11" s="84" t="s">
        <v>259</v>
      </c>
      <c r="G11" s="83" t="s">
        <v>261</v>
      </c>
      <c r="H11" s="144">
        <f>(H5/(H7*H16*H28))</f>
        <v>8.4860180344556585E-3</v>
      </c>
      <c r="I11" s="92" t="s">
        <v>11</v>
      </c>
      <c r="J11" s="84" t="s">
        <v>16</v>
      </c>
      <c r="K11" s="137">
        <f>(K43*K12)/(1-EXP(-K12*K43))</f>
        <v>1.0002165781331087</v>
      </c>
      <c r="M11" s="52" t="s">
        <v>299</v>
      </c>
      <c r="N11" s="138">
        <f>B61</f>
        <v>0.4</v>
      </c>
      <c r="P11" s="52" t="s">
        <v>299</v>
      </c>
      <c r="Q11" s="138">
        <f>B61</f>
        <v>0.4</v>
      </c>
      <c r="S11" s="52" t="s">
        <v>299</v>
      </c>
      <c r="T11" s="138">
        <f>B61</f>
        <v>0.4</v>
      </c>
      <c r="V11" s="52" t="s">
        <v>247</v>
      </c>
      <c r="W11" s="139">
        <f>B6</f>
        <v>3.8043873993229303E-2</v>
      </c>
      <c r="X11" s="84" t="s">
        <v>39</v>
      </c>
      <c r="Y11" s="52" t="s">
        <v>247</v>
      </c>
      <c r="Z11" s="139">
        <f>B6</f>
        <v>3.8043873993229303E-2</v>
      </c>
      <c r="AA11" s="84" t="s">
        <v>39</v>
      </c>
      <c r="AB11" s="83" t="s">
        <v>220</v>
      </c>
      <c r="AC11" s="146"/>
      <c r="AD11" s="146"/>
      <c r="AE11" s="146"/>
      <c r="AF11" s="146">
        <f>B278</f>
        <v>50</v>
      </c>
      <c r="AG11" s="146">
        <f>B301</f>
        <v>50</v>
      </c>
      <c r="AH11" s="83" t="s">
        <v>113</v>
      </c>
      <c r="AI11" s="52" t="s">
        <v>299</v>
      </c>
      <c r="AJ11" s="138">
        <f>B248</f>
        <v>0.4</v>
      </c>
      <c r="AL11" s="52" t="s">
        <v>299</v>
      </c>
      <c r="AM11" s="138">
        <f>B248</f>
        <v>0.4</v>
      </c>
      <c r="AO11" s="52" t="s">
        <v>299</v>
      </c>
      <c r="AP11" s="138">
        <f>B248</f>
        <v>0.4</v>
      </c>
      <c r="AR11" s="52" t="s">
        <v>299</v>
      </c>
      <c r="AS11" s="138">
        <f>B260</f>
        <v>0.4</v>
      </c>
      <c r="AU11" s="52" t="s">
        <v>299</v>
      </c>
      <c r="AV11" s="138">
        <f>B260</f>
        <v>0.4</v>
      </c>
      <c r="AX11" s="52" t="s">
        <v>299</v>
      </c>
      <c r="AY11" s="138">
        <f>B260</f>
        <v>0.4</v>
      </c>
      <c r="BA11" s="52" t="s">
        <v>299</v>
      </c>
      <c r="BB11" s="138">
        <f>B236</f>
        <v>0.4</v>
      </c>
      <c r="BD11" s="52" t="s">
        <v>299</v>
      </c>
      <c r="BE11" s="138">
        <f>B236</f>
        <v>0.4</v>
      </c>
      <c r="BG11" s="52" t="s">
        <v>299</v>
      </c>
      <c r="BH11" s="138">
        <f>B236</f>
        <v>0.4</v>
      </c>
      <c r="BJ11" s="52" t="s">
        <v>219</v>
      </c>
      <c r="BK11" s="138">
        <f>B277</f>
        <v>5</v>
      </c>
      <c r="BL11" s="52" t="s">
        <v>112</v>
      </c>
      <c r="BM11" s="52" t="s">
        <v>219</v>
      </c>
      <c r="BN11" s="138">
        <f>B277</f>
        <v>5</v>
      </c>
      <c r="BO11" s="52" t="s">
        <v>112</v>
      </c>
      <c r="BP11" s="52" t="s">
        <v>219</v>
      </c>
      <c r="BQ11" s="138">
        <f>B277</f>
        <v>5</v>
      </c>
      <c r="BR11" s="52" t="s">
        <v>112</v>
      </c>
      <c r="BS11" s="83" t="s">
        <v>429</v>
      </c>
      <c r="BT11" s="141">
        <f>B93</f>
        <v>10</v>
      </c>
      <c r="BU11" s="92" t="s">
        <v>407</v>
      </c>
      <c r="BV11" s="83" t="s">
        <v>261</v>
      </c>
      <c r="BW11" s="159"/>
      <c r="BX11" s="92" t="s">
        <v>13</v>
      </c>
      <c r="BY11" s="83" t="s">
        <v>22</v>
      </c>
      <c r="BZ11" s="137">
        <f>0.693/BZ12</f>
        <v>4.3312499999999997E-4</v>
      </c>
      <c r="CB11" s="52" t="s">
        <v>300</v>
      </c>
      <c r="CC11" s="138">
        <f>B118</f>
        <v>2.41E-4</v>
      </c>
      <c r="CE11" s="52" t="s">
        <v>300</v>
      </c>
      <c r="CF11" s="138">
        <f>B120</f>
        <v>1.17E-4</v>
      </c>
      <c r="CH11" s="52" t="s">
        <v>300</v>
      </c>
      <c r="CI11" s="138">
        <f>B124</f>
        <v>2.2599999999999999E-4</v>
      </c>
      <c r="CN11" s="84" t="s">
        <v>161</v>
      </c>
      <c r="CO11" s="162">
        <f>B130</f>
        <v>1</v>
      </c>
      <c r="CP11" s="52" t="s">
        <v>246</v>
      </c>
      <c r="CT11" s="84" t="s">
        <v>16</v>
      </c>
      <c r="CU11" s="137">
        <f>(CU43*CU12)/(1-EXP(-CU12*CU43))</f>
        <v>1.0002165781331087</v>
      </c>
      <c r="CW11" s="52" t="s">
        <v>247</v>
      </c>
      <c r="CX11" s="139">
        <f>B6</f>
        <v>3.8043873993229303E-2</v>
      </c>
      <c r="CY11" s="84" t="s">
        <v>259</v>
      </c>
      <c r="CZ11" s="83" t="s">
        <v>22</v>
      </c>
      <c r="DA11" s="137">
        <f>0.693/DA12</f>
        <v>4.3312499999999997E-4</v>
      </c>
      <c r="DC11" s="83" t="s">
        <v>515</v>
      </c>
      <c r="DD11" s="149">
        <f>(DD12*DD15*DD20)+(DD13*DD14*DD21)</f>
        <v>56173.250000000007</v>
      </c>
      <c r="DE11" s="92" t="s">
        <v>347</v>
      </c>
      <c r="DF11" s="92" t="s">
        <v>49</v>
      </c>
      <c r="DG11" s="137">
        <f>DG19+DG20</f>
        <v>2.8186643835616437E-5</v>
      </c>
      <c r="DI11" s="91" t="s">
        <v>231</v>
      </c>
      <c r="DJ11" s="136">
        <f>B18</f>
        <v>1600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B168</f>
        <v>350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B168</f>
        <v>350</v>
      </c>
      <c r="EI11" s="83" t="s">
        <v>24</v>
      </c>
      <c r="EJ11" s="92"/>
      <c r="EM11" s="83" t="s">
        <v>495</v>
      </c>
      <c r="EN11" s="138">
        <f>B211</f>
        <v>0.5</v>
      </c>
      <c r="EO11" s="52" t="s">
        <v>246</v>
      </c>
      <c r="EP11" s="83" t="s">
        <v>495</v>
      </c>
      <c r="EQ11" s="138">
        <f>B211</f>
        <v>0.5</v>
      </c>
      <c r="ER11" s="52" t="s">
        <v>246</v>
      </c>
      <c r="ES11" s="83" t="s">
        <v>495</v>
      </c>
      <c r="ET11" s="138">
        <f>B211</f>
        <v>0.5</v>
      </c>
      <c r="EU11" s="52" t="s">
        <v>246</v>
      </c>
      <c r="EV11" s="83" t="s">
        <v>456</v>
      </c>
      <c r="EW11" s="150">
        <f>B168</f>
        <v>350</v>
      </c>
      <c r="EX11" s="83" t="s">
        <v>24</v>
      </c>
      <c r="EY11" s="83"/>
      <c r="EZ11" s="83"/>
      <c r="FA11" s="83"/>
      <c r="FB11" s="83" t="s">
        <v>151</v>
      </c>
      <c r="FC11" s="142">
        <f>B216</f>
        <v>2.1999999999999999E-2</v>
      </c>
      <c r="FD11" s="52" t="s">
        <v>246</v>
      </c>
      <c r="FE11" s="83" t="s">
        <v>151</v>
      </c>
      <c r="FF11" s="142">
        <f>B216</f>
        <v>2.1999999999999999E-2</v>
      </c>
      <c r="FG11" s="52" t="s">
        <v>246</v>
      </c>
      <c r="FH11" s="83" t="s">
        <v>151</v>
      </c>
      <c r="FI11" s="142">
        <f>B216</f>
        <v>2.1999999999999999E-2</v>
      </c>
      <c r="FJ11" s="52" t="s">
        <v>246</v>
      </c>
      <c r="FK11" s="83" t="s">
        <v>456</v>
      </c>
      <c r="FL11" s="150">
        <f>B168</f>
        <v>350</v>
      </c>
      <c r="FM11" s="83" t="s">
        <v>24</v>
      </c>
      <c r="FN11" s="83"/>
      <c r="FO11" s="83"/>
      <c r="FP11" s="83"/>
      <c r="FQ11" s="95"/>
      <c r="FR11" s="176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B168</f>
        <v>350</v>
      </c>
      <c r="GB11" s="83" t="s">
        <v>24</v>
      </c>
      <c r="GC11" s="83"/>
      <c r="GD11" s="83"/>
      <c r="GE11" s="83"/>
      <c r="GF11" s="83" t="s">
        <v>487</v>
      </c>
      <c r="GG11" s="142">
        <f>B221</f>
        <v>2.1999999999999999E-2</v>
      </c>
      <c r="GH11" s="52" t="s">
        <v>246</v>
      </c>
      <c r="GI11" s="83" t="s">
        <v>487</v>
      </c>
      <c r="GJ11" s="142">
        <f>B221</f>
        <v>2.1999999999999999E-2</v>
      </c>
      <c r="GK11" s="52" t="s">
        <v>246</v>
      </c>
      <c r="GL11" s="83" t="s">
        <v>487</v>
      </c>
      <c r="GM11" s="142">
        <f>B221</f>
        <v>2.1999999999999999E-2</v>
      </c>
      <c r="GN11" s="52" t="s">
        <v>246</v>
      </c>
      <c r="GO11" s="83" t="s">
        <v>456</v>
      </c>
      <c r="GP11" s="150">
        <f>B168</f>
        <v>350</v>
      </c>
      <c r="GQ11" s="83" t="s">
        <v>24</v>
      </c>
      <c r="GR11" s="83"/>
      <c r="GS11" s="83"/>
      <c r="GT11" s="83"/>
      <c r="GU11" s="83" t="s">
        <v>491</v>
      </c>
      <c r="GV11" s="142">
        <f>B226</f>
        <v>0.37</v>
      </c>
      <c r="GW11" s="52" t="s">
        <v>246</v>
      </c>
      <c r="GX11" s="83" t="s">
        <v>491</v>
      </c>
      <c r="GY11" s="142">
        <f>B226</f>
        <v>0.37</v>
      </c>
      <c r="GZ11" s="52" t="s">
        <v>246</v>
      </c>
      <c r="HA11" s="83" t="s">
        <v>491</v>
      </c>
      <c r="HB11" s="142">
        <f>B226</f>
        <v>0.37</v>
      </c>
      <c r="HC11" s="52" t="s">
        <v>246</v>
      </c>
      <c r="HD11" s="84" t="s">
        <v>42</v>
      </c>
      <c r="HE11" s="150">
        <f>B84</f>
        <v>1.5</v>
      </c>
    </row>
    <row r="12" spans="1:214" x14ac:dyDescent="0.2">
      <c r="A12" s="83" t="s">
        <v>253</v>
      </c>
      <c r="B12" s="183">
        <v>1.92404</v>
      </c>
      <c r="C12" s="83" t="s">
        <v>351</v>
      </c>
      <c r="D12" s="83" t="s">
        <v>43</v>
      </c>
      <c r="E12" s="140">
        <f>((E15/E16)*E23*E13*E25)+((E15/E16)*E24*E14*E26)</f>
        <v>6195</v>
      </c>
      <c r="F12" s="52" t="s">
        <v>426</v>
      </c>
      <c r="G12" s="83" t="s">
        <v>266</v>
      </c>
      <c r="H12" s="144">
        <f>(H5/(H8*(1/H43)*H21))</f>
        <v>1.1157023994157487</v>
      </c>
      <c r="I12" s="92" t="s">
        <v>11</v>
      </c>
      <c r="J12" s="83" t="s">
        <v>22</v>
      </c>
      <c r="K12" s="137">
        <f>0.693/K13</f>
        <v>4.3312499999999997E-4</v>
      </c>
      <c r="M12" s="52" t="s">
        <v>300</v>
      </c>
      <c r="N12" s="138">
        <f>B62</f>
        <v>1</v>
      </c>
      <c r="P12" s="52" t="s">
        <v>300</v>
      </c>
      <c r="Q12" s="138">
        <f>B62</f>
        <v>1</v>
      </c>
      <c r="S12" s="52" t="s">
        <v>300</v>
      </c>
      <c r="T12" s="138">
        <f>B62</f>
        <v>1</v>
      </c>
      <c r="V12" s="52" t="s">
        <v>44</v>
      </c>
      <c r="W12" s="150">
        <f>B262</f>
        <v>8</v>
      </c>
      <c r="X12" s="84" t="s">
        <v>194</v>
      </c>
      <c r="Y12" s="52" t="s">
        <v>44</v>
      </c>
      <c r="Z12" s="150">
        <f>B239</f>
        <v>8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B274</f>
        <v>8</v>
      </c>
      <c r="AG12" s="150">
        <f>B297</f>
        <v>8</v>
      </c>
      <c r="AH12" s="83" t="s">
        <v>194</v>
      </c>
      <c r="AI12" s="52" t="s">
        <v>300</v>
      </c>
      <c r="AJ12" s="138">
        <f>B235</f>
        <v>1</v>
      </c>
      <c r="AL12" s="52" t="s">
        <v>300</v>
      </c>
      <c r="AM12" s="138">
        <f>B235</f>
        <v>1</v>
      </c>
      <c r="AO12" s="52" t="s">
        <v>300</v>
      </c>
      <c r="AP12" s="138">
        <f>B247</f>
        <v>1</v>
      </c>
      <c r="AR12" s="52" t="s">
        <v>300</v>
      </c>
      <c r="AS12" s="138">
        <f>B259</f>
        <v>1</v>
      </c>
      <c r="AU12" s="52" t="s">
        <v>300</v>
      </c>
      <c r="AV12" s="138">
        <f>B259</f>
        <v>1</v>
      </c>
      <c r="AX12" s="52" t="s">
        <v>300</v>
      </c>
      <c r="AY12" s="138">
        <f>B259</f>
        <v>1</v>
      </c>
      <c r="BA12" s="52" t="s">
        <v>300</v>
      </c>
      <c r="BB12" s="138">
        <f>B235</f>
        <v>1</v>
      </c>
      <c r="BD12" s="52" t="s">
        <v>300</v>
      </c>
      <c r="BE12" s="138">
        <f>B235</f>
        <v>1</v>
      </c>
      <c r="BG12" s="52" t="s">
        <v>300</v>
      </c>
      <c r="BH12" s="138">
        <f>B235</f>
        <v>1</v>
      </c>
      <c r="BJ12" s="52" t="s">
        <v>158</v>
      </c>
      <c r="BK12" s="138">
        <f>B268</f>
        <v>1</v>
      </c>
      <c r="BL12" s="52" t="s">
        <v>146</v>
      </c>
      <c r="BM12" s="52" t="s">
        <v>158</v>
      </c>
      <c r="BN12" s="138">
        <f>B268</f>
        <v>1</v>
      </c>
      <c r="BO12" s="52" t="s">
        <v>146</v>
      </c>
      <c r="BP12" s="52" t="s">
        <v>158</v>
      </c>
      <c r="BQ12" s="138">
        <f>B268</f>
        <v>1</v>
      </c>
      <c r="BR12" s="52" t="s">
        <v>146</v>
      </c>
      <c r="BS12" s="83" t="s">
        <v>430</v>
      </c>
      <c r="BT12" s="141">
        <f>B94</f>
        <v>20</v>
      </c>
      <c r="BU12" s="92" t="s">
        <v>407</v>
      </c>
      <c r="BV12" s="83" t="s">
        <v>266</v>
      </c>
      <c r="BW12" s="145">
        <f>(BW5/(BW8*(1/BW29)*BW16))*BW32*BW33*BW34</f>
        <v>5.8951786042180577E-9</v>
      </c>
      <c r="BX12" s="92" t="s">
        <v>13</v>
      </c>
      <c r="BY12" s="91" t="s">
        <v>231</v>
      </c>
      <c r="BZ12" s="136">
        <f>B18</f>
        <v>1600</v>
      </c>
      <c r="CA12" s="52" t="s">
        <v>60</v>
      </c>
      <c r="CB12" s="52" t="s">
        <v>413</v>
      </c>
      <c r="CC12" s="138">
        <f>B119</f>
        <v>0.753</v>
      </c>
      <c r="CE12" s="52" t="s">
        <v>414</v>
      </c>
      <c r="CF12" s="138">
        <f>B121</f>
        <v>0.74299999999999999</v>
      </c>
      <c r="CH12" s="52" t="s">
        <v>416</v>
      </c>
      <c r="CI12" s="138">
        <f>B125</f>
        <v>0.66200000000000003</v>
      </c>
      <c r="CN12" s="84" t="s">
        <v>162</v>
      </c>
      <c r="CO12" s="162">
        <f>B131</f>
        <v>1</v>
      </c>
      <c r="CP12" s="52" t="s">
        <v>41</v>
      </c>
      <c r="CT12" s="83" t="s">
        <v>22</v>
      </c>
      <c r="CU12" s="137">
        <f>0.693/CU13</f>
        <v>4.3312499999999997E-4</v>
      </c>
      <c r="CW12" s="83" t="s">
        <v>506</v>
      </c>
      <c r="CX12" s="140">
        <f>((CX16/24)*CX23*CX13*CX25)+((CX15/24)*CX24*CX14*CX26)</f>
        <v>6475</v>
      </c>
      <c r="CY12" s="52" t="s">
        <v>426</v>
      </c>
      <c r="CZ12" s="91" t="s">
        <v>231</v>
      </c>
      <c r="DA12" s="136">
        <f>B18</f>
        <v>1600</v>
      </c>
      <c r="DB12" s="52" t="s">
        <v>60</v>
      </c>
      <c r="DC12" s="83" t="s">
        <v>467</v>
      </c>
      <c r="DD12" s="146">
        <f>B149</f>
        <v>68.099999999999994</v>
      </c>
      <c r="DE12" s="92" t="s">
        <v>221</v>
      </c>
      <c r="DF12" s="92" t="s">
        <v>52</v>
      </c>
      <c r="DG12" s="138">
        <f>B195</f>
        <v>10950</v>
      </c>
      <c r="DH12" s="52" t="s">
        <v>53</v>
      </c>
      <c r="DI12" s="84" t="s">
        <v>16</v>
      </c>
      <c r="DJ12" s="137">
        <f>(DJ9*DJ10)/(1-EXP(-DJ10*DJ9))</f>
        <v>1.0002165781331087</v>
      </c>
      <c r="DL12" s="92"/>
      <c r="DO12" s="92" t="s">
        <v>52</v>
      </c>
      <c r="DP12" s="138">
        <f>B195</f>
        <v>10950</v>
      </c>
      <c r="DQ12" s="52" t="s">
        <v>53</v>
      </c>
      <c r="DR12" s="83" t="s">
        <v>465</v>
      </c>
      <c r="DS12" s="150">
        <f>B168</f>
        <v>350</v>
      </c>
      <c r="DT12" s="83" t="s">
        <v>24</v>
      </c>
      <c r="DU12" s="92"/>
      <c r="DX12" s="83" t="s">
        <v>500</v>
      </c>
      <c r="DY12" s="138">
        <f>B207</f>
        <v>1</v>
      </c>
      <c r="EA12" s="83" t="s">
        <v>500</v>
      </c>
      <c r="EB12" s="138">
        <f>B207</f>
        <v>1</v>
      </c>
      <c r="EC12" s="84"/>
      <c r="ED12" s="83" t="s">
        <v>500</v>
      </c>
      <c r="EE12" s="138">
        <f>B207</f>
        <v>1</v>
      </c>
      <c r="EF12" s="84"/>
      <c r="EG12" s="83" t="s">
        <v>465</v>
      </c>
      <c r="EH12" s="150">
        <f>B168</f>
        <v>350</v>
      </c>
      <c r="EI12" s="83" t="s">
        <v>24</v>
      </c>
      <c r="EJ12" s="92"/>
      <c r="EM12" s="83" t="s">
        <v>496</v>
      </c>
      <c r="EN12" s="138">
        <f>B212</f>
        <v>1</v>
      </c>
      <c r="EP12" s="83" t="s">
        <v>496</v>
      </c>
      <c r="EQ12" s="138">
        <f>B212</f>
        <v>1</v>
      </c>
      <c r="ER12" s="84"/>
      <c r="ES12" s="83" t="s">
        <v>496</v>
      </c>
      <c r="ET12" s="138">
        <f>B212</f>
        <v>1</v>
      </c>
      <c r="EU12" s="84"/>
      <c r="EV12" s="83" t="s">
        <v>465</v>
      </c>
      <c r="EW12" s="150">
        <f>B168</f>
        <v>350</v>
      </c>
      <c r="EX12" s="83" t="s">
        <v>24</v>
      </c>
      <c r="EY12" s="83"/>
      <c r="EZ12" s="83"/>
      <c r="FA12" s="83"/>
      <c r="FB12" s="83" t="s">
        <v>153</v>
      </c>
      <c r="FC12" s="164">
        <f>B217</f>
        <v>1</v>
      </c>
      <c r="FD12" s="83"/>
      <c r="FE12" s="83" t="s">
        <v>153</v>
      </c>
      <c r="FF12" s="164">
        <f>B217</f>
        <v>1</v>
      </c>
      <c r="FG12" s="83"/>
      <c r="FH12" s="83" t="s">
        <v>153</v>
      </c>
      <c r="FI12" s="164">
        <f>B217</f>
        <v>1</v>
      </c>
      <c r="FJ12" s="84"/>
      <c r="FK12" s="83" t="s">
        <v>465</v>
      </c>
      <c r="FL12" s="150">
        <f>B168</f>
        <v>350</v>
      </c>
      <c r="FM12" s="83" t="s">
        <v>24</v>
      </c>
      <c r="FN12" s="83"/>
      <c r="FO12" s="83"/>
      <c r="FP12" s="83"/>
      <c r="FQ12" s="88"/>
      <c r="FR12" s="88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B168</f>
        <v>350</v>
      </c>
      <c r="GB12" s="83" t="s">
        <v>24</v>
      </c>
      <c r="GC12" s="83"/>
      <c r="GD12" s="83"/>
      <c r="GE12" s="83"/>
      <c r="GF12" s="83" t="s">
        <v>488</v>
      </c>
      <c r="GG12" s="142">
        <f>B222</f>
        <v>1</v>
      </c>
      <c r="GH12" s="83"/>
      <c r="GI12" s="83" t="s">
        <v>488</v>
      </c>
      <c r="GJ12" s="142">
        <f>B222</f>
        <v>1</v>
      </c>
      <c r="GK12" s="83"/>
      <c r="GL12" s="83" t="s">
        <v>488</v>
      </c>
      <c r="GM12" s="142">
        <f>B222</f>
        <v>1</v>
      </c>
      <c r="GN12" s="84"/>
      <c r="GO12" s="83" t="s">
        <v>465</v>
      </c>
      <c r="GP12" s="150">
        <f>B168</f>
        <v>350</v>
      </c>
      <c r="GQ12" s="83" t="s">
        <v>24</v>
      </c>
      <c r="GR12" s="83"/>
      <c r="GS12" s="83"/>
      <c r="GT12" s="83"/>
      <c r="GU12" s="83" t="s">
        <v>492</v>
      </c>
      <c r="GV12" s="142">
        <f>B227</f>
        <v>1</v>
      </c>
      <c r="GW12" s="83"/>
      <c r="GX12" s="83" t="s">
        <v>492</v>
      </c>
      <c r="GY12" s="142">
        <f>B227</f>
        <v>1</v>
      </c>
      <c r="GZ12" s="83"/>
      <c r="HA12" s="83" t="s">
        <v>492</v>
      </c>
      <c r="HB12" s="142">
        <f>B227</f>
        <v>1</v>
      </c>
      <c r="HC12" s="84"/>
      <c r="HD12" s="84" t="s">
        <v>47</v>
      </c>
      <c r="HE12" s="163">
        <v>1</v>
      </c>
    </row>
    <row r="13" spans="1:214" x14ac:dyDescent="0.2">
      <c r="A13" s="83" t="s">
        <v>254</v>
      </c>
      <c r="B13" s="183">
        <v>5.52928</v>
      </c>
      <c r="C13" s="83" t="s">
        <v>351</v>
      </c>
      <c r="D13" s="83" t="s">
        <v>366</v>
      </c>
      <c r="E13" s="141">
        <f>B38</f>
        <v>10</v>
      </c>
      <c r="F13" s="92" t="s">
        <v>407</v>
      </c>
      <c r="G13" s="83" t="s">
        <v>263</v>
      </c>
      <c r="H13" s="144">
        <f>(H14/((1/H40)*(H48+H49+H50)))</f>
        <v>1.8829600845230001</v>
      </c>
      <c r="I13" s="92" t="s">
        <v>11</v>
      </c>
      <c r="J13" s="91" t="s">
        <v>231</v>
      </c>
      <c r="K13" s="136">
        <f>B18</f>
        <v>1600</v>
      </c>
      <c r="L13" s="52" t="s">
        <v>60</v>
      </c>
      <c r="M13" s="52" t="s">
        <v>54</v>
      </c>
      <c r="N13" s="138">
        <f>B63</f>
        <v>1</v>
      </c>
      <c r="P13" s="52" t="s">
        <v>54</v>
      </c>
      <c r="Q13" s="138">
        <f>B63</f>
        <v>1</v>
      </c>
      <c r="S13" s="52" t="s">
        <v>54</v>
      </c>
      <c r="T13" s="138">
        <f>B63</f>
        <v>1</v>
      </c>
      <c r="V13" s="52" t="s">
        <v>50</v>
      </c>
      <c r="W13" s="146">
        <f>B254</f>
        <v>60</v>
      </c>
      <c r="X13" s="84" t="s">
        <v>407</v>
      </c>
      <c r="Y13" s="52" t="s">
        <v>50</v>
      </c>
      <c r="Z13" s="146">
        <f>B230</f>
        <v>60</v>
      </c>
      <c r="AA13" s="84" t="s">
        <v>407</v>
      </c>
      <c r="AB13" s="83" t="s">
        <v>349</v>
      </c>
      <c r="AC13" s="146">
        <f>B233</f>
        <v>100</v>
      </c>
      <c r="AD13" s="146">
        <f>B245</f>
        <v>50</v>
      </c>
      <c r="AE13" s="146">
        <f>B257</f>
        <v>100</v>
      </c>
      <c r="AF13" s="146">
        <f>B269</f>
        <v>330</v>
      </c>
      <c r="AG13" s="146">
        <f>B293</f>
        <v>330</v>
      </c>
      <c r="AH13" s="52" t="s">
        <v>48</v>
      </c>
      <c r="AI13" s="52" t="s">
        <v>54</v>
      </c>
      <c r="AJ13" s="138">
        <f>B249</f>
        <v>1</v>
      </c>
      <c r="AL13" s="52" t="s">
        <v>54</v>
      </c>
      <c r="AM13" s="138">
        <f>B249</f>
        <v>1</v>
      </c>
      <c r="AO13" s="52" t="s">
        <v>54</v>
      </c>
      <c r="AP13" s="138">
        <f>B249</f>
        <v>1</v>
      </c>
      <c r="AR13" s="52" t="s">
        <v>54</v>
      </c>
      <c r="AS13" s="138">
        <f>B261</f>
        <v>1</v>
      </c>
      <c r="AU13" s="52" t="s">
        <v>54</v>
      </c>
      <c r="AV13" s="138">
        <f>B261</f>
        <v>1</v>
      </c>
      <c r="AX13" s="52" t="s">
        <v>54</v>
      </c>
      <c r="AY13" s="138">
        <f>B261</f>
        <v>1</v>
      </c>
      <c r="BA13" s="52" t="s">
        <v>54</v>
      </c>
      <c r="BB13" s="138">
        <f>B237</f>
        <v>1</v>
      </c>
      <c r="BD13" s="52" t="s">
        <v>54</v>
      </c>
      <c r="BE13" s="138">
        <f>B237</f>
        <v>1</v>
      </c>
      <c r="BG13" s="52" t="s">
        <v>54</v>
      </c>
      <c r="BH13" s="138">
        <f>B237</f>
        <v>1</v>
      </c>
      <c r="BJ13" s="52" t="s">
        <v>300</v>
      </c>
      <c r="BK13" s="136">
        <f>B279</f>
        <v>2.41E-4</v>
      </c>
      <c r="BM13" s="52" t="s">
        <v>300</v>
      </c>
      <c r="BN13" s="136">
        <f>B283</f>
        <v>1.17E-4</v>
      </c>
      <c r="BP13" s="52" t="s">
        <v>300</v>
      </c>
      <c r="BQ13" s="136">
        <f>B287</f>
        <v>2.2599999999999999E-4</v>
      </c>
      <c r="BS13" s="52" t="s">
        <v>431</v>
      </c>
      <c r="BT13" s="141">
        <f>B106</f>
        <v>1</v>
      </c>
      <c r="BU13" s="52" t="s">
        <v>194</v>
      </c>
      <c r="BV13" s="83" t="s">
        <v>440</v>
      </c>
      <c r="BW13" s="160">
        <f>((BW18*BW20*BW23*BW14*BW30)+(BW19*BW21*BW24*BW15*BW31))</f>
        <v>2.25</v>
      </c>
      <c r="BX13" s="83" t="s">
        <v>345</v>
      </c>
      <c r="BY13" s="83" t="s">
        <v>260</v>
      </c>
      <c r="BZ13" s="143">
        <f>((BZ5/(BZ6*BZ16*(1/BZ33)))*BZ10)*BZ12*BZ36*BZ37</f>
        <v>6.5281176592646865E-5</v>
      </c>
      <c r="CA13" s="92" t="s">
        <v>12</v>
      </c>
      <c r="CB13" s="52" t="s">
        <v>90</v>
      </c>
      <c r="CC13" s="138">
        <f>B108</f>
        <v>1</v>
      </c>
      <c r="CD13" s="52" t="s">
        <v>194</v>
      </c>
      <c r="CE13" s="52" t="s">
        <v>90</v>
      </c>
      <c r="CF13" s="138">
        <f>B108</f>
        <v>1</v>
      </c>
      <c r="CG13" s="52" t="s">
        <v>194</v>
      </c>
      <c r="CH13" s="52" t="s">
        <v>90</v>
      </c>
      <c r="CI13" s="138">
        <f>B108</f>
        <v>1</v>
      </c>
      <c r="CJ13" s="52" t="s">
        <v>194</v>
      </c>
      <c r="CN13" s="84" t="s">
        <v>163</v>
      </c>
      <c r="CO13" s="162">
        <f>B132</f>
        <v>1</v>
      </c>
      <c r="CP13" s="52" t="s">
        <v>41</v>
      </c>
      <c r="CT13" s="91" t="s">
        <v>231</v>
      </c>
      <c r="CU13" s="136">
        <f>B18</f>
        <v>1600</v>
      </c>
      <c r="CV13" s="52" t="s">
        <v>60</v>
      </c>
      <c r="CW13" s="83" t="s">
        <v>450</v>
      </c>
      <c r="CX13" s="141">
        <f>B147</f>
        <v>10</v>
      </c>
      <c r="CY13" s="92" t="s">
        <v>407</v>
      </c>
      <c r="CZ13" s="83" t="s">
        <v>260</v>
      </c>
      <c r="DA13" s="143">
        <f>(DA5/(DA6*DA24))*DA12*DA51*DA52</f>
        <v>7.6851517093537174E-10</v>
      </c>
      <c r="DB13" s="83" t="s">
        <v>13</v>
      </c>
      <c r="DC13" s="83" t="s">
        <v>468</v>
      </c>
      <c r="DD13" s="146">
        <f>B150</f>
        <v>176.8</v>
      </c>
      <c r="DE13" s="92" t="s">
        <v>221</v>
      </c>
      <c r="DF13" s="92" t="s">
        <v>55</v>
      </c>
      <c r="DG13" s="138">
        <f>B196</f>
        <v>240</v>
      </c>
      <c r="DH13" s="52" t="s">
        <v>56</v>
      </c>
      <c r="DI13" s="95"/>
      <c r="DJ13" s="176"/>
      <c r="DL13" s="92"/>
      <c r="DO13" s="92" t="s">
        <v>55</v>
      </c>
      <c r="DP13" s="138">
        <f>B196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B208</f>
        <v>1</v>
      </c>
      <c r="EA13" s="83" t="s">
        <v>501</v>
      </c>
      <c r="EB13" s="138">
        <f>B208</f>
        <v>1</v>
      </c>
      <c r="EC13" s="84"/>
      <c r="ED13" s="83" t="s">
        <v>501</v>
      </c>
      <c r="EE13" s="138">
        <f>B208</f>
        <v>1</v>
      </c>
      <c r="EF13" s="84"/>
      <c r="EG13" s="83" t="s">
        <v>363</v>
      </c>
      <c r="EH13" s="150">
        <f>B170</f>
        <v>1</v>
      </c>
      <c r="EI13" s="84" t="s">
        <v>60</v>
      </c>
      <c r="EJ13" s="92"/>
      <c r="EM13" s="83" t="s">
        <v>497</v>
      </c>
      <c r="EN13" s="138">
        <f>B213</f>
        <v>1</v>
      </c>
      <c r="EP13" s="83" t="s">
        <v>497</v>
      </c>
      <c r="EQ13" s="138">
        <f>B213</f>
        <v>1</v>
      </c>
      <c r="ER13" s="84"/>
      <c r="ES13" s="83" t="s">
        <v>497</v>
      </c>
      <c r="ET13" s="138">
        <f>B213</f>
        <v>1</v>
      </c>
      <c r="EU13" s="84"/>
      <c r="EV13" s="83" t="s">
        <v>363</v>
      </c>
      <c r="EW13" s="150">
        <f>B170</f>
        <v>1</v>
      </c>
      <c r="EX13" s="84" t="s">
        <v>60</v>
      </c>
      <c r="EY13" s="83"/>
      <c r="EZ13" s="83"/>
      <c r="FA13" s="83"/>
      <c r="FB13" s="83" t="s">
        <v>154</v>
      </c>
      <c r="FC13" s="164">
        <f>B218</f>
        <v>1</v>
      </c>
      <c r="FD13" s="83"/>
      <c r="FE13" s="83" t="s">
        <v>154</v>
      </c>
      <c r="FF13" s="164">
        <f>B218</f>
        <v>1</v>
      </c>
      <c r="FG13" s="83"/>
      <c r="FH13" s="83" t="s">
        <v>154</v>
      </c>
      <c r="FI13" s="164">
        <f>B218</f>
        <v>1</v>
      </c>
      <c r="FJ13" s="84"/>
      <c r="FK13" s="83" t="s">
        <v>363</v>
      </c>
      <c r="FL13" s="141">
        <f>B170</f>
        <v>1</v>
      </c>
      <c r="FM13" s="92" t="s">
        <v>60</v>
      </c>
      <c r="FN13" s="83"/>
      <c r="FO13" s="83"/>
      <c r="FP13" s="83"/>
      <c r="FQ13" s="88"/>
      <c r="FR13" s="88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B170</f>
        <v>1</v>
      </c>
      <c r="GB13" s="92" t="s">
        <v>60</v>
      </c>
      <c r="GC13" s="83"/>
      <c r="GD13" s="83"/>
      <c r="GE13" s="83"/>
      <c r="GF13" s="83" t="s">
        <v>489</v>
      </c>
      <c r="GG13" s="142">
        <f>B223</f>
        <v>1</v>
      </c>
      <c r="GH13" s="83"/>
      <c r="GI13" s="83" t="s">
        <v>489</v>
      </c>
      <c r="GJ13" s="142">
        <f>B223</f>
        <v>1</v>
      </c>
      <c r="GK13" s="83"/>
      <c r="GL13" s="83" t="s">
        <v>489</v>
      </c>
      <c r="GM13" s="142">
        <f>B223</f>
        <v>1</v>
      </c>
      <c r="GN13" s="84"/>
      <c r="GO13" s="83" t="s">
        <v>363</v>
      </c>
      <c r="GP13" s="141">
        <f>B170</f>
        <v>1</v>
      </c>
      <c r="GQ13" s="92" t="s">
        <v>60</v>
      </c>
      <c r="GR13" s="83"/>
      <c r="GS13" s="83"/>
      <c r="GT13" s="83"/>
      <c r="GU13" s="83" t="s">
        <v>493</v>
      </c>
      <c r="GV13" s="142">
        <f>B228</f>
        <v>1</v>
      </c>
      <c r="GW13" s="83"/>
      <c r="GX13" s="83" t="s">
        <v>493</v>
      </c>
      <c r="GY13" s="142">
        <f>B228</f>
        <v>1</v>
      </c>
      <c r="GZ13" s="83"/>
      <c r="HA13" s="83" t="s">
        <v>493</v>
      </c>
      <c r="HB13" s="142">
        <f>B228</f>
        <v>1</v>
      </c>
      <c r="HC13" s="84"/>
      <c r="HD13" s="84" t="s">
        <v>59</v>
      </c>
      <c r="HE13" s="150">
        <f>B33</f>
        <v>1</v>
      </c>
    </row>
    <row r="14" spans="1:214" x14ac:dyDescent="0.2">
      <c r="A14" s="83" t="s">
        <v>255</v>
      </c>
      <c r="B14" s="183">
        <v>8.8356399999999997</v>
      </c>
      <c r="C14" s="83" t="s">
        <v>351</v>
      </c>
      <c r="D14" s="83" t="s">
        <v>367</v>
      </c>
      <c r="E14" s="141">
        <f>B39</f>
        <v>20</v>
      </c>
      <c r="F14" s="92" t="s">
        <v>407</v>
      </c>
      <c r="G14" s="83" t="s">
        <v>264</v>
      </c>
      <c r="H14" s="145">
        <f>(H5/(H9*(H22+H25)*H41))</f>
        <v>2.5241149038583714E-2</v>
      </c>
      <c r="I14" s="92" t="s">
        <v>10</v>
      </c>
      <c r="J14" s="83" t="s">
        <v>260</v>
      </c>
      <c r="K14" s="143">
        <f>((K5/(K6*K19*(1/K46)))*K11)</f>
        <v>13.836992727642293</v>
      </c>
      <c r="L14" s="92" t="s">
        <v>10</v>
      </c>
      <c r="M14" s="52" t="s">
        <v>408</v>
      </c>
      <c r="N14" s="150">
        <f>B78</f>
        <v>1.752</v>
      </c>
      <c r="O14" s="52" t="s">
        <v>194</v>
      </c>
      <c r="P14" s="52" t="s">
        <v>408</v>
      </c>
      <c r="Q14" s="150">
        <f>B78</f>
        <v>1.752</v>
      </c>
      <c r="R14" s="52" t="s">
        <v>194</v>
      </c>
      <c r="S14" s="52" t="s">
        <v>408</v>
      </c>
      <c r="T14" s="150">
        <f>B78</f>
        <v>1.752</v>
      </c>
      <c r="U14" s="52" t="s">
        <v>194</v>
      </c>
      <c r="V14" s="83" t="s">
        <v>256</v>
      </c>
      <c r="W14" s="136">
        <f>B15</f>
        <v>15429.68</v>
      </c>
      <c r="X14" s="83" t="s">
        <v>343</v>
      </c>
      <c r="Y14" s="83" t="s">
        <v>256</v>
      </c>
      <c r="Z14" s="136">
        <f>B15</f>
        <v>15429.68</v>
      </c>
      <c r="AA14" s="83" t="s">
        <v>343</v>
      </c>
      <c r="AB14" s="83" t="s">
        <v>300</v>
      </c>
      <c r="AC14" s="141">
        <f>B235</f>
        <v>1</v>
      </c>
      <c r="AD14" s="141">
        <f>B247</f>
        <v>1</v>
      </c>
      <c r="AE14" s="141">
        <f>B259</f>
        <v>1</v>
      </c>
      <c r="AF14" s="141">
        <f>B279</f>
        <v>2.41E-4</v>
      </c>
      <c r="AG14" s="141">
        <f>B279</f>
        <v>2.41E-4</v>
      </c>
      <c r="AH14" s="92"/>
      <c r="AI14" s="52" t="s">
        <v>57</v>
      </c>
      <c r="AJ14" s="136">
        <f>B250</f>
        <v>0</v>
      </c>
      <c r="AK14" s="52" t="s">
        <v>194</v>
      </c>
      <c r="AL14" s="52" t="s">
        <v>57</v>
      </c>
      <c r="AM14" s="136">
        <f>B250</f>
        <v>0</v>
      </c>
      <c r="AN14" s="52" t="s">
        <v>194</v>
      </c>
      <c r="AO14" s="52" t="s">
        <v>57</v>
      </c>
      <c r="AP14" s="136">
        <f>B250</f>
        <v>0</v>
      </c>
      <c r="AQ14" s="52" t="s">
        <v>194</v>
      </c>
      <c r="AR14" s="52" t="s">
        <v>57</v>
      </c>
      <c r="AS14" s="136">
        <f>B262</f>
        <v>8</v>
      </c>
      <c r="AT14" s="52" t="s">
        <v>194</v>
      </c>
      <c r="AU14" s="52" t="s">
        <v>57</v>
      </c>
      <c r="AV14" s="136">
        <f>B262</f>
        <v>8</v>
      </c>
      <c r="AW14" s="52" t="s">
        <v>194</v>
      </c>
      <c r="AX14" s="52" t="s">
        <v>57</v>
      </c>
      <c r="AY14" s="136">
        <f>B262</f>
        <v>8</v>
      </c>
      <c r="AZ14" s="52" t="s">
        <v>194</v>
      </c>
      <c r="BA14" s="52" t="s">
        <v>57</v>
      </c>
      <c r="BB14" s="136">
        <f>B238</f>
        <v>8</v>
      </c>
      <c r="BC14" s="52" t="s">
        <v>194</v>
      </c>
      <c r="BD14" s="52" t="s">
        <v>57</v>
      </c>
      <c r="BE14" s="136">
        <f>B238</f>
        <v>8</v>
      </c>
      <c r="BF14" s="52" t="s">
        <v>194</v>
      </c>
      <c r="BG14" s="52" t="s">
        <v>58</v>
      </c>
      <c r="BH14" s="136">
        <f>B238</f>
        <v>8</v>
      </c>
      <c r="BI14" s="52" t="s">
        <v>194</v>
      </c>
      <c r="BJ14" s="52" t="s">
        <v>413</v>
      </c>
      <c r="BK14" s="136">
        <f>B280</f>
        <v>0.753</v>
      </c>
      <c r="BM14" s="52" t="s">
        <v>414</v>
      </c>
      <c r="BN14" s="136">
        <f>B284</f>
        <v>0.74299999999999999</v>
      </c>
      <c r="BP14" s="52" t="s">
        <v>416</v>
      </c>
      <c r="BQ14" s="136">
        <f>B288</f>
        <v>0.66200000000000003</v>
      </c>
      <c r="BS14" s="52" t="s">
        <v>432</v>
      </c>
      <c r="BT14" s="141">
        <f>B107</f>
        <v>1</v>
      </c>
      <c r="BU14" s="52" t="s">
        <v>194</v>
      </c>
      <c r="BV14" s="83" t="s">
        <v>439</v>
      </c>
      <c r="BW14" s="146">
        <f>B95</f>
        <v>0.05</v>
      </c>
      <c r="BX14" s="83" t="s">
        <v>357</v>
      </c>
      <c r="BY14" s="83" t="s">
        <v>261</v>
      </c>
      <c r="BZ14" s="144">
        <f>((BZ5/(BZ7*BZ17*(1/BZ9)*BZ32))*BZ10)*BZ12*BZ36*BZ37</f>
        <v>0.65321331910904912</v>
      </c>
      <c r="CA14" s="92" t="s">
        <v>12</v>
      </c>
      <c r="CB14" s="52" t="s">
        <v>412</v>
      </c>
      <c r="CC14" s="139">
        <f>B10</f>
        <v>10.423439999999999</v>
      </c>
      <c r="CD14" s="84" t="s">
        <v>353</v>
      </c>
      <c r="CE14" s="52" t="s">
        <v>415</v>
      </c>
      <c r="CF14" s="139">
        <f>B12</f>
        <v>1.92404</v>
      </c>
      <c r="CG14" s="84" t="s">
        <v>353</v>
      </c>
      <c r="CH14" s="52" t="s">
        <v>417</v>
      </c>
      <c r="CI14" s="139">
        <f>B14</f>
        <v>8.8356399999999997</v>
      </c>
      <c r="CJ14" s="84" t="s">
        <v>353</v>
      </c>
      <c r="CK14" s="84"/>
      <c r="CL14" s="84"/>
      <c r="CM14" s="84"/>
      <c r="CN14" s="52" t="s">
        <v>95</v>
      </c>
      <c r="CO14" s="164">
        <f>B117</f>
        <v>1</v>
      </c>
      <c r="CQ14" s="84"/>
      <c r="CR14" s="84"/>
      <c r="CS14" s="84"/>
      <c r="CT14" s="83" t="s">
        <v>260</v>
      </c>
      <c r="CU14" s="143">
        <f>((CU5/(CU6*CU25*(1/CU46)))*CU11)*CU13*CU49*CU50</f>
        <v>1.4961959107258818E-5</v>
      </c>
      <c r="CV14" s="92" t="s">
        <v>12</v>
      </c>
      <c r="CW14" s="83" t="s">
        <v>459</v>
      </c>
      <c r="CX14" s="141">
        <f>B148</f>
        <v>20</v>
      </c>
      <c r="CY14" s="92" t="s">
        <v>407</v>
      </c>
      <c r="CZ14" s="83" t="s">
        <v>261</v>
      </c>
      <c r="DA14" s="144">
        <f>(DA5/(DA7*DA25*DA45))*DA12*DA51*DA52</f>
        <v>8.2213051108559885E-12</v>
      </c>
      <c r="DB14" s="83" t="s">
        <v>13</v>
      </c>
      <c r="DC14" s="83" t="s">
        <v>465</v>
      </c>
      <c r="DD14" s="146">
        <f>B168</f>
        <v>350</v>
      </c>
      <c r="DE14" s="83" t="s">
        <v>24</v>
      </c>
      <c r="DF14" s="92" t="s">
        <v>393</v>
      </c>
      <c r="DG14" s="138">
        <f>B35</f>
        <v>0.26</v>
      </c>
      <c r="DL14" s="92"/>
      <c r="DO14" s="92" t="s">
        <v>393</v>
      </c>
      <c r="DP14" s="138">
        <f>B35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B204</f>
        <v>1.03</v>
      </c>
      <c r="DZ14" s="52" t="s">
        <v>286</v>
      </c>
      <c r="EA14" s="52" t="s">
        <v>518</v>
      </c>
      <c r="EB14" s="146">
        <f>B204</f>
        <v>1.03</v>
      </c>
      <c r="EC14" s="52" t="s">
        <v>286</v>
      </c>
      <c r="ED14" s="92" t="s">
        <v>392</v>
      </c>
      <c r="EE14" s="163">
        <f>B36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B170</f>
        <v>1</v>
      </c>
      <c r="EP14" s="95"/>
      <c r="EQ14" s="176"/>
      <c r="ER14" s="84"/>
      <c r="ES14" s="92" t="s">
        <v>392</v>
      </c>
      <c r="ET14" s="163">
        <f>B36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B170</f>
        <v>1</v>
      </c>
      <c r="FE14" s="95"/>
      <c r="FF14" s="176"/>
      <c r="FG14" s="83"/>
      <c r="FH14" s="83" t="s">
        <v>392</v>
      </c>
      <c r="FI14" s="142">
        <f>B36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88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B170</f>
        <v>1</v>
      </c>
      <c r="GI14" s="95"/>
      <c r="GJ14" s="176"/>
      <c r="GK14" s="83"/>
      <c r="GL14" s="83" t="s">
        <v>392</v>
      </c>
      <c r="GM14" s="142">
        <f>B36</f>
        <v>0.25</v>
      </c>
      <c r="GN14" s="84"/>
      <c r="GO14" s="92" t="s">
        <v>484</v>
      </c>
      <c r="GP14" s="146">
        <f>B192</f>
        <v>1</v>
      </c>
      <c r="GR14" s="83"/>
      <c r="GS14" s="83"/>
      <c r="GT14" s="83"/>
      <c r="GU14" s="52" t="s">
        <v>350</v>
      </c>
      <c r="GV14" s="164">
        <f>B170</f>
        <v>1</v>
      </c>
      <c r="GX14" s="95"/>
      <c r="GY14" s="176"/>
      <c r="GZ14" s="83"/>
      <c r="HA14" s="83" t="s">
        <v>392</v>
      </c>
      <c r="HB14" s="142">
        <f>B36</f>
        <v>0.25</v>
      </c>
      <c r="HC14" s="84"/>
      <c r="HD14" s="52" t="s">
        <v>225</v>
      </c>
      <c r="HE14" s="138">
        <v>1</v>
      </c>
    </row>
    <row r="15" spans="1:214" x14ac:dyDescent="0.2">
      <c r="A15" s="83" t="s">
        <v>256</v>
      </c>
      <c r="B15" s="183">
        <v>15429.68</v>
      </c>
      <c r="C15" s="83" t="s">
        <v>351</v>
      </c>
      <c r="D15" s="52" t="s">
        <v>384</v>
      </c>
      <c r="E15" s="138">
        <f>B59</f>
        <v>24</v>
      </c>
      <c r="F15" s="52" t="s">
        <v>194</v>
      </c>
      <c r="G15" s="83" t="s">
        <v>395</v>
      </c>
      <c r="H15" s="147">
        <f>(H29*H17*H68)+(H30*H18*H69)</f>
        <v>736.54</v>
      </c>
      <c r="I15" s="83" t="s">
        <v>345</v>
      </c>
      <c r="J15" s="83" t="s">
        <v>261</v>
      </c>
      <c r="K15" s="144">
        <f>((K5/(K7*K20*(1/K10)*K45))*K11)</f>
        <v>5768.9600189749781</v>
      </c>
      <c r="L15" s="92" t="s">
        <v>10</v>
      </c>
      <c r="M15" s="52" t="s">
        <v>412</v>
      </c>
      <c r="N15" s="139">
        <f>B10</f>
        <v>10.423439999999999</v>
      </c>
      <c r="O15" s="84" t="s">
        <v>353</v>
      </c>
      <c r="P15" s="52" t="s">
        <v>415</v>
      </c>
      <c r="Q15" s="139">
        <f>B12</f>
        <v>1.92404</v>
      </c>
      <c r="R15" s="84" t="s">
        <v>353</v>
      </c>
      <c r="S15" s="52" t="s">
        <v>417</v>
      </c>
      <c r="T15" s="139">
        <f>B14</f>
        <v>8.8356399999999997</v>
      </c>
      <c r="U15" s="84" t="s">
        <v>353</v>
      </c>
      <c r="V15" s="83" t="s">
        <v>301</v>
      </c>
      <c r="W15" s="142">
        <f>B258</f>
        <v>1</v>
      </c>
      <c r="Y15" s="83" t="s">
        <v>301</v>
      </c>
      <c r="Z15" s="142">
        <f>B234</f>
        <v>1</v>
      </c>
      <c r="AB15" s="83" t="s">
        <v>232</v>
      </c>
      <c r="AC15" s="141">
        <f>B230</f>
        <v>60</v>
      </c>
      <c r="AD15" s="141">
        <f>B242</f>
        <v>60</v>
      </c>
      <c r="AE15" s="141">
        <f>B254</f>
        <v>60</v>
      </c>
      <c r="AF15" s="141">
        <f>B266</f>
        <v>60</v>
      </c>
      <c r="AG15" s="141">
        <f>B290</f>
        <v>60</v>
      </c>
      <c r="AH15" s="92" t="s">
        <v>407</v>
      </c>
      <c r="AI15" s="52" t="s">
        <v>412</v>
      </c>
      <c r="AJ15" s="139">
        <f>B10</f>
        <v>10.423439999999999</v>
      </c>
      <c r="AK15" s="84" t="s">
        <v>353</v>
      </c>
      <c r="AL15" s="52" t="s">
        <v>415</v>
      </c>
      <c r="AM15" s="139">
        <f>B12</f>
        <v>1.92404</v>
      </c>
      <c r="AN15" s="84" t="s">
        <v>353</v>
      </c>
      <c r="AO15" s="52" t="s">
        <v>417</v>
      </c>
      <c r="AP15" s="139">
        <f>B14</f>
        <v>8.8356399999999997</v>
      </c>
      <c r="AQ15" s="84" t="s">
        <v>353</v>
      </c>
      <c r="AR15" s="52" t="s">
        <v>412</v>
      </c>
      <c r="AS15" s="139">
        <f>B10</f>
        <v>10.423439999999999</v>
      </c>
      <c r="AT15" s="84" t="s">
        <v>353</v>
      </c>
      <c r="AU15" s="52" t="s">
        <v>415</v>
      </c>
      <c r="AV15" s="139">
        <f>B12</f>
        <v>1.92404</v>
      </c>
      <c r="AW15" s="84" t="s">
        <v>353</v>
      </c>
      <c r="AX15" s="52" t="s">
        <v>417</v>
      </c>
      <c r="AY15" s="139">
        <f>B14</f>
        <v>8.8356399999999997</v>
      </c>
      <c r="AZ15" s="84" t="s">
        <v>353</v>
      </c>
      <c r="BA15" s="52" t="s">
        <v>412</v>
      </c>
      <c r="BB15" s="139">
        <f>B10</f>
        <v>10.423439999999999</v>
      </c>
      <c r="BC15" s="84" t="s">
        <v>353</v>
      </c>
      <c r="BD15" s="52" t="s">
        <v>415</v>
      </c>
      <c r="BE15" s="139">
        <f>B12</f>
        <v>1.92404</v>
      </c>
      <c r="BF15" s="84" t="s">
        <v>353</v>
      </c>
      <c r="BG15" s="52" t="s">
        <v>417</v>
      </c>
      <c r="BH15" s="139">
        <f>B14</f>
        <v>8.8356399999999997</v>
      </c>
      <c r="BI15" s="84" t="s">
        <v>353</v>
      </c>
      <c r="BJ15" s="52" t="s">
        <v>57</v>
      </c>
      <c r="BK15" s="136">
        <f>B274</f>
        <v>8</v>
      </c>
      <c r="BL15" s="52" t="s">
        <v>194</v>
      </c>
      <c r="BM15" s="52" t="s">
        <v>57</v>
      </c>
      <c r="BN15" s="136">
        <f>B274</f>
        <v>8</v>
      </c>
      <c r="BO15" s="52" t="s">
        <v>194</v>
      </c>
      <c r="BP15" s="52" t="s">
        <v>57</v>
      </c>
      <c r="BQ15" s="136">
        <f>B274</f>
        <v>8</v>
      </c>
      <c r="BR15" s="52" t="s">
        <v>194</v>
      </c>
      <c r="BS15" s="52" t="s">
        <v>90</v>
      </c>
      <c r="BT15" s="138">
        <f>B108</f>
        <v>1</v>
      </c>
      <c r="BU15" s="52" t="s">
        <v>194</v>
      </c>
      <c r="BV15" s="83" t="s">
        <v>438</v>
      </c>
      <c r="BW15" s="146">
        <f>B96</f>
        <v>0.05</v>
      </c>
      <c r="BX15" s="83" t="s">
        <v>357</v>
      </c>
      <c r="BY15" s="83" t="s">
        <v>262</v>
      </c>
      <c r="BZ15" s="145">
        <f>(((BZ5)/(BZ8*BZ22*(1/BZ31)*BZ25*(1/24)*BZ28*BZ29))*BZ10)*BZ12*BZ36*BZ37</f>
        <v>6.2438617913456673E-2</v>
      </c>
      <c r="CA15" s="92" t="s">
        <v>12</v>
      </c>
      <c r="CB15" s="84" t="s">
        <v>295</v>
      </c>
      <c r="CC15" s="142">
        <f>B302</f>
        <v>226.025409</v>
      </c>
      <c r="CD15" s="84" t="s">
        <v>296</v>
      </c>
      <c r="CE15" s="84" t="s">
        <v>295</v>
      </c>
      <c r="CF15" s="142">
        <f>B302</f>
        <v>226.025409</v>
      </c>
      <c r="CG15" s="84" t="s">
        <v>296</v>
      </c>
      <c r="CH15" s="84" t="s">
        <v>295</v>
      </c>
      <c r="CI15" s="142">
        <f>B302</f>
        <v>226.025409</v>
      </c>
      <c r="CJ15" s="84" t="s">
        <v>296</v>
      </c>
      <c r="CN15" s="83" t="s">
        <v>22</v>
      </c>
      <c r="CO15" s="137">
        <f>0.693/CO16</f>
        <v>4.3312499999999997E-4</v>
      </c>
      <c r="CT15" s="83" t="s">
        <v>261</v>
      </c>
      <c r="CU15" s="144">
        <f>((CU5/(CU7*CU26*(1/CU10)*CU45))*CU11)*CU13*CU49*CU50</f>
        <v>5.580055863045448E-3</v>
      </c>
      <c r="CV15" s="92" t="s">
        <v>12</v>
      </c>
      <c r="CW15" s="52" t="s">
        <v>365</v>
      </c>
      <c r="CX15" s="138">
        <f>B172</f>
        <v>24</v>
      </c>
      <c r="CY15" s="52" t="s">
        <v>194</v>
      </c>
      <c r="CZ15" s="83" t="s">
        <v>266</v>
      </c>
      <c r="DA15" s="153">
        <f>(DA5/(DA8*DA26*(DA46/DA47)))*DA12*DA51*DA52</f>
        <v>1.1073068441607536E-9</v>
      </c>
      <c r="DB15" s="83" t="s">
        <v>13</v>
      </c>
      <c r="DC15" s="83" t="s">
        <v>456</v>
      </c>
      <c r="DD15" s="146">
        <f>B167</f>
        <v>350</v>
      </c>
      <c r="DE15" s="83" t="s">
        <v>24</v>
      </c>
      <c r="DF15" s="92" t="s">
        <v>61</v>
      </c>
      <c r="DG15" s="138">
        <f>B197</f>
        <v>0.42</v>
      </c>
      <c r="DH15" s="52" t="s">
        <v>41</v>
      </c>
      <c r="DL15" s="92"/>
      <c r="DO15" s="92" t="s">
        <v>61</v>
      </c>
      <c r="DP15" s="138">
        <f>B197</f>
        <v>0.42</v>
      </c>
      <c r="DQ15" s="52" t="s">
        <v>41</v>
      </c>
      <c r="DR15" s="92" t="s">
        <v>479</v>
      </c>
      <c r="DS15" s="146">
        <f>B187</f>
        <v>1</v>
      </c>
      <c r="DU15" s="92"/>
      <c r="DX15" s="52" t="s">
        <v>350</v>
      </c>
      <c r="DY15" s="164">
        <f>B170</f>
        <v>1</v>
      </c>
      <c r="EA15" s="95"/>
      <c r="EB15" s="176"/>
      <c r="EC15" s="84"/>
      <c r="ED15" s="83" t="s">
        <v>27</v>
      </c>
      <c r="EE15" s="142">
        <f>B203</f>
        <v>92</v>
      </c>
      <c r="EF15" s="83" t="s">
        <v>28</v>
      </c>
      <c r="EG15" s="92" t="s">
        <v>480</v>
      </c>
      <c r="EH15" s="146">
        <f>B188</f>
        <v>1</v>
      </c>
      <c r="EJ15" s="92"/>
      <c r="EM15" s="83" t="s">
        <v>22</v>
      </c>
      <c r="EN15" s="137">
        <f>0.693/EN16</f>
        <v>4.3312499999999997E-4</v>
      </c>
      <c r="EP15" s="92"/>
      <c r="EQ15" s="84"/>
      <c r="ER15" s="84"/>
      <c r="ES15" s="83" t="s">
        <v>29</v>
      </c>
      <c r="ET15" s="142">
        <f>B209</f>
        <v>53</v>
      </c>
      <c r="EU15" s="83" t="s">
        <v>28</v>
      </c>
      <c r="EV15" s="92" t="s">
        <v>481</v>
      </c>
      <c r="EW15" s="146">
        <f>B189</f>
        <v>1</v>
      </c>
      <c r="EY15" s="83"/>
      <c r="EZ15" s="83"/>
      <c r="FA15" s="83"/>
      <c r="FB15" s="83" t="s">
        <v>22</v>
      </c>
      <c r="FC15" s="137">
        <f>0.693/FC16</f>
        <v>4.3312499999999997E-4</v>
      </c>
      <c r="FE15" s="83"/>
      <c r="FF15" s="83"/>
      <c r="FG15" s="83"/>
      <c r="FH15" s="83" t="s">
        <v>148</v>
      </c>
      <c r="FI15" s="164">
        <f>B214</f>
        <v>0.4</v>
      </c>
      <c r="FJ15" s="83" t="s">
        <v>28</v>
      </c>
      <c r="FK15" s="92" t="s">
        <v>482</v>
      </c>
      <c r="FL15" s="146">
        <f>B190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B191</f>
        <v>1</v>
      </c>
      <c r="GC15" s="83"/>
      <c r="GD15" s="83"/>
      <c r="GE15" s="83"/>
      <c r="GF15" s="83" t="s">
        <v>22</v>
      </c>
      <c r="GG15" s="137">
        <f>0.693/GG16</f>
        <v>4.3312499999999997E-4</v>
      </c>
      <c r="GI15" s="83"/>
      <c r="GJ15" s="83"/>
      <c r="GK15" s="83"/>
      <c r="GL15" s="83" t="s">
        <v>149</v>
      </c>
      <c r="GM15" s="164">
        <f>B219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4.3312499999999997E-4</v>
      </c>
      <c r="GX15" s="83"/>
      <c r="GY15" s="83"/>
      <c r="GZ15" s="83"/>
      <c r="HA15" s="83" t="s">
        <v>150</v>
      </c>
      <c r="HB15" s="142">
        <f>B224</f>
        <v>11.4</v>
      </c>
      <c r="HC15" s="83" t="s">
        <v>28</v>
      </c>
      <c r="HD15" s="84"/>
    </row>
    <row r="16" spans="1:214" x14ac:dyDescent="0.2">
      <c r="A16" s="91" t="s">
        <v>257</v>
      </c>
      <c r="B16" s="183">
        <v>33.437199999999997</v>
      </c>
      <c r="C16" s="84" t="s">
        <v>259</v>
      </c>
      <c r="E16" s="138">
        <v>24</v>
      </c>
      <c r="F16" s="52" t="s">
        <v>194</v>
      </c>
      <c r="G16" s="83" t="s">
        <v>396</v>
      </c>
      <c r="H16" s="137">
        <f>(H29*H19*H68)+(H30*H20*H69)</f>
        <v>6195</v>
      </c>
      <c r="I16" s="83" t="s">
        <v>426</v>
      </c>
      <c r="J16" s="83" t="s">
        <v>262</v>
      </c>
      <c r="K16" s="144">
        <f>((K5/(K8*K42*((K37*K41*(1/K35))+(K38*K40*(1/K35)))*K32*(1/K44)*K33))*K11)</f>
        <v>0.28872157581809466</v>
      </c>
      <c r="L16" s="92" t="s">
        <v>10</v>
      </c>
      <c r="M16" s="52" t="s">
        <v>409</v>
      </c>
      <c r="N16" s="150">
        <f>B79</f>
        <v>16.416</v>
      </c>
      <c r="O16" s="52" t="s">
        <v>194</v>
      </c>
      <c r="P16" s="52" t="s">
        <v>409</v>
      </c>
      <c r="Q16" s="150">
        <f>B79</f>
        <v>16.416</v>
      </c>
      <c r="R16" s="52" t="s">
        <v>194</v>
      </c>
      <c r="S16" s="52" t="s">
        <v>409</v>
      </c>
      <c r="T16" s="150">
        <f>B79</f>
        <v>16.416</v>
      </c>
      <c r="U16" s="52" t="s">
        <v>194</v>
      </c>
      <c r="V16" s="52" t="s">
        <v>261</v>
      </c>
      <c r="W16" s="143">
        <f>((W5)/((W12/24)*W9*W10*W11*W13))*W8*W20*W21</f>
        <v>5.9147722880880595E-12</v>
      </c>
      <c r="X16" s="52" t="s">
        <v>15</v>
      </c>
      <c r="Y16" s="52" t="s">
        <v>261</v>
      </c>
      <c r="Z16" s="143">
        <f>((Z5)/((Z12/24)*Z9*Z10*Z11*Z13))*Z8*Z20*Z21</f>
        <v>5.3232950592792529E-12</v>
      </c>
      <c r="AA16" s="52" t="s">
        <v>15</v>
      </c>
      <c r="AB16" s="83" t="s">
        <v>299</v>
      </c>
      <c r="AC16" s="141">
        <f>B236</f>
        <v>0.4</v>
      </c>
      <c r="AD16" s="141">
        <f>B248</f>
        <v>0.4</v>
      </c>
      <c r="AE16" s="141">
        <f>B260</f>
        <v>0.4</v>
      </c>
      <c r="AF16" s="141">
        <f>B272</f>
        <v>0.4</v>
      </c>
      <c r="AG16" s="141">
        <f>B295</f>
        <v>0.4</v>
      </c>
      <c r="AH16" s="92"/>
      <c r="AI16" s="52" t="s">
        <v>69</v>
      </c>
      <c r="AJ16" s="136">
        <f>B251</f>
        <v>8</v>
      </c>
      <c r="AK16" s="52" t="s">
        <v>194</v>
      </c>
      <c r="AL16" s="52" t="s">
        <v>69</v>
      </c>
      <c r="AM16" s="136">
        <f>B251</f>
        <v>8</v>
      </c>
      <c r="AN16" s="52" t="s">
        <v>194</v>
      </c>
      <c r="AO16" s="52" t="s">
        <v>69</v>
      </c>
      <c r="AP16" s="136">
        <f>B251</f>
        <v>8</v>
      </c>
      <c r="AQ16" s="52" t="s">
        <v>194</v>
      </c>
      <c r="AR16" s="52" t="s">
        <v>69</v>
      </c>
      <c r="AS16" s="136">
        <f>B263</f>
        <v>0</v>
      </c>
      <c r="AT16" s="52" t="s">
        <v>194</v>
      </c>
      <c r="AU16" s="52" t="s">
        <v>69</v>
      </c>
      <c r="AV16" s="136">
        <f>B263</f>
        <v>0</v>
      </c>
      <c r="AW16" s="52" t="s">
        <v>194</v>
      </c>
      <c r="AX16" s="52" t="s">
        <v>69</v>
      </c>
      <c r="AY16" s="136">
        <f>B263</f>
        <v>0</v>
      </c>
      <c r="AZ16" s="52" t="s">
        <v>194</v>
      </c>
      <c r="BA16" s="52" t="s">
        <v>69</v>
      </c>
      <c r="BB16" s="136">
        <f>B239</f>
        <v>8</v>
      </c>
      <c r="BC16" s="52" t="s">
        <v>194</v>
      </c>
      <c r="BD16" s="52" t="s">
        <v>69</v>
      </c>
      <c r="BE16" s="136">
        <f>B239</f>
        <v>8</v>
      </c>
      <c r="BF16" s="52" t="s">
        <v>194</v>
      </c>
      <c r="BG16" s="52" t="s">
        <v>69</v>
      </c>
      <c r="BH16" s="136">
        <f>B239</f>
        <v>8</v>
      </c>
      <c r="BI16" s="52" t="s">
        <v>194</v>
      </c>
      <c r="BJ16" s="52" t="s">
        <v>412</v>
      </c>
      <c r="BK16" s="139">
        <f>B10</f>
        <v>10.423439999999999</v>
      </c>
      <c r="BL16" s="84" t="s">
        <v>353</v>
      </c>
      <c r="BM16" s="52" t="s">
        <v>415</v>
      </c>
      <c r="BN16" s="139">
        <f>B12</f>
        <v>1.92404</v>
      </c>
      <c r="BO16" s="84" t="s">
        <v>353</v>
      </c>
      <c r="BP16" s="52" t="s">
        <v>417</v>
      </c>
      <c r="BQ16" s="139">
        <f>B14</f>
        <v>8.8356399999999997</v>
      </c>
      <c r="BR16" s="84" t="s">
        <v>353</v>
      </c>
      <c r="BS16" s="83" t="s">
        <v>256</v>
      </c>
      <c r="BT16" s="136">
        <f>E17</f>
        <v>15429.68</v>
      </c>
      <c r="BU16" s="83" t="s">
        <v>343</v>
      </c>
      <c r="BV16" s="83" t="s">
        <v>437</v>
      </c>
      <c r="BW16" s="140">
        <f>((BW18*BW20*BW23*BW30)+(BW19*BW21*BW24*BW31))</f>
        <v>45</v>
      </c>
      <c r="BX16" s="83" t="s">
        <v>356</v>
      </c>
      <c r="BY16" s="83" t="s">
        <v>46</v>
      </c>
      <c r="BZ16" s="149">
        <f>(BZ18*BZ22*BZ34)+(BZ19*BZ23*BZ35)</f>
        <v>9225</v>
      </c>
      <c r="CA16" s="83" t="s">
        <v>346</v>
      </c>
      <c r="CB16" s="84" t="s">
        <v>293</v>
      </c>
      <c r="CC16" s="161">
        <f>B304</f>
        <v>2.7955176153748299E-12</v>
      </c>
      <c r="CD16" s="84"/>
      <c r="CE16" s="84" t="s">
        <v>293</v>
      </c>
      <c r="CF16" s="161">
        <f>B304</f>
        <v>2.7955176153748299E-12</v>
      </c>
      <c r="CG16" s="84"/>
      <c r="CH16" s="84" t="s">
        <v>293</v>
      </c>
      <c r="CI16" s="161">
        <f>B304</f>
        <v>2.7955176153748299E-12</v>
      </c>
      <c r="CJ16" s="84"/>
      <c r="CK16" s="83"/>
      <c r="CL16" s="83"/>
      <c r="CM16" s="83"/>
      <c r="CN16" s="91" t="s">
        <v>231</v>
      </c>
      <c r="CO16" s="136">
        <f>B18</f>
        <v>1600</v>
      </c>
      <c r="CP16" s="52" t="s">
        <v>60</v>
      </c>
      <c r="CQ16" s="83"/>
      <c r="CR16" s="83"/>
      <c r="CS16" s="83"/>
      <c r="CT16" s="83" t="s">
        <v>262</v>
      </c>
      <c r="CU16" s="144">
        <f>((CU5/(CU8*CU42*((CU37*CU41*(1/24))+(CU38*CU40*(1/24)))*CU32*(1/CU44)))*CU11)*CU13*CU49*CU50</f>
        <v>1.5014686570581462E-7</v>
      </c>
      <c r="CV16" s="92" t="s">
        <v>12</v>
      </c>
      <c r="CW16" s="52" t="s">
        <v>364</v>
      </c>
      <c r="CX16" s="138">
        <f>B171</f>
        <v>24</v>
      </c>
      <c r="CY16" s="52" t="s">
        <v>194</v>
      </c>
      <c r="CZ16" s="83" t="s">
        <v>512</v>
      </c>
      <c r="DA16" s="153">
        <f>'Ra-226+D Default'!DA16*DA12*DA51*DA52</f>
        <v>4.6979878553495346E-10</v>
      </c>
      <c r="DB16" s="83" t="s">
        <v>13</v>
      </c>
      <c r="DC16" s="83" t="s">
        <v>363</v>
      </c>
      <c r="DD16" s="146">
        <f>B170</f>
        <v>1</v>
      </c>
      <c r="DE16" s="83" t="s">
        <v>60</v>
      </c>
      <c r="DF16" s="92" t="s">
        <v>63</v>
      </c>
      <c r="DG16" s="151">
        <f>DG20+(0.693/DG22)</f>
        <v>4.9501186643835612E-2</v>
      </c>
      <c r="DH16" s="83" t="s">
        <v>64</v>
      </c>
      <c r="DI16" s="83"/>
      <c r="DJ16" s="83"/>
      <c r="DK16" s="83"/>
      <c r="DL16" s="92"/>
      <c r="DM16" s="83"/>
      <c r="DN16" s="83"/>
      <c r="DO16" s="92" t="s">
        <v>63</v>
      </c>
      <c r="DP16" s="167">
        <f>DP20+(0.693/DP22)</f>
        <v>4.9499999999999995E-2</v>
      </c>
      <c r="DQ16" s="83" t="s">
        <v>64</v>
      </c>
      <c r="DR16" s="83"/>
      <c r="DS16" s="146">
        <v>365</v>
      </c>
      <c r="DT16" s="52" t="s">
        <v>24</v>
      </c>
      <c r="DU16" s="92"/>
      <c r="DV16" s="83"/>
      <c r="DW16" s="83"/>
      <c r="DX16" s="83" t="s">
        <v>22</v>
      </c>
      <c r="DY16" s="137">
        <f>0.693/DY17</f>
        <v>4.3312499999999997E-4</v>
      </c>
      <c r="EA16" s="92"/>
      <c r="EB16" s="83"/>
      <c r="EC16" s="83"/>
      <c r="ED16" s="92" t="s">
        <v>63</v>
      </c>
      <c r="EE16" s="167">
        <f>EE20+(0.693/EE22)</f>
        <v>4.9499999999999995E-2</v>
      </c>
      <c r="EF16" s="83" t="s">
        <v>64</v>
      </c>
      <c r="EH16" s="146">
        <v>365</v>
      </c>
      <c r="EI16" s="52" t="s">
        <v>24</v>
      </c>
      <c r="EJ16" s="92"/>
      <c r="EK16" s="83"/>
      <c r="EL16" s="83"/>
      <c r="EM16" s="91" t="s">
        <v>231</v>
      </c>
      <c r="EN16" s="136">
        <f>B18</f>
        <v>1600</v>
      </c>
      <c r="EO16" s="52" t="s">
        <v>60</v>
      </c>
      <c r="EP16" s="92"/>
      <c r="EQ16" s="83"/>
      <c r="ER16" s="83"/>
      <c r="ES16" s="92" t="s">
        <v>63</v>
      </c>
      <c r="ET16" s="167">
        <f>ET20+(0.693/ET22)</f>
        <v>4.9499999999999995E-2</v>
      </c>
      <c r="EU16" s="83" t="s">
        <v>64</v>
      </c>
      <c r="EV16" s="83"/>
      <c r="EW16" s="146">
        <v>365</v>
      </c>
      <c r="EX16" s="52" t="s">
        <v>24</v>
      </c>
      <c r="EY16" s="83"/>
      <c r="EZ16" s="83"/>
      <c r="FA16" s="83"/>
      <c r="FB16" s="91" t="s">
        <v>231</v>
      </c>
      <c r="FC16" s="136">
        <f>B18</f>
        <v>1600</v>
      </c>
      <c r="FD16" s="52" t="s">
        <v>60</v>
      </c>
      <c r="FE16" s="83"/>
      <c r="FF16" s="83"/>
      <c r="FG16" s="83"/>
      <c r="FH16" s="83" t="s">
        <v>63</v>
      </c>
      <c r="FI16" s="167">
        <f>FI20+(0.693/FI22)</f>
        <v>4.9499999999999995E-2</v>
      </c>
      <c r="FJ16" s="83" t="s">
        <v>64</v>
      </c>
      <c r="FK16" s="83"/>
      <c r="FL16" s="146">
        <v>365</v>
      </c>
      <c r="FM16" s="52" t="s">
        <v>24</v>
      </c>
      <c r="FN16" s="83"/>
      <c r="FO16" s="83"/>
      <c r="FP16" s="83"/>
      <c r="FQ16" s="83"/>
      <c r="FR16" s="83"/>
      <c r="FS16" s="83"/>
      <c r="FT16" s="83"/>
      <c r="FU16" s="83"/>
      <c r="FV16" s="83"/>
      <c r="FW16" s="83"/>
      <c r="FX16" s="83"/>
      <c r="FY16" s="83"/>
      <c r="FZ16" s="83"/>
      <c r="GA16" s="146">
        <v>365</v>
      </c>
      <c r="GB16" s="52" t="s">
        <v>24</v>
      </c>
      <c r="GC16" s="83"/>
      <c r="GD16" s="83"/>
      <c r="GE16" s="83"/>
      <c r="GF16" s="91" t="s">
        <v>231</v>
      </c>
      <c r="GG16" s="136">
        <f>B18</f>
        <v>1600</v>
      </c>
      <c r="GH16" s="52" t="s">
        <v>60</v>
      </c>
      <c r="GI16" s="83"/>
      <c r="GJ16" s="83"/>
      <c r="GK16" s="83"/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B165</f>
        <v>0.15</v>
      </c>
      <c r="GR16" s="83"/>
      <c r="GS16" s="83"/>
      <c r="GT16" s="83"/>
      <c r="GU16" s="91" t="s">
        <v>231</v>
      </c>
      <c r="GV16" s="136">
        <f>B18</f>
        <v>1600</v>
      </c>
      <c r="GW16" s="52" t="s">
        <v>60</v>
      </c>
      <c r="GX16" s="83"/>
      <c r="GY16" s="83"/>
      <c r="GZ16" s="83"/>
      <c r="HA16" s="83" t="s">
        <v>63</v>
      </c>
      <c r="HB16" s="167">
        <f>HB20+(0.693/HB22)</f>
        <v>4.9499999999999995E-2</v>
      </c>
      <c r="HC16" s="83" t="s">
        <v>64</v>
      </c>
      <c r="HD16" s="83"/>
      <c r="HE16" s="83"/>
      <c r="HF16" s="83"/>
    </row>
    <row r="17" spans="1:214" ht="13.5" thickBot="1" x14ac:dyDescent="0.25">
      <c r="A17" s="83" t="s">
        <v>258</v>
      </c>
      <c r="B17" s="183">
        <v>1.67911012348351E-3</v>
      </c>
      <c r="C17" s="92" t="s">
        <v>259</v>
      </c>
      <c r="D17" s="83" t="s">
        <v>256</v>
      </c>
      <c r="E17" s="136">
        <f>B15</f>
        <v>15429.68</v>
      </c>
      <c r="F17" s="83" t="s">
        <v>343</v>
      </c>
      <c r="G17" s="83" t="s">
        <v>370</v>
      </c>
      <c r="H17" s="146">
        <f>B42</f>
        <v>0.78</v>
      </c>
      <c r="I17" s="52" t="s">
        <v>28</v>
      </c>
      <c r="J17" s="83" t="s">
        <v>263</v>
      </c>
      <c r="K17" s="153">
        <f>((K18/(K47+K48))*K11)</f>
        <v>9.1872691846870497E-2</v>
      </c>
      <c r="L17" s="92" t="s">
        <v>10</v>
      </c>
      <c r="M17" s="84" t="s">
        <v>295</v>
      </c>
      <c r="N17" s="142">
        <f>B302</f>
        <v>226.025409</v>
      </c>
      <c r="O17" s="84" t="s">
        <v>296</v>
      </c>
      <c r="P17" s="84" t="s">
        <v>295</v>
      </c>
      <c r="Q17" s="142">
        <f>B302</f>
        <v>226.025409</v>
      </c>
      <c r="R17" s="84" t="s">
        <v>296</v>
      </c>
      <c r="S17" s="84" t="s">
        <v>295</v>
      </c>
      <c r="T17" s="142">
        <f>B302</f>
        <v>226.025409</v>
      </c>
      <c r="U17" s="84" t="s">
        <v>296</v>
      </c>
      <c r="V17" s="52" t="s">
        <v>271</v>
      </c>
      <c r="W17" s="144">
        <f>((W5)/((W12/24)*W9*W14*(1/365)))*W8*W20*W21</f>
        <v>3.1938164956266111E-13</v>
      </c>
      <c r="X17" s="52" t="s">
        <v>15</v>
      </c>
      <c r="Y17" s="52" t="s">
        <v>271</v>
      </c>
      <c r="Z17" s="144">
        <f>((Z5)/((Z12/24)*Z9*Z14*(1/365)))*Z8*Z20*Z21</f>
        <v>2.8744348460639502E-13</v>
      </c>
      <c r="AA17" s="52" t="s">
        <v>15</v>
      </c>
      <c r="AB17" s="83" t="s">
        <v>413</v>
      </c>
      <c r="AC17" s="141">
        <f>B237</f>
        <v>1</v>
      </c>
      <c r="AD17" s="141">
        <f>B249</f>
        <v>1</v>
      </c>
      <c r="AE17" s="141">
        <f>B261</f>
        <v>1</v>
      </c>
      <c r="AF17" s="141">
        <f>B280</f>
        <v>0.753</v>
      </c>
      <c r="AG17" s="141">
        <f>B280</f>
        <v>0.753</v>
      </c>
      <c r="AH17" s="92"/>
      <c r="AI17" s="84" t="s">
        <v>295</v>
      </c>
      <c r="AJ17" s="142">
        <f>B302</f>
        <v>226.025409</v>
      </c>
      <c r="AK17" s="84" t="s">
        <v>296</v>
      </c>
      <c r="AL17" s="84" t="s">
        <v>295</v>
      </c>
      <c r="AM17" s="142">
        <f>B302</f>
        <v>226.025409</v>
      </c>
      <c r="AN17" s="84" t="s">
        <v>296</v>
      </c>
      <c r="AO17" s="84" t="s">
        <v>295</v>
      </c>
      <c r="AP17" s="142">
        <f>B302</f>
        <v>226.025409</v>
      </c>
      <c r="AQ17" s="84" t="s">
        <v>296</v>
      </c>
      <c r="AR17" s="84" t="s">
        <v>295</v>
      </c>
      <c r="AS17" s="142">
        <f>B302</f>
        <v>226.025409</v>
      </c>
      <c r="AT17" s="84" t="s">
        <v>296</v>
      </c>
      <c r="AU17" s="84" t="s">
        <v>295</v>
      </c>
      <c r="AV17" s="142">
        <f>B302</f>
        <v>226.025409</v>
      </c>
      <c r="AW17" s="84" t="s">
        <v>296</v>
      </c>
      <c r="AX17" s="84" t="s">
        <v>295</v>
      </c>
      <c r="AY17" s="142">
        <f>B302</f>
        <v>226.025409</v>
      </c>
      <c r="AZ17" s="84" t="s">
        <v>296</v>
      </c>
      <c r="BA17" s="84" t="s">
        <v>295</v>
      </c>
      <c r="BB17" s="142">
        <f>B302</f>
        <v>226.025409</v>
      </c>
      <c r="BC17" s="84" t="s">
        <v>296</v>
      </c>
      <c r="BD17" s="84" t="s">
        <v>295</v>
      </c>
      <c r="BE17" s="142">
        <f>B302</f>
        <v>226.025409</v>
      </c>
      <c r="BF17" s="84" t="s">
        <v>296</v>
      </c>
      <c r="BG17" s="84" t="s">
        <v>295</v>
      </c>
      <c r="BH17" s="142">
        <f>B302</f>
        <v>226.025409</v>
      </c>
      <c r="BI17" s="84" t="s">
        <v>296</v>
      </c>
      <c r="BJ17" s="84" t="s">
        <v>295</v>
      </c>
      <c r="BK17" s="142">
        <f>B302</f>
        <v>226.025409</v>
      </c>
      <c r="BL17" s="84" t="s">
        <v>296</v>
      </c>
      <c r="BM17" s="84" t="s">
        <v>295</v>
      </c>
      <c r="BN17" s="142">
        <f>B302</f>
        <v>226.025409</v>
      </c>
      <c r="BO17" s="84" t="s">
        <v>296</v>
      </c>
      <c r="BP17" s="84" t="s">
        <v>295</v>
      </c>
      <c r="BQ17" s="142">
        <f>B302</f>
        <v>226.025409</v>
      </c>
      <c r="BR17" s="84" t="s">
        <v>296</v>
      </c>
      <c r="BS17" s="83" t="s">
        <v>301</v>
      </c>
      <c r="BT17" s="142">
        <f>B111</f>
        <v>1</v>
      </c>
      <c r="BV17" s="83" t="s">
        <v>65</v>
      </c>
      <c r="BW17" s="141">
        <f>B116</f>
        <v>0.5</v>
      </c>
      <c r="BX17" s="52" t="s">
        <v>66</v>
      </c>
      <c r="BY17" s="83" t="s">
        <v>43</v>
      </c>
      <c r="BZ17" s="149">
        <f>(BZ24*BZ20*(BZ26/24)*BZ34)+(BZ23*BZ21*(BZ27/24)*BZ35)</f>
        <v>55.3125</v>
      </c>
      <c r="CA17" s="52" t="s">
        <v>426</v>
      </c>
      <c r="CN17" s="84" t="s">
        <v>16</v>
      </c>
      <c r="CO17" s="137">
        <f>(CO14*CO15)/(1-EXP(-CO15*CO14))</f>
        <v>1.0002165781331087</v>
      </c>
      <c r="CT17" s="83" t="s">
        <v>263</v>
      </c>
      <c r="CU17" s="153">
        <f>DJ2</f>
        <v>2.2885553423291997E-8</v>
      </c>
      <c r="CV17" s="92" t="s">
        <v>12</v>
      </c>
      <c r="CW17" s="83" t="s">
        <v>256</v>
      </c>
      <c r="CX17" s="136">
        <f>B15</f>
        <v>15429.68</v>
      </c>
      <c r="CY17" s="83" t="s">
        <v>343</v>
      </c>
      <c r="CZ17" s="83" t="s">
        <v>511</v>
      </c>
      <c r="DA17" s="153">
        <f>DD2</f>
        <v>6.2875883265791139E-9</v>
      </c>
      <c r="DB17" s="83" t="s">
        <v>297</v>
      </c>
      <c r="DC17" s="93"/>
      <c r="DD17" s="136">
        <v>9.9999999999999995E-7</v>
      </c>
      <c r="DE17" s="88"/>
      <c r="DF17" s="92" t="s">
        <v>67</v>
      </c>
      <c r="DG17" s="142">
        <f>B198</f>
        <v>60</v>
      </c>
      <c r="DH17" s="83" t="s">
        <v>53</v>
      </c>
      <c r="DL17" s="92"/>
      <c r="DM17" s="83"/>
      <c r="DN17" s="83"/>
      <c r="DO17" s="92" t="s">
        <v>67</v>
      </c>
      <c r="DP17" s="142">
        <f>B198</f>
        <v>60</v>
      </c>
      <c r="DQ17" s="83" t="s">
        <v>53</v>
      </c>
      <c r="DR17" s="83" t="s">
        <v>475</v>
      </c>
      <c r="DS17" s="146">
        <f>B165</f>
        <v>0.15</v>
      </c>
      <c r="DU17" s="92"/>
      <c r="DV17" s="87"/>
      <c r="DW17" s="83"/>
      <c r="DX17" s="91" t="s">
        <v>231</v>
      </c>
      <c r="DY17" s="136">
        <f>B18</f>
        <v>1600</v>
      </c>
      <c r="DZ17" s="52" t="s">
        <v>60</v>
      </c>
      <c r="EA17" s="92"/>
      <c r="EB17" s="83"/>
      <c r="EC17" s="83"/>
      <c r="ED17" s="92" t="s">
        <v>67</v>
      </c>
      <c r="EE17" s="142">
        <f>B198</f>
        <v>60</v>
      </c>
      <c r="EF17" s="83" t="s">
        <v>53</v>
      </c>
      <c r="EG17" s="83" t="s">
        <v>475</v>
      </c>
      <c r="EH17" s="146">
        <f>B165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1.0002165781331087</v>
      </c>
      <c r="EP17" s="92"/>
      <c r="EQ17" s="83"/>
      <c r="ER17" s="83"/>
      <c r="ES17" s="92" t="s">
        <v>67</v>
      </c>
      <c r="ET17" s="142">
        <f>B198</f>
        <v>60</v>
      </c>
      <c r="EU17" s="83" t="s">
        <v>53</v>
      </c>
      <c r="EV17" s="83" t="s">
        <v>475</v>
      </c>
      <c r="EW17" s="141">
        <f>B165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1.0002165781331087</v>
      </c>
      <c r="FE17" s="83"/>
      <c r="FF17" s="83"/>
      <c r="FG17" s="83"/>
      <c r="FH17" s="83" t="s">
        <v>67</v>
      </c>
      <c r="FI17" s="142">
        <f>B198</f>
        <v>60</v>
      </c>
      <c r="FJ17" s="83" t="s">
        <v>53</v>
      </c>
      <c r="FK17" s="83" t="s">
        <v>475</v>
      </c>
      <c r="FL17" s="141">
        <f>B165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B165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1.0002165781331087</v>
      </c>
      <c r="GI17" s="83"/>
      <c r="GJ17" s="83"/>
      <c r="GK17" s="83"/>
      <c r="GL17" s="83" t="s">
        <v>67</v>
      </c>
      <c r="GM17" s="142">
        <f>B198</f>
        <v>60</v>
      </c>
      <c r="GN17" s="83" t="s">
        <v>53</v>
      </c>
      <c r="GO17" s="83" t="s">
        <v>476</v>
      </c>
      <c r="GP17" s="141">
        <f>B166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1.0002165781331087</v>
      </c>
      <c r="GX17" s="83"/>
      <c r="GY17" s="83"/>
      <c r="GZ17" s="83"/>
      <c r="HA17" s="83" t="s">
        <v>67</v>
      </c>
      <c r="HB17" s="142">
        <f>B198</f>
        <v>60</v>
      </c>
      <c r="HC17" s="83" t="s">
        <v>53</v>
      </c>
      <c r="HD17" s="84"/>
      <c r="HE17" s="84"/>
    </row>
    <row r="18" spans="1:214" ht="19.5" thickTop="1" thickBot="1" x14ac:dyDescent="0.25">
      <c r="A18" s="91" t="s">
        <v>231</v>
      </c>
      <c r="B18" s="183">
        <v>1600</v>
      </c>
      <c r="C18" s="52" t="s">
        <v>235</v>
      </c>
      <c r="D18" s="83" t="s">
        <v>301</v>
      </c>
      <c r="E18" s="142">
        <f>B60</f>
        <v>1</v>
      </c>
      <c r="G18" s="83" t="s">
        <v>371</v>
      </c>
      <c r="H18" s="146">
        <f>B43</f>
        <v>2.5</v>
      </c>
      <c r="I18" s="52" t="s">
        <v>28</v>
      </c>
      <c r="J18" s="83" t="s">
        <v>264</v>
      </c>
      <c r="K18" s="154">
        <f>(K5/(K9*(K25+K28)*K36))</f>
        <v>2.5241149038583714E-2</v>
      </c>
      <c r="L18" s="92" t="s">
        <v>10</v>
      </c>
      <c r="M18" s="84" t="s">
        <v>293</v>
      </c>
      <c r="N18" s="161">
        <f>B304</f>
        <v>2.7955176153748299E-12</v>
      </c>
      <c r="O18" s="84"/>
      <c r="P18" s="84" t="s">
        <v>293</v>
      </c>
      <c r="Q18" s="161">
        <f>B304</f>
        <v>2.7955176153748299E-12</v>
      </c>
      <c r="R18" s="84"/>
      <c r="S18" s="84" t="s">
        <v>293</v>
      </c>
      <c r="T18" s="161">
        <f>B304</f>
        <v>2.7955176153748299E-12</v>
      </c>
      <c r="U18" s="84"/>
      <c r="V18" s="52" t="s">
        <v>261</v>
      </c>
      <c r="W18" s="144">
        <f>((W5*W7*W6)/((W12/24)*(1-EXP(-W7*W10))*W11*W13*W9*W10))*W8*W20*W21</f>
        <v>5.9160532984279767E-12</v>
      </c>
      <c r="X18" s="52" t="s">
        <v>16</v>
      </c>
      <c r="Y18" s="52" t="s">
        <v>261</v>
      </c>
      <c r="Z18" s="144">
        <f>((Z5*Z7*Z6)/((Z12/24)*(1-EXP(-Z7*Z10))*Z11*Z13*Z9*Z10))*Z8*Z20*Z21</f>
        <v>5.3244479685851784E-12</v>
      </c>
      <c r="AA18" s="52" t="s">
        <v>16</v>
      </c>
      <c r="AB18" s="83" t="s">
        <v>412</v>
      </c>
      <c r="AC18" s="136">
        <f>B10</f>
        <v>10.423439999999999</v>
      </c>
      <c r="AD18" s="136">
        <f>B10</f>
        <v>10.423439999999999</v>
      </c>
      <c r="AE18" s="136">
        <f>B10</f>
        <v>10.423439999999999</v>
      </c>
      <c r="AF18" s="136">
        <f>B10</f>
        <v>10.423439999999999</v>
      </c>
      <c r="AG18" s="136">
        <f>B10</f>
        <v>10.423439999999999</v>
      </c>
      <c r="AH18" s="83" t="s">
        <v>351</v>
      </c>
      <c r="AI18" s="84" t="s">
        <v>293</v>
      </c>
      <c r="AJ18" s="161">
        <f>B304</f>
        <v>2.7955176153748299E-12</v>
      </c>
      <c r="AK18" s="84"/>
      <c r="AL18" s="84" t="s">
        <v>293</v>
      </c>
      <c r="AM18" s="161">
        <f>B304</f>
        <v>2.7955176153748299E-12</v>
      </c>
      <c r="AN18" s="84"/>
      <c r="AO18" s="84" t="s">
        <v>293</v>
      </c>
      <c r="AP18" s="161">
        <f>B304</f>
        <v>2.7955176153748299E-12</v>
      </c>
      <c r="AQ18" s="84"/>
      <c r="AR18" s="84" t="s">
        <v>293</v>
      </c>
      <c r="AS18" s="161">
        <f>B304</f>
        <v>2.7955176153748299E-12</v>
      </c>
      <c r="AT18" s="84"/>
      <c r="AU18" s="84" t="s">
        <v>293</v>
      </c>
      <c r="AV18" s="161">
        <f>B304</f>
        <v>2.7955176153748299E-12</v>
      </c>
      <c r="AW18" s="84"/>
      <c r="AX18" s="84" t="s">
        <v>293</v>
      </c>
      <c r="AY18" s="161">
        <f>B304</f>
        <v>2.7955176153748299E-12</v>
      </c>
      <c r="AZ18" s="84"/>
      <c r="BA18" s="84" t="s">
        <v>293</v>
      </c>
      <c r="BB18" s="161">
        <f>B304</f>
        <v>2.7955176153748299E-12</v>
      </c>
      <c r="BC18" s="84"/>
      <c r="BD18" s="84" t="s">
        <v>293</v>
      </c>
      <c r="BE18" s="161">
        <f>B304</f>
        <v>2.7955176153748299E-12</v>
      </c>
      <c r="BF18" s="84"/>
      <c r="BG18" s="84" t="s">
        <v>293</v>
      </c>
      <c r="BH18" s="161">
        <f>B304</f>
        <v>2.7955176153748299E-12</v>
      </c>
      <c r="BI18" s="84"/>
      <c r="BJ18" s="84" t="s">
        <v>293</v>
      </c>
      <c r="BK18" s="161">
        <f>B304</f>
        <v>2.7955176153748299E-12</v>
      </c>
      <c r="BL18" s="84"/>
      <c r="BM18" s="84" t="s">
        <v>293</v>
      </c>
      <c r="BN18" s="161">
        <f>B304</f>
        <v>2.7955176153748299E-12</v>
      </c>
      <c r="BO18" s="84"/>
      <c r="BP18" s="84" t="s">
        <v>293</v>
      </c>
      <c r="BQ18" s="161">
        <f>B304</f>
        <v>2.7955176153748299E-12</v>
      </c>
      <c r="BR18" s="84"/>
      <c r="BS18" s="52" t="s">
        <v>261</v>
      </c>
      <c r="BT18" s="143">
        <f>((BT5)/(BT9*BT10))*BT7*BT27*BT28</f>
        <v>4.8120181326818104E-10</v>
      </c>
      <c r="BU18" s="52" t="s">
        <v>15</v>
      </c>
      <c r="BV18" s="83" t="s">
        <v>433</v>
      </c>
      <c r="BW18" s="150">
        <f>B112</f>
        <v>45</v>
      </c>
      <c r="BX18" s="83" t="s">
        <v>24</v>
      </c>
      <c r="BY18" s="83" t="s">
        <v>441</v>
      </c>
      <c r="BZ18" s="146">
        <f>B97</f>
        <v>200</v>
      </c>
      <c r="CA18" s="84" t="s">
        <v>48</v>
      </c>
      <c r="CB18" s="675" t="s">
        <v>572</v>
      </c>
      <c r="CC18" s="673"/>
      <c r="CD18" s="673"/>
      <c r="CE18" s="676" t="s">
        <v>573</v>
      </c>
      <c r="CF18" s="673"/>
      <c r="CG18" s="674"/>
      <c r="CJ18" s="83"/>
      <c r="CT18" s="83" t="s">
        <v>264</v>
      </c>
      <c r="CU18" s="153">
        <f>DD2</f>
        <v>6.2875883265791139E-9</v>
      </c>
      <c r="CV18" s="92" t="s">
        <v>12</v>
      </c>
      <c r="CW18" s="83" t="s">
        <v>301</v>
      </c>
      <c r="CX18" s="142">
        <f>B180</f>
        <v>1</v>
      </c>
      <c r="CZ18" s="91" t="s">
        <v>272</v>
      </c>
      <c r="DA18" s="144" t="e">
        <f>EZ2</f>
        <v>#DIV/0!</v>
      </c>
      <c r="DB18" s="83" t="s">
        <v>297</v>
      </c>
      <c r="DC18" s="88"/>
      <c r="DD18" s="136">
        <v>1000</v>
      </c>
      <c r="DE18" s="92" t="s">
        <v>99</v>
      </c>
      <c r="DF18" s="92" t="s">
        <v>68</v>
      </c>
      <c r="DG18" s="142">
        <f>B199</f>
        <v>2</v>
      </c>
      <c r="DH18" s="83" t="s">
        <v>56</v>
      </c>
      <c r="DL18" s="92"/>
      <c r="DM18" s="83"/>
      <c r="DN18" s="83"/>
      <c r="DO18" s="92" t="s">
        <v>68</v>
      </c>
      <c r="DP18" s="142">
        <f>B199</f>
        <v>2</v>
      </c>
      <c r="DQ18" s="83" t="s">
        <v>56</v>
      </c>
      <c r="DR18" s="83" t="s">
        <v>476</v>
      </c>
      <c r="DS18" s="146">
        <f>B166</f>
        <v>0.85</v>
      </c>
      <c r="DU18" s="92"/>
      <c r="DV18" s="83"/>
      <c r="DW18" s="83"/>
      <c r="DX18" s="84" t="s">
        <v>16</v>
      </c>
      <c r="DY18" s="137">
        <f>(DY15*DY16)/(1-EXP(-DY16*DY15))</f>
        <v>1.0002165781331087</v>
      </c>
      <c r="EA18" s="92"/>
      <c r="EB18" s="83"/>
      <c r="EC18" s="83"/>
      <c r="ED18" s="92" t="s">
        <v>68</v>
      </c>
      <c r="EE18" s="142">
        <f>B199</f>
        <v>2</v>
      </c>
      <c r="EF18" s="83" t="s">
        <v>56</v>
      </c>
      <c r="EG18" s="83" t="s">
        <v>476</v>
      </c>
      <c r="EH18" s="146">
        <f>B166</f>
        <v>0.85</v>
      </c>
      <c r="EJ18" s="92"/>
      <c r="EK18" s="83"/>
      <c r="EL18" s="83"/>
      <c r="EM18" s="95"/>
      <c r="EN18" s="176"/>
      <c r="EP18" s="92"/>
      <c r="EQ18" s="83"/>
      <c r="ER18" s="83"/>
      <c r="ES18" s="92" t="s">
        <v>68</v>
      </c>
      <c r="ET18" s="142">
        <f>B199</f>
        <v>2</v>
      </c>
      <c r="EU18" s="83" t="s">
        <v>56</v>
      </c>
      <c r="EV18" s="83" t="s">
        <v>476</v>
      </c>
      <c r="EW18" s="141">
        <f>B166</f>
        <v>0.85</v>
      </c>
      <c r="EX18" s="92"/>
      <c r="EY18" s="83"/>
      <c r="EZ18" s="83"/>
      <c r="FA18" s="83"/>
      <c r="FB18" s="95"/>
      <c r="FC18" s="176"/>
      <c r="FD18" s="83"/>
      <c r="FE18" s="83"/>
      <c r="FF18" s="83"/>
      <c r="FG18" s="83"/>
      <c r="FH18" s="83" t="s">
        <v>68</v>
      </c>
      <c r="FI18" s="142">
        <f>B199</f>
        <v>2</v>
      </c>
      <c r="FJ18" s="83" t="s">
        <v>56</v>
      </c>
      <c r="FK18" s="83" t="s">
        <v>476</v>
      </c>
      <c r="FL18" s="141">
        <f>B166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B166</f>
        <v>0.85</v>
      </c>
      <c r="GB18" s="92"/>
      <c r="GC18" s="83"/>
      <c r="GD18" s="83"/>
      <c r="GE18" s="83"/>
      <c r="GF18" s="95"/>
      <c r="GG18" s="176"/>
      <c r="GH18" s="83"/>
      <c r="GI18" s="83"/>
      <c r="GJ18" s="83"/>
      <c r="GK18" s="83"/>
      <c r="GL18" s="83" t="s">
        <v>68</v>
      </c>
      <c r="GM18" s="142">
        <f>B199</f>
        <v>2</v>
      </c>
      <c r="GN18" s="83" t="s">
        <v>56</v>
      </c>
      <c r="GO18" s="84" t="s">
        <v>295</v>
      </c>
      <c r="GP18" s="142">
        <f>B302</f>
        <v>226.025409</v>
      </c>
      <c r="GQ18" s="84" t="s">
        <v>296</v>
      </c>
      <c r="GR18" s="83"/>
      <c r="GS18" s="83"/>
      <c r="GT18" s="83"/>
      <c r="GU18" s="95"/>
      <c r="GV18" s="176"/>
      <c r="GW18" s="83"/>
      <c r="GX18" s="83"/>
      <c r="GY18" s="83"/>
      <c r="GZ18" s="83"/>
      <c r="HA18" s="83" t="s">
        <v>68</v>
      </c>
      <c r="HB18" s="142">
        <f>B199</f>
        <v>2</v>
      </c>
      <c r="HC18" s="83" t="s">
        <v>56</v>
      </c>
    </row>
    <row r="19" spans="1:214" ht="19.5" thickTop="1" thickBot="1" x14ac:dyDescent="0.25">
      <c r="A19" s="91" t="s">
        <v>77</v>
      </c>
      <c r="B19" s="183">
        <f>PEF!D3</f>
        <v>1359344473.5814338</v>
      </c>
      <c r="C19" s="52" t="s">
        <v>524</v>
      </c>
      <c r="D19" s="52" t="s">
        <v>261</v>
      </c>
      <c r="E19" s="143">
        <f>((E5)/((E15/E16)*E11*E12))*E7*E27*E28</f>
        <v>4.2964447613230445E-12</v>
      </c>
      <c r="F19" s="52" t="s">
        <v>15</v>
      </c>
      <c r="G19" s="83" t="s">
        <v>366</v>
      </c>
      <c r="H19" s="146">
        <f>B38</f>
        <v>10</v>
      </c>
      <c r="I19" s="52" t="s">
        <v>407</v>
      </c>
      <c r="J19" s="83" t="s">
        <v>445</v>
      </c>
      <c r="K19" s="155">
        <f>K21*K31*K51+K22*K32*K52</f>
        <v>43050</v>
      </c>
      <c r="L19" s="83" t="s">
        <v>346</v>
      </c>
      <c r="V19" s="52" t="s">
        <v>271</v>
      </c>
      <c r="W19" s="145">
        <f>((W5*W7*W6)/((W12/24)*(1-EXP(-W7*W6))*W14*W9*(1/365)))*W8*W20*W21</f>
        <v>3.1945082064407249E-13</v>
      </c>
      <c r="X19" s="52" t="s">
        <v>16</v>
      </c>
      <c r="Y19" s="52" t="s">
        <v>271</v>
      </c>
      <c r="Z19" s="145">
        <f>((Z5*Z7*Z6)/((Z12/24)*(1-EXP(-Z7*Z6))*Z14*Z9*(1/365)))*Z8*Z20*Z21</f>
        <v>2.8750573857966524E-13</v>
      </c>
      <c r="AA19" s="52" t="s">
        <v>16</v>
      </c>
      <c r="AB19" s="83" t="s">
        <v>247</v>
      </c>
      <c r="AC19" s="139">
        <f>B6</f>
        <v>3.8043873993229303E-2</v>
      </c>
      <c r="AD19" s="139">
        <f>B6</f>
        <v>3.8043873993229303E-2</v>
      </c>
      <c r="AE19" s="139">
        <f>B6</f>
        <v>3.8043873993229303E-2</v>
      </c>
      <c r="AF19" s="139">
        <f>B6</f>
        <v>3.8043873993229303E-2</v>
      </c>
      <c r="AG19" s="139">
        <f>B6</f>
        <v>3.8043873993229303E-2</v>
      </c>
      <c r="AH19" s="84" t="s">
        <v>259</v>
      </c>
      <c r="BS19" s="52" t="s">
        <v>271</v>
      </c>
      <c r="BT19" s="144">
        <f>((BT5)/(BT16*BT8*(1/365)*BT15*(1/24)*BT17))*BT7*BT27*BT28</f>
        <v>7.665159589503865E-12</v>
      </c>
      <c r="BU19" s="52" t="s">
        <v>15</v>
      </c>
      <c r="BV19" s="83" t="s">
        <v>434</v>
      </c>
      <c r="BW19" s="150">
        <f>B113</f>
        <v>45</v>
      </c>
      <c r="BX19" s="83" t="s">
        <v>24</v>
      </c>
      <c r="BY19" s="83" t="s">
        <v>442</v>
      </c>
      <c r="BZ19" s="146">
        <f>B98</f>
        <v>100</v>
      </c>
      <c r="CA19" s="84" t="s">
        <v>48</v>
      </c>
      <c r="CB19" s="268" t="s">
        <v>537</v>
      </c>
      <c r="CC19" s="262">
        <f>((CC22*CC23*CC24)/((1-EXP(-CC24*CC23))*CC31*(CC26/365)*CC29*(CC30/24)*CC28))*CC25*CC32*CC33</f>
        <v>4.7708197969855868E-3</v>
      </c>
      <c r="CD19" s="279" t="s">
        <v>297</v>
      </c>
      <c r="CE19" s="259" t="s">
        <v>537</v>
      </c>
      <c r="CF19" s="262">
        <f>((CF22*CF23*CF24)/((1-EXP(-CF24*CF23))*CF31*(CF26/365)*CF29*(CF30/24)*CF28))*CF25*CF32*CF33</f>
        <v>0.22253812202510759</v>
      </c>
      <c r="CG19" s="265" t="s">
        <v>297</v>
      </c>
      <c r="CH19" s="83"/>
      <c r="CI19" s="83"/>
      <c r="CK19" s="675" t="s">
        <v>576</v>
      </c>
      <c r="CL19" s="673"/>
      <c r="CM19" s="673"/>
      <c r="CN19" s="676" t="s">
        <v>576</v>
      </c>
      <c r="CO19" s="673"/>
      <c r="CP19" s="677"/>
      <c r="CQ19" s="673" t="s">
        <v>576</v>
      </c>
      <c r="CR19" s="673"/>
      <c r="CS19" s="674"/>
      <c r="CT19" s="91" t="s">
        <v>272</v>
      </c>
      <c r="CU19" s="144" t="e">
        <f>FC2</f>
        <v>#DIV/0!</v>
      </c>
      <c r="CV19" s="92" t="s">
        <v>12</v>
      </c>
      <c r="CW19" s="52" t="s">
        <v>261</v>
      </c>
      <c r="CX19" s="143">
        <f>((CX5)/((CX15/CX16)*CX11*CX12))*CX7*CX27*CX28</f>
        <v>4.1106525554279942E-12</v>
      </c>
      <c r="CY19" s="52" t="s">
        <v>15</v>
      </c>
      <c r="CZ19" s="91" t="s">
        <v>273</v>
      </c>
      <c r="DA19" s="144" t="e">
        <f>GS2</f>
        <v>#DIV/0!</v>
      </c>
      <c r="DB19" s="83" t="s">
        <v>297</v>
      </c>
      <c r="DC19" s="92" t="s">
        <v>72</v>
      </c>
      <c r="DD19" s="146">
        <f>B186</f>
        <v>1</v>
      </c>
      <c r="DE19" s="93"/>
      <c r="DF19" s="92" t="s">
        <v>70</v>
      </c>
      <c r="DG19" s="138">
        <f>B200</f>
        <v>2.6999999999999999E-5</v>
      </c>
      <c r="DH19" s="52" t="s">
        <v>64</v>
      </c>
      <c r="DL19" s="92"/>
      <c r="DO19" s="92" t="s">
        <v>70</v>
      </c>
      <c r="DP19" s="138">
        <f>B200</f>
        <v>2.6999999999999999E-5</v>
      </c>
      <c r="DQ19" s="52" t="s">
        <v>64</v>
      </c>
      <c r="DR19" s="84" t="s">
        <v>295</v>
      </c>
      <c r="DS19" s="142">
        <f>B302</f>
        <v>226.025409</v>
      </c>
      <c r="DT19" s="84" t="s">
        <v>296</v>
      </c>
      <c r="DU19" s="92"/>
      <c r="DX19" s="95"/>
      <c r="DY19" s="176"/>
      <c r="EA19" s="92"/>
      <c r="EB19" s="84"/>
      <c r="EC19" s="84"/>
      <c r="ED19" s="92" t="s">
        <v>70</v>
      </c>
      <c r="EE19" s="163">
        <f>B200</f>
        <v>2.6999999999999999E-5</v>
      </c>
      <c r="EF19" s="84" t="s">
        <v>64</v>
      </c>
      <c r="EG19" s="84" t="s">
        <v>295</v>
      </c>
      <c r="EH19" s="142">
        <f>B302</f>
        <v>226.025409</v>
      </c>
      <c r="EI19" s="84" t="s">
        <v>296</v>
      </c>
      <c r="EJ19" s="92"/>
      <c r="EP19" s="92"/>
      <c r="EQ19" s="84"/>
      <c r="ER19" s="84"/>
      <c r="ES19" s="92" t="s">
        <v>70</v>
      </c>
      <c r="ET19" s="163">
        <f>B200</f>
        <v>2.6999999999999999E-5</v>
      </c>
      <c r="EU19" s="84" t="s">
        <v>64</v>
      </c>
      <c r="EV19" s="84" t="s">
        <v>295</v>
      </c>
      <c r="EW19" s="142">
        <f>B302</f>
        <v>226.025409</v>
      </c>
      <c r="EX19" s="84" t="s">
        <v>296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B200</f>
        <v>2.6999999999999999E-5</v>
      </c>
      <c r="FJ19" s="84" t="s">
        <v>64</v>
      </c>
      <c r="FK19" s="84" t="s">
        <v>295</v>
      </c>
      <c r="FL19" s="142">
        <f>B302</f>
        <v>226.025409</v>
      </c>
      <c r="FM19" s="84" t="s">
        <v>296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84" t="s">
        <v>295</v>
      </c>
      <c r="GA19" s="142">
        <f>B302</f>
        <v>226.025409</v>
      </c>
      <c r="GB19" s="84" t="s">
        <v>296</v>
      </c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B200</f>
        <v>2.6999999999999999E-5</v>
      </c>
      <c r="GN19" s="84" t="s">
        <v>64</v>
      </c>
      <c r="GO19" s="84" t="s">
        <v>293</v>
      </c>
      <c r="GP19" s="161">
        <f>B304</f>
        <v>2.7955176153748299E-12</v>
      </c>
      <c r="GQ19" s="84"/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B200</f>
        <v>2.6999999999999999E-5</v>
      </c>
      <c r="HC19" s="84" t="s">
        <v>64</v>
      </c>
    </row>
    <row r="20" spans="1:214" ht="19.5" thickTop="1" thickBot="1" x14ac:dyDescent="0.25">
      <c r="A20" s="91" t="s">
        <v>103</v>
      </c>
      <c r="B20" s="183">
        <f>PEF!G3</f>
        <v>776129.4078035407</v>
      </c>
      <c r="C20" s="52" t="s">
        <v>524</v>
      </c>
      <c r="D20" s="52" t="s">
        <v>271</v>
      </c>
      <c r="E20" s="144">
        <f>((E5)/((E15/E16)*E8*E17*(1/365)*E18))*E7*E27*E28</f>
        <v>6.8438924906284505E-14</v>
      </c>
      <c r="F20" s="52" t="s">
        <v>15</v>
      </c>
      <c r="G20" s="83" t="s">
        <v>367</v>
      </c>
      <c r="H20" s="146">
        <f>B39</f>
        <v>20</v>
      </c>
      <c r="I20" s="52" t="s">
        <v>407</v>
      </c>
      <c r="J20" s="83" t="s">
        <v>396</v>
      </c>
      <c r="K20" s="155">
        <f>(K31*K23*(K34/24)*K51)+(K32*K24*(K35/24)*K52)</f>
        <v>6195</v>
      </c>
      <c r="L20" s="52" t="s">
        <v>407</v>
      </c>
      <c r="M20" s="325" t="s">
        <v>533</v>
      </c>
      <c r="N20" s="326"/>
      <c r="O20" s="326"/>
      <c r="P20" s="327" t="s">
        <v>536</v>
      </c>
      <c r="Q20" s="326"/>
      <c r="R20" s="329"/>
      <c r="V20" s="84" t="s">
        <v>295</v>
      </c>
      <c r="W20" s="142">
        <f>B302</f>
        <v>226.025409</v>
      </c>
      <c r="X20" s="84" t="s">
        <v>296</v>
      </c>
      <c r="Y20" s="84" t="s">
        <v>295</v>
      </c>
      <c r="Z20" s="142">
        <f>B302</f>
        <v>226.025409</v>
      </c>
      <c r="AA20" s="84" t="s">
        <v>296</v>
      </c>
      <c r="AB20" s="83" t="s">
        <v>83</v>
      </c>
      <c r="AC20" s="139">
        <f>B238</f>
        <v>8</v>
      </c>
      <c r="AD20" s="139">
        <f>B250</f>
        <v>0</v>
      </c>
      <c r="AE20" s="139">
        <f>B262</f>
        <v>8</v>
      </c>
      <c r="AF20" s="139">
        <f>B274</f>
        <v>8</v>
      </c>
      <c r="AG20" s="139">
        <f>B297</f>
        <v>8</v>
      </c>
      <c r="AH20" s="84" t="s">
        <v>194</v>
      </c>
      <c r="AI20" s="658" t="s">
        <v>558</v>
      </c>
      <c r="AJ20" s="659"/>
      <c r="AK20" s="660"/>
      <c r="AL20" s="661" t="s">
        <v>545</v>
      </c>
      <c r="AM20" s="659"/>
      <c r="AN20" s="662"/>
      <c r="AR20" s="658" t="s">
        <v>560</v>
      </c>
      <c r="AS20" s="659"/>
      <c r="AT20" s="660"/>
      <c r="AU20" s="661" t="s">
        <v>550</v>
      </c>
      <c r="AV20" s="659"/>
      <c r="AW20" s="662"/>
      <c r="BA20" s="658" t="s">
        <v>562</v>
      </c>
      <c r="BB20" s="659"/>
      <c r="BC20" s="660"/>
      <c r="BD20" s="661" t="s">
        <v>553</v>
      </c>
      <c r="BE20" s="659"/>
      <c r="BF20" s="662"/>
      <c r="BJ20" s="658" t="s">
        <v>563</v>
      </c>
      <c r="BK20" s="659"/>
      <c r="BL20" s="660"/>
      <c r="BM20" s="661" t="s">
        <v>556</v>
      </c>
      <c r="BN20" s="659"/>
      <c r="BO20" s="662"/>
      <c r="BS20" s="52" t="s">
        <v>261</v>
      </c>
      <c r="BT20" s="144">
        <f>((BT5*BT24*BT6)/((1-EXP(-BT6*BT24))*BT9*BT10))*BT7*BT27*BT28</f>
        <v>4.8130603105854713E-10</v>
      </c>
      <c r="BU20" s="52" t="s">
        <v>16</v>
      </c>
      <c r="BV20" s="52" t="s">
        <v>443</v>
      </c>
      <c r="BW20" s="138">
        <f>B109</f>
        <v>1</v>
      </c>
      <c r="BX20" s="52" t="s">
        <v>89</v>
      </c>
      <c r="BY20" s="83" t="s">
        <v>429</v>
      </c>
      <c r="BZ20" s="141">
        <f>B93</f>
        <v>10</v>
      </c>
      <c r="CA20" s="92" t="s">
        <v>407</v>
      </c>
      <c r="CB20" s="268"/>
      <c r="CC20" s="262"/>
      <c r="CD20" s="279"/>
      <c r="CE20" s="259"/>
      <c r="CF20" s="262"/>
      <c r="CG20" s="265"/>
      <c r="CK20" s="268" t="s">
        <v>530</v>
      </c>
      <c r="CL20" s="262">
        <f>(CL23/(CL24*CL25*CL26))*CL27*CL28*CO33</f>
        <v>8.0278460649819253E-6</v>
      </c>
      <c r="CM20" s="279" t="s">
        <v>12</v>
      </c>
      <c r="CN20" s="259" t="s">
        <v>7</v>
      </c>
      <c r="CO20" s="262">
        <f>(CL20/(CO23*((CO28*CO30*CO31*(CO24+CO25))+(CO29*CO30))))*CO34</f>
        <v>3.7279282793516708E-3</v>
      </c>
      <c r="CP20" s="279" t="s">
        <v>12</v>
      </c>
      <c r="CQ20" s="259" t="s">
        <v>6</v>
      </c>
      <c r="CR20" s="262">
        <f>CL20/(CR23*CR24*(1/CR25))</f>
        <v>4.7222623911658381</v>
      </c>
      <c r="CS20" s="265" t="s">
        <v>12</v>
      </c>
      <c r="CT20" s="91" t="s">
        <v>273</v>
      </c>
      <c r="CU20" s="144" t="e">
        <f>GV2</f>
        <v>#DIV/0!</v>
      </c>
      <c r="CV20" s="92" t="s">
        <v>12</v>
      </c>
      <c r="CW20" s="52" t="s">
        <v>271</v>
      </c>
      <c r="CX20" s="144">
        <f>((CX5)/((CX15/CX16)*CX8*CX17*(1/365)*CX18))*CX7*CX27*CX28</f>
        <v>6.8438924906284505E-14</v>
      </c>
      <c r="CY20" s="52" t="s">
        <v>15</v>
      </c>
      <c r="CZ20" s="91" t="s">
        <v>274</v>
      </c>
      <c r="DA20" s="144">
        <f>EK2</f>
        <v>1.213660813372925E-7</v>
      </c>
      <c r="DB20" s="83" t="s">
        <v>297</v>
      </c>
      <c r="DC20" s="83" t="s">
        <v>475</v>
      </c>
      <c r="DD20" s="146">
        <f>B165</f>
        <v>0.15</v>
      </c>
      <c r="DF20" s="92" t="s">
        <v>71</v>
      </c>
      <c r="DG20" s="137">
        <f>0.693/DG23</f>
        <v>1.1866438356164383E-6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R20" s="84" t="s">
        <v>293</v>
      </c>
      <c r="DS20" s="161">
        <f>B304</f>
        <v>2.7955176153748299E-12</v>
      </c>
      <c r="DT20" s="84"/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G20" s="84" t="s">
        <v>293</v>
      </c>
      <c r="EH20" s="161">
        <f>B304</f>
        <v>2.7955176153748299E-12</v>
      </c>
      <c r="EI20" s="84"/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V20" s="84" t="s">
        <v>293</v>
      </c>
      <c r="EW20" s="161">
        <f>B304</f>
        <v>2.7955176153748299E-12</v>
      </c>
      <c r="EX20" s="84"/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K20" s="84" t="s">
        <v>293</v>
      </c>
      <c r="FL20" s="161">
        <f>B304</f>
        <v>2.7955176153748299E-12</v>
      </c>
      <c r="FM20" s="84"/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FZ20" s="84" t="s">
        <v>293</v>
      </c>
      <c r="GA20" s="161">
        <f>B304</f>
        <v>2.7955176153748299E-12</v>
      </c>
      <c r="GB20" s="84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91" t="s">
        <v>104</v>
      </c>
      <c r="B21" s="183">
        <f>PEF!J3</f>
        <v>69557565.807898715</v>
      </c>
      <c r="C21" s="52" t="s">
        <v>524</v>
      </c>
      <c r="D21" s="52" t="s">
        <v>261</v>
      </c>
      <c r="E21" s="144">
        <f>((E5*E10*E6)/((1-EXP(-E6*E10))*E11*E12))*E7*E27*E28</f>
        <v>4.2973752773084568E-12</v>
      </c>
      <c r="F21" s="52" t="s">
        <v>16</v>
      </c>
      <c r="G21" s="83" t="s">
        <v>397</v>
      </c>
      <c r="H21" s="148">
        <f>(H29*H36*H32*H68)+(H30*H37*H33*H69)</f>
        <v>234.815</v>
      </c>
      <c r="I21" s="83" t="s">
        <v>356</v>
      </c>
      <c r="J21" s="83" t="s">
        <v>368</v>
      </c>
      <c r="K21" s="146">
        <f>B40</f>
        <v>200</v>
      </c>
      <c r="L21" s="84" t="s">
        <v>48</v>
      </c>
      <c r="M21" s="330" t="s">
        <v>537</v>
      </c>
      <c r="N21" s="333">
        <f>((N24*N25*N26)/((1-EXP(-N26*N25))*N34*N32*(N28/365)*(((N33/24)*N31)+((N35/24)*N30))))*N27*N36*N37</f>
        <v>1.5609701768056272E-9</v>
      </c>
      <c r="O21" s="336" t="s">
        <v>298</v>
      </c>
      <c r="P21" s="339" t="s">
        <v>537</v>
      </c>
      <c r="Q21" s="333">
        <f>((Q24*Q25*Q26)/((1-EXP(-Q26*Q25))*Q34*Q32*(Q28/365)*(((Q33/24)*Q31)+((Q35/24)*Q30))))*Q27*Q36*Q37</f>
        <v>5.5025146429034993E-7</v>
      </c>
      <c r="R21" s="342" t="s">
        <v>12</v>
      </c>
      <c r="V21" s="84" t="s">
        <v>293</v>
      </c>
      <c r="W21" s="161">
        <f>B303</f>
        <v>2.8000000000000001E-15</v>
      </c>
      <c r="X21" s="84"/>
      <c r="Y21" s="84" t="s">
        <v>293</v>
      </c>
      <c r="Z21" s="161">
        <f>B303</f>
        <v>2.8000000000000001E-15</v>
      </c>
      <c r="AA21" s="84"/>
      <c r="AB21" s="83" t="s">
        <v>85</v>
      </c>
      <c r="AC21" s="139">
        <f>B239</f>
        <v>8</v>
      </c>
      <c r="AD21" s="139">
        <f>B251</f>
        <v>8</v>
      </c>
      <c r="AE21" s="139">
        <f>B263</f>
        <v>0</v>
      </c>
      <c r="AF21" s="139">
        <f>B275</f>
        <v>8</v>
      </c>
      <c r="AG21" s="139">
        <f>B298</f>
        <v>8</v>
      </c>
      <c r="AH21" s="84" t="s">
        <v>194</v>
      </c>
      <c r="AI21" s="307" t="s">
        <v>537</v>
      </c>
      <c r="AJ21" s="304">
        <f>((AJ24*AJ25*AJ26)/((1-EXP(-AJ26*AJ25))*AJ34*(AJ28/365)*AJ29*(AJ35/24)*AJ30*AJ32))*AJ27*AJ36*AJ37</f>
        <v>5.680838764448719E-9</v>
      </c>
      <c r="AK21" s="291" t="s">
        <v>298</v>
      </c>
      <c r="AL21" s="288" t="s">
        <v>537</v>
      </c>
      <c r="AM21" s="304">
        <f>((AM24*AM25*AM26)/((1-EXP(-AM26*AM25))*AM34*(AM28/365)*AM29*(AM35/24)*AM30*AM32))*AM27*AM36*AM37</f>
        <v>2.0025301539918704E-6</v>
      </c>
      <c r="AN21" s="282" t="s">
        <v>12</v>
      </c>
      <c r="AR21" s="665" t="s">
        <v>537</v>
      </c>
      <c r="AS21" s="304">
        <f>((AS24*AS25*AS26)/((1-EXP(-AS26*AS25))*AS34*(AS28/365)*AS29*(AS33/24)*AS31*AS32))*AS27*AS36*AS37</f>
        <v>2.5248172286438757E-9</v>
      </c>
      <c r="AT21" s="667" t="s">
        <v>298</v>
      </c>
      <c r="AU21" s="663" t="s">
        <v>537</v>
      </c>
      <c r="AV21" s="304">
        <f>((AV24*AV25*AV26)/((1-EXP(-AV26*AV25))*AV34*(AV28/365)*AV29*(AV33/24)*AV31*AV32))*AV27*AV36*AV37</f>
        <v>8.9001340177416468E-7</v>
      </c>
      <c r="AW21" s="669" t="s">
        <v>12</v>
      </c>
      <c r="BA21" s="665" t="s">
        <v>537</v>
      </c>
      <c r="BB21" s="304">
        <f>((BB24*BB25*BB26)/((1-EXP(-BB26*BB25))*BB34*(BB28/365)*(BB33/24)*BB31*BB32))*BB27*BB36*BB37</f>
        <v>2.272335505779488E-9</v>
      </c>
      <c r="BC21" s="667" t="s">
        <v>298</v>
      </c>
      <c r="BD21" s="663" t="s">
        <v>537</v>
      </c>
      <c r="BE21" s="304">
        <f>((BE24*BE25*BE26)/((1-EXP(-BE26*BE25))*BE34*(BE28/365)*(BE33/24)*BE31*BE32))*BE27*BE36*BE37</f>
        <v>8.0101206159674833E-7</v>
      </c>
      <c r="BF21" s="669" t="s">
        <v>12</v>
      </c>
      <c r="BJ21" s="665" t="s">
        <v>537</v>
      </c>
      <c r="BK21" s="285">
        <f>((BK24*BK25*BK26)/((1-EXP(-BK26*BK25))*BK35*(BK28/365)*(BK34/24)*BK32*BK33))*BK27*BK36*BK37</f>
        <v>1.7890574238695948E-4</v>
      </c>
      <c r="BL21" s="667" t="s">
        <v>298</v>
      </c>
      <c r="BM21" s="663" t="s">
        <v>537</v>
      </c>
      <c r="BN21" s="285">
        <f>((BN24*BN25*BN26)/((1-EXP(-BN26*BN25))*BN35*(BN28/365)*(BN34/24)*BN32*BN33))*BN27*BN36*BN37</f>
        <v>8.345179575941537E-3</v>
      </c>
      <c r="BO21" s="669" t="s">
        <v>12</v>
      </c>
      <c r="BS21" s="52" t="s">
        <v>271</v>
      </c>
      <c r="BT21" s="145">
        <f>((BT5*BT24*BT6)/((1-EXP(-BT6*BT24))*BT16*BT8*(1/365)*BT15*(1/24)*BT17))*BT7*BT27*BT28</f>
        <v>7.6668196954577401E-12</v>
      </c>
      <c r="BU21" s="52" t="s">
        <v>16</v>
      </c>
      <c r="BV21" s="52" t="s">
        <v>444</v>
      </c>
      <c r="BW21" s="138">
        <f>B110</f>
        <v>1</v>
      </c>
      <c r="BX21" s="52" t="s">
        <v>89</v>
      </c>
      <c r="BY21" s="83" t="s">
        <v>430</v>
      </c>
      <c r="BZ21" s="141">
        <f>B94</f>
        <v>20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79"/>
      <c r="CN21" s="259"/>
      <c r="CO21" s="262"/>
      <c r="CP21" s="279"/>
      <c r="CQ21" s="259"/>
      <c r="CR21" s="262"/>
      <c r="CS21" s="265"/>
      <c r="CT21" s="91" t="s">
        <v>274</v>
      </c>
      <c r="CU21" s="144">
        <f>EN2</f>
        <v>1.7662694479917847E-6</v>
      </c>
      <c r="CV21" s="92" t="s">
        <v>12</v>
      </c>
      <c r="CW21" s="52" t="s">
        <v>261</v>
      </c>
      <c r="CX21" s="144">
        <f>((CX5*CX10*CX6)/((CX15/CX16)*(1-EXP(-CX6*CX9))*CX11*CX12))*CX7*CX27*CX28</f>
        <v>4.111542832884308E-12</v>
      </c>
      <c r="CY21" s="52" t="s">
        <v>16</v>
      </c>
      <c r="CZ21" s="91" t="s">
        <v>509</v>
      </c>
      <c r="DA21" s="144">
        <f>DV2</f>
        <v>1.1754236151089595E-4</v>
      </c>
      <c r="DB21" s="83" t="s">
        <v>297</v>
      </c>
      <c r="DC21" s="83" t="s">
        <v>476</v>
      </c>
      <c r="DD21" s="146">
        <f>B166</f>
        <v>0.85</v>
      </c>
      <c r="DF21" s="92" t="s">
        <v>73</v>
      </c>
      <c r="DG21" s="138">
        <f>B201</f>
        <v>1</v>
      </c>
      <c r="DH21" s="52" t="s">
        <v>41</v>
      </c>
      <c r="DL21" s="92"/>
      <c r="DO21" s="92" t="s">
        <v>73</v>
      </c>
      <c r="DP21" s="138">
        <f>B201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B201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B201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B201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B201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B201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91" t="s">
        <v>231</v>
      </c>
      <c r="B22" s="183">
        <f>B18*365</f>
        <v>584000</v>
      </c>
      <c r="C22" s="52" t="s">
        <v>222</v>
      </c>
      <c r="D22" s="52" t="s">
        <v>271</v>
      </c>
      <c r="E22" s="145">
        <f>((E5*E10*E6)/((E15/E16)*E8*(1-EXP(-E6*E10))*E17*(1/365)*E18))*E7*E27*E28</f>
        <v>6.845374728087269E-14</v>
      </c>
      <c r="F22" s="52" t="s">
        <v>16</v>
      </c>
      <c r="G22" s="83" t="s">
        <v>398</v>
      </c>
      <c r="H22" s="149">
        <f>(H29*H23*H68)+(H30*H24*H69)</f>
        <v>56282.8</v>
      </c>
      <c r="I22" s="92" t="s">
        <v>347</v>
      </c>
      <c r="J22" s="83" t="s">
        <v>369</v>
      </c>
      <c r="K22" s="146">
        <f>B41</f>
        <v>100</v>
      </c>
      <c r="L22" s="84" t="s">
        <v>48</v>
      </c>
      <c r="M22" s="331"/>
      <c r="N22" s="334"/>
      <c r="O22" s="337"/>
      <c r="P22" s="340"/>
      <c r="Q22" s="334"/>
      <c r="R22" s="343"/>
      <c r="T22" s="85"/>
      <c r="AB22" s="83" t="s">
        <v>88</v>
      </c>
      <c r="AC22" s="150">
        <f>B240</f>
        <v>0.4</v>
      </c>
      <c r="AD22" s="150">
        <f>B252</f>
        <v>0.4</v>
      </c>
      <c r="AE22" s="150">
        <f>B264</f>
        <v>0.4</v>
      </c>
      <c r="AF22" s="150">
        <f>B276</f>
        <v>0.4</v>
      </c>
      <c r="AG22" s="150">
        <f>B299</f>
        <v>0.4</v>
      </c>
      <c r="AI22" s="307"/>
      <c r="AJ22" s="304"/>
      <c r="AK22" s="291"/>
      <c r="AL22" s="288"/>
      <c r="AM22" s="304"/>
      <c r="AN22" s="282"/>
      <c r="AR22" s="665"/>
      <c r="AS22" s="304"/>
      <c r="AT22" s="667"/>
      <c r="AU22" s="663"/>
      <c r="AV22" s="304"/>
      <c r="AW22" s="669"/>
      <c r="BA22" s="665"/>
      <c r="BB22" s="304"/>
      <c r="BC22" s="667"/>
      <c r="BD22" s="663"/>
      <c r="BE22" s="304"/>
      <c r="BF22" s="669"/>
      <c r="BJ22" s="665"/>
      <c r="BK22" s="285"/>
      <c r="BL22" s="667"/>
      <c r="BM22" s="663"/>
      <c r="BN22" s="285"/>
      <c r="BO22" s="669"/>
      <c r="BS22" s="52" t="s">
        <v>433</v>
      </c>
      <c r="BT22" s="138">
        <f>B104</f>
        <v>75</v>
      </c>
      <c r="BU22" s="52" t="s">
        <v>24</v>
      </c>
      <c r="BV22" s="83" t="s">
        <v>90</v>
      </c>
      <c r="BW22" s="150">
        <f>B108</f>
        <v>1</v>
      </c>
      <c r="BX22" s="52" t="s">
        <v>194</v>
      </c>
      <c r="BY22" s="83" t="s">
        <v>140</v>
      </c>
      <c r="BZ22" s="150">
        <f>B103</f>
        <v>75</v>
      </c>
      <c r="CA22" s="83" t="s">
        <v>24</v>
      </c>
      <c r="CB22" s="52" t="s">
        <v>267</v>
      </c>
      <c r="CC22" s="136">
        <f>B5</f>
        <v>1</v>
      </c>
      <c r="CD22" s="52" t="s">
        <v>344</v>
      </c>
      <c r="CE22" s="52" t="s">
        <v>267</v>
      </c>
      <c r="CF22" s="136">
        <f>B5</f>
        <v>1</v>
      </c>
      <c r="CG22" s="52" t="s">
        <v>344</v>
      </c>
      <c r="CK22" s="269"/>
      <c r="CL22" s="263"/>
      <c r="CM22" s="280"/>
      <c r="CN22" s="260"/>
      <c r="CO22" s="263"/>
      <c r="CP22" s="280"/>
      <c r="CQ22" s="260"/>
      <c r="CR22" s="263"/>
      <c r="CS22" s="266"/>
      <c r="CT22" s="91" t="s">
        <v>275</v>
      </c>
      <c r="CU22" s="144">
        <f>DY2</f>
        <v>1.8584284312438635E-6</v>
      </c>
      <c r="CV22" s="92" t="s">
        <v>12</v>
      </c>
      <c r="CW22" s="52" t="s">
        <v>271</v>
      </c>
      <c r="CX22" s="145">
        <f>((CX5*CX10*CX6)/((CX15/CX16)*CX8*(1-EXP(-CX6*CX10))*CX17*(1/365)*CX18))*CX7*CX27*CX28</f>
        <v>6.845374728087269E-14</v>
      </c>
      <c r="CY22" s="52" t="s">
        <v>16</v>
      </c>
      <c r="CZ22" s="91" t="s">
        <v>510</v>
      </c>
      <c r="DA22" s="144" t="e">
        <f>GD2</f>
        <v>#DIV/0!</v>
      </c>
      <c r="DB22" s="83" t="s">
        <v>297</v>
      </c>
      <c r="DC22" s="84" t="s">
        <v>295</v>
      </c>
      <c r="DD22" s="142">
        <f>B302</f>
        <v>226.025409</v>
      </c>
      <c r="DE22" s="84" t="s">
        <v>296</v>
      </c>
      <c r="DF22" s="92" t="s">
        <v>74</v>
      </c>
      <c r="DG22" s="138">
        <f>B202</f>
        <v>14</v>
      </c>
      <c r="DH22" s="52" t="s">
        <v>75</v>
      </c>
      <c r="DL22" s="92"/>
      <c r="DO22" s="92" t="s">
        <v>74</v>
      </c>
      <c r="DP22" s="138">
        <f>B202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B202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B202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B202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B202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B202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105</v>
      </c>
      <c r="B23" s="182">
        <v>4</v>
      </c>
      <c r="C23" s="84" t="s">
        <v>18</v>
      </c>
      <c r="D23" s="52" t="s">
        <v>380</v>
      </c>
      <c r="E23" s="138">
        <f>B54</f>
        <v>350</v>
      </c>
      <c r="F23" s="52" t="s">
        <v>24</v>
      </c>
      <c r="G23" s="83" t="s">
        <v>399</v>
      </c>
      <c r="H23" s="146">
        <f>B149</f>
        <v>68.099999999999994</v>
      </c>
      <c r="I23" s="92" t="s">
        <v>221</v>
      </c>
      <c r="J23" s="83" t="s">
        <v>366</v>
      </c>
      <c r="K23" s="141">
        <f>B38</f>
        <v>10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666"/>
      <c r="AS23" s="305"/>
      <c r="AT23" s="668"/>
      <c r="AU23" s="664"/>
      <c r="AV23" s="305"/>
      <c r="AW23" s="670"/>
      <c r="BA23" s="666"/>
      <c r="BB23" s="305"/>
      <c r="BC23" s="668"/>
      <c r="BD23" s="664"/>
      <c r="BE23" s="305"/>
      <c r="BF23" s="670"/>
      <c r="BJ23" s="666"/>
      <c r="BK23" s="286"/>
      <c r="BL23" s="668"/>
      <c r="BM23" s="664"/>
      <c r="BN23" s="286"/>
      <c r="BO23" s="670"/>
      <c r="BS23" s="52" t="s">
        <v>434</v>
      </c>
      <c r="BT23" s="138">
        <f>B105</f>
        <v>75</v>
      </c>
      <c r="BU23" s="52" t="s">
        <v>24</v>
      </c>
      <c r="BV23" s="83" t="s">
        <v>435</v>
      </c>
      <c r="BW23" s="138">
        <f>B114</f>
        <v>1</v>
      </c>
      <c r="BX23" s="52" t="s">
        <v>80</v>
      </c>
      <c r="BY23" s="83" t="s">
        <v>434</v>
      </c>
      <c r="BZ23" s="150">
        <f>B105</f>
        <v>75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B5</f>
        <v>1</v>
      </c>
      <c r="CM23" s="52" t="s">
        <v>344</v>
      </c>
      <c r="CN23" s="52" t="s">
        <v>229</v>
      </c>
      <c r="CO23" s="136">
        <f>B29</f>
        <v>1.6999999999999999E-3</v>
      </c>
      <c r="CP23" s="52" t="s">
        <v>268</v>
      </c>
      <c r="CQ23" s="83" t="s">
        <v>229</v>
      </c>
      <c r="CR23" s="136">
        <f>CO23</f>
        <v>1.6999999999999999E-3</v>
      </c>
      <c r="CS23" s="52" t="s">
        <v>268</v>
      </c>
      <c r="CT23" s="91" t="s">
        <v>276</v>
      </c>
      <c r="CU23" s="144" t="e">
        <f>GG2</f>
        <v>#DIV/0!</v>
      </c>
      <c r="CV23" s="92" t="s">
        <v>12</v>
      </c>
      <c r="CW23" s="52" t="s">
        <v>456</v>
      </c>
      <c r="CX23" s="138">
        <f>B167</f>
        <v>350</v>
      </c>
      <c r="CY23" s="52" t="s">
        <v>24</v>
      </c>
      <c r="CZ23" s="91" t="s">
        <v>277</v>
      </c>
      <c r="DA23" s="145">
        <f>FO2</f>
        <v>3.1389181961360713E-6</v>
      </c>
      <c r="DB23" s="83" t="s">
        <v>297</v>
      </c>
      <c r="DC23" s="84" t="s">
        <v>293</v>
      </c>
      <c r="DD23" s="161">
        <f>B304</f>
        <v>2.7955176153748299E-12</v>
      </c>
      <c r="DE23" s="84"/>
      <c r="DF23" s="83" t="s">
        <v>267</v>
      </c>
      <c r="DG23" s="136">
        <f>B22</f>
        <v>584000</v>
      </c>
      <c r="DH23" s="52" t="s">
        <v>222</v>
      </c>
      <c r="DO23" s="83" t="s">
        <v>19</v>
      </c>
      <c r="DP23" s="161">
        <f>DP25</f>
        <v>1.4800000000000001E-2</v>
      </c>
      <c r="EA23" s="83"/>
      <c r="EB23" s="83"/>
      <c r="EC23" s="84"/>
      <c r="ED23" s="83" t="s">
        <v>19</v>
      </c>
      <c r="EE23" s="161">
        <f>EE25</f>
        <v>1.7000000000000001E-2</v>
      </c>
      <c r="EF23" s="84"/>
      <c r="EP23" s="83"/>
      <c r="EQ23" s="83"/>
      <c r="ER23" s="84"/>
      <c r="ES23" s="83" t="s">
        <v>19</v>
      </c>
      <c r="ET23" s="161">
        <f>ET25</f>
        <v>1.7000000000000001E-2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1.7000000000000001E-2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1.7000000000000001E-2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1.7000000000000001E-2</v>
      </c>
      <c r="HC23" s="84"/>
      <c r="HD23" s="67" t="s">
        <v>14</v>
      </c>
      <c r="HE23" s="222">
        <f>((HE25*HE42)*HE38*HE33*10^-3*HE32*HE27)/(HE31*HE41*(1-EXP(-HE27*HE32)))</f>
        <v>2.688918819852209E-11</v>
      </c>
      <c r="HF23" s="220" t="s">
        <v>597</v>
      </c>
    </row>
    <row r="24" spans="1:214" ht="14.25" thickTop="1" thickBot="1" x14ac:dyDescent="0.25">
      <c r="A24" s="83" t="s">
        <v>239</v>
      </c>
      <c r="B24" s="183">
        <v>3.8000000000000002E-4</v>
      </c>
      <c r="C24" s="52" t="s">
        <v>601</v>
      </c>
      <c r="D24" s="52" t="s">
        <v>381</v>
      </c>
      <c r="E24" s="138">
        <f>B55</f>
        <v>350</v>
      </c>
      <c r="F24" s="52" t="s">
        <v>24</v>
      </c>
      <c r="G24" s="83" t="s">
        <v>310</v>
      </c>
      <c r="H24" s="146">
        <f>B46</f>
        <v>188.5</v>
      </c>
      <c r="I24" s="92" t="s">
        <v>221</v>
      </c>
      <c r="J24" s="83" t="s">
        <v>367</v>
      </c>
      <c r="K24" s="141">
        <f>B39</f>
        <v>20</v>
      </c>
      <c r="L24" s="52" t="s">
        <v>407</v>
      </c>
      <c r="M24" s="52" t="s">
        <v>267</v>
      </c>
      <c r="N24" s="136">
        <f>B5</f>
        <v>1</v>
      </c>
      <c r="O24" s="52" t="s">
        <v>344</v>
      </c>
      <c r="P24" s="52" t="s">
        <v>267</v>
      </c>
      <c r="Q24" s="136">
        <f>B5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4.3312499999999997E-4</v>
      </c>
      <c r="AD24" s="137">
        <f>0.693/AD25</f>
        <v>4.3312499999999997E-4</v>
      </c>
      <c r="AE24" s="137">
        <f>0.693/AE25</f>
        <v>4.3312499999999997E-4</v>
      </c>
      <c r="AF24" s="137">
        <f>0.693/AF25</f>
        <v>4.3312499999999997E-4</v>
      </c>
      <c r="AG24" s="137">
        <f>0.693/AG25</f>
        <v>4.3312499999999997E-4</v>
      </c>
      <c r="AI24" s="52" t="s">
        <v>267</v>
      </c>
      <c r="AJ24" s="136">
        <f>B5</f>
        <v>1</v>
      </c>
      <c r="AK24" s="52" t="s">
        <v>344</v>
      </c>
      <c r="AL24" s="52" t="s">
        <v>267</v>
      </c>
      <c r="AM24" s="136">
        <f>B5</f>
        <v>1</v>
      </c>
      <c r="AN24" s="52" t="s">
        <v>344</v>
      </c>
      <c r="AR24" s="52" t="s">
        <v>267</v>
      </c>
      <c r="AS24" s="136">
        <f>B5</f>
        <v>1</v>
      </c>
      <c r="AT24" s="52" t="s">
        <v>344</v>
      </c>
      <c r="AU24" s="52" t="s">
        <v>267</v>
      </c>
      <c r="AV24" s="136">
        <f>B5</f>
        <v>1</v>
      </c>
      <c r="AW24" s="52" t="s">
        <v>344</v>
      </c>
      <c r="BA24" s="52" t="s">
        <v>267</v>
      </c>
      <c r="BB24" s="136">
        <f>B5</f>
        <v>1</v>
      </c>
      <c r="BC24" s="52" t="s">
        <v>344</v>
      </c>
      <c r="BD24" s="52" t="s">
        <v>267</v>
      </c>
      <c r="BE24" s="136">
        <f>B5</f>
        <v>1</v>
      </c>
      <c r="BF24" s="52" t="s">
        <v>344</v>
      </c>
      <c r="BJ24" s="52" t="s">
        <v>267</v>
      </c>
      <c r="BK24" s="136">
        <f>B5</f>
        <v>1</v>
      </c>
      <c r="BL24" s="52" t="s">
        <v>344</v>
      </c>
      <c r="BM24" s="52" t="s">
        <v>267</v>
      </c>
      <c r="BN24" s="136">
        <f>B5</f>
        <v>1</v>
      </c>
      <c r="BO24" s="52" t="s">
        <v>344</v>
      </c>
      <c r="BS24" s="91" t="s">
        <v>95</v>
      </c>
      <c r="BT24" s="158">
        <f>B117</f>
        <v>1</v>
      </c>
      <c r="BU24" s="91" t="s">
        <v>60</v>
      </c>
      <c r="BV24" s="83" t="s">
        <v>436</v>
      </c>
      <c r="BW24" s="138">
        <f>B115</f>
        <v>1</v>
      </c>
      <c r="BX24" s="52" t="s">
        <v>80</v>
      </c>
      <c r="BY24" s="83" t="s">
        <v>433</v>
      </c>
      <c r="BZ24" s="150">
        <f>B104</f>
        <v>75</v>
      </c>
      <c r="CA24" s="83" t="s">
        <v>24</v>
      </c>
      <c r="CB24" s="83" t="s">
        <v>22</v>
      </c>
      <c r="CC24" s="137">
        <f>0.693/CC25</f>
        <v>4.3312499999999997E-4</v>
      </c>
      <c r="CE24" s="83" t="s">
        <v>22</v>
      </c>
      <c r="CF24" s="137">
        <f>0.693/CF25</f>
        <v>4.3312499999999997E-4</v>
      </c>
      <c r="CK24" s="52" t="s">
        <v>258</v>
      </c>
      <c r="CL24" s="136">
        <f>B17</f>
        <v>1.67911012348351E-3</v>
      </c>
      <c r="CM24" s="92" t="s">
        <v>259</v>
      </c>
      <c r="CN24" s="52" t="s">
        <v>20</v>
      </c>
      <c r="CO24" s="139">
        <f>CO26</f>
        <v>1.7000000000000001E-2</v>
      </c>
      <c r="CQ24" s="84" t="s">
        <v>170</v>
      </c>
      <c r="CR24" s="162">
        <f>B139</f>
        <v>1</v>
      </c>
      <c r="CS24" s="52" t="s">
        <v>28</v>
      </c>
      <c r="CT24" s="91" t="s">
        <v>277</v>
      </c>
      <c r="CU24" s="145">
        <f>FR2</f>
        <v>3.1395980171789717E-9</v>
      </c>
      <c r="CV24" s="92" t="s">
        <v>12</v>
      </c>
      <c r="CW24" s="52" t="s">
        <v>465</v>
      </c>
      <c r="CX24" s="138">
        <f>B168</f>
        <v>350</v>
      </c>
      <c r="CY24" s="52" t="s">
        <v>24</v>
      </c>
      <c r="CZ24" s="83" t="s">
        <v>45</v>
      </c>
      <c r="DA24" s="149">
        <f>(DA35*DA27*DA49)+(DA36*DA28*DA50)</f>
        <v>784.7</v>
      </c>
      <c r="DB24" s="52" t="s">
        <v>345</v>
      </c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223">
        <f>((HE26*HE42)*HE38*HE33*10^-3*HE32*HE27)/(HE31*HE41*(1-EXP(-HE27*HE32)))</f>
        <v>4.4627503824482774E-14</v>
      </c>
      <c r="HF24" s="221" t="s">
        <v>598</v>
      </c>
    </row>
    <row r="25" spans="1:214" ht="15" thickTop="1" x14ac:dyDescent="0.2">
      <c r="A25" s="83" t="s">
        <v>236</v>
      </c>
      <c r="B25" s="183">
        <v>1.6999999999999999E-3</v>
      </c>
      <c r="C25" s="52" t="s">
        <v>388</v>
      </c>
      <c r="D25" s="83" t="s">
        <v>376</v>
      </c>
      <c r="E25" s="146">
        <f>B49</f>
        <v>0.23</v>
      </c>
      <c r="G25" s="83" t="s">
        <v>400</v>
      </c>
      <c r="H25" s="149">
        <f>(H29*H26*H68)+(H30*H27*H69)</f>
        <v>38095.4</v>
      </c>
      <c r="I25" s="92" t="s">
        <v>347</v>
      </c>
      <c r="J25" s="83" t="s">
        <v>446</v>
      </c>
      <c r="K25" s="149">
        <f>(K31*K26*K51)+(K32*K27*K52)</f>
        <v>56282.8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2.7277654549834912E-13</v>
      </c>
      <c r="X25" s="62" t="s">
        <v>294</v>
      </c>
      <c r="Y25" s="202" t="s">
        <v>16</v>
      </c>
      <c r="Z25" s="187">
        <f>1/((1/Z41)+(1/Z40))</f>
        <v>2.7277654549834912E-13</v>
      </c>
      <c r="AA25" s="63" t="s">
        <v>294</v>
      </c>
      <c r="AB25" s="91" t="s">
        <v>231</v>
      </c>
      <c r="AC25" s="136">
        <f>B18</f>
        <v>1600</v>
      </c>
      <c r="AD25" s="136">
        <f>B18</f>
        <v>1600</v>
      </c>
      <c r="AE25" s="136">
        <f>B18</f>
        <v>1600</v>
      </c>
      <c r="AF25" s="136">
        <f>B18</f>
        <v>1600</v>
      </c>
      <c r="AG25" s="136">
        <f>B18</f>
        <v>1600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B101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B108</f>
        <v>1</v>
      </c>
      <c r="CA25" s="94" t="s">
        <v>194</v>
      </c>
      <c r="CB25" s="91" t="s">
        <v>231</v>
      </c>
      <c r="CC25" s="136">
        <f>B18</f>
        <v>1600</v>
      </c>
      <c r="CD25" s="52" t="s">
        <v>60</v>
      </c>
      <c r="CE25" s="91" t="s">
        <v>231</v>
      </c>
      <c r="CF25" s="136">
        <f>B18</f>
        <v>1600</v>
      </c>
      <c r="CG25" s="52" t="s">
        <v>60</v>
      </c>
      <c r="CK25" s="52" t="s">
        <v>140</v>
      </c>
      <c r="CL25" s="138">
        <f>B103</f>
        <v>75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40250</v>
      </c>
      <c r="CV25" s="83" t="s">
        <v>346</v>
      </c>
      <c r="CW25" s="83" t="s">
        <v>475</v>
      </c>
      <c r="CX25" s="146">
        <f>B165</f>
        <v>0.15</v>
      </c>
      <c r="CZ25" s="83" t="s">
        <v>43</v>
      </c>
      <c r="DA25" s="140">
        <f>(DA35*DA29*(DA38/24)*DA49)+(DA36*DA30*(DA39/24)*DA50)</f>
        <v>6475</v>
      </c>
      <c r="DB25" s="83" t="s">
        <v>426</v>
      </c>
      <c r="DF25" s="52" t="s">
        <v>33</v>
      </c>
      <c r="DG25" s="136">
        <f>B32</f>
        <v>1.7000000000000001E-2</v>
      </c>
      <c r="DO25" s="83" t="s">
        <v>32</v>
      </c>
      <c r="DP25" s="136">
        <f>B31</f>
        <v>1.4800000000000001E-2</v>
      </c>
      <c r="EA25" s="83"/>
      <c r="EC25" s="84"/>
      <c r="ED25" s="83" t="s">
        <v>33</v>
      </c>
      <c r="EE25" s="136">
        <f>B32</f>
        <v>1.7000000000000001E-2</v>
      </c>
      <c r="EF25" s="84"/>
      <c r="EP25" s="83"/>
      <c r="ER25" s="84"/>
      <c r="ES25" s="83" t="s">
        <v>33</v>
      </c>
      <c r="ET25" s="136">
        <f>B32</f>
        <v>1.7000000000000001E-2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B32</f>
        <v>1.7000000000000001E-2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B32</f>
        <v>1.7000000000000001E-2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B32</f>
        <v>1.7000000000000001E-2</v>
      </c>
      <c r="HC25" s="84"/>
      <c r="HD25" s="89" t="s">
        <v>21</v>
      </c>
      <c r="HE25" s="139">
        <f>B34</f>
        <v>5.0629691616000001E-9</v>
      </c>
      <c r="HF25" s="83" t="s">
        <v>13</v>
      </c>
    </row>
    <row r="26" spans="1:214" ht="13.5" thickBot="1" x14ac:dyDescent="0.25">
      <c r="A26" s="83" t="s">
        <v>237</v>
      </c>
      <c r="B26" s="183">
        <v>0</v>
      </c>
      <c r="C26" s="52" t="s">
        <v>388</v>
      </c>
      <c r="D26" s="83" t="s">
        <v>377</v>
      </c>
      <c r="E26" s="146">
        <f>B50</f>
        <v>0.77</v>
      </c>
      <c r="G26" s="83" t="s">
        <v>401</v>
      </c>
      <c r="H26" s="146">
        <f>B151</f>
        <v>41.7</v>
      </c>
      <c r="I26" s="92" t="s">
        <v>221</v>
      </c>
      <c r="J26" s="83" t="s">
        <v>399</v>
      </c>
      <c r="K26" s="146">
        <f>B45</f>
        <v>68.099999999999994</v>
      </c>
      <c r="L26" s="92" t="s">
        <v>221</v>
      </c>
      <c r="M26" s="83" t="s">
        <v>22</v>
      </c>
      <c r="N26" s="137">
        <f>0.693/N27</f>
        <v>4.3312499999999997E-4</v>
      </c>
      <c r="P26" s="83" t="s">
        <v>22</v>
      </c>
      <c r="Q26" s="137">
        <f>0.693/Q27</f>
        <v>4.3312499999999997E-4</v>
      </c>
      <c r="V26" s="201" t="s">
        <v>15</v>
      </c>
      <c r="W26" s="75">
        <f>1/((1/W38)+(1/W39))</f>
        <v>2.7271748085547941E-13</v>
      </c>
      <c r="X26" s="76" t="s">
        <v>294</v>
      </c>
      <c r="Y26" s="203" t="s">
        <v>15</v>
      </c>
      <c r="Z26" s="185">
        <f>1/((1/Z38)+(1/Z39))</f>
        <v>2.7271748085547941E-13</v>
      </c>
      <c r="AA26" s="77" t="s">
        <v>294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4.3312499999999997E-4</v>
      </c>
      <c r="AL26" s="83" t="s">
        <v>22</v>
      </c>
      <c r="AM26" s="137">
        <f>0.693/AM27</f>
        <v>4.3312499999999997E-4</v>
      </c>
      <c r="AR26" s="83" t="s">
        <v>22</v>
      </c>
      <c r="AS26" s="137">
        <f>0.693/AS27</f>
        <v>4.3312499999999997E-4</v>
      </c>
      <c r="AU26" s="83" t="s">
        <v>22</v>
      </c>
      <c r="AV26" s="137">
        <f>0.693/AV27</f>
        <v>4.3312499999999997E-4</v>
      </c>
      <c r="BA26" s="83" t="s">
        <v>22</v>
      </c>
      <c r="BB26" s="137">
        <f>0.693/BB27</f>
        <v>4.3312499999999997E-4</v>
      </c>
      <c r="BD26" s="83" t="s">
        <v>22</v>
      </c>
      <c r="BE26" s="137">
        <f>0.693/BE27</f>
        <v>4.3312499999999997E-4</v>
      </c>
      <c r="BJ26" s="83" t="s">
        <v>22</v>
      </c>
      <c r="BK26" s="137">
        <f>0.693/BK27</f>
        <v>4.3312499999999997E-4</v>
      </c>
      <c r="BM26" s="83" t="s">
        <v>22</v>
      </c>
      <c r="BN26" s="137">
        <f>0.693/BN27</f>
        <v>4.3312499999999997E-4</v>
      </c>
      <c r="BS26" s="91" t="s">
        <v>309</v>
      </c>
      <c r="BT26" s="177">
        <f>B102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B106</f>
        <v>1</v>
      </c>
      <c r="CA26" s="94" t="s">
        <v>194</v>
      </c>
      <c r="CB26" s="52" t="s">
        <v>140</v>
      </c>
      <c r="CC26" s="138">
        <f>B103</f>
        <v>75</v>
      </c>
      <c r="CD26" s="52" t="s">
        <v>24</v>
      </c>
      <c r="CE26" s="52" t="s">
        <v>140</v>
      </c>
      <c r="CF26" s="138">
        <f>B103</f>
        <v>75</v>
      </c>
      <c r="CG26" s="52" t="s">
        <v>24</v>
      </c>
      <c r="CK26" s="52" t="s">
        <v>160</v>
      </c>
      <c r="CL26" s="162">
        <f>B134</f>
        <v>1</v>
      </c>
      <c r="CM26" s="52" t="s">
        <v>221</v>
      </c>
      <c r="CN26" s="52" t="s">
        <v>33</v>
      </c>
      <c r="CO26" s="136">
        <f>B32</f>
        <v>1.7000000000000001E-2</v>
      </c>
      <c r="CT26" s="83" t="s">
        <v>506</v>
      </c>
      <c r="CU26" s="155">
        <f>((CU31*CU29*CU47)+(CU32*CU30*CU48))</f>
        <v>6475</v>
      </c>
      <c r="CV26" s="52" t="s">
        <v>426</v>
      </c>
      <c r="CW26" s="83" t="s">
        <v>476</v>
      </c>
      <c r="CX26" s="141">
        <f>B166</f>
        <v>0.85</v>
      </c>
      <c r="CY26" s="83"/>
      <c r="CZ26" s="83" t="s">
        <v>142</v>
      </c>
      <c r="DA26" s="149">
        <f>(DA35*DA40*DA42*DA49)+(DA36*DA41*DA43*DA50)</f>
        <v>239.57499999999999</v>
      </c>
      <c r="DB26" s="52" t="s">
        <v>356</v>
      </c>
      <c r="DF26" s="95"/>
      <c r="DG26" s="176"/>
      <c r="DO26" s="83" t="s">
        <v>393</v>
      </c>
      <c r="DP26" s="138">
        <f>B35</f>
        <v>0.26</v>
      </c>
      <c r="EA26" s="83"/>
      <c r="EB26" s="84"/>
      <c r="EC26" s="84"/>
      <c r="ED26" s="83" t="s">
        <v>392</v>
      </c>
      <c r="EE26" s="163">
        <f>B36</f>
        <v>0.25</v>
      </c>
      <c r="EF26" s="84"/>
      <c r="EP26" s="83"/>
      <c r="EQ26" s="84"/>
      <c r="ER26" s="84"/>
      <c r="ES26" s="83" t="s">
        <v>392</v>
      </c>
      <c r="ET26" s="163">
        <f>B36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B36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B36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B36</f>
        <v>0.25</v>
      </c>
      <c r="HC26" s="84"/>
      <c r="HD26" s="84" t="s">
        <v>265</v>
      </c>
      <c r="HE26" s="139">
        <f>H2</f>
        <v>8.4029191939294425E-12</v>
      </c>
      <c r="HF26" s="83" t="s">
        <v>13</v>
      </c>
    </row>
    <row r="27" spans="1:214" ht="13.5" thickTop="1" x14ac:dyDescent="0.2">
      <c r="A27" s="83" t="s">
        <v>171</v>
      </c>
      <c r="B27" s="183">
        <v>0</v>
      </c>
      <c r="C27" s="52" t="s">
        <v>388</v>
      </c>
      <c r="D27" s="84" t="s">
        <v>295</v>
      </c>
      <c r="E27" s="142">
        <f>B302</f>
        <v>226.025409</v>
      </c>
      <c r="F27" s="84" t="s">
        <v>296</v>
      </c>
      <c r="G27" s="83" t="s">
        <v>402</v>
      </c>
      <c r="H27" s="146">
        <f>B48</f>
        <v>128.9</v>
      </c>
      <c r="I27" s="92" t="s">
        <v>221</v>
      </c>
      <c r="J27" s="83" t="s">
        <v>310</v>
      </c>
      <c r="K27" s="146">
        <f>B46</f>
        <v>188.5</v>
      </c>
      <c r="L27" s="92" t="s">
        <v>221</v>
      </c>
      <c r="M27" s="91" t="s">
        <v>231</v>
      </c>
      <c r="N27" s="136">
        <f>B18</f>
        <v>1600</v>
      </c>
      <c r="O27" s="52" t="s">
        <v>60</v>
      </c>
      <c r="P27" s="91" t="s">
        <v>231</v>
      </c>
      <c r="Q27" s="136">
        <f>B18</f>
        <v>1600</v>
      </c>
      <c r="R27" s="52" t="s">
        <v>60</v>
      </c>
      <c r="V27" s="52" t="s">
        <v>267</v>
      </c>
      <c r="W27" s="136">
        <f>B5</f>
        <v>1</v>
      </c>
      <c r="X27" s="52" t="s">
        <v>344</v>
      </c>
      <c r="Y27" s="52" t="s">
        <v>267</v>
      </c>
      <c r="Z27" s="136">
        <f>B5</f>
        <v>1</v>
      </c>
      <c r="AA27" s="52" t="s">
        <v>344</v>
      </c>
      <c r="AB27" s="84" t="s">
        <v>16</v>
      </c>
      <c r="AC27" s="239">
        <f>(AC23*AC24)/(1-EXP(-AC24*AC23))</f>
        <v>1.0002165781331087</v>
      </c>
      <c r="AD27" s="239">
        <f>(AD23*AD24)/(1-EXP(-AD24*AD23))</f>
        <v>1.0002165781331087</v>
      </c>
      <c r="AE27" s="239">
        <f>(AE23*AE24)/(1-EXP(-AE24*AE23))</f>
        <v>1.0002165781331087</v>
      </c>
      <c r="AF27" s="239">
        <f>(AF23*AF24)/(1-EXP(-AF24*AF23))</f>
        <v>1.0002165781331087</v>
      </c>
      <c r="AG27" s="239">
        <f>(AG23*AG24)/(1-EXP(-AG24*AG23))</f>
        <v>1.0002165781331087</v>
      </c>
      <c r="AI27" s="91" t="s">
        <v>231</v>
      </c>
      <c r="AJ27" s="136">
        <f>B18</f>
        <v>1600</v>
      </c>
      <c r="AK27" s="52" t="s">
        <v>60</v>
      </c>
      <c r="AL27" s="91" t="s">
        <v>231</v>
      </c>
      <c r="AM27" s="136">
        <f>B18</f>
        <v>1600</v>
      </c>
      <c r="AN27" s="52" t="s">
        <v>60</v>
      </c>
      <c r="AR27" s="91" t="s">
        <v>231</v>
      </c>
      <c r="AS27" s="136">
        <f>B18</f>
        <v>1600</v>
      </c>
      <c r="AT27" s="52" t="s">
        <v>60</v>
      </c>
      <c r="AU27" s="91" t="s">
        <v>231</v>
      </c>
      <c r="AV27" s="136">
        <f>B18</f>
        <v>1600</v>
      </c>
      <c r="AW27" s="52" t="s">
        <v>60</v>
      </c>
      <c r="BA27" s="91" t="s">
        <v>231</v>
      </c>
      <c r="BB27" s="136">
        <f>B18</f>
        <v>1600</v>
      </c>
      <c r="BC27" s="52" t="s">
        <v>60</v>
      </c>
      <c r="BD27" s="91" t="s">
        <v>231</v>
      </c>
      <c r="BE27" s="136">
        <f>B18</f>
        <v>1600</v>
      </c>
      <c r="BF27" s="52" t="s">
        <v>60</v>
      </c>
      <c r="BJ27" s="91" t="s">
        <v>231</v>
      </c>
      <c r="BK27" s="136">
        <f>B18</f>
        <v>1600</v>
      </c>
      <c r="BL27" s="52" t="s">
        <v>60</v>
      </c>
      <c r="BM27" s="91" t="s">
        <v>231</v>
      </c>
      <c r="BN27" s="136">
        <f>B18</f>
        <v>1600</v>
      </c>
      <c r="BO27" s="52" t="s">
        <v>60</v>
      </c>
      <c r="BS27" s="84" t="s">
        <v>295</v>
      </c>
      <c r="BT27" s="142">
        <f>B302</f>
        <v>226.025409</v>
      </c>
      <c r="BU27" s="84" t="s">
        <v>296</v>
      </c>
      <c r="BW27" s="138">
        <v>1000</v>
      </c>
      <c r="BX27" s="52" t="s">
        <v>218</v>
      </c>
      <c r="BY27" s="83" t="s">
        <v>90</v>
      </c>
      <c r="BZ27" s="150">
        <f>B107</f>
        <v>1</v>
      </c>
      <c r="CA27" s="52" t="s">
        <v>194</v>
      </c>
      <c r="CB27" s="52" t="s">
        <v>51</v>
      </c>
      <c r="CC27" s="138">
        <f>B117</f>
        <v>1</v>
      </c>
      <c r="CD27" s="52" t="s">
        <v>146</v>
      </c>
      <c r="CE27" s="52" t="s">
        <v>51</v>
      </c>
      <c r="CF27" s="138">
        <f>B117</f>
        <v>1</v>
      </c>
      <c r="CG27" s="52" t="s">
        <v>146</v>
      </c>
      <c r="CK27" s="84" t="s">
        <v>295</v>
      </c>
      <c r="CL27" s="142">
        <f>B302</f>
        <v>226.025409</v>
      </c>
      <c r="CM27" s="84" t="s">
        <v>296</v>
      </c>
      <c r="CN27" s="52" t="s">
        <v>392</v>
      </c>
      <c r="CO27" s="162">
        <f>B36</f>
        <v>0.25</v>
      </c>
      <c r="CT27" s="83" t="s">
        <v>449</v>
      </c>
      <c r="CU27" s="146">
        <f>B141</f>
        <v>200</v>
      </c>
      <c r="CV27" s="84" t="s">
        <v>48</v>
      </c>
      <c r="CW27" s="84" t="s">
        <v>295</v>
      </c>
      <c r="CX27" s="142">
        <f>B302</f>
        <v>226.025409</v>
      </c>
      <c r="CY27" s="84" t="s">
        <v>296</v>
      </c>
      <c r="CZ27" s="92" t="s">
        <v>451</v>
      </c>
      <c r="DA27" s="142">
        <f t="shared" ref="DA27:DA34" si="0">B145</f>
        <v>0.78</v>
      </c>
      <c r="DB27" s="83" t="s">
        <v>28</v>
      </c>
      <c r="DO27" s="95"/>
      <c r="DP27" s="176"/>
      <c r="DW27" s="88"/>
      <c r="DX27" s="88"/>
      <c r="DY27" s="88"/>
      <c r="DZ27" s="88"/>
      <c r="EA27" s="83"/>
      <c r="EB27" s="85"/>
      <c r="ED27" s="83" t="s">
        <v>517</v>
      </c>
      <c r="EE27" s="136">
        <f>B24</f>
        <v>3.8000000000000002E-4</v>
      </c>
      <c r="EF27" s="52" t="s">
        <v>388</v>
      </c>
      <c r="EP27" s="83"/>
      <c r="EQ27" s="86"/>
      <c r="ES27" s="83" t="s">
        <v>236</v>
      </c>
      <c r="ET27" s="169">
        <f>B25</f>
        <v>1.6999999999999999E-3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B27</f>
        <v>0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B26</f>
        <v>0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B28</f>
        <v>0</v>
      </c>
      <c r="HC27" s="52" t="s">
        <v>388</v>
      </c>
      <c r="HD27" s="83" t="s">
        <v>22</v>
      </c>
      <c r="HE27" s="137">
        <f>0.693/HE29</f>
        <v>4.3312499999999997E-4</v>
      </c>
    </row>
    <row r="28" spans="1:214" x14ac:dyDescent="0.2">
      <c r="A28" s="83" t="s">
        <v>238</v>
      </c>
      <c r="B28" s="183">
        <v>0</v>
      </c>
      <c r="C28" s="52" t="s">
        <v>388</v>
      </c>
      <c r="D28" s="84" t="s">
        <v>293</v>
      </c>
      <c r="E28" s="161">
        <f>B303</f>
        <v>2.8000000000000001E-15</v>
      </c>
      <c r="F28" s="84"/>
      <c r="G28" s="83" t="s">
        <v>65</v>
      </c>
      <c r="H28" s="141">
        <f>B65</f>
        <v>0.5</v>
      </c>
      <c r="I28" s="52" t="s">
        <v>66</v>
      </c>
      <c r="J28" s="83" t="s">
        <v>447</v>
      </c>
      <c r="K28" s="149">
        <f>(K31*K29*K51)+(K32*K30*K52)</f>
        <v>38095.4</v>
      </c>
      <c r="L28" s="92" t="s">
        <v>347</v>
      </c>
      <c r="M28" s="52" t="s">
        <v>382</v>
      </c>
      <c r="N28" s="138">
        <f>B56</f>
        <v>350</v>
      </c>
      <c r="O28" s="52" t="s">
        <v>24</v>
      </c>
      <c r="P28" s="52" t="s">
        <v>382</v>
      </c>
      <c r="Q28" s="138">
        <f>B56</f>
        <v>350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B243</f>
        <v>250</v>
      </c>
      <c r="AK28" s="52" t="s">
        <v>24</v>
      </c>
      <c r="AL28" s="52" t="s">
        <v>35</v>
      </c>
      <c r="AM28" s="138">
        <f>B243</f>
        <v>250</v>
      </c>
      <c r="AN28" s="52" t="s">
        <v>24</v>
      </c>
      <c r="AR28" s="52" t="s">
        <v>423</v>
      </c>
      <c r="AS28" s="138">
        <f>B255</f>
        <v>225</v>
      </c>
      <c r="AT28" s="52" t="s">
        <v>24</v>
      </c>
      <c r="AU28" s="52" t="s">
        <v>423</v>
      </c>
      <c r="AV28" s="138">
        <f>B255</f>
        <v>225</v>
      </c>
      <c r="AW28" s="52" t="s">
        <v>24</v>
      </c>
      <c r="BA28" s="52" t="s">
        <v>316</v>
      </c>
      <c r="BB28" s="138">
        <f>B231</f>
        <v>250</v>
      </c>
      <c r="BC28" s="52" t="s">
        <v>24</v>
      </c>
      <c r="BD28" s="52" t="s">
        <v>316</v>
      </c>
      <c r="BE28" s="138">
        <f>B231</f>
        <v>250</v>
      </c>
      <c r="BF28" s="52" t="s">
        <v>24</v>
      </c>
      <c r="BJ28" s="52" t="s">
        <v>191</v>
      </c>
      <c r="BK28" s="138">
        <f>BK29*BK30</f>
        <v>250</v>
      </c>
      <c r="BL28" s="52" t="s">
        <v>24</v>
      </c>
      <c r="BM28" s="52" t="s">
        <v>191</v>
      </c>
      <c r="BN28" s="138">
        <f>BN29*BN30</f>
        <v>250</v>
      </c>
      <c r="BO28" s="52" t="s">
        <v>24</v>
      </c>
      <c r="BS28" s="84" t="s">
        <v>293</v>
      </c>
      <c r="BT28" s="161">
        <f>B303</f>
        <v>2.8000000000000001E-15</v>
      </c>
      <c r="BU28" s="84"/>
      <c r="BV28" s="83"/>
      <c r="BW28" s="146">
        <v>365</v>
      </c>
      <c r="BX28" s="84" t="s">
        <v>24</v>
      </c>
      <c r="BY28" s="83" t="s">
        <v>302</v>
      </c>
      <c r="BZ28" s="141">
        <f>B118</f>
        <v>2.41E-4</v>
      </c>
      <c r="CB28" s="52" t="s">
        <v>300</v>
      </c>
      <c r="CC28" s="138">
        <f>B126</f>
        <v>1.5699999999999999E-5</v>
      </c>
      <c r="CE28" s="52" t="s">
        <v>300</v>
      </c>
      <c r="CF28" s="138">
        <f>B122</f>
        <v>1.35E-4</v>
      </c>
      <c r="CK28" s="84" t="s">
        <v>293</v>
      </c>
      <c r="CL28" s="161">
        <f>B304</f>
        <v>2.7955176153748299E-12</v>
      </c>
      <c r="CM28" s="84"/>
      <c r="CN28" s="52" t="s">
        <v>165</v>
      </c>
      <c r="CO28" s="162">
        <f>B135</f>
        <v>1</v>
      </c>
      <c r="CP28" s="52" t="s">
        <v>246</v>
      </c>
      <c r="CT28" s="83" t="s">
        <v>458</v>
      </c>
      <c r="CU28" s="146">
        <f>B142</f>
        <v>100</v>
      </c>
      <c r="CV28" s="84" t="s">
        <v>48</v>
      </c>
      <c r="CW28" s="84" t="s">
        <v>293</v>
      </c>
      <c r="CX28" s="161">
        <f>B303</f>
        <v>2.8000000000000001E-15</v>
      </c>
      <c r="CY28" s="84"/>
      <c r="CZ28" s="92" t="s">
        <v>460</v>
      </c>
      <c r="DA28" s="142">
        <f t="shared" si="0"/>
        <v>2.5</v>
      </c>
      <c r="DB28" s="83" t="s">
        <v>28</v>
      </c>
      <c r="DW28" s="88"/>
      <c r="DX28" s="88"/>
      <c r="DY28" s="88"/>
      <c r="DZ28" s="88"/>
      <c r="ED28" s="95"/>
      <c r="EE28" s="176"/>
      <c r="ES28" s="95"/>
      <c r="ET28" s="176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95"/>
      <c r="FI28" s="176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95"/>
      <c r="GM28" s="176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95"/>
      <c r="HB28" s="176"/>
      <c r="HD28" s="52" t="s">
        <v>16</v>
      </c>
      <c r="HE28" s="137">
        <f>1-EXP(-HE27*HE32)</f>
        <v>4.3303121490789742E-4</v>
      </c>
    </row>
    <row r="29" spans="1:214" ht="15.75" thickBot="1" x14ac:dyDescent="0.25">
      <c r="A29" s="52" t="s">
        <v>229</v>
      </c>
      <c r="B29" s="183">
        <f>B25</f>
        <v>1.6999999999999999E-3</v>
      </c>
      <c r="C29" s="52" t="s">
        <v>388</v>
      </c>
      <c r="G29" s="83" t="s">
        <v>380</v>
      </c>
      <c r="H29" s="150">
        <f>B54</f>
        <v>350</v>
      </c>
      <c r="I29" s="83" t="s">
        <v>24</v>
      </c>
      <c r="J29" s="83" t="s">
        <v>401</v>
      </c>
      <c r="K29" s="146">
        <f>B47</f>
        <v>41.7</v>
      </c>
      <c r="L29" s="92" t="s">
        <v>221</v>
      </c>
      <c r="M29" s="52" t="s">
        <v>379</v>
      </c>
      <c r="N29" s="138">
        <f>B53</f>
        <v>1</v>
      </c>
      <c r="O29" s="52" t="s">
        <v>146</v>
      </c>
      <c r="P29" s="52" t="s">
        <v>379</v>
      </c>
      <c r="Q29" s="138">
        <f>B53</f>
        <v>1</v>
      </c>
      <c r="R29" s="52" t="s">
        <v>146</v>
      </c>
      <c r="V29" s="83" t="s">
        <v>22</v>
      </c>
      <c r="W29" s="137">
        <f>0.693/W30</f>
        <v>4.3312499999999997E-4</v>
      </c>
      <c r="Y29" s="83" t="s">
        <v>22</v>
      </c>
      <c r="Z29" s="137">
        <f>0.693/Z30</f>
        <v>4.3312499999999997E-4</v>
      </c>
      <c r="AB29" s="83" t="s">
        <v>260</v>
      </c>
      <c r="AC29" s="143">
        <f>((AC5/(AC8*AC13*AC7*AC9*(1/AC6)))*AC27)*AC25*AC35*AC36</f>
        <v>3.9042153452386848E-5</v>
      </c>
      <c r="AD29" s="143">
        <f>((AD5/(AD8*AD13*AD7*AD9*(1/AD6)))*AD27)*AD25*AD35*AD36</f>
        <v>7.8084306904773696E-5</v>
      </c>
      <c r="AE29" s="143">
        <f>((AE5/(AE8*AE13*AE7*AE9*(1/AE6)))*AE27)*AE25*AE35*AE36</f>
        <v>4.3380170502652051E-5</v>
      </c>
      <c r="AF29" s="143">
        <f>((AF5*AF23*AF24)/((1-EXP(-AF24*AF23))*AF8*AF7*AF9*AF13*(1/AF28)))*AF25*AF35*AF36</f>
        <v>1.1830955591632374E-5</v>
      </c>
      <c r="AG29" s="143">
        <f>((AG5*AG23*AG24)/((1-EXP(-AG24*AG23))*AG8*AG7*AG9*AG13*(1/AG28)))*AG25*AG35*AG36</f>
        <v>1.1830955591632374E-5</v>
      </c>
      <c r="AH29" s="83" t="s">
        <v>297</v>
      </c>
      <c r="AI29" s="52" t="s">
        <v>420</v>
      </c>
      <c r="AJ29" s="138">
        <f>B244</f>
        <v>1</v>
      </c>
      <c r="AK29" s="52" t="s">
        <v>146</v>
      </c>
      <c r="AL29" s="52" t="s">
        <v>420</v>
      </c>
      <c r="AM29" s="138">
        <f>B244</f>
        <v>1</v>
      </c>
      <c r="AN29" s="52" t="s">
        <v>146</v>
      </c>
      <c r="AR29" s="52" t="s">
        <v>424</v>
      </c>
      <c r="AS29" s="138">
        <f>B256</f>
        <v>1</v>
      </c>
      <c r="AT29" s="52" t="s">
        <v>146</v>
      </c>
      <c r="AU29" s="52" t="s">
        <v>424</v>
      </c>
      <c r="AV29" s="138">
        <f>B256</f>
        <v>1</v>
      </c>
      <c r="AW29" s="52" t="s">
        <v>146</v>
      </c>
      <c r="BA29" s="52" t="s">
        <v>422</v>
      </c>
      <c r="BB29" s="138">
        <f>B232</f>
        <v>1</v>
      </c>
      <c r="BC29" s="52" t="s">
        <v>146</v>
      </c>
      <c r="BD29" s="52" t="s">
        <v>422</v>
      </c>
      <c r="BE29" s="138">
        <f>B232</f>
        <v>1</v>
      </c>
      <c r="BF29" s="52" t="s">
        <v>146</v>
      </c>
      <c r="BJ29" s="52" t="s">
        <v>220</v>
      </c>
      <c r="BK29" s="138">
        <f>B278</f>
        <v>50</v>
      </c>
      <c r="BL29" s="52" t="s">
        <v>113</v>
      </c>
      <c r="BM29" s="52" t="s">
        <v>220</v>
      </c>
      <c r="BN29" s="138">
        <f>B278</f>
        <v>50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41">
        <f>B119</f>
        <v>0.753</v>
      </c>
      <c r="CB29" s="52" t="s">
        <v>411</v>
      </c>
      <c r="CC29" s="138">
        <f>B127</f>
        <v>0.80900000000000005</v>
      </c>
      <c r="CE29" s="52" t="s">
        <v>418</v>
      </c>
      <c r="CF29" s="138">
        <f>B123</f>
        <v>0.71099999999999997</v>
      </c>
      <c r="CN29" s="52" t="s">
        <v>166</v>
      </c>
      <c r="CO29" s="162">
        <f>B136</f>
        <v>1</v>
      </c>
      <c r="CP29" s="52" t="s">
        <v>246</v>
      </c>
      <c r="CT29" s="83" t="s">
        <v>450</v>
      </c>
      <c r="CU29" s="141">
        <f>B147</f>
        <v>10</v>
      </c>
      <c r="CV29" s="92" t="s">
        <v>407</v>
      </c>
      <c r="CZ29" s="92" t="s">
        <v>450</v>
      </c>
      <c r="DA29" s="142">
        <f t="shared" si="0"/>
        <v>10</v>
      </c>
      <c r="DB29" s="83" t="s">
        <v>143</v>
      </c>
      <c r="DW29" s="88"/>
      <c r="DX29" s="88"/>
      <c r="DY29" s="88"/>
      <c r="DZ29" s="8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B18</f>
        <v>1600</v>
      </c>
      <c r="HF29" s="52" t="s">
        <v>60</v>
      </c>
    </row>
    <row r="30" spans="1:214" ht="19.5" thickTop="1" thickBot="1" x14ac:dyDescent="0.25">
      <c r="A30" s="83" t="s">
        <v>228</v>
      </c>
      <c r="B30" s="183">
        <f>B26</f>
        <v>0</v>
      </c>
      <c r="C30" s="52" t="s">
        <v>388</v>
      </c>
      <c r="D30" s="353" t="s">
        <v>528</v>
      </c>
      <c r="E30" s="354"/>
      <c r="F30" s="355"/>
      <c r="G30" s="83" t="s">
        <v>381</v>
      </c>
      <c r="H30" s="150">
        <f>B55</f>
        <v>350</v>
      </c>
      <c r="I30" s="83" t="s">
        <v>24</v>
      </c>
      <c r="J30" s="83" t="s">
        <v>402</v>
      </c>
      <c r="K30" s="146">
        <f>B48</f>
        <v>128.9</v>
      </c>
      <c r="L30" s="92" t="s">
        <v>221</v>
      </c>
      <c r="M30" s="52" t="s">
        <v>299</v>
      </c>
      <c r="N30" s="138">
        <f>B61</f>
        <v>0.4</v>
      </c>
      <c r="P30" s="52" t="s">
        <v>299</v>
      </c>
      <c r="Q30" s="138">
        <f>B61</f>
        <v>0.4</v>
      </c>
      <c r="V30" s="91" t="s">
        <v>231</v>
      </c>
      <c r="W30" s="136">
        <f>B18</f>
        <v>1600</v>
      </c>
      <c r="X30" s="52" t="s">
        <v>60</v>
      </c>
      <c r="Y30" s="91" t="s">
        <v>231</v>
      </c>
      <c r="Z30" s="136">
        <f>B18</f>
        <v>1600</v>
      </c>
      <c r="AA30" s="52" t="s">
        <v>60</v>
      </c>
      <c r="AB30" s="83" t="s">
        <v>261</v>
      </c>
      <c r="AC30" s="144">
        <f>((AC5/(AC19*AC15*AC7*AC9*(1/AC32)*((8/1)/(24/1))*AC28))*AC27)*AC25*AC35*AC36</f>
        <v>7.2261723426438546E-3</v>
      </c>
      <c r="AD30" s="144">
        <f>((AD5/(AD19*AD15*AD7*((8/1)/(24/1))*AD9*(1/AD32)*AD28))*AD27)*AD25*AD35*AD36</f>
        <v>7.2261723426438546E-3</v>
      </c>
      <c r="AE30" s="144">
        <f>((AE5/(AE19*AE15*AE7*((8/1)/(24/1))*AE9*(1/AE32)*AE28))*AE27)*AE25*AE35*AE36</f>
        <v>8.0290803807153942E-3</v>
      </c>
      <c r="AF30" s="144">
        <f>((AF5*AF23*AF24)/((1-EXP(-AF24*AF23))*AF19*AF7*AF9*(AF12/24)*AF15*(1/AF33)*AF28))*AF25*AF35*AF36</f>
        <v>4.1258451922830555E-6</v>
      </c>
      <c r="AG30" s="144">
        <f>((AG5*AG23*AG24)/((1-EXP(-AG24*AG23))*AG19*AG7*AG9*(AG12/24)*AG15*(1/AG34)*AG28))*AG25*AG35*AG36</f>
        <v>3.697627555275865E-4</v>
      </c>
      <c r="AH30" s="83" t="s">
        <v>297</v>
      </c>
      <c r="AI30" s="52" t="s">
        <v>299</v>
      </c>
      <c r="AJ30" s="138">
        <f>B248</f>
        <v>0.4</v>
      </c>
      <c r="AL30" s="52" t="s">
        <v>299</v>
      </c>
      <c r="AM30" s="138">
        <f>B248</f>
        <v>0.4</v>
      </c>
      <c r="AR30" s="52" t="s">
        <v>299</v>
      </c>
      <c r="AS30" s="138">
        <f>B260</f>
        <v>0.4</v>
      </c>
      <c r="AV30" s="138"/>
      <c r="BA30" s="52" t="s">
        <v>299</v>
      </c>
      <c r="BB30" s="138">
        <f>B236</f>
        <v>0.4</v>
      </c>
      <c r="BD30" s="52" t="s">
        <v>299</v>
      </c>
      <c r="BE30" s="138">
        <f>B236</f>
        <v>0.4</v>
      </c>
      <c r="BJ30" s="52" t="s">
        <v>219</v>
      </c>
      <c r="BK30" s="138">
        <f>B277</f>
        <v>5</v>
      </c>
      <c r="BL30" s="52" t="s">
        <v>112</v>
      </c>
      <c r="BM30" s="52" t="s">
        <v>219</v>
      </c>
      <c r="BN30" s="138">
        <f>B277</f>
        <v>5</v>
      </c>
      <c r="BO30" s="52" t="s">
        <v>112</v>
      </c>
      <c r="BS30" s="91"/>
      <c r="BT30" s="97"/>
      <c r="BU30" s="91"/>
      <c r="BV30" s="91" t="s">
        <v>308</v>
      </c>
      <c r="BW30" s="146">
        <f>B101</f>
        <v>0.23</v>
      </c>
      <c r="BY30" s="94" t="s">
        <v>95</v>
      </c>
      <c r="BZ30" s="150">
        <f>B117</f>
        <v>1</v>
      </c>
      <c r="CA30" s="94" t="s">
        <v>60</v>
      </c>
      <c r="CB30" s="52" t="s">
        <v>90</v>
      </c>
      <c r="CC30" s="138">
        <f>B108</f>
        <v>1</v>
      </c>
      <c r="CD30" s="52" t="s">
        <v>194</v>
      </c>
      <c r="CE30" s="52" t="s">
        <v>90</v>
      </c>
      <c r="CF30" s="138">
        <f>B108</f>
        <v>1</v>
      </c>
      <c r="CG30" s="52" t="s">
        <v>194</v>
      </c>
      <c r="CM30" s="83"/>
      <c r="CN30" s="93" t="s">
        <v>167</v>
      </c>
      <c r="CO30" s="162">
        <f>B137</f>
        <v>1</v>
      </c>
      <c r="CP30" s="52" t="s">
        <v>41</v>
      </c>
      <c r="CQ30" s="88"/>
      <c r="CR30" s="83"/>
      <c r="CS30" s="83"/>
      <c r="CT30" s="83" t="s">
        <v>459</v>
      </c>
      <c r="CU30" s="141">
        <f>B148</f>
        <v>20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20</v>
      </c>
      <c r="DB30" s="83" t="s">
        <v>143</v>
      </c>
      <c r="DW30" s="88"/>
      <c r="DX30" s="88"/>
      <c r="DY30" s="88"/>
      <c r="DZ30" s="8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B83</f>
        <v>0.3</v>
      </c>
    </row>
    <row r="31" spans="1:214" x14ac:dyDescent="0.2">
      <c r="A31" s="84" t="s">
        <v>32</v>
      </c>
      <c r="B31" s="183">
        <f>0.0148</f>
        <v>1.4800000000000001E-2</v>
      </c>
      <c r="D31" s="323" t="s">
        <v>530</v>
      </c>
      <c r="E31" s="347">
        <f>E38</f>
        <v>1.3941251181435256E-4</v>
      </c>
      <c r="F31" s="345" t="s">
        <v>12</v>
      </c>
      <c r="G31" s="83" t="s">
        <v>379</v>
      </c>
      <c r="H31" s="150">
        <f>B53</f>
        <v>1</v>
      </c>
      <c r="I31" s="84" t="s">
        <v>60</v>
      </c>
      <c r="J31" s="83" t="s">
        <v>380</v>
      </c>
      <c r="K31" s="150">
        <f>B54</f>
        <v>350</v>
      </c>
      <c r="L31" s="83" t="s">
        <v>24</v>
      </c>
      <c r="M31" s="52" t="s">
        <v>300</v>
      </c>
      <c r="N31" s="138">
        <f>B62</f>
        <v>1</v>
      </c>
      <c r="P31" s="52" t="s">
        <v>300</v>
      </c>
      <c r="Q31" s="138">
        <f>B62</f>
        <v>1</v>
      </c>
      <c r="V31" s="52" t="s">
        <v>35</v>
      </c>
      <c r="W31" s="138">
        <f>B243</f>
        <v>250</v>
      </c>
      <c r="X31" s="52" t="s">
        <v>24</v>
      </c>
      <c r="Y31" s="52" t="s">
        <v>191</v>
      </c>
      <c r="Z31" s="138">
        <f>B267</f>
        <v>250</v>
      </c>
      <c r="AA31" s="52" t="s">
        <v>24</v>
      </c>
      <c r="AB31" s="83" t="s">
        <v>262</v>
      </c>
      <c r="AC31" s="145">
        <f>((AC5*AC23*AC24)/((1-EXP(-AC24*AC23))*AC18*AC7*(1/365)*AC12*(1/24)*AC14*AC17))*AC25*AC35*AC36</f>
        <v>4.2490962407282707E-7</v>
      </c>
      <c r="AD31" s="145">
        <f>((AD5*AD23*AD24)/((1-EXP(-AD24*AD23))*AD18*AD7*(1/365)*AD12*(1/24)*AD16*AD17))*AD25*AD35*AD36</f>
        <v>1.0622740601820677E-6</v>
      </c>
      <c r="AE31" s="145">
        <f>((AE5*AE23*AE24)/((1-EXP(-AE24*AE23))*AE18*AE7*(1/365)*AE12*(1/24)*AE14*AE17))*AE25*AE35*AE36</f>
        <v>4.7212180452536335E-7</v>
      </c>
      <c r="AF31" s="145">
        <f>((AF5*AF23*AF24)/((1-EXP(-AF24*AF23))*AF18*(AF11*AF10)*(1/365)*AF12*(1/24)*AF14*AF17))*AF25*AF35*AF36</f>
        <v>2.3414481717546247E-3</v>
      </c>
      <c r="AG31" s="145">
        <f>((AG5*AG23*AG24)/((1-EXP(-AG24*AG23))*AG18*AG7*(1/365)*AG9*(AG12/24)*AG14*AG17))*AG25*AG35*AG36</f>
        <v>2.3414481717546247E-3</v>
      </c>
      <c r="AH31" s="83" t="s">
        <v>297</v>
      </c>
      <c r="AI31" s="52" t="s">
        <v>300</v>
      </c>
      <c r="AJ31" s="138">
        <f>B235</f>
        <v>1</v>
      </c>
      <c r="AL31" s="52" t="s">
        <v>300</v>
      </c>
      <c r="AM31" s="138">
        <f>B235</f>
        <v>1</v>
      </c>
      <c r="AR31" s="52" t="s">
        <v>300</v>
      </c>
      <c r="AS31" s="138">
        <f>B259</f>
        <v>1</v>
      </c>
      <c r="AU31" s="52" t="s">
        <v>300</v>
      </c>
      <c r="AV31" s="138">
        <f>B259</f>
        <v>1</v>
      </c>
      <c r="BA31" s="52" t="s">
        <v>300</v>
      </c>
      <c r="BB31" s="138">
        <f>B235</f>
        <v>1</v>
      </c>
      <c r="BD31" s="52" t="s">
        <v>300</v>
      </c>
      <c r="BE31" s="138">
        <f>B235</f>
        <v>1</v>
      </c>
      <c r="BJ31" s="52" t="s">
        <v>158</v>
      </c>
      <c r="BK31" s="138">
        <f>B268</f>
        <v>1</v>
      </c>
      <c r="BL31" s="52" t="s">
        <v>146</v>
      </c>
      <c r="BM31" s="52" t="s">
        <v>158</v>
      </c>
      <c r="BN31" s="138">
        <f>B268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B102</f>
        <v>0.77</v>
      </c>
      <c r="BZ31" s="150">
        <v>365</v>
      </c>
      <c r="CA31" s="52" t="s">
        <v>24</v>
      </c>
      <c r="CB31" s="52" t="s">
        <v>410</v>
      </c>
      <c r="CC31" s="139">
        <f>B11</f>
        <v>1.9522299999999999</v>
      </c>
      <c r="CD31" s="84" t="s">
        <v>353</v>
      </c>
      <c r="CE31" s="52" t="s">
        <v>419</v>
      </c>
      <c r="CF31" s="139">
        <f>B13</f>
        <v>5.52928</v>
      </c>
      <c r="CG31" s="84" t="s">
        <v>353</v>
      </c>
      <c r="CM31" s="83"/>
      <c r="CN31" s="83" t="s">
        <v>168</v>
      </c>
      <c r="CO31" s="162">
        <f>B138</f>
        <v>1</v>
      </c>
      <c r="CP31" s="52" t="s">
        <v>41</v>
      </c>
      <c r="CQ31" s="83"/>
      <c r="CR31" s="83"/>
      <c r="CS31" s="83"/>
      <c r="CT31" s="83" t="s">
        <v>456</v>
      </c>
      <c r="CU31" s="150">
        <f>B167</f>
        <v>350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68.099999999999994</v>
      </c>
      <c r="DB31" s="83" t="s">
        <v>221</v>
      </c>
      <c r="DW31" s="88"/>
      <c r="DX31" s="88"/>
      <c r="DY31" s="88"/>
      <c r="DZ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B84</f>
        <v>1.5</v>
      </c>
    </row>
    <row r="32" spans="1:214" ht="13.5" thickBot="1" x14ac:dyDescent="0.25">
      <c r="A32" s="52" t="s">
        <v>33</v>
      </c>
      <c r="B32" s="183">
        <v>1.7000000000000001E-2</v>
      </c>
      <c r="D32" s="324"/>
      <c r="E32" s="348"/>
      <c r="F32" s="346"/>
      <c r="G32" s="52" t="s">
        <v>403</v>
      </c>
      <c r="H32" s="138">
        <f>B57</f>
        <v>0.54</v>
      </c>
      <c r="I32" s="52" t="s">
        <v>89</v>
      </c>
      <c r="J32" s="83" t="s">
        <v>381</v>
      </c>
      <c r="K32" s="150">
        <f>B55</f>
        <v>350</v>
      </c>
      <c r="L32" s="83" t="s">
        <v>24</v>
      </c>
      <c r="M32" s="52" t="s">
        <v>54</v>
      </c>
      <c r="N32" s="138">
        <f>B63</f>
        <v>1</v>
      </c>
      <c r="P32" s="52" t="s">
        <v>54</v>
      </c>
      <c r="Q32" s="138">
        <f>B63</f>
        <v>1</v>
      </c>
      <c r="V32" s="52" t="s">
        <v>420</v>
      </c>
      <c r="W32" s="138">
        <f>B244</f>
        <v>1</v>
      </c>
      <c r="X32" s="52" t="s">
        <v>146</v>
      </c>
      <c r="Y32" s="52" t="s">
        <v>158</v>
      </c>
      <c r="Z32" s="138">
        <f>B268</f>
        <v>1</v>
      </c>
      <c r="AA32" s="52" t="s">
        <v>146</v>
      </c>
      <c r="AB32" s="83" t="s">
        <v>77</v>
      </c>
      <c r="AC32" s="136">
        <f>B19</f>
        <v>1359344473.5814338</v>
      </c>
      <c r="AD32" s="136">
        <f>B19</f>
        <v>1359344473.5814338</v>
      </c>
      <c r="AE32" s="136">
        <f>B19</f>
        <v>1359344473.5814338</v>
      </c>
      <c r="AF32" s="136"/>
      <c r="AG32" s="136"/>
      <c r="AH32" s="104" t="s">
        <v>78</v>
      </c>
      <c r="AI32" s="52" t="s">
        <v>54</v>
      </c>
      <c r="AJ32" s="138">
        <f>B249</f>
        <v>1</v>
      </c>
      <c r="AL32" s="52" t="s">
        <v>54</v>
      </c>
      <c r="AM32" s="138">
        <f>B249</f>
        <v>1</v>
      </c>
      <c r="AR32" s="52" t="s">
        <v>54</v>
      </c>
      <c r="AS32" s="138">
        <f>B261</f>
        <v>1</v>
      </c>
      <c r="AU32" s="52" t="s">
        <v>54</v>
      </c>
      <c r="AV32" s="138">
        <f>B261</f>
        <v>1</v>
      </c>
      <c r="BA32" s="52" t="s">
        <v>54</v>
      </c>
      <c r="BB32" s="138">
        <f>B237</f>
        <v>1</v>
      </c>
      <c r="BD32" s="52" t="s">
        <v>54</v>
      </c>
      <c r="BE32" s="138">
        <f>B237</f>
        <v>1</v>
      </c>
      <c r="BJ32" s="52" t="s">
        <v>300</v>
      </c>
      <c r="BK32" s="136">
        <f>B281</f>
        <v>1.5699999999999999E-5</v>
      </c>
      <c r="BM32" s="52" t="s">
        <v>300</v>
      </c>
      <c r="BN32" s="136">
        <f>B285</f>
        <v>1.35E-4</v>
      </c>
      <c r="BS32" s="91"/>
      <c r="BT32" s="99"/>
      <c r="BU32" s="100"/>
      <c r="BV32" s="84" t="s">
        <v>295</v>
      </c>
      <c r="BW32" s="142">
        <f>B302</f>
        <v>226.025409</v>
      </c>
      <c r="BX32" s="84" t="s">
        <v>296</v>
      </c>
      <c r="BZ32" s="138">
        <v>1000</v>
      </c>
      <c r="CA32" s="52" t="s">
        <v>99</v>
      </c>
      <c r="CB32" s="84" t="s">
        <v>295</v>
      </c>
      <c r="CC32" s="142">
        <f>B302</f>
        <v>226.025409</v>
      </c>
      <c r="CD32" s="84" t="s">
        <v>296</v>
      </c>
      <c r="CE32" s="84" t="s">
        <v>295</v>
      </c>
      <c r="CF32" s="142">
        <f>B302</f>
        <v>226.025409</v>
      </c>
      <c r="CG32" s="84" t="s">
        <v>296</v>
      </c>
      <c r="CM32" s="83"/>
      <c r="CN32" s="83" t="s">
        <v>22</v>
      </c>
      <c r="CO32" s="137">
        <f>0.693/CO33</f>
        <v>4.3312499999999997E-4</v>
      </c>
      <c r="CR32" s="83"/>
      <c r="CS32" s="83"/>
      <c r="CT32" s="83" t="s">
        <v>465</v>
      </c>
      <c r="CU32" s="150">
        <f>B168</f>
        <v>350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176.8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5" thickTop="1" x14ac:dyDescent="0.2">
      <c r="A33" s="83" t="s">
        <v>156</v>
      </c>
      <c r="B33" s="182">
        <v>1</v>
      </c>
      <c r="C33" s="83" t="s">
        <v>18</v>
      </c>
      <c r="D33" s="83" t="s">
        <v>267</v>
      </c>
      <c r="E33" s="136">
        <f>B5</f>
        <v>1</v>
      </c>
      <c r="F33" s="52" t="s">
        <v>344</v>
      </c>
      <c r="G33" s="52" t="s">
        <v>404</v>
      </c>
      <c r="H33" s="138">
        <f>B58</f>
        <v>0.71</v>
      </c>
      <c r="I33" s="52" t="s">
        <v>89</v>
      </c>
      <c r="J33" s="83" t="s">
        <v>379</v>
      </c>
      <c r="K33" s="141">
        <f>B53</f>
        <v>1</v>
      </c>
      <c r="L33" s="92" t="s">
        <v>60</v>
      </c>
      <c r="M33" s="52" t="s">
        <v>408</v>
      </c>
      <c r="N33" s="150">
        <f>B78</f>
        <v>1.752</v>
      </c>
      <c r="O33" s="52" t="s">
        <v>194</v>
      </c>
      <c r="P33" s="52" t="s">
        <v>408</v>
      </c>
      <c r="Q33" s="150">
        <f>B78</f>
        <v>1.752</v>
      </c>
      <c r="R33" s="52" t="s">
        <v>194</v>
      </c>
      <c r="V33" s="52" t="s">
        <v>247</v>
      </c>
      <c r="W33" s="139">
        <f>B6</f>
        <v>3.8043873993229303E-2</v>
      </c>
      <c r="X33" s="84" t="s">
        <v>39</v>
      </c>
      <c r="Y33" s="52" t="s">
        <v>247</v>
      </c>
      <c r="Z33" s="139">
        <f>B6</f>
        <v>3.8043873993229303E-2</v>
      </c>
      <c r="AA33" s="84" t="s">
        <v>39</v>
      </c>
      <c r="AB33" s="104" t="s">
        <v>103</v>
      </c>
      <c r="AC33" s="136"/>
      <c r="AD33" s="136"/>
      <c r="AE33" s="136"/>
      <c r="AF33" s="157">
        <f>B20</f>
        <v>776129.4078035407</v>
      </c>
      <c r="AG33" s="136"/>
      <c r="AH33" s="104" t="s">
        <v>78</v>
      </c>
      <c r="AI33" s="52" t="s">
        <v>57</v>
      </c>
      <c r="AJ33" s="136">
        <f>B250</f>
        <v>0</v>
      </c>
      <c r="AK33" s="52" t="s">
        <v>194</v>
      </c>
      <c r="AL33" s="52" t="s">
        <v>57</v>
      </c>
      <c r="AM33" s="136">
        <f>B250</f>
        <v>0</v>
      </c>
      <c r="AN33" s="52" t="s">
        <v>194</v>
      </c>
      <c r="AR33" s="52" t="s">
        <v>57</v>
      </c>
      <c r="AS33" s="136">
        <f>B262</f>
        <v>8</v>
      </c>
      <c r="AT33" s="52" t="s">
        <v>194</v>
      </c>
      <c r="AU33" s="52" t="s">
        <v>57</v>
      </c>
      <c r="AV33" s="136">
        <f>B262</f>
        <v>8</v>
      </c>
      <c r="AW33" s="52" t="s">
        <v>194</v>
      </c>
      <c r="BA33" s="52" t="s">
        <v>58</v>
      </c>
      <c r="BB33" s="136">
        <f>B238</f>
        <v>8</v>
      </c>
      <c r="BC33" s="52" t="s">
        <v>194</v>
      </c>
      <c r="BD33" s="52" t="s">
        <v>57</v>
      </c>
      <c r="BE33" s="136">
        <f>B238</f>
        <v>8</v>
      </c>
      <c r="BF33" s="52" t="s">
        <v>194</v>
      </c>
      <c r="BJ33" s="52" t="s">
        <v>411</v>
      </c>
      <c r="BK33" s="136">
        <f>B282</f>
        <v>0.80900000000000005</v>
      </c>
      <c r="BM33" s="52" t="s">
        <v>418</v>
      </c>
      <c r="BN33" s="136">
        <f>B286</f>
        <v>0.71099999999999997</v>
      </c>
      <c r="BS33" s="91"/>
      <c r="BT33" s="99"/>
      <c r="BU33" s="100"/>
      <c r="BV33" s="84" t="s">
        <v>293</v>
      </c>
      <c r="BW33" s="161">
        <f>B303</f>
        <v>2.8000000000000001E-15</v>
      </c>
      <c r="BX33" s="84"/>
      <c r="BZ33" s="146">
        <v>1000</v>
      </c>
      <c r="CA33" s="52" t="s">
        <v>23</v>
      </c>
      <c r="CB33" s="84" t="s">
        <v>293</v>
      </c>
      <c r="CC33" s="161">
        <f>B303</f>
        <v>2.8000000000000001E-15</v>
      </c>
      <c r="CD33" s="84"/>
      <c r="CE33" s="84" t="s">
        <v>293</v>
      </c>
      <c r="CF33" s="161">
        <f>B304</f>
        <v>2.7955176153748299E-12</v>
      </c>
      <c r="CG33" s="84"/>
      <c r="CM33" s="83"/>
      <c r="CN33" s="91" t="s">
        <v>231</v>
      </c>
      <c r="CO33" s="136">
        <f>B18</f>
        <v>1600</v>
      </c>
      <c r="CP33" s="52" t="s">
        <v>60</v>
      </c>
      <c r="CR33" s="83"/>
      <c r="CS33" s="83"/>
      <c r="CT33" s="83" t="s">
        <v>363</v>
      </c>
      <c r="CU33" s="141">
        <f t="shared" ref="CU33:CU42" si="1">B170</f>
        <v>1</v>
      </c>
      <c r="CV33" s="92" t="s">
        <v>60</v>
      </c>
      <c r="CZ33" s="92" t="s">
        <v>513</v>
      </c>
      <c r="DA33" s="141">
        <f t="shared" si="0"/>
        <v>41.7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B82</f>
        <v>70</v>
      </c>
    </row>
    <row r="34" spans="1:214" ht="13.5" customHeight="1" x14ac:dyDescent="0.2">
      <c r="A34" s="84" t="s">
        <v>21</v>
      </c>
      <c r="B34" s="188">
        <f>5*B302*B18*B303</f>
        <v>5.0629691616000001E-9</v>
      </c>
      <c r="C34" s="52" t="s">
        <v>13</v>
      </c>
      <c r="D34" s="83" t="s">
        <v>382</v>
      </c>
      <c r="E34" s="150">
        <f>B56</f>
        <v>350</v>
      </c>
      <c r="F34" s="83" t="s">
        <v>24</v>
      </c>
      <c r="G34" s="83" t="s">
        <v>383</v>
      </c>
      <c r="H34" s="150">
        <f>B59</f>
        <v>24</v>
      </c>
      <c r="I34" s="94" t="s">
        <v>194</v>
      </c>
      <c r="J34" s="83" t="s">
        <v>383</v>
      </c>
      <c r="K34" s="150">
        <f>B59</f>
        <v>24</v>
      </c>
      <c r="L34" s="94" t="s">
        <v>194</v>
      </c>
      <c r="M34" s="52" t="s">
        <v>410</v>
      </c>
      <c r="N34" s="139">
        <f>B11</f>
        <v>1.9522299999999999</v>
      </c>
      <c r="O34" s="84" t="s">
        <v>354</v>
      </c>
      <c r="P34" s="52" t="s">
        <v>419</v>
      </c>
      <c r="Q34" s="139">
        <f>B13</f>
        <v>5.52928</v>
      </c>
      <c r="R34" s="84" t="s">
        <v>353</v>
      </c>
      <c r="V34" s="52" t="s">
        <v>421</v>
      </c>
      <c r="W34" s="150">
        <f>B251</f>
        <v>8</v>
      </c>
      <c r="X34" s="84" t="s">
        <v>194</v>
      </c>
      <c r="Y34" s="52" t="s">
        <v>192</v>
      </c>
      <c r="Z34" s="150">
        <f>B274</f>
        <v>8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B21</f>
        <v>69557565.807898715</v>
      </c>
      <c r="AH34" s="104" t="s">
        <v>78</v>
      </c>
      <c r="AI34" s="52" t="s">
        <v>410</v>
      </c>
      <c r="AJ34" s="139">
        <f>B11</f>
        <v>1.9522299999999999</v>
      </c>
      <c r="AK34" s="84" t="s">
        <v>353</v>
      </c>
      <c r="AL34" s="52" t="s">
        <v>419</v>
      </c>
      <c r="AM34" s="139">
        <f>B13</f>
        <v>5.52928</v>
      </c>
      <c r="AN34" s="84" t="s">
        <v>353</v>
      </c>
      <c r="AR34" s="52" t="s">
        <v>410</v>
      </c>
      <c r="AS34" s="139">
        <f>B11</f>
        <v>1.9522299999999999</v>
      </c>
      <c r="AT34" s="84" t="s">
        <v>353</v>
      </c>
      <c r="AU34" s="52" t="s">
        <v>419</v>
      </c>
      <c r="AV34" s="139">
        <f>B13</f>
        <v>5.52928</v>
      </c>
      <c r="AW34" s="84" t="s">
        <v>353</v>
      </c>
      <c r="BA34" s="52" t="s">
        <v>410</v>
      </c>
      <c r="BB34" s="139">
        <f>B11</f>
        <v>1.9522299999999999</v>
      </c>
      <c r="BC34" s="84" t="s">
        <v>353</v>
      </c>
      <c r="BD34" s="52" t="s">
        <v>419</v>
      </c>
      <c r="BE34" s="139">
        <f>B13</f>
        <v>5.52928</v>
      </c>
      <c r="BF34" s="84" t="s">
        <v>353</v>
      </c>
      <c r="BJ34" s="52" t="s">
        <v>57</v>
      </c>
      <c r="BK34" s="136">
        <f>B274</f>
        <v>8</v>
      </c>
      <c r="BL34" s="52" t="s">
        <v>194</v>
      </c>
      <c r="BM34" s="52" t="s">
        <v>57</v>
      </c>
      <c r="BN34" s="136">
        <f>B274</f>
        <v>8</v>
      </c>
      <c r="BO34" s="52" t="s">
        <v>194</v>
      </c>
      <c r="BT34" s="102"/>
      <c r="BU34" s="91"/>
      <c r="BV34" s="91" t="s">
        <v>231</v>
      </c>
      <c r="BW34" s="136">
        <f>B18</f>
        <v>1600</v>
      </c>
      <c r="BX34" s="52" t="s">
        <v>60</v>
      </c>
      <c r="BY34" s="91" t="s">
        <v>308</v>
      </c>
      <c r="BZ34" s="146">
        <f>B101</f>
        <v>0.23</v>
      </c>
      <c r="CM34" s="83"/>
      <c r="CN34" s="84" t="s">
        <v>16</v>
      </c>
      <c r="CO34" s="137">
        <f>(CO31*CO32)/(1-EXP(-CO32*CO31))</f>
        <v>1.0002165781331087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125.7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B33</f>
        <v>1</v>
      </c>
    </row>
    <row r="35" spans="1:214" ht="12.75" customHeight="1" x14ac:dyDescent="0.2">
      <c r="A35" s="52" t="s">
        <v>393</v>
      </c>
      <c r="B35" s="131">
        <v>0.26</v>
      </c>
      <c r="D35" s="83" t="s">
        <v>258</v>
      </c>
      <c r="E35" s="136">
        <f>B17</f>
        <v>1.67911012348351E-3</v>
      </c>
      <c r="F35" s="83" t="s">
        <v>87</v>
      </c>
      <c r="G35" s="83" t="s">
        <v>384</v>
      </c>
      <c r="H35" s="150">
        <f>B59</f>
        <v>24</v>
      </c>
      <c r="I35" s="52" t="s">
        <v>194</v>
      </c>
      <c r="J35" s="83" t="s">
        <v>384</v>
      </c>
      <c r="K35" s="150">
        <f>B59</f>
        <v>24</v>
      </c>
      <c r="L35" s="52" t="s">
        <v>194</v>
      </c>
      <c r="M35" s="52" t="s">
        <v>409</v>
      </c>
      <c r="N35" s="150">
        <f>B79</f>
        <v>16.416</v>
      </c>
      <c r="O35" s="52" t="s">
        <v>194</v>
      </c>
      <c r="P35" s="52" t="s">
        <v>409</v>
      </c>
      <c r="Q35" s="150">
        <f>B79</f>
        <v>16.416</v>
      </c>
      <c r="R35" s="52" t="s">
        <v>194</v>
      </c>
      <c r="V35" s="52" t="s">
        <v>304</v>
      </c>
      <c r="W35" s="146">
        <f>B242</f>
        <v>60</v>
      </c>
      <c r="X35" s="84" t="s">
        <v>407</v>
      </c>
      <c r="Y35" s="52" t="s">
        <v>348</v>
      </c>
      <c r="Z35" s="146">
        <f>B266</f>
        <v>60</v>
      </c>
      <c r="AA35" s="84" t="s">
        <v>407</v>
      </c>
      <c r="AB35" s="84" t="s">
        <v>295</v>
      </c>
      <c r="AC35" s="240">
        <f>B302</f>
        <v>226.025409</v>
      </c>
      <c r="AD35" s="236">
        <f>B302</f>
        <v>226.025409</v>
      </c>
      <c r="AE35" s="236">
        <f>B302</f>
        <v>226.025409</v>
      </c>
      <c r="AF35" s="236">
        <f>B302</f>
        <v>226.025409</v>
      </c>
      <c r="AG35" s="236">
        <f>B302</f>
        <v>226.025409</v>
      </c>
      <c r="AH35" s="84" t="s">
        <v>296</v>
      </c>
      <c r="AI35" s="52" t="s">
        <v>69</v>
      </c>
      <c r="AJ35" s="136">
        <f>B251</f>
        <v>8</v>
      </c>
      <c r="AK35" s="52" t="s">
        <v>194</v>
      </c>
      <c r="AL35" s="52" t="s">
        <v>69</v>
      </c>
      <c r="AM35" s="136">
        <f>B251</f>
        <v>8</v>
      </c>
      <c r="AN35" s="52" t="s">
        <v>194</v>
      </c>
      <c r="AR35" s="52" t="s">
        <v>69</v>
      </c>
      <c r="AS35" s="136">
        <f>B263</f>
        <v>0</v>
      </c>
      <c r="AT35" s="52" t="s">
        <v>194</v>
      </c>
      <c r="AU35" s="52" t="s">
        <v>69</v>
      </c>
      <c r="AV35" s="136">
        <f>B263</f>
        <v>0</v>
      </c>
      <c r="AW35" s="52" t="s">
        <v>194</v>
      </c>
      <c r="BA35" s="52" t="s">
        <v>69</v>
      </c>
      <c r="BB35" s="136">
        <f>B239</f>
        <v>8</v>
      </c>
      <c r="BC35" s="52" t="s">
        <v>194</v>
      </c>
      <c r="BD35" s="52" t="s">
        <v>69</v>
      </c>
      <c r="BE35" s="136">
        <f>B239</f>
        <v>8</v>
      </c>
      <c r="BF35" s="52" t="s">
        <v>194</v>
      </c>
      <c r="BJ35" s="52" t="s">
        <v>410</v>
      </c>
      <c r="BK35" s="139">
        <f>B11</f>
        <v>1.9522299999999999</v>
      </c>
      <c r="BL35" s="84" t="s">
        <v>353</v>
      </c>
      <c r="BM35" s="52" t="s">
        <v>419</v>
      </c>
      <c r="BN35" s="139">
        <f>B13</f>
        <v>5.52928</v>
      </c>
      <c r="BO35" s="84" t="s">
        <v>353</v>
      </c>
      <c r="BY35" s="91" t="s">
        <v>309</v>
      </c>
      <c r="BZ35" s="146">
        <f>B102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B167</f>
        <v>350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B65</f>
        <v>0.5</v>
      </c>
      <c r="HF35" s="52" t="s">
        <v>355</v>
      </c>
    </row>
    <row r="36" spans="1:214" x14ac:dyDescent="0.2">
      <c r="A36" s="52" t="s">
        <v>392</v>
      </c>
      <c r="B36" s="131">
        <v>0.25</v>
      </c>
      <c r="D36" s="83" t="s">
        <v>389</v>
      </c>
      <c r="E36" s="146">
        <f>B80</f>
        <v>1</v>
      </c>
      <c r="G36" s="83" t="s">
        <v>405</v>
      </c>
      <c r="H36" s="138">
        <f>B66</f>
        <v>1</v>
      </c>
      <c r="I36" s="52" t="s">
        <v>80</v>
      </c>
      <c r="J36" s="83" t="s">
        <v>390</v>
      </c>
      <c r="K36" s="141">
        <f>B68</f>
        <v>0.25</v>
      </c>
      <c r="M36" s="84" t="s">
        <v>295</v>
      </c>
      <c r="N36" s="142">
        <f>B302</f>
        <v>226.025409</v>
      </c>
      <c r="O36" s="84" t="s">
        <v>296</v>
      </c>
      <c r="P36" s="84" t="s">
        <v>295</v>
      </c>
      <c r="Q36" s="142">
        <f>B302</f>
        <v>226.025409</v>
      </c>
      <c r="R36" s="84" t="s">
        <v>296</v>
      </c>
      <c r="V36" s="83" t="s">
        <v>256</v>
      </c>
      <c r="W36" s="136">
        <f>B15</f>
        <v>15429.68</v>
      </c>
      <c r="X36" s="83" t="s">
        <v>343</v>
      </c>
      <c r="Y36" s="83" t="s">
        <v>256</v>
      </c>
      <c r="Z36" s="136">
        <f>B15</f>
        <v>15429.68</v>
      </c>
      <c r="AA36" s="83" t="s">
        <v>343</v>
      </c>
      <c r="AB36" s="84" t="s">
        <v>293</v>
      </c>
      <c r="AC36" s="161">
        <f>B304</f>
        <v>2.7955176153748299E-12</v>
      </c>
      <c r="AD36" s="136">
        <f>B304</f>
        <v>2.7955176153748299E-12</v>
      </c>
      <c r="AE36" s="136">
        <f>B304</f>
        <v>2.7955176153748299E-12</v>
      </c>
      <c r="AF36" s="136">
        <f>B304</f>
        <v>2.7955176153748299E-12</v>
      </c>
      <c r="AG36" s="136">
        <f>B304</f>
        <v>2.7955176153748299E-12</v>
      </c>
      <c r="AI36" s="84" t="s">
        <v>295</v>
      </c>
      <c r="AJ36" s="142">
        <f>B302</f>
        <v>226.025409</v>
      </c>
      <c r="AK36" s="84" t="s">
        <v>296</v>
      </c>
      <c r="AL36" s="84" t="s">
        <v>295</v>
      </c>
      <c r="AM36" s="142">
        <f>B302</f>
        <v>226.025409</v>
      </c>
      <c r="AN36" s="84" t="s">
        <v>296</v>
      </c>
      <c r="AR36" s="84" t="s">
        <v>295</v>
      </c>
      <c r="AS36" s="142">
        <f>B302</f>
        <v>226.025409</v>
      </c>
      <c r="AT36" s="84" t="s">
        <v>296</v>
      </c>
      <c r="AU36" s="84" t="s">
        <v>295</v>
      </c>
      <c r="AV36" s="142">
        <f>B302</f>
        <v>226.025409</v>
      </c>
      <c r="AW36" s="84" t="s">
        <v>296</v>
      </c>
      <c r="BA36" s="84" t="s">
        <v>295</v>
      </c>
      <c r="BB36" s="142">
        <f>B302</f>
        <v>226.025409</v>
      </c>
      <c r="BC36" s="84" t="s">
        <v>296</v>
      </c>
      <c r="BD36" s="84" t="s">
        <v>295</v>
      </c>
      <c r="BE36" s="142">
        <f>B302</f>
        <v>226.025409</v>
      </c>
      <c r="BF36" s="84" t="s">
        <v>296</v>
      </c>
      <c r="BJ36" s="84" t="s">
        <v>295</v>
      </c>
      <c r="BK36" s="142">
        <f>B302</f>
        <v>226.025409</v>
      </c>
      <c r="BL36" s="84" t="s">
        <v>296</v>
      </c>
      <c r="BM36" s="84" t="s">
        <v>295</v>
      </c>
      <c r="BN36" s="142">
        <f>B302</f>
        <v>226.025409</v>
      </c>
      <c r="BO36" s="84" t="s">
        <v>296</v>
      </c>
      <c r="BS36" s="100"/>
      <c r="BT36" s="100"/>
      <c r="BU36" s="91"/>
      <c r="BY36" s="84" t="s">
        <v>295</v>
      </c>
      <c r="BZ36" s="142">
        <f>B302</f>
        <v>226.025409</v>
      </c>
      <c r="CA36" s="84" t="s">
        <v>296</v>
      </c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B168</f>
        <v>350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B87</f>
        <v>5</v>
      </c>
      <c r="HF36" s="52" t="s">
        <v>94</v>
      </c>
    </row>
    <row r="37" spans="1:214" x14ac:dyDescent="0.2">
      <c r="A37" s="381" t="s">
        <v>2</v>
      </c>
      <c r="B37" s="382"/>
      <c r="C37" s="383"/>
      <c r="D37" s="83" t="s">
        <v>394</v>
      </c>
      <c r="E37" s="146">
        <f>B44</f>
        <v>54</v>
      </c>
      <c r="F37" s="52" t="s">
        <v>48</v>
      </c>
      <c r="G37" s="83" t="s">
        <v>406</v>
      </c>
      <c r="H37" s="138">
        <f>B67</f>
        <v>1</v>
      </c>
      <c r="I37" s="52" t="s">
        <v>80</v>
      </c>
      <c r="J37" s="83" t="s">
        <v>408</v>
      </c>
      <c r="K37" s="150">
        <f>B78</f>
        <v>1.752</v>
      </c>
      <c r="L37" s="84" t="s">
        <v>194</v>
      </c>
      <c r="M37" s="84" t="s">
        <v>293</v>
      </c>
      <c r="N37" s="161">
        <f>B303</f>
        <v>2.8000000000000001E-15</v>
      </c>
      <c r="O37" s="84"/>
      <c r="P37" s="84" t="s">
        <v>293</v>
      </c>
      <c r="Q37" s="161">
        <f>B304</f>
        <v>2.7955176153748299E-12</v>
      </c>
      <c r="R37" s="84"/>
      <c r="V37" s="83" t="s">
        <v>301</v>
      </c>
      <c r="W37" s="142">
        <f>B246</f>
        <v>1</v>
      </c>
      <c r="Y37" s="83" t="s">
        <v>301</v>
      </c>
      <c r="Z37" s="142">
        <f>B270</f>
        <v>1</v>
      </c>
      <c r="AI37" s="84" t="s">
        <v>293</v>
      </c>
      <c r="AJ37" s="161">
        <f>B303</f>
        <v>2.8000000000000001E-15</v>
      </c>
      <c r="AK37" s="84"/>
      <c r="AL37" s="84" t="s">
        <v>293</v>
      </c>
      <c r="AM37" s="161">
        <f>B304</f>
        <v>2.7955176153748299E-12</v>
      </c>
      <c r="AN37" s="84"/>
      <c r="AR37" s="84" t="s">
        <v>293</v>
      </c>
      <c r="AS37" s="161">
        <f>B303</f>
        <v>2.8000000000000001E-15</v>
      </c>
      <c r="AT37" s="84"/>
      <c r="AU37" s="84" t="s">
        <v>293</v>
      </c>
      <c r="AV37" s="161">
        <f>B304</f>
        <v>2.7955176153748299E-12</v>
      </c>
      <c r="AW37" s="84"/>
      <c r="BA37" s="84" t="s">
        <v>293</v>
      </c>
      <c r="BB37" s="161">
        <f>B303</f>
        <v>2.8000000000000001E-15</v>
      </c>
      <c r="BC37" s="84"/>
      <c r="BD37" s="84" t="s">
        <v>293</v>
      </c>
      <c r="BE37" s="161">
        <f>B304</f>
        <v>2.7955176153748299E-12</v>
      </c>
      <c r="BF37" s="84"/>
      <c r="BJ37" s="84" t="s">
        <v>293</v>
      </c>
      <c r="BK37" s="161">
        <f>B303</f>
        <v>2.8000000000000001E-15</v>
      </c>
      <c r="BL37" s="84"/>
      <c r="BM37" s="84" t="s">
        <v>293</v>
      </c>
      <c r="BN37" s="161">
        <f>B304</f>
        <v>2.7955176153748299E-12</v>
      </c>
      <c r="BO37" s="84"/>
      <c r="BS37" s="91"/>
      <c r="BT37" s="91"/>
      <c r="BU37" s="91"/>
      <c r="BY37" s="84" t="s">
        <v>293</v>
      </c>
      <c r="BZ37" s="161">
        <f>B304</f>
        <v>2.7955176153748299E-12</v>
      </c>
      <c r="CA37" s="84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12.167999999999999</v>
      </c>
      <c r="CV37" s="84" t="s">
        <v>194</v>
      </c>
      <c r="CZ37" s="92" t="s">
        <v>363</v>
      </c>
      <c r="DA37" s="141">
        <f>B170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4.25" x14ac:dyDescent="0.2">
      <c r="A38" s="83" t="s">
        <v>366</v>
      </c>
      <c r="B38" s="130">
        <v>10</v>
      </c>
      <c r="C38" s="92" t="s">
        <v>407</v>
      </c>
      <c r="D38" s="83" t="s">
        <v>260</v>
      </c>
      <c r="E38" s="152">
        <f>(E33/(E35*E34*E37*E36))/E39</f>
        <v>1.3941251181435256E-4</v>
      </c>
      <c r="F38" s="84" t="s">
        <v>297</v>
      </c>
      <c r="H38" s="138">
        <f>1/1000</f>
        <v>1E-3</v>
      </c>
      <c r="I38" s="52" t="s">
        <v>82</v>
      </c>
      <c r="J38" s="83" t="s">
        <v>409</v>
      </c>
      <c r="K38" s="150">
        <f>B79</f>
        <v>16.416</v>
      </c>
      <c r="L38" s="84" t="s">
        <v>194</v>
      </c>
      <c r="V38" s="52" t="s">
        <v>261</v>
      </c>
      <c r="W38" s="143">
        <f>((W27)/((W34/24)*W31*W32*W33*W35))*W30*W42*W43</f>
        <v>5.3232950592792529E-12</v>
      </c>
      <c r="X38" s="52" t="s">
        <v>15</v>
      </c>
      <c r="Y38" s="52" t="s">
        <v>261</v>
      </c>
      <c r="Z38" s="143">
        <f>((Z27)/((Z34/24)*Z31*Z32*Z33*Z35))*Z30*Z45*Z46</f>
        <v>5.3232950592792529E-12</v>
      </c>
      <c r="AA38" s="52" t="s">
        <v>15</v>
      </c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10.007999999999999</v>
      </c>
      <c r="CV38" s="84" t="s">
        <v>194</v>
      </c>
      <c r="CZ38" s="92" t="s">
        <v>364</v>
      </c>
      <c r="DA38" s="141">
        <f>B171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B88</f>
        <v>0.18</v>
      </c>
      <c r="HF38" s="52" t="s">
        <v>355</v>
      </c>
    </row>
    <row r="39" spans="1:214" ht="14.25" customHeight="1" x14ac:dyDescent="0.2">
      <c r="A39" s="83" t="s">
        <v>367</v>
      </c>
      <c r="B39" s="130">
        <v>20</v>
      </c>
      <c r="C39" s="92" t="s">
        <v>407</v>
      </c>
      <c r="D39" s="84" t="s">
        <v>295</v>
      </c>
      <c r="E39" s="142">
        <f>B302</f>
        <v>226.025409</v>
      </c>
      <c r="F39" s="84" t="s">
        <v>296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((W27)/((W34/24)*W31*W36*(1/365)))*W30*W42*W43</f>
        <v>2.8744348460639502E-13</v>
      </c>
      <c r="X39" s="52" t="s">
        <v>15</v>
      </c>
      <c r="Y39" s="52" t="s">
        <v>271</v>
      </c>
      <c r="Z39" s="144">
        <f>((Z27)/((Z34/24)*Z31*Z36*(1/365)))*Z30*Z45*Z46</f>
        <v>2.8744348460639502E-13</v>
      </c>
      <c r="AA39" s="52" t="s">
        <v>15</v>
      </c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B172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B89</f>
        <v>55</v>
      </c>
      <c r="HF39" s="52" t="s">
        <v>97</v>
      </c>
    </row>
    <row r="40" spans="1:214" ht="14.25" customHeight="1" x14ac:dyDescent="0.2">
      <c r="A40" s="83" t="s">
        <v>368</v>
      </c>
      <c r="B40" s="130">
        <v>200</v>
      </c>
      <c r="C40" s="84" t="s">
        <v>48</v>
      </c>
      <c r="D40" s="84" t="s">
        <v>293</v>
      </c>
      <c r="E40" s="161">
        <f>B304</f>
        <v>2.7955176153748299E-12</v>
      </c>
      <c r="F40" s="84"/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((W27*W29*W28)/((W34/24)*(1-EXP(-W29*W32))*W33*W35*W31*W32))*W30*W42*W43</f>
        <v>5.3244479685851784E-12</v>
      </c>
      <c r="X40" s="52" t="s">
        <v>16</v>
      </c>
      <c r="Y40" s="52" t="s">
        <v>261</v>
      </c>
      <c r="Z40" s="144">
        <f>((Z27*Z29*Z28)/((Z34/24)*(1-EXP(-Z29*Z32))*Z33*Z35*Z31*Z32))*Z30*Z45*Z46</f>
        <v>5.3244479685851784E-12</v>
      </c>
      <c r="AA40" s="52" t="s">
        <v>16</v>
      </c>
      <c r="BK40" s="352" t="s">
        <v>230</v>
      </c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0.4</v>
      </c>
      <c r="CZ40" s="92" t="s">
        <v>457</v>
      </c>
      <c r="DA40" s="141">
        <f>B181</f>
        <v>1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B90</f>
        <v>5</v>
      </c>
      <c r="HF40" s="52" t="s">
        <v>97</v>
      </c>
    </row>
    <row r="41" spans="1:214" ht="13.5" thickBot="1" x14ac:dyDescent="0.25">
      <c r="A41" s="83" t="s">
        <v>369</v>
      </c>
      <c r="B41" s="130">
        <v>100</v>
      </c>
      <c r="C41" s="84" t="s">
        <v>48</v>
      </c>
      <c r="E41" s="138"/>
      <c r="G41" s="83" t="s">
        <v>390</v>
      </c>
      <c r="H41" s="141">
        <f>B68</f>
        <v>0.25</v>
      </c>
      <c r="I41" s="84"/>
      <c r="J41" s="83" t="s">
        <v>302</v>
      </c>
      <c r="K41" s="141">
        <v>1</v>
      </c>
      <c r="V41" s="52" t="s">
        <v>271</v>
      </c>
      <c r="W41" s="145">
        <f>((W27*W29*W28)/((W34/24)*(1-EXP(-W29*W28))*W36*W31*(1/365)))*W30*W42*W43</f>
        <v>2.8750573857966524E-13</v>
      </c>
      <c r="X41" s="52" t="s">
        <v>16</v>
      </c>
      <c r="Y41" s="52" t="s">
        <v>271</v>
      </c>
      <c r="Z41" s="145">
        <f>((Z27*Z29*Z28)/((Z34/24)*(1-EXP(-Z29*Z28))*Z36*Z31*(1/365)))*Z30*Z45*Z46</f>
        <v>2.8750573857966524E-13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41">
        <f t="shared" si="1"/>
        <v>1</v>
      </c>
      <c r="CZ41" s="92" t="s">
        <v>466</v>
      </c>
      <c r="DA41" s="141">
        <f>B182</f>
        <v>1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B91</f>
        <v>5</v>
      </c>
      <c r="HF41" s="52" t="s">
        <v>97</v>
      </c>
    </row>
    <row r="42" spans="1:214" ht="19.5" thickTop="1" thickBot="1" x14ac:dyDescent="0.25">
      <c r="A42" s="83" t="s">
        <v>370</v>
      </c>
      <c r="B42" s="130">
        <v>0.78</v>
      </c>
      <c r="C42" s="83" t="s">
        <v>28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41">
        <v>1</v>
      </c>
      <c r="V42" s="84" t="s">
        <v>295</v>
      </c>
      <c r="W42" s="142">
        <f>B302</f>
        <v>226.025409</v>
      </c>
      <c r="X42" s="84" t="s">
        <v>296</v>
      </c>
      <c r="Y42" s="52" t="s">
        <v>220</v>
      </c>
      <c r="Z42" s="138">
        <f>B278</f>
        <v>50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41">
        <f t="shared" si="1"/>
        <v>1</v>
      </c>
      <c r="CW42" s="84"/>
      <c r="CX42" s="84"/>
      <c r="CY42" s="84"/>
      <c r="CZ42" s="52" t="s">
        <v>477</v>
      </c>
      <c r="DA42" s="141">
        <f>B183</f>
        <v>0.54</v>
      </c>
      <c r="DB42" s="92" t="s">
        <v>358</v>
      </c>
      <c r="DW42" s="88"/>
      <c r="DX42" s="88"/>
      <c r="DY42" s="88"/>
      <c r="DZ42" s="88"/>
      <c r="HD42" s="52" t="s">
        <v>225</v>
      </c>
      <c r="HE42" s="241">
        <f>1+((HE35*HE36*HE37)/(HE38*HE39))</f>
        <v>3.1605966718331597</v>
      </c>
    </row>
    <row r="43" spans="1:214" ht="12.75" customHeight="1" x14ac:dyDescent="0.2">
      <c r="A43" s="83" t="s">
        <v>371</v>
      </c>
      <c r="B43" s="130">
        <v>2.5</v>
      </c>
      <c r="C43" s="52" t="s">
        <v>28</v>
      </c>
      <c r="D43" s="323" t="s">
        <v>530</v>
      </c>
      <c r="E43" s="347">
        <f>E53</f>
        <v>3.4853127953588144E-2</v>
      </c>
      <c r="F43" s="345" t="s">
        <v>13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V43" s="84" t="s">
        <v>293</v>
      </c>
      <c r="W43" s="161">
        <f>B303</f>
        <v>2.8000000000000001E-15</v>
      </c>
      <c r="X43" s="84"/>
      <c r="Y43" s="52" t="s">
        <v>219</v>
      </c>
      <c r="Z43" s="138">
        <f>B277</f>
        <v>5</v>
      </c>
      <c r="AA43" s="52" t="s">
        <v>157</v>
      </c>
      <c r="AE43" s="352" t="s">
        <v>226</v>
      </c>
      <c r="AF43" s="352"/>
      <c r="AG43" s="352"/>
      <c r="AI43" s="104"/>
      <c r="AJ43" s="104"/>
      <c r="AK43" s="104"/>
      <c r="BK43" s="352"/>
      <c r="BL43" s="352"/>
      <c r="BM43" s="352"/>
      <c r="BN43" s="352"/>
      <c r="BO43" s="352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B184</f>
        <v>0.71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83" t="s">
        <v>310</v>
      </c>
      <c r="B44" s="130">
        <v>54</v>
      </c>
      <c r="C44" s="52" t="s">
        <v>48</v>
      </c>
      <c r="D44" s="324"/>
      <c r="E44" s="348"/>
      <c r="F44" s="346"/>
      <c r="G44" s="52" t="s">
        <v>19</v>
      </c>
      <c r="H44" s="136">
        <f>H46</f>
        <v>1.4800000000000001E-2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AE44" s="352"/>
      <c r="AF44" s="352"/>
      <c r="AG44" s="352"/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5.75" thickTop="1" x14ac:dyDescent="0.2">
      <c r="A45" s="83" t="s">
        <v>372</v>
      </c>
      <c r="B45" s="130">
        <v>68.099999999999994</v>
      </c>
      <c r="C45" s="92" t="s">
        <v>221</v>
      </c>
      <c r="D45" s="83" t="s">
        <v>267</v>
      </c>
      <c r="E45" s="136">
        <f>B5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Y45" s="84" t="s">
        <v>295</v>
      </c>
      <c r="Z45" s="142">
        <f>B302</f>
        <v>226.025409</v>
      </c>
      <c r="AA45" s="84" t="s">
        <v>296</v>
      </c>
      <c r="AB45" s="104"/>
      <c r="AC45" s="105"/>
      <c r="AE45" s="352"/>
      <c r="AF45" s="352"/>
      <c r="AG45" s="352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B185</f>
        <v>0.5</v>
      </c>
      <c r="DB45" s="92" t="s">
        <v>145</v>
      </c>
      <c r="DW45" s="88"/>
      <c r="DX45" s="88"/>
      <c r="DY45" s="88"/>
      <c r="DZ45" s="88"/>
    </row>
    <row r="46" spans="1:214" ht="13.5" customHeight="1" x14ac:dyDescent="0.2">
      <c r="A46" s="83" t="s">
        <v>373</v>
      </c>
      <c r="B46" s="130">
        <v>188.5</v>
      </c>
      <c r="C46" s="92" t="s">
        <v>221</v>
      </c>
      <c r="D46" s="83" t="s">
        <v>382</v>
      </c>
      <c r="E46" s="150">
        <f>B56</f>
        <v>350</v>
      </c>
      <c r="F46" s="83" t="s">
        <v>24</v>
      </c>
      <c r="G46" s="84" t="s">
        <v>32</v>
      </c>
      <c r="H46" s="139">
        <f>B31</f>
        <v>1.4800000000000001E-2</v>
      </c>
      <c r="K46" s="146">
        <v>1000</v>
      </c>
      <c r="L46" s="52" t="s">
        <v>23</v>
      </c>
      <c r="Y46" s="84" t="s">
        <v>293</v>
      </c>
      <c r="Z46" s="161">
        <f>B303</f>
        <v>2.8000000000000001E-15</v>
      </c>
      <c r="AA46" s="84"/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83" t="s">
        <v>374</v>
      </c>
      <c r="B47" s="130">
        <v>41.7</v>
      </c>
      <c r="C47" s="92" t="s">
        <v>221</v>
      </c>
      <c r="D47" s="83" t="s">
        <v>258</v>
      </c>
      <c r="E47" s="136">
        <f>B17</f>
        <v>1.67911012348351E-3</v>
      </c>
      <c r="F47" s="83" t="s">
        <v>87</v>
      </c>
      <c r="G47" s="83" t="s">
        <v>393</v>
      </c>
      <c r="H47" s="142">
        <f>B35</f>
        <v>0.26</v>
      </c>
      <c r="J47" s="52" t="s">
        <v>19</v>
      </c>
      <c r="K47" s="136">
        <f>K49</f>
        <v>1.4800000000000001E-2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B165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83" t="s">
        <v>375</v>
      </c>
      <c r="B48" s="130">
        <v>128.9</v>
      </c>
      <c r="C48" s="92" t="s">
        <v>221</v>
      </c>
      <c r="D48" s="83" t="s">
        <v>379</v>
      </c>
      <c r="E48" s="146">
        <f>B53</f>
        <v>1</v>
      </c>
      <c r="F48" s="52" t="s">
        <v>60</v>
      </c>
      <c r="G48" s="52" t="s">
        <v>17</v>
      </c>
      <c r="H48" s="137">
        <f>((H51*H52*H53)*((1-EXP(-H54*H55))))/(H56*H54)</f>
        <v>0.52579260245651049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B166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83" t="s">
        <v>376</v>
      </c>
      <c r="B49" s="130">
        <v>0.23</v>
      </c>
      <c r="D49" s="83" t="s">
        <v>394</v>
      </c>
      <c r="E49" s="146">
        <f>B44</f>
        <v>54</v>
      </c>
      <c r="F49" s="52" t="s">
        <v>48</v>
      </c>
      <c r="G49" s="52" t="s">
        <v>25</v>
      </c>
      <c r="H49" s="137">
        <f>(H51*H52*H57*((1-EXP(-H54*H55))))/(H56*H54)</f>
        <v>9.2368970701819411</v>
      </c>
      <c r="I49" s="52" t="s">
        <v>18</v>
      </c>
      <c r="J49" s="84" t="s">
        <v>32</v>
      </c>
      <c r="K49" s="139">
        <f>B31</f>
        <v>1.4800000000000001E-2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T49" s="84" t="s">
        <v>295</v>
      </c>
      <c r="CU49" s="142">
        <f>B302</f>
        <v>226.025409</v>
      </c>
      <c r="CV49" s="84" t="s">
        <v>296</v>
      </c>
      <c r="CZ49" s="83" t="s">
        <v>475</v>
      </c>
      <c r="DA49" s="146">
        <f>B165</f>
        <v>0.15</v>
      </c>
      <c r="DW49" s="88"/>
      <c r="DX49" s="88"/>
      <c r="DY49" s="88"/>
      <c r="DZ49" s="88"/>
    </row>
    <row r="50" spans="1:130" x14ac:dyDescent="0.2">
      <c r="A50" s="83" t="s">
        <v>377</v>
      </c>
      <c r="B50" s="130">
        <v>0.77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3.6423470278489711</v>
      </c>
      <c r="I50" s="52" t="s">
        <v>18</v>
      </c>
      <c r="J50" s="83" t="s">
        <v>393</v>
      </c>
      <c r="K50" s="142">
        <f>B35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T50" s="84" t="s">
        <v>293</v>
      </c>
      <c r="CU50" s="161">
        <f>B304</f>
        <v>2.7955176153748299E-12</v>
      </c>
      <c r="CV50" s="84"/>
      <c r="CZ50" s="83" t="s">
        <v>476</v>
      </c>
      <c r="DA50" s="146">
        <f>B166</f>
        <v>0.85</v>
      </c>
      <c r="DW50" s="88"/>
      <c r="DX50" s="88"/>
      <c r="DY50" s="88"/>
      <c r="DZ50" s="88"/>
    </row>
    <row r="51" spans="1:130" x14ac:dyDescent="0.2">
      <c r="A51" s="52" t="s">
        <v>378</v>
      </c>
      <c r="B51" s="131">
        <v>1</v>
      </c>
      <c r="C51" s="52" t="s">
        <v>60</v>
      </c>
      <c r="D51" s="83" t="s">
        <v>105</v>
      </c>
      <c r="E51" s="150">
        <f>B23</f>
        <v>4</v>
      </c>
      <c r="F51" s="84" t="s">
        <v>18</v>
      </c>
      <c r="G51" s="83" t="s">
        <v>36</v>
      </c>
      <c r="H51" s="138">
        <f>B69</f>
        <v>3.62</v>
      </c>
      <c r="I51" s="52" t="s">
        <v>37</v>
      </c>
      <c r="J51" s="83" t="s">
        <v>376</v>
      </c>
      <c r="K51" s="146">
        <f>B49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CZ51" s="84" t="s">
        <v>295</v>
      </c>
      <c r="DA51" s="142">
        <f>B302</f>
        <v>226.025409</v>
      </c>
      <c r="DB51" s="84" t="s">
        <v>296</v>
      </c>
      <c r="DW51" s="88"/>
      <c r="DX51" s="88"/>
      <c r="DY51" s="88"/>
      <c r="DZ51" s="88"/>
    </row>
    <row r="52" spans="1:130" x14ac:dyDescent="0.2">
      <c r="A52" s="52" t="s">
        <v>448</v>
      </c>
      <c r="B52" s="131">
        <v>1</v>
      </c>
      <c r="C52" s="52" t="s">
        <v>60</v>
      </c>
      <c r="D52" s="83" t="s">
        <v>107</v>
      </c>
      <c r="E52" s="138">
        <f>B64</f>
        <v>1</v>
      </c>
      <c r="F52" s="84" t="s">
        <v>108</v>
      </c>
      <c r="G52" s="83" t="s">
        <v>40</v>
      </c>
      <c r="H52" s="138">
        <f>B70</f>
        <v>0.25</v>
      </c>
      <c r="I52" s="52" t="s">
        <v>41</v>
      </c>
      <c r="J52" s="83" t="s">
        <v>377</v>
      </c>
      <c r="K52" s="146">
        <f>B50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CZ52" s="84" t="s">
        <v>293</v>
      </c>
      <c r="DA52" s="161">
        <f>B303</f>
        <v>2.8000000000000001E-15</v>
      </c>
      <c r="DB52" s="84"/>
      <c r="DW52" s="88"/>
      <c r="DX52" s="88"/>
      <c r="DY52" s="88"/>
      <c r="DZ52" s="88"/>
    </row>
    <row r="53" spans="1:130" x14ac:dyDescent="0.2">
      <c r="A53" s="52" t="s">
        <v>379</v>
      </c>
      <c r="B53" s="131">
        <v>1</v>
      </c>
      <c r="C53" s="52" t="s">
        <v>60</v>
      </c>
      <c r="D53" s="83" t="s">
        <v>260</v>
      </c>
      <c r="E53" s="152">
        <f>(E45/(E47*E46*E48*E49*E51*E52*(1/E50)))/E54</f>
        <v>3.4853127953588144E-2</v>
      </c>
      <c r="F53" s="52" t="s">
        <v>13</v>
      </c>
      <c r="G53" s="92" t="s">
        <v>32</v>
      </c>
      <c r="H53" s="136">
        <f>B31</f>
        <v>1.4800000000000001E-2</v>
      </c>
      <c r="J53" s="84" t="s">
        <v>295</v>
      </c>
      <c r="K53" s="142">
        <f>B302</f>
        <v>226.025409</v>
      </c>
      <c r="L53" s="84" t="s">
        <v>296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52" t="s">
        <v>380</v>
      </c>
      <c r="B54" s="131">
        <v>350</v>
      </c>
      <c r="C54" s="83" t="s">
        <v>24</v>
      </c>
      <c r="D54" s="84" t="s">
        <v>295</v>
      </c>
      <c r="E54" s="142">
        <f>B302</f>
        <v>226.025409</v>
      </c>
      <c r="F54" s="84" t="s">
        <v>296</v>
      </c>
      <c r="G54" s="92" t="s">
        <v>49</v>
      </c>
      <c r="H54" s="137">
        <f>H62+H63</f>
        <v>2.8186643835616437E-5</v>
      </c>
      <c r="J54" s="84" t="s">
        <v>293</v>
      </c>
      <c r="K54" s="161">
        <f>B304</f>
        <v>2.7955176153748299E-12</v>
      </c>
      <c r="L54" s="84"/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52" t="s">
        <v>381</v>
      </c>
      <c r="B55" s="131">
        <v>350</v>
      </c>
      <c r="C55" s="83" t="s">
        <v>24</v>
      </c>
      <c r="D55" s="84" t="s">
        <v>293</v>
      </c>
      <c r="E55" s="161">
        <f>B303</f>
        <v>2.8000000000000001E-15</v>
      </c>
      <c r="F55" s="84"/>
      <c r="G55" s="92" t="s">
        <v>52</v>
      </c>
      <c r="H55" s="138">
        <f>B71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52" t="s">
        <v>382</v>
      </c>
      <c r="B56" s="131">
        <v>350</v>
      </c>
      <c r="C56" s="83" t="s">
        <v>24</v>
      </c>
      <c r="G56" s="92" t="s">
        <v>55</v>
      </c>
      <c r="H56" s="138">
        <f>B72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52" t="s">
        <v>403</v>
      </c>
      <c r="B57" s="131">
        <v>0.54</v>
      </c>
      <c r="C57" s="52" t="s">
        <v>89</v>
      </c>
      <c r="G57" s="92" t="s">
        <v>393</v>
      </c>
      <c r="H57" s="138">
        <f>B35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52" t="s">
        <v>404</v>
      </c>
      <c r="B58" s="131">
        <v>0.71</v>
      </c>
      <c r="C58" s="52" t="s">
        <v>89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52" t="s">
        <v>385</v>
      </c>
      <c r="B59" s="131">
        <v>24</v>
      </c>
      <c r="C59" s="52" t="s">
        <v>194</v>
      </c>
      <c r="G59" s="92" t="s">
        <v>63</v>
      </c>
      <c r="H59" s="151">
        <f>H63+(0.693/H65)</f>
        <v>4.9501186643835612E-2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52" t="s">
        <v>318</v>
      </c>
      <c r="B60" s="131">
        <v>1</v>
      </c>
      <c r="G60" s="92" t="s">
        <v>67</v>
      </c>
      <c r="H60" s="142">
        <f>B73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52" t="s">
        <v>303</v>
      </c>
      <c r="B61" s="131">
        <v>0.4</v>
      </c>
      <c r="G61" s="92" t="s">
        <v>68</v>
      </c>
      <c r="H61" s="142">
        <f>B74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52" t="s">
        <v>302</v>
      </c>
      <c r="B62" s="131">
        <v>1</v>
      </c>
      <c r="G62" s="92" t="s">
        <v>70</v>
      </c>
      <c r="H62" s="138">
        <f>B75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386</v>
      </c>
      <c r="B63" s="131">
        <v>1</v>
      </c>
      <c r="G63" s="92" t="s">
        <v>71</v>
      </c>
      <c r="H63" s="137">
        <f>0.693/H67</f>
        <v>1.1866438356164383E-6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83" t="s">
        <v>107</v>
      </c>
      <c r="B64" s="131">
        <v>1</v>
      </c>
      <c r="C64" s="84" t="s">
        <v>108</v>
      </c>
      <c r="G64" s="92" t="s">
        <v>73</v>
      </c>
      <c r="H64" s="138">
        <f>B76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65</v>
      </c>
      <c r="B65" s="131">
        <v>0.5</v>
      </c>
      <c r="C65" s="52" t="s">
        <v>66</v>
      </c>
      <c r="G65" s="92" t="s">
        <v>74</v>
      </c>
      <c r="H65" s="138">
        <f>B77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79</v>
      </c>
      <c r="B66" s="131">
        <v>1</v>
      </c>
      <c r="C66" s="52" t="s">
        <v>80</v>
      </c>
      <c r="G66" s="52" t="s">
        <v>33</v>
      </c>
      <c r="H66" s="136">
        <f>B32</f>
        <v>1.7000000000000001E-2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81</v>
      </c>
      <c r="B67" s="131">
        <v>1</v>
      </c>
      <c r="C67" s="52" t="s">
        <v>80</v>
      </c>
      <c r="G67" s="83" t="s">
        <v>234</v>
      </c>
      <c r="H67" s="136">
        <f>B22</f>
        <v>584000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390</v>
      </c>
      <c r="B68" s="131">
        <v>0.25</v>
      </c>
      <c r="G68" s="83" t="s">
        <v>376</v>
      </c>
      <c r="H68" s="146">
        <f>B49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83" t="s">
        <v>36</v>
      </c>
      <c r="B69" s="131">
        <v>3.62</v>
      </c>
      <c r="C69" s="52" t="s">
        <v>37</v>
      </c>
      <c r="G69" s="83" t="s">
        <v>377</v>
      </c>
      <c r="H69" s="146">
        <f>B50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83" t="s">
        <v>40</v>
      </c>
      <c r="B70" s="131">
        <v>0.25</v>
      </c>
      <c r="C70" s="52" t="s">
        <v>41</v>
      </c>
      <c r="G70" s="84" t="s">
        <v>295</v>
      </c>
      <c r="H70" s="142">
        <f>B302</f>
        <v>226.025409</v>
      </c>
      <c r="I70" s="84" t="s">
        <v>296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92" t="s">
        <v>52</v>
      </c>
      <c r="B71" s="131">
        <v>10950</v>
      </c>
      <c r="C71" s="52" t="s">
        <v>53</v>
      </c>
      <c r="G71" s="84" t="s">
        <v>293</v>
      </c>
      <c r="H71" s="161">
        <f>B303</f>
        <v>2.8000000000000001E-15</v>
      </c>
      <c r="I71" s="84"/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92" t="s">
        <v>55</v>
      </c>
      <c r="B72" s="131">
        <v>240</v>
      </c>
      <c r="C72" s="52" t="s">
        <v>56</v>
      </c>
      <c r="G72" s="84" t="s">
        <v>293</v>
      </c>
      <c r="H72" s="161">
        <f>B304</f>
        <v>2.7955176153748299E-12</v>
      </c>
      <c r="AF72" s="109"/>
      <c r="AG72" s="106"/>
      <c r="AH72" s="106"/>
      <c r="AI72" s="106"/>
      <c r="AJ72" s="106"/>
      <c r="AK72" s="106"/>
    </row>
    <row r="73" spans="1:105" x14ac:dyDescent="0.2">
      <c r="A73" s="92" t="s">
        <v>67</v>
      </c>
      <c r="B73" s="131">
        <v>60</v>
      </c>
      <c r="C73" s="83" t="s">
        <v>53</v>
      </c>
      <c r="G73" s="91" t="s">
        <v>231</v>
      </c>
      <c r="H73" s="85">
        <f>B18</f>
        <v>1600</v>
      </c>
      <c r="I73" s="52" t="s">
        <v>235</v>
      </c>
      <c r="AF73" s="109"/>
      <c r="AG73" s="106"/>
      <c r="AH73" s="106"/>
      <c r="AI73" s="106"/>
      <c r="AJ73" s="106"/>
      <c r="AK73" s="106"/>
    </row>
    <row r="74" spans="1:105" x14ac:dyDescent="0.2">
      <c r="A74" s="92" t="s">
        <v>68</v>
      </c>
      <c r="B74" s="131">
        <v>2</v>
      </c>
      <c r="C74" s="83" t="s">
        <v>56</v>
      </c>
      <c r="AF74" s="109"/>
      <c r="AG74" s="106"/>
      <c r="AH74" s="106"/>
      <c r="AI74" s="106"/>
      <c r="AJ74" s="106"/>
      <c r="AK74" s="106"/>
    </row>
    <row r="75" spans="1:105" x14ac:dyDescent="0.2">
      <c r="A75" s="92" t="s">
        <v>70</v>
      </c>
      <c r="B75" s="131">
        <v>2.6999999999999999E-5</v>
      </c>
      <c r="C75" s="52" t="s">
        <v>64</v>
      </c>
      <c r="AF75" s="108"/>
      <c r="AG75" s="106"/>
      <c r="AH75" s="106"/>
      <c r="AI75" s="106"/>
      <c r="AJ75" s="106"/>
      <c r="AK75" s="106"/>
    </row>
    <row r="76" spans="1:105" x14ac:dyDescent="0.2">
      <c r="A76" s="92" t="s">
        <v>73</v>
      </c>
      <c r="B76" s="131">
        <v>1</v>
      </c>
      <c r="C76" s="52" t="s">
        <v>41</v>
      </c>
      <c r="AF76" s="109"/>
      <c r="AG76" s="106"/>
      <c r="AH76" s="106"/>
      <c r="AI76" s="106"/>
      <c r="AJ76" s="106"/>
      <c r="AK76" s="106"/>
    </row>
    <row r="77" spans="1:105" x14ac:dyDescent="0.2">
      <c r="A77" s="92" t="s">
        <v>74</v>
      </c>
      <c r="B77" s="131">
        <v>14</v>
      </c>
      <c r="C77" s="52" t="s">
        <v>75</v>
      </c>
      <c r="AF77" s="109"/>
      <c r="AG77" s="106"/>
      <c r="AH77" s="106"/>
      <c r="AI77" s="106"/>
      <c r="AJ77" s="106"/>
      <c r="AK77" s="106"/>
    </row>
    <row r="78" spans="1:105" x14ac:dyDescent="0.2">
      <c r="A78" s="83" t="s">
        <v>408</v>
      </c>
      <c r="B78" s="130">
        <v>1.752</v>
      </c>
      <c r="C78" s="84" t="s">
        <v>194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409</v>
      </c>
      <c r="B79" s="130">
        <v>16.416</v>
      </c>
      <c r="C79" s="84" t="s">
        <v>194</v>
      </c>
      <c r="AF79" s="109"/>
      <c r="AG79" s="106"/>
    </row>
    <row r="80" spans="1:105" x14ac:dyDescent="0.2">
      <c r="A80" s="83" t="s">
        <v>389</v>
      </c>
      <c r="B80" s="130">
        <v>1</v>
      </c>
      <c r="C80" s="84"/>
      <c r="AF80" s="109"/>
      <c r="AG80" s="106"/>
      <c r="AH80" s="106"/>
      <c r="AI80" s="106"/>
      <c r="AJ80" s="106"/>
      <c r="AK80" s="106"/>
    </row>
    <row r="81" spans="1:37" x14ac:dyDescent="0.2">
      <c r="A81" s="385" t="s">
        <v>387</v>
      </c>
      <c r="B81" s="385"/>
      <c r="C81" s="385"/>
      <c r="AF81" s="109"/>
      <c r="AG81" s="106"/>
      <c r="AH81" s="106"/>
      <c r="AI81" s="106"/>
      <c r="AJ81" s="106"/>
      <c r="AK81" s="106"/>
    </row>
    <row r="82" spans="1:37" x14ac:dyDescent="0.2">
      <c r="A82" s="52" t="s">
        <v>34</v>
      </c>
      <c r="B82" s="131">
        <v>70</v>
      </c>
      <c r="C82" s="52" t="s">
        <v>60</v>
      </c>
      <c r="AF82" s="109"/>
      <c r="AG82" s="106"/>
      <c r="AH82" s="106"/>
      <c r="AI82" s="106"/>
      <c r="AJ82" s="106"/>
      <c r="AK82" s="106"/>
    </row>
    <row r="83" spans="1:37" x14ac:dyDescent="0.2">
      <c r="A83" s="84" t="s">
        <v>38</v>
      </c>
      <c r="B83" s="131">
        <v>0.3</v>
      </c>
      <c r="C83" s="52" t="s">
        <v>391</v>
      </c>
      <c r="AF83" s="109"/>
      <c r="AG83" s="106"/>
      <c r="AH83" s="106"/>
      <c r="AI83" s="106"/>
      <c r="AJ83" s="106"/>
      <c r="AK83" s="106"/>
    </row>
    <row r="84" spans="1:37" x14ac:dyDescent="0.2">
      <c r="A84" s="84" t="s">
        <v>42</v>
      </c>
      <c r="B84" s="130">
        <v>1.5</v>
      </c>
      <c r="C84" s="52" t="s">
        <v>286</v>
      </c>
      <c r="AF84" s="108"/>
      <c r="AG84" s="106"/>
    </row>
    <row r="85" spans="1:37" x14ac:dyDescent="0.2">
      <c r="A85" s="84" t="s">
        <v>47</v>
      </c>
      <c r="B85" s="131">
        <v>1</v>
      </c>
      <c r="C85" s="52" t="s">
        <v>60</v>
      </c>
      <c r="AF85" s="108"/>
      <c r="AG85" s="106"/>
      <c r="AH85" s="106"/>
      <c r="AI85" s="106"/>
      <c r="AJ85" s="106"/>
      <c r="AK85" s="106"/>
    </row>
    <row r="86" spans="1:37" x14ac:dyDescent="0.2">
      <c r="A86" s="84" t="s">
        <v>225</v>
      </c>
      <c r="B86" s="130">
        <v>1</v>
      </c>
      <c r="AF86" s="108"/>
      <c r="AG86" s="106"/>
    </row>
    <row r="87" spans="1:37" x14ac:dyDescent="0.2">
      <c r="A87" s="52" t="s">
        <v>93</v>
      </c>
      <c r="B87" s="130">
        <v>5</v>
      </c>
      <c r="C87" s="52" t="s">
        <v>94</v>
      </c>
      <c r="AH87" s="108"/>
      <c r="AI87" s="108"/>
      <c r="AJ87" s="108"/>
      <c r="AK87" s="108"/>
    </row>
    <row r="88" spans="1:37" x14ac:dyDescent="0.2">
      <c r="A88" s="52" t="s">
        <v>98</v>
      </c>
      <c r="B88" s="130">
        <v>0.18</v>
      </c>
      <c r="C88" s="52" t="s">
        <v>355</v>
      </c>
    </row>
    <row r="89" spans="1:37" x14ac:dyDescent="0.2">
      <c r="A89" s="52" t="s">
        <v>100</v>
      </c>
      <c r="B89" s="130">
        <v>55</v>
      </c>
      <c r="C89" s="52" t="s">
        <v>97</v>
      </c>
    </row>
    <row r="90" spans="1:37" x14ac:dyDescent="0.2">
      <c r="A90" s="52" t="s">
        <v>101</v>
      </c>
      <c r="B90" s="130">
        <v>5</v>
      </c>
      <c r="C90" s="52" t="s">
        <v>97</v>
      </c>
    </row>
    <row r="91" spans="1:37" x14ac:dyDescent="0.2">
      <c r="A91" s="52" t="s">
        <v>102</v>
      </c>
      <c r="B91" s="130">
        <v>5</v>
      </c>
      <c r="C91" s="52" t="s">
        <v>97</v>
      </c>
    </row>
    <row r="92" spans="1:37" x14ac:dyDescent="0.2">
      <c r="A92" s="384" t="s">
        <v>5</v>
      </c>
      <c r="B92" s="384"/>
      <c r="C92" s="384"/>
    </row>
    <row r="93" spans="1:37" x14ac:dyDescent="0.2">
      <c r="A93" s="83" t="s">
        <v>429</v>
      </c>
      <c r="B93" s="131">
        <v>10</v>
      </c>
      <c r="C93" s="92" t="s">
        <v>407</v>
      </c>
    </row>
    <row r="94" spans="1:37" x14ac:dyDescent="0.2">
      <c r="A94" s="83" t="s">
        <v>430</v>
      </c>
      <c r="B94" s="131">
        <v>20</v>
      </c>
      <c r="C94" s="92" t="s">
        <v>407</v>
      </c>
    </row>
    <row r="95" spans="1:37" x14ac:dyDescent="0.2">
      <c r="A95" s="83" t="s">
        <v>439</v>
      </c>
      <c r="B95" s="130">
        <v>0.05</v>
      </c>
      <c r="C95" s="83" t="s">
        <v>357</v>
      </c>
    </row>
    <row r="96" spans="1:37" x14ac:dyDescent="0.2">
      <c r="A96" s="83" t="s">
        <v>438</v>
      </c>
      <c r="B96" s="130">
        <v>0.05</v>
      </c>
      <c r="C96" s="83" t="s">
        <v>357</v>
      </c>
    </row>
    <row r="97" spans="1:3" x14ac:dyDescent="0.2">
      <c r="A97" s="83" t="s">
        <v>441</v>
      </c>
      <c r="B97" s="131">
        <v>200</v>
      </c>
      <c r="C97" s="84" t="s">
        <v>48</v>
      </c>
    </row>
    <row r="98" spans="1:3" x14ac:dyDescent="0.2">
      <c r="A98" s="83" t="s">
        <v>442</v>
      </c>
      <c r="B98" s="131">
        <v>100</v>
      </c>
      <c r="C98" s="84" t="s">
        <v>48</v>
      </c>
    </row>
    <row r="99" spans="1:3" x14ac:dyDescent="0.2">
      <c r="A99" s="52" t="s">
        <v>159</v>
      </c>
      <c r="B99" s="131">
        <v>1</v>
      </c>
      <c r="C99" s="52" t="s">
        <v>221</v>
      </c>
    </row>
    <row r="100" spans="1:3" x14ac:dyDescent="0.2">
      <c r="A100" s="52" t="s">
        <v>160</v>
      </c>
      <c r="B100" s="131">
        <v>1</v>
      </c>
      <c r="C100" s="52" t="s">
        <v>221</v>
      </c>
    </row>
    <row r="101" spans="1:3" x14ac:dyDescent="0.2">
      <c r="A101" s="83" t="s">
        <v>308</v>
      </c>
      <c r="B101" s="130">
        <v>0.23</v>
      </c>
    </row>
    <row r="102" spans="1:3" x14ac:dyDescent="0.2">
      <c r="A102" s="83" t="s">
        <v>309</v>
      </c>
      <c r="B102" s="130">
        <v>0.77</v>
      </c>
    </row>
    <row r="103" spans="1:3" x14ac:dyDescent="0.2">
      <c r="A103" s="52" t="s">
        <v>140</v>
      </c>
      <c r="B103" s="131">
        <v>75</v>
      </c>
      <c r="C103" s="52" t="s">
        <v>24</v>
      </c>
    </row>
    <row r="104" spans="1:3" x14ac:dyDescent="0.2">
      <c r="A104" s="52" t="s">
        <v>433</v>
      </c>
      <c r="B104" s="131">
        <v>75</v>
      </c>
      <c r="C104" s="52" t="s">
        <v>24</v>
      </c>
    </row>
    <row r="105" spans="1:3" x14ac:dyDescent="0.2">
      <c r="A105" s="52" t="s">
        <v>434</v>
      </c>
      <c r="B105" s="131">
        <v>75</v>
      </c>
      <c r="C105" s="52" t="s">
        <v>24</v>
      </c>
    </row>
    <row r="106" spans="1:3" x14ac:dyDescent="0.2">
      <c r="A106" s="52" t="s">
        <v>431</v>
      </c>
      <c r="B106" s="130">
        <v>1</v>
      </c>
      <c r="C106" s="52" t="s">
        <v>194</v>
      </c>
    </row>
    <row r="107" spans="1:3" x14ac:dyDescent="0.2">
      <c r="A107" s="52" t="s">
        <v>432</v>
      </c>
      <c r="B107" s="130">
        <v>1</v>
      </c>
      <c r="C107" s="52" t="s">
        <v>194</v>
      </c>
    </row>
    <row r="108" spans="1:3" x14ac:dyDescent="0.2">
      <c r="A108" s="52" t="s">
        <v>90</v>
      </c>
      <c r="B108" s="131">
        <v>1</v>
      </c>
      <c r="C108" s="52" t="s">
        <v>194</v>
      </c>
    </row>
    <row r="109" spans="1:3" x14ac:dyDescent="0.2">
      <c r="A109" s="52" t="s">
        <v>443</v>
      </c>
      <c r="B109" s="131">
        <v>1</v>
      </c>
      <c r="C109" s="52" t="s">
        <v>89</v>
      </c>
    </row>
    <row r="110" spans="1:3" x14ac:dyDescent="0.2">
      <c r="A110" s="52" t="s">
        <v>444</v>
      </c>
      <c r="B110" s="131">
        <v>1</v>
      </c>
      <c r="C110" s="52" t="s">
        <v>89</v>
      </c>
    </row>
    <row r="111" spans="1:3" x14ac:dyDescent="0.2">
      <c r="A111" s="83" t="s">
        <v>301</v>
      </c>
      <c r="B111" s="131">
        <v>1</v>
      </c>
    </row>
    <row r="112" spans="1:3" x14ac:dyDescent="0.2">
      <c r="A112" s="83" t="s">
        <v>433</v>
      </c>
      <c r="B112" s="130">
        <v>45</v>
      </c>
      <c r="C112" s="83" t="s">
        <v>24</v>
      </c>
    </row>
    <row r="113" spans="1:3" x14ac:dyDescent="0.2">
      <c r="A113" s="83" t="s">
        <v>434</v>
      </c>
      <c r="B113" s="130">
        <v>45</v>
      </c>
      <c r="C113" s="83" t="s">
        <v>24</v>
      </c>
    </row>
    <row r="114" spans="1:3" x14ac:dyDescent="0.2">
      <c r="A114" s="83" t="s">
        <v>435</v>
      </c>
      <c r="B114" s="131">
        <v>1</v>
      </c>
      <c r="C114" s="52" t="s">
        <v>80</v>
      </c>
    </row>
    <row r="115" spans="1:3" x14ac:dyDescent="0.2">
      <c r="A115" s="83" t="s">
        <v>436</v>
      </c>
      <c r="B115" s="131">
        <v>1</v>
      </c>
      <c r="C115" s="52" t="s">
        <v>80</v>
      </c>
    </row>
    <row r="116" spans="1:3" x14ac:dyDescent="0.2">
      <c r="A116" s="83" t="s">
        <v>65</v>
      </c>
      <c r="B116" s="130">
        <v>0.5</v>
      </c>
      <c r="C116" s="52" t="s">
        <v>66</v>
      </c>
    </row>
    <row r="117" spans="1:3" x14ac:dyDescent="0.2">
      <c r="A117" s="52" t="s">
        <v>51</v>
      </c>
      <c r="B117" s="131">
        <v>1</v>
      </c>
      <c r="C117" s="52" t="s">
        <v>60</v>
      </c>
    </row>
    <row r="118" spans="1:3" x14ac:dyDescent="0.2">
      <c r="A118" s="52" t="s">
        <v>329</v>
      </c>
      <c r="B118" s="131">
        <v>2.41E-4</v>
      </c>
    </row>
    <row r="119" spans="1:3" x14ac:dyDescent="0.2">
      <c r="A119" s="52" t="s">
        <v>330</v>
      </c>
      <c r="B119" s="131">
        <v>0.753</v>
      </c>
    </row>
    <row r="120" spans="1:3" x14ac:dyDescent="0.2">
      <c r="A120" s="52" t="s">
        <v>331</v>
      </c>
      <c r="B120" s="131">
        <v>1.17E-4</v>
      </c>
    </row>
    <row r="121" spans="1:3" x14ac:dyDescent="0.2">
      <c r="A121" s="52" t="s">
        <v>332</v>
      </c>
      <c r="B121" s="131">
        <v>0.74299999999999999</v>
      </c>
    </row>
    <row r="122" spans="1:3" x14ac:dyDescent="0.2">
      <c r="A122" s="52" t="s">
        <v>333</v>
      </c>
      <c r="B122" s="131">
        <v>1.35E-4</v>
      </c>
    </row>
    <row r="123" spans="1:3" x14ac:dyDescent="0.2">
      <c r="A123" s="52" t="s">
        <v>334</v>
      </c>
      <c r="B123" s="131">
        <v>0.71099999999999997</v>
      </c>
    </row>
    <row r="124" spans="1:3" x14ac:dyDescent="0.2">
      <c r="A124" s="52" t="s">
        <v>335</v>
      </c>
      <c r="B124" s="131">
        <v>2.2599999999999999E-4</v>
      </c>
    </row>
    <row r="125" spans="1:3" x14ac:dyDescent="0.2">
      <c r="A125" s="52" t="s">
        <v>336</v>
      </c>
      <c r="B125" s="131">
        <v>0.66200000000000003</v>
      </c>
    </row>
    <row r="126" spans="1:3" x14ac:dyDescent="0.2">
      <c r="A126" s="52" t="s">
        <v>337</v>
      </c>
      <c r="B126" s="131">
        <v>1.5699999999999999E-5</v>
      </c>
    </row>
    <row r="127" spans="1:3" x14ac:dyDescent="0.2">
      <c r="A127" s="52" t="s">
        <v>338</v>
      </c>
      <c r="B127" s="131">
        <v>0.80900000000000005</v>
      </c>
    </row>
    <row r="128" spans="1:3" x14ac:dyDescent="0.2">
      <c r="A128" s="52" t="s">
        <v>159</v>
      </c>
      <c r="B128" s="130">
        <v>1</v>
      </c>
      <c r="C128" s="52" t="s">
        <v>221</v>
      </c>
    </row>
    <row r="129" spans="1:3" x14ac:dyDescent="0.2">
      <c r="A129" s="84" t="s">
        <v>164</v>
      </c>
      <c r="B129" s="130">
        <v>1</v>
      </c>
      <c r="C129" s="52" t="s">
        <v>246</v>
      </c>
    </row>
    <row r="130" spans="1:3" x14ac:dyDescent="0.2">
      <c r="A130" s="84" t="s">
        <v>161</v>
      </c>
      <c r="B130" s="130">
        <v>1</v>
      </c>
      <c r="C130" s="52" t="s">
        <v>246</v>
      </c>
    </row>
    <row r="131" spans="1:3" x14ac:dyDescent="0.2">
      <c r="A131" s="84" t="s">
        <v>162</v>
      </c>
      <c r="B131" s="130">
        <v>1</v>
      </c>
      <c r="C131" s="52" t="s">
        <v>41</v>
      </c>
    </row>
    <row r="132" spans="1:3" x14ac:dyDescent="0.2">
      <c r="A132" s="84" t="s">
        <v>163</v>
      </c>
      <c r="B132" s="130">
        <v>1</v>
      </c>
      <c r="C132" s="52" t="s">
        <v>41</v>
      </c>
    </row>
    <row r="133" spans="1:3" x14ac:dyDescent="0.2">
      <c r="A133" s="84" t="s">
        <v>169</v>
      </c>
      <c r="B133" s="130">
        <v>1</v>
      </c>
      <c r="C133" s="52" t="s">
        <v>28</v>
      </c>
    </row>
    <row r="134" spans="1:3" x14ac:dyDescent="0.2">
      <c r="A134" s="52" t="s">
        <v>160</v>
      </c>
      <c r="B134" s="130">
        <v>1</v>
      </c>
      <c r="C134" s="52" t="s">
        <v>221</v>
      </c>
    </row>
    <row r="135" spans="1:3" x14ac:dyDescent="0.2">
      <c r="A135" s="52" t="s">
        <v>165</v>
      </c>
      <c r="B135" s="130">
        <v>1</v>
      </c>
      <c r="C135" s="52" t="s">
        <v>246</v>
      </c>
    </row>
    <row r="136" spans="1:3" x14ac:dyDescent="0.2">
      <c r="A136" s="52" t="s">
        <v>166</v>
      </c>
      <c r="B136" s="130">
        <v>1</v>
      </c>
      <c r="C136" s="52" t="s">
        <v>246</v>
      </c>
    </row>
    <row r="137" spans="1:3" x14ac:dyDescent="0.2">
      <c r="A137" s="93" t="s">
        <v>167</v>
      </c>
      <c r="B137" s="130">
        <v>1</v>
      </c>
      <c r="C137" s="52" t="s">
        <v>41</v>
      </c>
    </row>
    <row r="138" spans="1:3" x14ac:dyDescent="0.2">
      <c r="A138" s="83" t="s">
        <v>168</v>
      </c>
      <c r="B138" s="130">
        <v>1</v>
      </c>
      <c r="C138" s="52" t="s">
        <v>41</v>
      </c>
    </row>
    <row r="139" spans="1:3" x14ac:dyDescent="0.2">
      <c r="A139" s="84" t="s">
        <v>170</v>
      </c>
      <c r="B139" s="130">
        <v>1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200</v>
      </c>
      <c r="C141" s="84" t="s">
        <v>48</v>
      </c>
    </row>
    <row r="142" spans="1:3" x14ac:dyDescent="0.2">
      <c r="A142" s="83" t="s">
        <v>458</v>
      </c>
      <c r="B142" s="130">
        <v>100</v>
      </c>
      <c r="C142" s="84" t="s">
        <v>48</v>
      </c>
    </row>
    <row r="143" spans="1:3" x14ac:dyDescent="0.2">
      <c r="A143" s="83" t="s">
        <v>450</v>
      </c>
      <c r="B143" s="130">
        <v>10</v>
      </c>
      <c r="C143" s="92" t="s">
        <v>407</v>
      </c>
    </row>
    <row r="144" spans="1:3" x14ac:dyDescent="0.2">
      <c r="A144" s="83" t="s">
        <v>459</v>
      </c>
      <c r="B144" s="130">
        <v>20</v>
      </c>
      <c r="C144" s="92" t="s">
        <v>407</v>
      </c>
    </row>
    <row r="145" spans="1:3" x14ac:dyDescent="0.2">
      <c r="A145" s="92" t="s">
        <v>451</v>
      </c>
      <c r="B145" s="131">
        <v>0.78</v>
      </c>
      <c r="C145" s="83" t="s">
        <v>28</v>
      </c>
    </row>
    <row r="146" spans="1:3" x14ac:dyDescent="0.2">
      <c r="A146" s="92" t="s">
        <v>460</v>
      </c>
      <c r="B146" s="131">
        <v>2.5</v>
      </c>
      <c r="C146" s="83" t="s">
        <v>28</v>
      </c>
    </row>
    <row r="147" spans="1:3" ht="15" x14ac:dyDescent="0.2">
      <c r="A147" s="92" t="s">
        <v>450</v>
      </c>
      <c r="B147" s="131">
        <v>10</v>
      </c>
      <c r="C147" s="83" t="s">
        <v>143</v>
      </c>
    </row>
    <row r="148" spans="1:3" ht="15" x14ac:dyDescent="0.2">
      <c r="A148" s="92" t="s">
        <v>459</v>
      </c>
      <c r="B148" s="131">
        <v>20</v>
      </c>
      <c r="C148" s="83" t="s">
        <v>143</v>
      </c>
    </row>
    <row r="149" spans="1:3" x14ac:dyDescent="0.2">
      <c r="A149" s="83" t="s">
        <v>467</v>
      </c>
      <c r="B149" s="130">
        <v>68.099999999999994</v>
      </c>
      <c r="C149" s="92" t="s">
        <v>221</v>
      </c>
    </row>
    <row r="150" spans="1:3" x14ac:dyDescent="0.2">
      <c r="A150" s="83" t="s">
        <v>468</v>
      </c>
      <c r="B150" s="130">
        <v>176.8</v>
      </c>
      <c r="C150" s="92" t="s">
        <v>221</v>
      </c>
    </row>
    <row r="151" spans="1:3" x14ac:dyDescent="0.2">
      <c r="A151" s="83" t="s">
        <v>469</v>
      </c>
      <c r="B151" s="130">
        <v>41.7</v>
      </c>
      <c r="C151" s="92" t="s">
        <v>221</v>
      </c>
    </row>
    <row r="152" spans="1:3" x14ac:dyDescent="0.2">
      <c r="A152" s="83" t="s">
        <v>470</v>
      </c>
      <c r="B152" s="130">
        <v>125.7</v>
      </c>
      <c r="C152" s="92" t="s">
        <v>221</v>
      </c>
    </row>
    <row r="153" spans="1:3" x14ac:dyDescent="0.2">
      <c r="A153" s="83" t="s">
        <v>452</v>
      </c>
      <c r="B153" s="130">
        <v>349.5</v>
      </c>
      <c r="C153" s="92" t="s">
        <v>221</v>
      </c>
    </row>
    <row r="154" spans="1:3" x14ac:dyDescent="0.2">
      <c r="A154" s="83" t="s">
        <v>461</v>
      </c>
      <c r="B154" s="130">
        <v>445.6</v>
      </c>
      <c r="C154" s="92" t="s">
        <v>221</v>
      </c>
    </row>
    <row r="155" spans="1:3" x14ac:dyDescent="0.2">
      <c r="A155" s="83" t="s">
        <v>453</v>
      </c>
      <c r="B155" s="132">
        <v>40.1</v>
      </c>
      <c r="C155" s="92" t="s">
        <v>221</v>
      </c>
    </row>
    <row r="156" spans="1:3" x14ac:dyDescent="0.2">
      <c r="A156" s="83" t="s">
        <v>462</v>
      </c>
      <c r="B156" s="132">
        <v>178</v>
      </c>
      <c r="C156" s="92" t="s">
        <v>221</v>
      </c>
    </row>
    <row r="157" spans="1:3" x14ac:dyDescent="0.2">
      <c r="A157" s="83" t="s">
        <v>454</v>
      </c>
      <c r="B157" s="133">
        <v>10.95</v>
      </c>
      <c r="C157" s="92" t="s">
        <v>221</v>
      </c>
    </row>
    <row r="158" spans="1:3" x14ac:dyDescent="0.2">
      <c r="A158" s="83" t="s">
        <v>463</v>
      </c>
      <c r="B158" s="132">
        <v>53.4</v>
      </c>
      <c r="C158" s="92" t="s">
        <v>221</v>
      </c>
    </row>
    <row r="159" spans="1:3" x14ac:dyDescent="0.2">
      <c r="A159" s="83" t="s">
        <v>471</v>
      </c>
      <c r="B159" s="130">
        <v>32.799999999999997</v>
      </c>
      <c r="C159" s="92" t="s">
        <v>221</v>
      </c>
    </row>
    <row r="160" spans="1:3" x14ac:dyDescent="0.2">
      <c r="A160" s="83" t="s">
        <v>472</v>
      </c>
      <c r="B160" s="130">
        <v>155.4</v>
      </c>
      <c r="C160" s="92" t="s">
        <v>221</v>
      </c>
    </row>
    <row r="161" spans="1:3" x14ac:dyDescent="0.2">
      <c r="A161" s="83" t="s">
        <v>473</v>
      </c>
      <c r="B161" s="132">
        <v>23.6</v>
      </c>
      <c r="C161" s="92" t="s">
        <v>221</v>
      </c>
    </row>
    <row r="162" spans="1:3" x14ac:dyDescent="0.2">
      <c r="A162" s="83" t="s">
        <v>474</v>
      </c>
      <c r="B162" s="132">
        <v>106.6</v>
      </c>
      <c r="C162" s="92" t="s">
        <v>221</v>
      </c>
    </row>
    <row r="163" spans="1:3" x14ac:dyDescent="0.2">
      <c r="A163" s="83" t="s">
        <v>455</v>
      </c>
      <c r="B163" s="130">
        <v>18.5</v>
      </c>
      <c r="C163" s="92" t="s">
        <v>221</v>
      </c>
    </row>
    <row r="164" spans="1:3" x14ac:dyDescent="0.2">
      <c r="A164" s="83" t="s">
        <v>464</v>
      </c>
      <c r="B164" s="130">
        <v>97.9</v>
      </c>
      <c r="C164" s="92" t="s">
        <v>221</v>
      </c>
    </row>
    <row r="165" spans="1:3" x14ac:dyDescent="0.2">
      <c r="A165" s="83" t="s">
        <v>475</v>
      </c>
      <c r="B165" s="130">
        <v>0.15</v>
      </c>
      <c r="C165" s="88"/>
    </row>
    <row r="166" spans="1:3" x14ac:dyDescent="0.2">
      <c r="A166" s="83" t="s">
        <v>476</v>
      </c>
      <c r="B166" s="130">
        <v>0.85</v>
      </c>
      <c r="C166" s="88"/>
    </row>
    <row r="167" spans="1:3" x14ac:dyDescent="0.2">
      <c r="A167" s="83" t="s">
        <v>456</v>
      </c>
      <c r="B167" s="130">
        <v>350</v>
      </c>
      <c r="C167" s="83" t="s">
        <v>24</v>
      </c>
    </row>
    <row r="168" spans="1:3" x14ac:dyDescent="0.2">
      <c r="A168" s="83" t="s">
        <v>465</v>
      </c>
      <c r="B168" s="130">
        <v>350</v>
      </c>
      <c r="C168" s="83" t="s">
        <v>24</v>
      </c>
    </row>
    <row r="169" spans="1:3" x14ac:dyDescent="0.2">
      <c r="A169" s="52" t="s">
        <v>362</v>
      </c>
      <c r="B169" s="131">
        <v>350</v>
      </c>
      <c r="C169" s="83" t="s">
        <v>24</v>
      </c>
    </row>
    <row r="170" spans="1:3" x14ac:dyDescent="0.2">
      <c r="A170" s="83" t="s">
        <v>363</v>
      </c>
      <c r="B170" s="130">
        <v>1</v>
      </c>
      <c r="C170" s="92" t="s">
        <v>60</v>
      </c>
    </row>
    <row r="171" spans="1:3" x14ac:dyDescent="0.2">
      <c r="A171" s="83" t="s">
        <v>364</v>
      </c>
      <c r="B171" s="130">
        <v>24</v>
      </c>
      <c r="C171" s="94" t="s">
        <v>194</v>
      </c>
    </row>
    <row r="172" spans="1:3" x14ac:dyDescent="0.2">
      <c r="A172" s="83" t="s">
        <v>365</v>
      </c>
      <c r="B172" s="130">
        <v>24</v>
      </c>
      <c r="C172" s="52" t="s">
        <v>194</v>
      </c>
    </row>
    <row r="173" spans="1:3" x14ac:dyDescent="0.2">
      <c r="A173" s="83" t="s">
        <v>361</v>
      </c>
      <c r="B173" s="130">
        <v>1</v>
      </c>
    </row>
    <row r="174" spans="1:3" x14ac:dyDescent="0.2">
      <c r="A174" s="83" t="s">
        <v>83</v>
      </c>
      <c r="B174" s="130">
        <v>12.167999999999999</v>
      </c>
      <c r="C174" s="84" t="s">
        <v>194</v>
      </c>
    </row>
    <row r="175" spans="1:3" x14ac:dyDescent="0.2">
      <c r="A175" s="83" t="s">
        <v>85</v>
      </c>
      <c r="B175" s="130">
        <v>10.007999999999999</v>
      </c>
      <c r="C175" s="84" t="s">
        <v>194</v>
      </c>
    </row>
    <row r="176" spans="1:3" x14ac:dyDescent="0.2">
      <c r="A176" s="83" t="s">
        <v>88</v>
      </c>
      <c r="B176" s="130">
        <v>0.4</v>
      </c>
    </row>
    <row r="177" spans="1:3" x14ac:dyDescent="0.2">
      <c r="A177" s="83" t="s">
        <v>303</v>
      </c>
      <c r="B177" s="130">
        <v>0.4</v>
      </c>
    </row>
    <row r="178" spans="1:3" x14ac:dyDescent="0.2">
      <c r="A178" s="83" t="s">
        <v>302</v>
      </c>
      <c r="B178" s="130">
        <v>1</v>
      </c>
    </row>
    <row r="179" spans="1:3" x14ac:dyDescent="0.2">
      <c r="A179" s="83" t="s">
        <v>54</v>
      </c>
      <c r="B179" s="130">
        <v>1</v>
      </c>
    </row>
    <row r="180" spans="1:3" x14ac:dyDescent="0.2">
      <c r="A180" s="83" t="s">
        <v>301</v>
      </c>
      <c r="B180" s="131">
        <v>1</v>
      </c>
    </row>
    <row r="181" spans="1:3" x14ac:dyDescent="0.2">
      <c r="A181" s="92" t="s">
        <v>457</v>
      </c>
      <c r="B181" s="130">
        <v>1</v>
      </c>
      <c r="C181" s="92" t="s">
        <v>144</v>
      </c>
    </row>
    <row r="182" spans="1:3" x14ac:dyDescent="0.2">
      <c r="A182" s="92" t="s">
        <v>466</v>
      </c>
      <c r="B182" s="130">
        <v>1</v>
      </c>
      <c r="C182" s="92" t="s">
        <v>144</v>
      </c>
    </row>
    <row r="183" spans="1:3" x14ac:dyDescent="0.2">
      <c r="A183" s="52" t="s">
        <v>477</v>
      </c>
      <c r="B183" s="130">
        <v>0.54</v>
      </c>
      <c r="C183" s="92" t="s">
        <v>358</v>
      </c>
    </row>
    <row r="184" spans="1:3" x14ac:dyDescent="0.2">
      <c r="A184" s="52" t="s">
        <v>478</v>
      </c>
      <c r="B184" s="130">
        <v>0.71</v>
      </c>
      <c r="C184" s="92" t="s">
        <v>358</v>
      </c>
    </row>
    <row r="185" spans="1:3" ht="15" x14ac:dyDescent="0.2">
      <c r="A185" s="84" t="s">
        <v>65</v>
      </c>
      <c r="B185" s="130">
        <v>0.5</v>
      </c>
      <c r="C185" s="92" t="s">
        <v>145</v>
      </c>
    </row>
    <row r="186" spans="1:3" x14ac:dyDescent="0.2">
      <c r="A186" s="92" t="s">
        <v>361</v>
      </c>
      <c r="B186" s="130">
        <v>1</v>
      </c>
    </row>
    <row r="187" spans="1:3" x14ac:dyDescent="0.2">
      <c r="A187" s="92" t="s">
        <v>479</v>
      </c>
      <c r="B187" s="130">
        <v>1</v>
      </c>
    </row>
    <row r="188" spans="1:3" x14ac:dyDescent="0.2">
      <c r="A188" s="92" t="s">
        <v>480</v>
      </c>
      <c r="B188" s="130">
        <v>1</v>
      </c>
    </row>
    <row r="189" spans="1:3" x14ac:dyDescent="0.2">
      <c r="A189" s="92" t="s">
        <v>481</v>
      </c>
      <c r="B189" s="130">
        <v>1</v>
      </c>
    </row>
    <row r="190" spans="1:3" x14ac:dyDescent="0.2">
      <c r="A190" s="92" t="s">
        <v>482</v>
      </c>
      <c r="B190" s="130">
        <v>1</v>
      </c>
    </row>
    <row r="191" spans="1:3" x14ac:dyDescent="0.2">
      <c r="A191" s="92" t="s">
        <v>483</v>
      </c>
      <c r="B191" s="130">
        <v>1</v>
      </c>
    </row>
    <row r="192" spans="1:3" x14ac:dyDescent="0.2">
      <c r="A192" s="92" t="s">
        <v>484</v>
      </c>
      <c r="B192" s="131">
        <v>1</v>
      </c>
    </row>
    <row r="193" spans="1:3" x14ac:dyDescent="0.2">
      <c r="A193" s="83" t="s">
        <v>36</v>
      </c>
      <c r="B193" s="131">
        <v>3.62</v>
      </c>
      <c r="C193" s="52" t="s">
        <v>37</v>
      </c>
    </row>
    <row r="194" spans="1:3" x14ac:dyDescent="0.2">
      <c r="A194" s="83" t="s">
        <v>40</v>
      </c>
      <c r="B194" s="131">
        <v>0.25</v>
      </c>
      <c r="C194" s="52" t="s">
        <v>41</v>
      </c>
    </row>
    <row r="195" spans="1:3" x14ac:dyDescent="0.2">
      <c r="A195" s="92" t="s">
        <v>52</v>
      </c>
      <c r="B195" s="131">
        <v>10950</v>
      </c>
      <c r="C195" s="52" t="s">
        <v>53</v>
      </c>
    </row>
    <row r="196" spans="1:3" x14ac:dyDescent="0.2">
      <c r="A196" s="92" t="s">
        <v>55</v>
      </c>
      <c r="B196" s="131">
        <v>240</v>
      </c>
      <c r="C196" s="52" t="s">
        <v>56</v>
      </c>
    </row>
    <row r="197" spans="1:3" x14ac:dyDescent="0.2">
      <c r="A197" s="92" t="s">
        <v>61</v>
      </c>
      <c r="B197" s="131">
        <v>0.42</v>
      </c>
      <c r="C197" s="52" t="s">
        <v>41</v>
      </c>
    </row>
    <row r="198" spans="1:3" x14ac:dyDescent="0.2">
      <c r="A198" s="92" t="s">
        <v>67</v>
      </c>
      <c r="B198" s="131">
        <v>60</v>
      </c>
      <c r="C198" s="83" t="s">
        <v>53</v>
      </c>
    </row>
    <row r="199" spans="1:3" x14ac:dyDescent="0.2">
      <c r="A199" s="92" t="s">
        <v>68</v>
      </c>
      <c r="B199" s="131">
        <v>2</v>
      </c>
      <c r="C199" s="83" t="s">
        <v>56</v>
      </c>
    </row>
    <row r="200" spans="1:3" x14ac:dyDescent="0.2">
      <c r="A200" s="92" t="s">
        <v>70</v>
      </c>
      <c r="B200" s="131">
        <v>2.6999999999999999E-5</v>
      </c>
      <c r="C200" s="52" t="s">
        <v>64</v>
      </c>
    </row>
    <row r="201" spans="1:3" x14ac:dyDescent="0.2">
      <c r="A201" s="92" t="s">
        <v>73</v>
      </c>
      <c r="B201" s="131">
        <v>1</v>
      </c>
      <c r="C201" s="52" t="s">
        <v>41</v>
      </c>
    </row>
    <row r="202" spans="1:3" x14ac:dyDescent="0.2">
      <c r="A202" s="92" t="s">
        <v>74</v>
      </c>
      <c r="B202" s="131">
        <v>14</v>
      </c>
      <c r="C202" s="52" t="s">
        <v>75</v>
      </c>
    </row>
    <row r="203" spans="1:3" x14ac:dyDescent="0.2">
      <c r="A203" s="83" t="s">
        <v>27</v>
      </c>
      <c r="B203" s="131">
        <v>92</v>
      </c>
      <c r="C203" s="83" t="s">
        <v>28</v>
      </c>
    </row>
    <row r="204" spans="1:3" x14ac:dyDescent="0.2">
      <c r="A204" s="52" t="s">
        <v>285</v>
      </c>
      <c r="B204" s="130">
        <v>1.03</v>
      </c>
      <c r="C204" s="52" t="s">
        <v>286</v>
      </c>
    </row>
    <row r="205" spans="1:3" x14ac:dyDescent="0.2">
      <c r="A205" s="83" t="s">
        <v>498</v>
      </c>
      <c r="B205" s="131">
        <v>20.3</v>
      </c>
      <c r="C205" s="52" t="s">
        <v>246</v>
      </c>
    </row>
    <row r="206" spans="1:3" x14ac:dyDescent="0.2">
      <c r="A206" s="83" t="s">
        <v>499</v>
      </c>
      <c r="B206" s="131">
        <v>0.04</v>
      </c>
      <c r="C206" s="52" t="s">
        <v>246</v>
      </c>
    </row>
    <row r="207" spans="1:3" x14ac:dyDescent="0.2">
      <c r="A207" s="83" t="s">
        <v>500</v>
      </c>
      <c r="B207" s="131">
        <v>1</v>
      </c>
    </row>
    <row r="208" spans="1:3" x14ac:dyDescent="0.2">
      <c r="A208" s="83" t="s">
        <v>501</v>
      </c>
      <c r="B208" s="131">
        <v>1</v>
      </c>
    </row>
    <row r="209" spans="1:3" x14ac:dyDescent="0.2">
      <c r="A209" s="83" t="s">
        <v>29</v>
      </c>
      <c r="B209" s="131">
        <v>53</v>
      </c>
      <c r="C209" s="83" t="s">
        <v>28</v>
      </c>
    </row>
    <row r="210" spans="1:3" x14ac:dyDescent="0.2">
      <c r="A210" s="83" t="s">
        <v>494</v>
      </c>
      <c r="B210" s="131">
        <v>11.77</v>
      </c>
      <c r="C210" s="52" t="s">
        <v>246</v>
      </c>
    </row>
    <row r="211" spans="1:3" x14ac:dyDescent="0.2">
      <c r="A211" s="83" t="s">
        <v>495</v>
      </c>
      <c r="B211" s="131">
        <v>0.5</v>
      </c>
      <c r="C211" s="52" t="s">
        <v>246</v>
      </c>
    </row>
    <row r="212" spans="1:3" x14ac:dyDescent="0.2">
      <c r="A212" s="83" t="s">
        <v>496</v>
      </c>
      <c r="B212" s="131">
        <v>1</v>
      </c>
    </row>
    <row r="213" spans="1:3" x14ac:dyDescent="0.2">
      <c r="A213" s="83" t="s">
        <v>497</v>
      </c>
      <c r="B213" s="131">
        <v>1</v>
      </c>
    </row>
    <row r="214" spans="1:3" x14ac:dyDescent="0.2">
      <c r="A214" s="83" t="s">
        <v>148</v>
      </c>
      <c r="B214" s="130">
        <v>0.4</v>
      </c>
      <c r="C214" s="83" t="s">
        <v>28</v>
      </c>
    </row>
    <row r="215" spans="1:3" x14ac:dyDescent="0.2">
      <c r="A215" s="83" t="s">
        <v>152</v>
      </c>
      <c r="B215" s="131">
        <v>0.2</v>
      </c>
      <c r="C215" s="52" t="s">
        <v>246</v>
      </c>
    </row>
    <row r="216" spans="1:3" x14ac:dyDescent="0.2">
      <c r="A216" s="83" t="s">
        <v>151</v>
      </c>
      <c r="B216" s="131">
        <v>2.1999999999999999E-2</v>
      </c>
      <c r="C216" s="52" t="s">
        <v>246</v>
      </c>
    </row>
    <row r="217" spans="1:3" x14ac:dyDescent="0.2">
      <c r="A217" s="83" t="s">
        <v>153</v>
      </c>
      <c r="B217" s="130">
        <v>1</v>
      </c>
    </row>
    <row r="218" spans="1:3" x14ac:dyDescent="0.2">
      <c r="A218" s="83" t="s">
        <v>154</v>
      </c>
      <c r="B218" s="130">
        <v>1</v>
      </c>
    </row>
    <row r="219" spans="1:3" x14ac:dyDescent="0.2">
      <c r="A219" s="83" t="s">
        <v>485</v>
      </c>
      <c r="B219" s="130">
        <v>0.4</v>
      </c>
      <c r="C219" s="83" t="s">
        <v>28</v>
      </c>
    </row>
    <row r="220" spans="1:3" x14ac:dyDescent="0.2">
      <c r="A220" s="83" t="s">
        <v>486</v>
      </c>
      <c r="B220" s="131">
        <v>0.2</v>
      </c>
      <c r="C220" s="52" t="s">
        <v>246</v>
      </c>
    </row>
    <row r="221" spans="1:3" x14ac:dyDescent="0.2">
      <c r="A221" s="83" t="s">
        <v>487</v>
      </c>
      <c r="B221" s="131">
        <v>2.1999999999999999E-2</v>
      </c>
      <c r="C221" s="52" t="s">
        <v>246</v>
      </c>
    </row>
    <row r="222" spans="1:3" x14ac:dyDescent="0.2">
      <c r="A222" s="83" t="s">
        <v>488</v>
      </c>
      <c r="B222" s="131">
        <v>1</v>
      </c>
    </row>
    <row r="223" spans="1:3" x14ac:dyDescent="0.2">
      <c r="A223" s="83" t="s">
        <v>489</v>
      </c>
      <c r="B223" s="131">
        <v>1</v>
      </c>
    </row>
    <row r="224" spans="1:3" x14ac:dyDescent="0.2">
      <c r="A224" s="83" t="s">
        <v>150</v>
      </c>
      <c r="B224" s="131">
        <v>11.4</v>
      </c>
      <c r="C224" s="83" t="s">
        <v>28</v>
      </c>
    </row>
    <row r="225" spans="1:3" x14ac:dyDescent="0.2">
      <c r="A225" s="83" t="s">
        <v>490</v>
      </c>
      <c r="B225" s="131">
        <v>4.7</v>
      </c>
      <c r="C225" s="52" t="s">
        <v>246</v>
      </c>
    </row>
    <row r="226" spans="1:3" x14ac:dyDescent="0.2">
      <c r="A226" s="83" t="s">
        <v>491</v>
      </c>
      <c r="B226" s="131">
        <v>0.37</v>
      </c>
      <c r="C226" s="52" t="s">
        <v>246</v>
      </c>
    </row>
    <row r="227" spans="1:3" x14ac:dyDescent="0.2">
      <c r="A227" s="83" t="s">
        <v>492</v>
      </c>
      <c r="B227" s="131">
        <v>1</v>
      </c>
    </row>
    <row r="228" spans="1:3" x14ac:dyDescent="0.2">
      <c r="A228" s="83" t="s">
        <v>493</v>
      </c>
      <c r="B228" s="131">
        <v>1</v>
      </c>
    </row>
    <row r="229" spans="1:3" x14ac:dyDescent="0.2">
      <c r="A229" s="370" t="s">
        <v>311</v>
      </c>
      <c r="B229" s="370"/>
      <c r="C229" s="370"/>
    </row>
    <row r="230" spans="1:3" x14ac:dyDescent="0.2">
      <c r="A230" s="52" t="s">
        <v>504</v>
      </c>
      <c r="B230" s="130">
        <v>60</v>
      </c>
      <c r="C230" s="84" t="s">
        <v>407</v>
      </c>
    </row>
    <row r="231" spans="1:3" x14ac:dyDescent="0.2">
      <c r="A231" s="83" t="s">
        <v>316</v>
      </c>
      <c r="B231" s="130">
        <v>250</v>
      </c>
      <c r="C231" s="52" t="s">
        <v>24</v>
      </c>
    </row>
    <row r="232" spans="1:3" x14ac:dyDescent="0.2">
      <c r="A232" s="83" t="s">
        <v>422</v>
      </c>
      <c r="B232" s="131">
        <v>1</v>
      </c>
      <c r="C232" s="52" t="s">
        <v>60</v>
      </c>
    </row>
    <row r="233" spans="1:3" x14ac:dyDescent="0.2">
      <c r="A233" s="83" t="s">
        <v>317</v>
      </c>
      <c r="B233" s="130">
        <v>100</v>
      </c>
      <c r="C233" s="84" t="s">
        <v>48</v>
      </c>
    </row>
    <row r="234" spans="1:3" x14ac:dyDescent="0.2">
      <c r="A234" s="52" t="s">
        <v>318</v>
      </c>
      <c r="B234" s="131">
        <v>1</v>
      </c>
    </row>
    <row r="235" spans="1:3" x14ac:dyDescent="0.2">
      <c r="A235" s="83" t="s">
        <v>300</v>
      </c>
      <c r="B235" s="131">
        <v>1</v>
      </c>
    </row>
    <row r="236" spans="1:3" x14ac:dyDescent="0.2">
      <c r="A236" s="83" t="s">
        <v>299</v>
      </c>
      <c r="B236" s="131">
        <v>0.4</v>
      </c>
    </row>
    <row r="237" spans="1:3" x14ac:dyDescent="0.2">
      <c r="A237" s="83" t="s">
        <v>54</v>
      </c>
      <c r="B237" s="131">
        <v>1</v>
      </c>
    </row>
    <row r="238" spans="1:3" x14ac:dyDescent="0.2">
      <c r="A238" s="83" t="s">
        <v>83</v>
      </c>
      <c r="B238" s="130">
        <v>8</v>
      </c>
      <c r="C238" s="52" t="s">
        <v>194</v>
      </c>
    </row>
    <row r="239" spans="1:3" x14ac:dyDescent="0.2">
      <c r="A239" s="83" t="s">
        <v>85</v>
      </c>
      <c r="B239" s="130">
        <v>8</v>
      </c>
      <c r="C239" s="52" t="s">
        <v>194</v>
      </c>
    </row>
    <row r="240" spans="1:3" x14ac:dyDescent="0.2">
      <c r="A240" s="83" t="s">
        <v>88</v>
      </c>
      <c r="B240" s="130">
        <v>0.4</v>
      </c>
    </row>
    <row r="241" spans="1:3" x14ac:dyDescent="0.2">
      <c r="A241" s="370" t="s">
        <v>312</v>
      </c>
      <c r="B241" s="370"/>
      <c r="C241" s="370"/>
    </row>
    <row r="242" spans="1:3" x14ac:dyDescent="0.2">
      <c r="A242" s="52" t="s">
        <v>304</v>
      </c>
      <c r="B242" s="130">
        <v>60</v>
      </c>
      <c r="C242" s="84" t="s">
        <v>407</v>
      </c>
    </row>
    <row r="243" spans="1:3" x14ac:dyDescent="0.2">
      <c r="A243" s="83" t="s">
        <v>35</v>
      </c>
      <c r="B243" s="130">
        <v>250</v>
      </c>
      <c r="C243" s="52" t="s">
        <v>24</v>
      </c>
    </row>
    <row r="244" spans="1:3" x14ac:dyDescent="0.2">
      <c r="A244" s="83" t="s">
        <v>420</v>
      </c>
      <c r="B244" s="131">
        <v>1</v>
      </c>
      <c r="C244" s="52" t="s">
        <v>60</v>
      </c>
    </row>
    <row r="245" spans="1:3" x14ac:dyDescent="0.2">
      <c r="A245" s="83" t="s">
        <v>62</v>
      </c>
      <c r="B245" s="130">
        <v>50</v>
      </c>
      <c r="C245" s="84" t="s">
        <v>48</v>
      </c>
    </row>
    <row r="246" spans="1:3" x14ac:dyDescent="0.2">
      <c r="A246" s="52" t="s">
        <v>318</v>
      </c>
      <c r="B246" s="131">
        <v>1</v>
      </c>
    </row>
    <row r="247" spans="1:3" x14ac:dyDescent="0.2">
      <c r="A247" s="83" t="s">
        <v>300</v>
      </c>
      <c r="B247" s="131">
        <v>1</v>
      </c>
    </row>
    <row r="248" spans="1:3" x14ac:dyDescent="0.2">
      <c r="A248" s="83" t="s">
        <v>299</v>
      </c>
      <c r="B248" s="131">
        <v>0.4</v>
      </c>
    </row>
    <row r="249" spans="1:3" x14ac:dyDescent="0.2">
      <c r="A249" s="83" t="s">
        <v>54</v>
      </c>
      <c r="B249" s="131">
        <v>1</v>
      </c>
    </row>
    <row r="250" spans="1:3" x14ac:dyDescent="0.2">
      <c r="A250" s="83" t="s">
        <v>83</v>
      </c>
      <c r="B250" s="130">
        <v>0</v>
      </c>
      <c r="C250" s="52" t="s">
        <v>194</v>
      </c>
    </row>
    <row r="251" spans="1:3" x14ac:dyDescent="0.2">
      <c r="A251" s="83" t="s">
        <v>85</v>
      </c>
      <c r="B251" s="130">
        <v>8</v>
      </c>
      <c r="C251" s="52" t="s">
        <v>194</v>
      </c>
    </row>
    <row r="252" spans="1:3" x14ac:dyDescent="0.2">
      <c r="A252" s="83" t="s">
        <v>88</v>
      </c>
      <c r="B252" s="130">
        <v>0.4</v>
      </c>
    </row>
    <row r="253" spans="1:3" x14ac:dyDescent="0.2">
      <c r="A253" s="370" t="s">
        <v>313</v>
      </c>
      <c r="B253" s="370"/>
      <c r="C253" s="370"/>
    </row>
    <row r="254" spans="1:3" x14ac:dyDescent="0.2">
      <c r="A254" s="52" t="s">
        <v>50</v>
      </c>
      <c r="B254" s="130">
        <v>60</v>
      </c>
      <c r="C254" s="84" t="s">
        <v>407</v>
      </c>
    </row>
    <row r="255" spans="1:3" x14ac:dyDescent="0.2">
      <c r="A255" s="83" t="s">
        <v>423</v>
      </c>
      <c r="B255" s="130">
        <v>225</v>
      </c>
      <c r="C255" s="52" t="s">
        <v>24</v>
      </c>
    </row>
    <row r="256" spans="1:3" x14ac:dyDescent="0.2">
      <c r="A256" s="83" t="s">
        <v>424</v>
      </c>
      <c r="B256" s="131">
        <v>1</v>
      </c>
      <c r="C256" s="52" t="s">
        <v>60</v>
      </c>
    </row>
    <row r="257" spans="1:3" x14ac:dyDescent="0.2">
      <c r="A257" s="83" t="s">
        <v>503</v>
      </c>
      <c r="B257" s="130">
        <v>100</v>
      </c>
      <c r="C257" s="84" t="s">
        <v>48</v>
      </c>
    </row>
    <row r="258" spans="1:3" x14ac:dyDescent="0.2">
      <c r="A258" s="52" t="s">
        <v>318</v>
      </c>
      <c r="B258" s="131">
        <v>1</v>
      </c>
    </row>
    <row r="259" spans="1:3" x14ac:dyDescent="0.2">
      <c r="A259" s="83" t="s">
        <v>300</v>
      </c>
      <c r="B259" s="131">
        <v>1</v>
      </c>
    </row>
    <row r="260" spans="1:3" x14ac:dyDescent="0.2">
      <c r="A260" s="83" t="s">
        <v>299</v>
      </c>
      <c r="B260" s="131">
        <v>0.4</v>
      </c>
    </row>
    <row r="261" spans="1:3" x14ac:dyDescent="0.2">
      <c r="A261" s="83" t="s">
        <v>54</v>
      </c>
      <c r="B261" s="131">
        <v>1</v>
      </c>
    </row>
    <row r="262" spans="1:3" x14ac:dyDescent="0.2">
      <c r="A262" s="83" t="s">
        <v>83</v>
      </c>
      <c r="B262" s="130">
        <v>8</v>
      </c>
      <c r="C262" s="52" t="s">
        <v>194</v>
      </c>
    </row>
    <row r="263" spans="1:3" x14ac:dyDescent="0.2">
      <c r="A263" s="83" t="s">
        <v>85</v>
      </c>
      <c r="B263" s="130">
        <v>0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370" t="s">
        <v>314</v>
      </c>
      <c r="B265" s="370"/>
      <c r="C265" s="370"/>
    </row>
    <row r="266" spans="1:3" x14ac:dyDescent="0.2">
      <c r="A266" s="52" t="s">
        <v>348</v>
      </c>
      <c r="B266" s="130">
        <v>60</v>
      </c>
      <c r="C266" s="84" t="s">
        <v>407</v>
      </c>
    </row>
    <row r="267" spans="1:3" x14ac:dyDescent="0.2">
      <c r="A267" s="83" t="s">
        <v>191</v>
      </c>
      <c r="B267" s="130">
        <v>250</v>
      </c>
      <c r="C267" s="52" t="s">
        <v>24</v>
      </c>
    </row>
    <row r="268" spans="1:3" x14ac:dyDescent="0.2">
      <c r="A268" s="83" t="s">
        <v>158</v>
      </c>
      <c r="B268" s="131">
        <v>1</v>
      </c>
      <c r="C268" s="52" t="s">
        <v>60</v>
      </c>
    </row>
    <row r="269" spans="1:3" x14ac:dyDescent="0.2">
      <c r="A269" s="83" t="s">
        <v>502</v>
      </c>
      <c r="B269" s="130">
        <v>330</v>
      </c>
      <c r="C269" s="84" t="s">
        <v>48</v>
      </c>
    </row>
    <row r="270" spans="1:3" x14ac:dyDescent="0.2">
      <c r="A270" s="52" t="s">
        <v>318</v>
      </c>
      <c r="B270" s="131">
        <v>1</v>
      </c>
    </row>
    <row r="271" spans="1:3" x14ac:dyDescent="0.2">
      <c r="A271" s="83" t="s">
        <v>300</v>
      </c>
      <c r="B271" s="131">
        <v>1</v>
      </c>
    </row>
    <row r="272" spans="1:3" x14ac:dyDescent="0.2">
      <c r="A272" s="83" t="s">
        <v>299</v>
      </c>
      <c r="B272" s="131">
        <v>0.4</v>
      </c>
    </row>
    <row r="273" spans="1:3" x14ac:dyDescent="0.2">
      <c r="A273" s="83" t="s">
        <v>54</v>
      </c>
      <c r="B273" s="131">
        <v>1</v>
      </c>
    </row>
    <row r="274" spans="1:3" x14ac:dyDescent="0.2">
      <c r="A274" s="83" t="s">
        <v>83</v>
      </c>
      <c r="B274" s="130">
        <v>8</v>
      </c>
      <c r="C274" s="52" t="s">
        <v>194</v>
      </c>
    </row>
    <row r="275" spans="1:3" x14ac:dyDescent="0.2">
      <c r="A275" s="83" t="s">
        <v>85</v>
      </c>
      <c r="B275" s="130">
        <v>8</v>
      </c>
      <c r="C275" s="52" t="s">
        <v>194</v>
      </c>
    </row>
    <row r="276" spans="1:3" x14ac:dyDescent="0.2">
      <c r="A276" s="83" t="s">
        <v>88</v>
      </c>
      <c r="B276" s="130">
        <v>0.4</v>
      </c>
    </row>
    <row r="277" spans="1:3" x14ac:dyDescent="0.2">
      <c r="A277" s="83" t="s">
        <v>219</v>
      </c>
      <c r="B277" s="130">
        <v>5</v>
      </c>
      <c r="C277" s="52" t="s">
        <v>112</v>
      </c>
    </row>
    <row r="278" spans="1:3" x14ac:dyDescent="0.2">
      <c r="A278" s="83" t="s">
        <v>220</v>
      </c>
      <c r="B278" s="130">
        <v>50</v>
      </c>
      <c r="C278" s="52" t="s">
        <v>113</v>
      </c>
    </row>
    <row r="279" spans="1:3" x14ac:dyDescent="0.2">
      <c r="A279" s="52" t="s">
        <v>319</v>
      </c>
      <c r="B279" s="131">
        <v>2.41E-4</v>
      </c>
    </row>
    <row r="280" spans="1:3" x14ac:dyDescent="0.2">
      <c r="A280" s="52" t="s">
        <v>320</v>
      </c>
      <c r="B280" s="131">
        <v>0.753</v>
      </c>
    </row>
    <row r="281" spans="1:3" x14ac:dyDescent="0.2">
      <c r="A281" s="52" t="s">
        <v>321</v>
      </c>
      <c r="B281" s="131">
        <v>1.5699999999999999E-5</v>
      </c>
    </row>
    <row r="282" spans="1:3" x14ac:dyDescent="0.2">
      <c r="A282" s="52" t="s">
        <v>322</v>
      </c>
      <c r="B282" s="131">
        <v>0.80900000000000005</v>
      </c>
    </row>
    <row r="283" spans="1:3" x14ac:dyDescent="0.2">
      <c r="A283" s="52" t="s">
        <v>323</v>
      </c>
      <c r="B283" s="131">
        <v>1.17E-4</v>
      </c>
    </row>
    <row r="284" spans="1:3" x14ac:dyDescent="0.2">
      <c r="A284" s="52" t="s">
        <v>324</v>
      </c>
      <c r="B284" s="131">
        <v>0.74299999999999999</v>
      </c>
    </row>
    <row r="285" spans="1:3" x14ac:dyDescent="0.2">
      <c r="A285" s="52" t="s">
        <v>325</v>
      </c>
      <c r="B285" s="131">
        <v>1.35E-4</v>
      </c>
    </row>
    <row r="286" spans="1:3" x14ac:dyDescent="0.2">
      <c r="A286" s="52" t="s">
        <v>326</v>
      </c>
      <c r="B286" s="131">
        <v>0.71099999999999997</v>
      </c>
    </row>
    <row r="287" spans="1:3" x14ac:dyDescent="0.2">
      <c r="A287" s="52" t="s">
        <v>327</v>
      </c>
      <c r="B287" s="131">
        <v>2.2599999999999999E-4</v>
      </c>
    </row>
    <row r="288" spans="1:3" x14ac:dyDescent="0.2">
      <c r="A288" s="52" t="s">
        <v>328</v>
      </c>
      <c r="B288" s="131">
        <v>0.66200000000000003</v>
      </c>
    </row>
    <row r="289" spans="1:3" x14ac:dyDescent="0.2">
      <c r="A289" s="370" t="s">
        <v>315</v>
      </c>
      <c r="B289" s="370"/>
      <c r="C289" s="370"/>
    </row>
    <row r="290" spans="1:3" x14ac:dyDescent="0.2">
      <c r="A290" s="52" t="s">
        <v>348</v>
      </c>
      <c r="B290" s="130">
        <v>60</v>
      </c>
      <c r="C290" s="84" t="s">
        <v>407</v>
      </c>
    </row>
    <row r="291" spans="1:3" x14ac:dyDescent="0.2">
      <c r="A291" s="83" t="s">
        <v>191</v>
      </c>
      <c r="B291" s="130">
        <v>250</v>
      </c>
      <c r="C291" s="52" t="s">
        <v>24</v>
      </c>
    </row>
    <row r="292" spans="1:3" x14ac:dyDescent="0.2">
      <c r="A292" s="83" t="s">
        <v>158</v>
      </c>
      <c r="B292" s="131">
        <v>1</v>
      </c>
      <c r="C292" s="52" t="s">
        <v>60</v>
      </c>
    </row>
    <row r="293" spans="1:3" x14ac:dyDescent="0.2">
      <c r="A293" s="83" t="s">
        <v>502</v>
      </c>
      <c r="B293" s="130">
        <v>330</v>
      </c>
      <c r="C293" s="84" t="s">
        <v>48</v>
      </c>
    </row>
    <row r="294" spans="1:3" x14ac:dyDescent="0.2">
      <c r="A294" s="83" t="s">
        <v>300</v>
      </c>
      <c r="B294" s="131">
        <v>1</v>
      </c>
    </row>
    <row r="295" spans="1:3" x14ac:dyDescent="0.2">
      <c r="A295" s="83" t="s">
        <v>299</v>
      </c>
      <c r="B295" s="131">
        <v>0.4</v>
      </c>
    </row>
    <row r="296" spans="1:3" x14ac:dyDescent="0.2">
      <c r="A296" s="83" t="s">
        <v>54</v>
      </c>
      <c r="B296" s="131">
        <v>1</v>
      </c>
    </row>
    <row r="297" spans="1:3" x14ac:dyDescent="0.2">
      <c r="A297" s="83" t="s">
        <v>83</v>
      </c>
      <c r="B297" s="130">
        <v>8</v>
      </c>
      <c r="C297" s="52" t="s">
        <v>194</v>
      </c>
    </row>
    <row r="298" spans="1:3" x14ac:dyDescent="0.2">
      <c r="A298" s="83" t="s">
        <v>85</v>
      </c>
      <c r="B298" s="130">
        <v>8</v>
      </c>
      <c r="C298" s="52" t="s">
        <v>194</v>
      </c>
    </row>
    <row r="299" spans="1:3" x14ac:dyDescent="0.2">
      <c r="A299" s="83" t="s">
        <v>88</v>
      </c>
      <c r="B299" s="130">
        <v>0.4</v>
      </c>
    </row>
    <row r="300" spans="1:3" x14ac:dyDescent="0.2">
      <c r="A300" s="83" t="s">
        <v>219</v>
      </c>
      <c r="B300" s="130">
        <v>5</v>
      </c>
      <c r="C300" s="52" t="s">
        <v>112</v>
      </c>
    </row>
    <row r="301" spans="1:3" x14ac:dyDescent="0.2">
      <c r="A301" s="83" t="s">
        <v>220</v>
      </c>
      <c r="B301" s="130">
        <v>50</v>
      </c>
      <c r="C301" s="52" t="s">
        <v>113</v>
      </c>
    </row>
    <row r="302" spans="1:3" x14ac:dyDescent="0.2">
      <c r="A302" s="84" t="s">
        <v>295</v>
      </c>
      <c r="B302" s="234">
        <v>226.025409</v>
      </c>
      <c r="C302" s="84" t="s">
        <v>296</v>
      </c>
    </row>
    <row r="303" spans="1:3" x14ac:dyDescent="0.2">
      <c r="A303" s="84" t="s">
        <v>293</v>
      </c>
      <c r="B303" s="129">
        <f>2.8*(10^(-15))</f>
        <v>2.8000000000000001E-15</v>
      </c>
      <c r="C303" s="84"/>
    </row>
    <row r="304" spans="1:3" x14ac:dyDescent="0.2">
      <c r="A304" s="83" t="s">
        <v>293</v>
      </c>
      <c r="B304" s="129">
        <v>2.7955176153748299E-12</v>
      </c>
      <c r="C304" s="84"/>
    </row>
    <row r="308" spans="1:3" x14ac:dyDescent="0.2">
      <c r="A308" s="83"/>
      <c r="B308" s="101"/>
      <c r="C308" s="88"/>
    </row>
    <row r="309" spans="1:3" x14ac:dyDescent="0.2">
      <c r="A309" s="83"/>
      <c r="B309" s="101"/>
      <c r="C309" s="88"/>
    </row>
    <row r="310" spans="1:3" x14ac:dyDescent="0.2">
      <c r="A310" s="83"/>
      <c r="B310" s="101"/>
      <c r="C310" s="88"/>
    </row>
  </sheetData>
  <mergeCells count="346">
    <mergeCell ref="CC35:CG38"/>
    <mergeCell ref="BK40:BO43"/>
    <mergeCell ref="D42:F42"/>
    <mergeCell ref="D43:D44"/>
    <mergeCell ref="E43:E44"/>
    <mergeCell ref="F43:F44"/>
    <mergeCell ref="AE43:AG45"/>
    <mergeCell ref="BO21:BO23"/>
    <mergeCell ref="BA20:BC20"/>
    <mergeCell ref="BD20:BF20"/>
    <mergeCell ref="BJ20:BL20"/>
    <mergeCell ref="BM20:BO20"/>
    <mergeCell ref="P20:R20"/>
    <mergeCell ref="AI20:AK20"/>
    <mergeCell ref="AL20:AN20"/>
    <mergeCell ref="AR20:AT20"/>
    <mergeCell ref="AU20:AW20"/>
    <mergeCell ref="HD21:HF21"/>
    <mergeCell ref="V23:X23"/>
    <mergeCell ref="Y23:AA23"/>
    <mergeCell ref="D30:F30"/>
    <mergeCell ref="AS21:AS23"/>
    <mergeCell ref="AT21:AT23"/>
    <mergeCell ref="AU21:AU23"/>
    <mergeCell ref="AV21:AV23"/>
    <mergeCell ref="AW21:AW23"/>
    <mergeCell ref="AK21:AK23"/>
    <mergeCell ref="AL21:AL23"/>
    <mergeCell ref="AM21:AM23"/>
    <mergeCell ref="AN21:AN23"/>
    <mergeCell ref="AR21:AR23"/>
    <mergeCell ref="P21:P23"/>
    <mergeCell ref="Q21:Q23"/>
    <mergeCell ref="R21:R23"/>
    <mergeCell ref="AI21:AI23"/>
    <mergeCell ref="AJ21:AJ23"/>
    <mergeCell ref="CO20:CO22"/>
    <mergeCell ref="CP20:CP22"/>
    <mergeCell ref="CQ20:CQ22"/>
    <mergeCell ref="CR20:CR22"/>
    <mergeCell ref="CS20:CS22"/>
    <mergeCell ref="CK20:CK22"/>
    <mergeCell ref="BA21:BA23"/>
    <mergeCell ref="BB21:BB23"/>
    <mergeCell ref="BC21:BC23"/>
    <mergeCell ref="BD21:BD23"/>
    <mergeCell ref="BE21:BE23"/>
    <mergeCell ref="BF21:BF23"/>
    <mergeCell ref="BJ21:BJ23"/>
    <mergeCell ref="BK21:BK23"/>
    <mergeCell ref="BL21:BL23"/>
    <mergeCell ref="BM21:BM23"/>
    <mergeCell ref="BN21:BN23"/>
    <mergeCell ref="HB2:HB4"/>
    <mergeCell ref="HC2:HC4"/>
    <mergeCell ref="CB18:CD18"/>
    <mergeCell ref="CE18:CG18"/>
    <mergeCell ref="CB19:CB21"/>
    <mergeCell ref="CC19:CC21"/>
    <mergeCell ref="CD19:CD21"/>
    <mergeCell ref="CE19:CE21"/>
    <mergeCell ref="CF19:CF21"/>
    <mergeCell ref="CG19:CG21"/>
    <mergeCell ref="CK19:CM19"/>
    <mergeCell ref="CN19:CP19"/>
    <mergeCell ref="CQ19:CS19"/>
    <mergeCell ref="CL20:CL22"/>
    <mergeCell ref="CM20:CM22"/>
    <mergeCell ref="CN20:CN22"/>
    <mergeCell ref="GW2:GW4"/>
    <mergeCell ref="GX2:GX4"/>
    <mergeCell ref="GY2:GY4"/>
    <mergeCell ref="GZ2:GZ4"/>
    <mergeCell ref="HA2:HA4"/>
    <mergeCell ref="GR2:GR4"/>
    <mergeCell ref="GS2:GS4"/>
    <mergeCell ref="GT2:GT4"/>
    <mergeCell ref="GU2:GU4"/>
    <mergeCell ref="GV2:GV4"/>
    <mergeCell ref="GM2:GM4"/>
    <mergeCell ref="GN2:GN4"/>
    <mergeCell ref="GO2:GO4"/>
    <mergeCell ref="GP2:GP4"/>
    <mergeCell ref="GQ2:GQ4"/>
    <mergeCell ref="GH2:GH4"/>
    <mergeCell ref="GI2:GI4"/>
    <mergeCell ref="GJ2:GJ4"/>
    <mergeCell ref="GK2:GK4"/>
    <mergeCell ref="GL2:GL4"/>
    <mergeCell ref="GC2:GC4"/>
    <mergeCell ref="GD2:GD4"/>
    <mergeCell ref="GE2:GE4"/>
    <mergeCell ref="GF2:GF4"/>
    <mergeCell ref="GG2:GG4"/>
    <mergeCell ref="FX2:FX4"/>
    <mergeCell ref="FY2:FY4"/>
    <mergeCell ref="FZ2:FZ4"/>
    <mergeCell ref="GA2:GA4"/>
    <mergeCell ref="GB2:GB4"/>
    <mergeCell ref="FS2:FS4"/>
    <mergeCell ref="FT2:FT4"/>
    <mergeCell ref="FU2:FU4"/>
    <mergeCell ref="FV2:FV4"/>
    <mergeCell ref="FW2:FW4"/>
    <mergeCell ref="FN2:FN4"/>
    <mergeCell ref="FO2:FO4"/>
    <mergeCell ref="FP2:FP4"/>
    <mergeCell ref="FQ2:FQ4"/>
    <mergeCell ref="FR2:FR4"/>
    <mergeCell ref="FI2:FI4"/>
    <mergeCell ref="FJ2:FJ4"/>
    <mergeCell ref="FK2:FK4"/>
    <mergeCell ref="FL2:FL4"/>
    <mergeCell ref="FM2:FM4"/>
    <mergeCell ref="FD2:FD4"/>
    <mergeCell ref="FE2:FE4"/>
    <mergeCell ref="FF2:FF4"/>
    <mergeCell ref="FG2:FG4"/>
    <mergeCell ref="FH2:FH4"/>
    <mergeCell ref="EY2:EY4"/>
    <mergeCell ref="EZ2:EZ4"/>
    <mergeCell ref="FA2:FA4"/>
    <mergeCell ref="FB2:FB4"/>
    <mergeCell ref="FC2:FC4"/>
    <mergeCell ref="ET2:ET4"/>
    <mergeCell ref="EU2:EU4"/>
    <mergeCell ref="EV2:EV4"/>
    <mergeCell ref="EW2:EW4"/>
    <mergeCell ref="EX2:EX4"/>
    <mergeCell ref="EO2:EO4"/>
    <mergeCell ref="EP2:EP4"/>
    <mergeCell ref="EQ2:EQ4"/>
    <mergeCell ref="ER2:ER4"/>
    <mergeCell ref="ES2:ES4"/>
    <mergeCell ref="EJ2:EJ4"/>
    <mergeCell ref="EK2:EK4"/>
    <mergeCell ref="EL2:EL4"/>
    <mergeCell ref="EM2:EM4"/>
    <mergeCell ref="EN2:EN4"/>
    <mergeCell ref="EE2:EE4"/>
    <mergeCell ref="EF2:EF4"/>
    <mergeCell ref="EG2:EG4"/>
    <mergeCell ref="EH2:EH4"/>
    <mergeCell ref="EI2:EI4"/>
    <mergeCell ref="DZ2:DZ4"/>
    <mergeCell ref="EA2:EA4"/>
    <mergeCell ref="EB2:EB4"/>
    <mergeCell ref="EC2:EC4"/>
    <mergeCell ref="ED2:ED4"/>
    <mergeCell ref="DU2:DU4"/>
    <mergeCell ref="DV2:DV4"/>
    <mergeCell ref="DW2:DW4"/>
    <mergeCell ref="DX2:DX4"/>
    <mergeCell ref="DY2:DY4"/>
    <mergeCell ref="DP2:DP4"/>
    <mergeCell ref="DQ2:DQ4"/>
    <mergeCell ref="DR2:DR4"/>
    <mergeCell ref="DS2:DS4"/>
    <mergeCell ref="DT2:DT4"/>
    <mergeCell ref="DK2:DK4"/>
    <mergeCell ref="DL2:DL4"/>
    <mergeCell ref="DM2:DM4"/>
    <mergeCell ref="DN2:DN4"/>
    <mergeCell ref="DO2:DO4"/>
    <mergeCell ref="DF2:DF4"/>
    <mergeCell ref="DG2:DG4"/>
    <mergeCell ref="DH2:DH4"/>
    <mergeCell ref="DI2:DI4"/>
    <mergeCell ref="DJ2:DJ4"/>
    <mergeCell ref="DA2:DA4"/>
    <mergeCell ref="DB2:DB4"/>
    <mergeCell ref="DC2:DC4"/>
    <mergeCell ref="DD2:DD4"/>
    <mergeCell ref="DE2:DE4"/>
    <mergeCell ref="CS2:CS4"/>
    <mergeCell ref="CT2:CT4"/>
    <mergeCell ref="CU2:CU4"/>
    <mergeCell ref="CV2:CV4"/>
    <mergeCell ref="CZ2:CZ4"/>
    <mergeCell ref="CN2:CN4"/>
    <mergeCell ref="CO2:CO4"/>
    <mergeCell ref="CP2:CP4"/>
    <mergeCell ref="CQ2:CQ4"/>
    <mergeCell ref="CR2:CR4"/>
    <mergeCell ref="CI2:CI4"/>
    <mergeCell ref="CJ2:CJ4"/>
    <mergeCell ref="CK2:CK4"/>
    <mergeCell ref="CL2:CL4"/>
    <mergeCell ref="CM2:CM4"/>
    <mergeCell ref="CF2:CF4"/>
    <mergeCell ref="CG2:CG4"/>
    <mergeCell ref="CH2:CH4"/>
    <mergeCell ref="BY2:BY4"/>
    <mergeCell ref="BZ2:BZ4"/>
    <mergeCell ref="CA2:CA4"/>
    <mergeCell ref="CB2:CB4"/>
    <mergeCell ref="CC2:CC4"/>
    <mergeCell ref="BQ2:BQ4"/>
    <mergeCell ref="BR2:BR4"/>
    <mergeCell ref="BV2:BV4"/>
    <mergeCell ref="BW2:BW4"/>
    <mergeCell ref="BX2:BX4"/>
    <mergeCell ref="CD2:CD4"/>
    <mergeCell ref="CE2:CE4"/>
    <mergeCell ref="BL2:BL4"/>
    <mergeCell ref="BM2:BM4"/>
    <mergeCell ref="BN2:BN4"/>
    <mergeCell ref="BO2:BO4"/>
    <mergeCell ref="BP2:BP4"/>
    <mergeCell ref="BG2:BG4"/>
    <mergeCell ref="BH2:BH4"/>
    <mergeCell ref="BI2:BI4"/>
    <mergeCell ref="BJ2:BJ4"/>
    <mergeCell ref="BK2:BK4"/>
    <mergeCell ref="BB2:BB4"/>
    <mergeCell ref="BC2:BC4"/>
    <mergeCell ref="BD2:BD4"/>
    <mergeCell ref="BE2:BE4"/>
    <mergeCell ref="BF2:BF4"/>
    <mergeCell ref="AW2:AW4"/>
    <mergeCell ref="AX2:AX4"/>
    <mergeCell ref="AY2:AY4"/>
    <mergeCell ref="AZ2:AZ4"/>
    <mergeCell ref="BA2:BA4"/>
    <mergeCell ref="AR2:AR4"/>
    <mergeCell ref="AS2:AS4"/>
    <mergeCell ref="AT2:AT4"/>
    <mergeCell ref="AU2:AU4"/>
    <mergeCell ref="AV2:AV4"/>
    <mergeCell ref="AM2:AM4"/>
    <mergeCell ref="AN2:AN4"/>
    <mergeCell ref="AO2:AO4"/>
    <mergeCell ref="AP2:AP4"/>
    <mergeCell ref="AQ2:AQ4"/>
    <mergeCell ref="AH2:AH4"/>
    <mergeCell ref="AI2:AI4"/>
    <mergeCell ref="AJ2:AJ4"/>
    <mergeCell ref="AK2:AK4"/>
    <mergeCell ref="AL2:AL4"/>
    <mergeCell ref="AC2:AC4"/>
    <mergeCell ref="AD2:AD4"/>
    <mergeCell ref="AE2:AE4"/>
    <mergeCell ref="AF2:AF4"/>
    <mergeCell ref="AG2:AG4"/>
    <mergeCell ref="GR1:GT1"/>
    <mergeCell ref="GU1:GW1"/>
    <mergeCell ref="GX1:GZ1"/>
    <mergeCell ref="HA1:HC1"/>
    <mergeCell ref="HD1:HF1"/>
    <mergeCell ref="GC1:GE1"/>
    <mergeCell ref="GF1:GH1"/>
    <mergeCell ref="GI1:GK1"/>
    <mergeCell ref="GL1:GN1"/>
    <mergeCell ref="GO1:GQ1"/>
    <mergeCell ref="FN1:FP1"/>
    <mergeCell ref="FQ1:FS1"/>
    <mergeCell ref="FT1:FV1"/>
    <mergeCell ref="FW1:FX1"/>
    <mergeCell ref="FZ1:GB1"/>
    <mergeCell ref="EY1:FA1"/>
    <mergeCell ref="FB1:FD1"/>
    <mergeCell ref="FE1:FG1"/>
    <mergeCell ref="FH1:FJ1"/>
    <mergeCell ref="FK1:FM1"/>
    <mergeCell ref="EJ1:EL1"/>
    <mergeCell ref="EM1:EO1"/>
    <mergeCell ref="EP1:ER1"/>
    <mergeCell ref="ES1:EU1"/>
    <mergeCell ref="EV1:EX1"/>
    <mergeCell ref="DU1:DW1"/>
    <mergeCell ref="DX1:DZ1"/>
    <mergeCell ref="EA1:EC1"/>
    <mergeCell ref="ED1:EF1"/>
    <mergeCell ref="EG1:EI1"/>
    <mergeCell ref="DF1:DH1"/>
    <mergeCell ref="DI1:DK1"/>
    <mergeCell ref="DL1:DN1"/>
    <mergeCell ref="DO1:DQ1"/>
    <mergeCell ref="DR1:DT1"/>
    <mergeCell ref="CQ1:CS1"/>
    <mergeCell ref="CT1:CV1"/>
    <mergeCell ref="CW1:CY1"/>
    <mergeCell ref="CZ1:DB1"/>
    <mergeCell ref="DC1:DE1"/>
    <mergeCell ref="CB1:CD1"/>
    <mergeCell ref="CE1:CG1"/>
    <mergeCell ref="CH1:CJ1"/>
    <mergeCell ref="CK1:CM1"/>
    <mergeCell ref="CN1:CP1"/>
    <mergeCell ref="BM1:BO1"/>
    <mergeCell ref="BP1:BR1"/>
    <mergeCell ref="BS1:BU1"/>
    <mergeCell ref="BV1:BX1"/>
    <mergeCell ref="BY1:CA1"/>
    <mergeCell ref="AX1:AZ1"/>
    <mergeCell ref="BA1:BC1"/>
    <mergeCell ref="BD1:BF1"/>
    <mergeCell ref="BG1:BI1"/>
    <mergeCell ref="BJ1:BL1"/>
    <mergeCell ref="AI1:AK1"/>
    <mergeCell ref="AL1:AN1"/>
    <mergeCell ref="AO1:AQ1"/>
    <mergeCell ref="AR1:AT1"/>
    <mergeCell ref="AU1:AW1"/>
    <mergeCell ref="A2:C4"/>
    <mergeCell ref="A1:C1"/>
    <mergeCell ref="P1:R1"/>
    <mergeCell ref="S1:U1"/>
    <mergeCell ref="V1:X1"/>
    <mergeCell ref="Y1:AA1"/>
    <mergeCell ref="AB1:AB4"/>
    <mergeCell ref="P2:P4"/>
    <mergeCell ref="Q2:Q4"/>
    <mergeCell ref="R2:R4"/>
    <mergeCell ref="S2:S4"/>
    <mergeCell ref="T2:T4"/>
    <mergeCell ref="U2:U4"/>
    <mergeCell ref="H2:H4"/>
    <mergeCell ref="I2:I4"/>
    <mergeCell ref="J2:J4"/>
    <mergeCell ref="K2:K4"/>
    <mergeCell ref="L2:L4"/>
    <mergeCell ref="A81:C81"/>
    <mergeCell ref="A92:C92"/>
    <mergeCell ref="A289:C289"/>
    <mergeCell ref="D1:F1"/>
    <mergeCell ref="G1:I1"/>
    <mergeCell ref="J1:L1"/>
    <mergeCell ref="M1:O1"/>
    <mergeCell ref="M2:M4"/>
    <mergeCell ref="N2:N4"/>
    <mergeCell ref="O2:O4"/>
    <mergeCell ref="M20:O20"/>
    <mergeCell ref="M21:M23"/>
    <mergeCell ref="N21:N23"/>
    <mergeCell ref="O21:O23"/>
    <mergeCell ref="D31:D32"/>
    <mergeCell ref="E31:E32"/>
    <mergeCell ref="F31:F32"/>
    <mergeCell ref="G2:G4"/>
    <mergeCell ref="A140:C140"/>
    <mergeCell ref="A229:C229"/>
    <mergeCell ref="A241:C241"/>
    <mergeCell ref="A253:C253"/>
    <mergeCell ref="A265:C265"/>
    <mergeCell ref="A37:C3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310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C1"/>
    </sheetView>
  </sheetViews>
  <sheetFormatPr defaultRowHeight="12.75" x14ac:dyDescent="0.2"/>
  <cols>
    <col min="1" max="1" width="13.7109375" style="52" customWidth="1"/>
    <col min="2" max="2" width="10.85546875" style="52" bestFit="1" customWidth="1"/>
    <col min="3" max="3" width="20.1406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5.1406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85546875" style="52" bestFit="1" customWidth="1"/>
    <col min="79" max="79" width="18.85546875" style="52" bestFit="1" customWidth="1"/>
    <col min="80" max="80" width="11" style="52" bestFit="1" customWidth="1"/>
    <col min="81" max="81" width="10.85546875" style="52" bestFit="1" customWidth="1"/>
    <col min="82" max="82" width="20.28515625" style="52" bestFit="1" customWidth="1"/>
    <col min="83" max="83" width="12.42578125" style="52" bestFit="1" customWidth="1"/>
    <col min="84" max="84" width="9.85546875" style="52" bestFit="1" customWidth="1"/>
    <col min="85" max="85" width="20.28515625" style="52" bestFit="1" customWidth="1"/>
    <col min="86" max="86" width="13.5703125" style="52" bestFit="1" customWidth="1"/>
    <col min="87" max="87" width="9.8554687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425781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7.42578125" style="52" bestFit="1" customWidth="1"/>
    <col min="116" max="116" width="12.42578125" style="52" bestFit="1" customWidth="1"/>
    <col min="117" max="117" width="8.85546875" style="52" bestFit="1" customWidth="1"/>
    <col min="118" max="118" width="7.425781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8.85546875" style="52" bestFit="1" customWidth="1"/>
    <col min="127" max="127" width="6.28515625" style="52" bestFit="1" customWidth="1"/>
    <col min="128" max="128" width="12" style="52" bestFit="1" customWidth="1"/>
    <col min="129" max="129" width="9.28515625" style="52" bestFit="1" customWidth="1"/>
    <col min="130" max="130" width="7.42578125" style="52" bestFit="1" customWidth="1"/>
    <col min="131" max="131" width="12" style="52" bestFit="1" customWidth="1"/>
    <col min="132" max="132" width="8.85546875" style="52" bestFit="1" customWidth="1"/>
    <col min="133" max="133" width="7.42578125" style="52" bestFit="1" customWidth="1"/>
    <col min="134" max="134" width="12" style="52" bestFit="1" customWidth="1"/>
    <col min="135" max="135" width="10" style="52" bestFit="1" customWidth="1"/>
    <col min="136" max="136" width="7.8554687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8.85546875" style="52" bestFit="1" customWidth="1"/>
    <col min="142" max="142" width="6.28515625" style="52" bestFit="1" customWidth="1"/>
    <col min="143" max="143" width="12" style="52" bestFit="1" customWidth="1"/>
    <col min="144" max="144" width="9.28515625" style="52" bestFit="1" customWidth="1"/>
    <col min="145" max="145" width="7.42578125" style="52" bestFit="1" customWidth="1"/>
    <col min="146" max="146" width="12" style="52" bestFit="1" customWidth="1"/>
    <col min="147" max="147" width="8.85546875" style="52" bestFit="1" customWidth="1"/>
    <col min="148" max="148" width="7.42578125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8.85546875" style="52" bestFit="1" customWidth="1"/>
    <col min="157" max="157" width="6.28515625" style="52" bestFit="1" customWidth="1"/>
    <col min="158" max="158" width="12" style="52" bestFit="1" customWidth="1"/>
    <col min="159" max="159" width="9.28515625" style="52" bestFit="1" customWidth="1"/>
    <col min="160" max="160" width="7.42578125" style="52" bestFit="1" customWidth="1"/>
    <col min="161" max="161" width="12" style="52" bestFit="1" customWidth="1"/>
    <col min="162" max="162" width="8.85546875" style="52" bestFit="1" customWidth="1"/>
    <col min="163" max="163" width="7.42578125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7.42578125" style="52" bestFit="1" customWidth="1"/>
    <col min="176" max="176" width="10.140625" style="52" bestFit="1" customWidth="1"/>
    <col min="177" max="177" width="9.28515625" style="52" bestFit="1" customWidth="1"/>
    <col min="178" max="178" width="7.425781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8.85546875" style="52" customWidth="1"/>
    <col min="187" max="187" width="6.28515625" style="52" bestFit="1" customWidth="1"/>
    <col min="188" max="188" width="12" style="52" bestFit="1" customWidth="1"/>
    <col min="189" max="189" width="9.28515625" style="52" bestFit="1" customWidth="1"/>
    <col min="190" max="190" width="7.42578125" style="52" bestFit="1" customWidth="1"/>
    <col min="191" max="191" width="12" style="52" bestFit="1" customWidth="1"/>
    <col min="192" max="192" width="8.85546875" style="52" bestFit="1" customWidth="1"/>
    <col min="193" max="193" width="7.42578125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8.85546875" style="52" bestFit="1" customWidth="1"/>
    <col min="202" max="202" width="6.28515625" style="52" bestFit="1" customWidth="1"/>
    <col min="203" max="203" width="12" style="52" bestFit="1" customWidth="1"/>
    <col min="204" max="204" width="9.28515625" style="52" bestFit="1" customWidth="1"/>
    <col min="205" max="205" width="7.42578125" style="52" bestFit="1" customWidth="1"/>
    <col min="206" max="206" width="12" style="52" bestFit="1" customWidth="1"/>
    <col min="207" max="207" width="8.85546875" style="52" bestFit="1" customWidth="1"/>
    <col min="208" max="208" width="7.42578125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9.28515625" style="52" bestFit="1" customWidth="1"/>
    <col min="214" max="214" width="22.42578125" style="52" bestFit="1" customWidth="1"/>
    <col min="215" max="16384" width="9.140625" style="52"/>
  </cols>
  <sheetData>
    <row r="1" spans="1:214" ht="21.75" customHeight="1" thickTop="1" thickBot="1" x14ac:dyDescent="0.25">
      <c r="A1" s="655" t="s">
        <v>360</v>
      </c>
      <c r="B1" s="656"/>
      <c r="C1" s="657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532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658" t="s">
        <v>557</v>
      </c>
      <c r="AJ1" s="659"/>
      <c r="AK1" s="660"/>
      <c r="AL1" s="661" t="s">
        <v>546</v>
      </c>
      <c r="AM1" s="659"/>
      <c r="AN1" s="660"/>
      <c r="AO1" s="661" t="s">
        <v>547</v>
      </c>
      <c r="AP1" s="659"/>
      <c r="AQ1" s="662"/>
      <c r="AR1" s="658" t="s">
        <v>559</v>
      </c>
      <c r="AS1" s="659"/>
      <c r="AT1" s="660"/>
      <c r="AU1" s="661" t="s">
        <v>548</v>
      </c>
      <c r="AV1" s="659"/>
      <c r="AW1" s="660"/>
      <c r="AX1" s="661" t="s">
        <v>549</v>
      </c>
      <c r="AY1" s="659"/>
      <c r="AZ1" s="662"/>
      <c r="BA1" s="658" t="s">
        <v>561</v>
      </c>
      <c r="BB1" s="659"/>
      <c r="BC1" s="660"/>
      <c r="BD1" s="661" t="s">
        <v>551</v>
      </c>
      <c r="BE1" s="659"/>
      <c r="BF1" s="660"/>
      <c r="BG1" s="661" t="s">
        <v>552</v>
      </c>
      <c r="BH1" s="659"/>
      <c r="BI1" s="662"/>
      <c r="BJ1" s="658" t="s">
        <v>564</v>
      </c>
      <c r="BK1" s="659"/>
      <c r="BL1" s="660"/>
      <c r="BM1" s="661" t="s">
        <v>554</v>
      </c>
      <c r="BN1" s="659"/>
      <c r="BO1" s="660"/>
      <c r="BP1" s="661" t="s">
        <v>555</v>
      </c>
      <c r="BQ1" s="659"/>
      <c r="BR1" s="662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675" t="s">
        <v>569</v>
      </c>
      <c r="CC1" s="673"/>
      <c r="CD1" s="673"/>
      <c r="CE1" s="676" t="s">
        <v>570</v>
      </c>
      <c r="CF1" s="673"/>
      <c r="CG1" s="677"/>
      <c r="CH1" s="673" t="s">
        <v>571</v>
      </c>
      <c r="CI1" s="673"/>
      <c r="CJ1" s="674"/>
      <c r="CK1" s="675" t="s">
        <v>575</v>
      </c>
      <c r="CL1" s="673"/>
      <c r="CM1" s="673"/>
      <c r="CN1" s="676" t="s">
        <v>575</v>
      </c>
      <c r="CO1" s="673"/>
      <c r="CP1" s="677"/>
      <c r="CQ1" s="673" t="s">
        <v>575</v>
      </c>
      <c r="CR1" s="673"/>
      <c r="CS1" s="674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3.5" customHeight="1" thickTop="1" x14ac:dyDescent="0.2">
      <c r="A2" s="375" t="s">
        <v>233</v>
      </c>
      <c r="B2" s="376"/>
      <c r="C2" s="377"/>
      <c r="D2" s="193"/>
      <c r="E2" s="194"/>
      <c r="F2" s="194"/>
      <c r="G2" s="363" t="s">
        <v>531</v>
      </c>
      <c r="H2" s="360">
        <f>(1/((1/H11)+(1/H12)))*H70*H71*H73</f>
        <v>1.68105207237549E-14</v>
      </c>
      <c r="I2" s="625" t="s">
        <v>13</v>
      </c>
      <c r="J2" s="622" t="s">
        <v>531</v>
      </c>
      <c r="K2" s="360">
        <f>(1/((1/K15)+(1/K16)))*K13*K53*K54</f>
        <v>6.0819625913029923E-7</v>
      </c>
      <c r="L2" s="345" t="s">
        <v>12</v>
      </c>
      <c r="M2" s="330" t="s">
        <v>537</v>
      </c>
      <c r="N2" s="333">
        <f>((N5*N6*N7)/((1-EXP(-N7*N6))*N15*N13*(N9/365)*(((N14/24)*N12)+((N16/24)*N11))))*N8*N17*N18</f>
        <v>6.086857899970338E-7</v>
      </c>
      <c r="O2" s="336" t="s">
        <v>12</v>
      </c>
      <c r="P2" s="339" t="s">
        <v>537</v>
      </c>
      <c r="Q2" s="333">
        <f>((Q5*Q6*Q7)/((1-EXP(-Q7*Q6))*Q15*Q13*(Q9/365)*(((Q14/24)*Q12)+((Q16/24)*Q11))))*Q8*Q17*Q18</f>
        <v>2.9402618669348241E-6</v>
      </c>
      <c r="R2" s="336" t="s">
        <v>12</v>
      </c>
      <c r="S2" s="339" t="s">
        <v>537</v>
      </c>
      <c r="T2" s="333">
        <f>((T5*T6*T7)/((1-EXP(-T7*T6))*T15*T13*(T9/365)*(((T14/24)*T12)+((T16/24)*T11))))*T8*T17*T18</f>
        <v>6.6721326980444085E-7</v>
      </c>
      <c r="U2" s="342" t="s">
        <v>12</v>
      </c>
      <c r="V2" s="204"/>
      <c r="W2" s="205"/>
      <c r="X2" s="205"/>
      <c r="Y2" s="206"/>
      <c r="Z2" s="205"/>
      <c r="AA2" s="207"/>
      <c r="AB2" s="310"/>
      <c r="AC2" s="312">
        <f>1/((1/AC30)+(1/AC31))</f>
        <v>8.8523892802031691E-7</v>
      </c>
      <c r="AD2" s="312">
        <f>1/((1/AD30)+(1/AD31))</f>
        <v>2.2099654112588393E-6</v>
      </c>
      <c r="AE2" s="312">
        <f>1/((1/AE30)+(1/AE31))</f>
        <v>9.8359880891146347E-7</v>
      </c>
      <c r="AF2" s="312">
        <f>1/((1/AF30)+(1/AF31))</f>
        <v>5.3491547913997229E-7</v>
      </c>
      <c r="AG2" s="312">
        <f>1/((1/AG30)+(1/AG31))</f>
        <v>4.7478750609832545E-5</v>
      </c>
      <c r="AH2" s="318" t="s">
        <v>12</v>
      </c>
      <c r="AI2" s="307" t="s">
        <v>537</v>
      </c>
      <c r="AJ2" s="304">
        <f>((AJ5*AJ6*AJ7)/((1-EXP(-AJ7*AJ6))*AJ15*(AJ9/365)*AJ10*(AJ16/24)*AJ11*AJ13))*AJ8*AJ17*AJ18</f>
        <v>2.215190195536205E-6</v>
      </c>
      <c r="AK2" s="291" t="s">
        <v>12</v>
      </c>
      <c r="AL2" s="288" t="s">
        <v>537</v>
      </c>
      <c r="AM2" s="304">
        <f>((AM5*AM6*AM7)/((1-EXP(-AM7*AM6))*AM15*(AM9/365)*AM10*(AM16/24)*AM11*AM13))*AM8*AM17*AM18</f>
        <v>1.0700495012335907E-5</v>
      </c>
      <c r="AN2" s="291" t="s">
        <v>12</v>
      </c>
      <c r="AO2" s="288" t="s">
        <v>537</v>
      </c>
      <c r="AP2" s="304">
        <f>((AP5*AP6*AP7)/((1-EXP(-AP7*AP6))*AP15*(AP9/365)*AP10*(AP16/24)*AP11*AP13))*AP8*AP17*AP18</f>
        <v>2.4281892527993017E-6</v>
      </c>
      <c r="AQ2" s="282" t="s">
        <v>12</v>
      </c>
      <c r="AR2" s="665" t="s">
        <v>537</v>
      </c>
      <c r="AS2" s="304">
        <f>((AS5*AS6*AS7)/((1-EXP(-AS7*AS6))*AS15*(AS9/365)*AS10*(AS14/24)*AS12*AS13))*AS8*AS17*AS18</f>
        <v>9.8452897579386874E-7</v>
      </c>
      <c r="AT2" s="667" t="s">
        <v>12</v>
      </c>
      <c r="AU2" s="663" t="s">
        <v>537</v>
      </c>
      <c r="AV2" s="304">
        <f>((AV5*AV6*AV7)/((1-EXP(-AV7*AV6))*AV15*(AV9/365)*AV10*(AV14/24)*AV12*AV13))*AV8*AV17*AV18</f>
        <v>4.75577556103818E-6</v>
      </c>
      <c r="AW2" s="671" t="s">
        <v>12</v>
      </c>
      <c r="AX2" s="663" t="s">
        <v>537</v>
      </c>
      <c r="AY2" s="304">
        <f>((AY5*AY6*AY7)/((1-EXP(-AY7*AY6))*AY15*(AY9/365)*AY10*(AY14/24)*AY12*AY13))*AY8*AY17*AY18</f>
        <v>1.0791952234663566E-6</v>
      </c>
      <c r="AZ2" s="669" t="s">
        <v>12</v>
      </c>
      <c r="BA2" s="665" t="s">
        <v>537</v>
      </c>
      <c r="BB2" s="304">
        <f>((BB5*BB6*BB7)/((1-EXP(-BB7*BB6))*BB15*(BB9/365)*(BB14/24)*BB12*BB13))*BB8*BB17*BB18</f>
        <v>8.8607607821448189E-7</v>
      </c>
      <c r="BC2" s="667" t="s">
        <v>12</v>
      </c>
      <c r="BD2" s="663" t="s">
        <v>537</v>
      </c>
      <c r="BE2" s="304">
        <f>((BE5*BE6*BE7)/((1-EXP(-BE7*BE6))*BE15*(BE9/365)*(BE14/24)*BE12*BE13))*BE8*BE17*BE18</f>
        <v>4.280198004934363E-6</v>
      </c>
      <c r="BF2" s="667" t="s">
        <v>12</v>
      </c>
      <c r="BG2" s="663" t="s">
        <v>537</v>
      </c>
      <c r="BH2" s="304">
        <f>((BH5*BH6*BH7)/((1-EXP(-BH7*BH6))*BH15*(BH9/365)*(BH14/24)*BH12*BH13))*BH8*BH17*BH18</f>
        <v>9.7127570111972066E-7</v>
      </c>
      <c r="BI2" s="669" t="s">
        <v>12</v>
      </c>
      <c r="BJ2" s="665" t="s">
        <v>537</v>
      </c>
      <c r="BK2" s="285">
        <f>((BK5*BK6*BK7)/((1-EXP(-BK7*BK6))*BK16*(BK9/365)*(BK15/24)*BK13*BK14))*BK8*BK17*BK18</f>
        <v>4.8826882137534616E-3</v>
      </c>
      <c r="BL2" s="667" t="s">
        <v>12</v>
      </c>
      <c r="BM2" s="663" t="s">
        <v>537</v>
      </c>
      <c r="BN2" s="285">
        <f>((BN5*BN6*BN7)/((1-EXP(-BN7*BN6))*BN16*(BN9/365)*(BN15/24)*BN13*BN14))*BN8*BN17*BN18</f>
        <v>4.9236728036423864E-2</v>
      </c>
      <c r="BO2" s="667" t="s">
        <v>12</v>
      </c>
      <c r="BP2" s="663" t="s">
        <v>537</v>
      </c>
      <c r="BQ2" s="285">
        <f>((BQ5*BQ6*BQ7)/((1-EXP(-BQ7*BQ6))*BQ16*(BQ9/365)*(BQ15/24)*BQ13*BQ14))*BQ8*BQ17*BQ18</f>
        <v>6.4919638873868445E-3</v>
      </c>
      <c r="BR2" s="669" t="s">
        <v>12</v>
      </c>
      <c r="BS2" s="214"/>
      <c r="BT2" s="120"/>
      <c r="BU2" s="215"/>
      <c r="BV2" s="258" t="s">
        <v>531</v>
      </c>
      <c r="BW2" s="261" t="e">
        <f>1/((1/BW10)+(1/BW12))</f>
        <v>#DIV/0!</v>
      </c>
      <c r="BX2" s="278" t="s">
        <v>13</v>
      </c>
      <c r="BY2" s="258" t="s">
        <v>531</v>
      </c>
      <c r="BZ2" s="261" t="e">
        <f>1/((1/BZ13)+(1/BZ14)+(1/BZ15))</f>
        <v>#DIV/0!</v>
      </c>
      <c r="CA2" s="264" t="s">
        <v>12</v>
      </c>
      <c r="CB2" s="268" t="s">
        <v>537</v>
      </c>
      <c r="CC2" s="262">
        <f>((CC5*CC6*CC7)/((1-EXP(-CC7*CC6))*CC14*(CC9/365)*CC12*(CC13/24)*CC11))*CC8*CC15*CC16</f>
        <v>0.13020501903342566</v>
      </c>
      <c r="CD2" s="279" t="s">
        <v>297</v>
      </c>
      <c r="CE2" s="259" t="s">
        <v>537</v>
      </c>
      <c r="CF2" s="262">
        <f>((CF5*CF6*CF7)/((1-EXP(-CF7*CF6))*CF14*(CF9/365)*CF12*(CF13/24)*CF11))*CF8*CF15*CF16</f>
        <v>1.3129794143046365</v>
      </c>
      <c r="CG2" s="279" t="s">
        <v>297</v>
      </c>
      <c r="CH2" s="259" t="s">
        <v>537</v>
      </c>
      <c r="CI2" s="262">
        <f>((CI5*CI6*CI7)/((1-EXP(-CI7*CI6))*CI14*(CI9/365)*CI12*(CI13/24)*CI11))*CI8*CI15*CI16</f>
        <v>0.17311903699698256</v>
      </c>
      <c r="CJ2" s="265" t="s">
        <v>297</v>
      </c>
      <c r="CK2" s="268" t="s">
        <v>530</v>
      </c>
      <c r="CL2" s="262" t="e">
        <f>(CL5/(CL6*CL7*CL8))*CL9*CL10*CO16</f>
        <v>#DIV/0!</v>
      </c>
      <c r="CM2" s="279" t="s">
        <v>12</v>
      </c>
      <c r="CN2" s="259" t="s">
        <v>7</v>
      </c>
      <c r="CO2" s="262" t="e">
        <f>(CL2/(CO5*((CO10*CO12*CO13*(CO6+CO7))+(CO11*CO12))))*CO17</f>
        <v>#DIV/0!</v>
      </c>
      <c r="CP2" s="279" t="s">
        <v>12</v>
      </c>
      <c r="CQ2" s="259" t="s">
        <v>6</v>
      </c>
      <c r="CR2" s="262" t="e">
        <f>CL2/(CR5*CR6*(1/CR7))</f>
        <v>#DIV/0!</v>
      </c>
      <c r="CS2" s="265" t="s">
        <v>12</v>
      </c>
      <c r="CT2" s="395" t="s">
        <v>531</v>
      </c>
      <c r="CU2" s="392">
        <f>1/((1/CU15)+(1/CU16))</f>
        <v>3.1297007690111525E-7</v>
      </c>
      <c r="CV2" s="389" t="s">
        <v>12</v>
      </c>
      <c r="CW2" s="218"/>
      <c r="CX2" s="219"/>
      <c r="CY2" s="219"/>
      <c r="CZ2" s="407" t="s">
        <v>531</v>
      </c>
      <c r="DA2" s="404">
        <f>1/((1/DA15)+(1/DA14))</f>
        <v>1.6083765711952836E-14</v>
      </c>
      <c r="DB2" s="401" t="s">
        <v>13</v>
      </c>
      <c r="DC2" s="442" t="s">
        <v>530</v>
      </c>
      <c r="DD2" s="439" t="e">
        <f>DD7</f>
        <v>#DIV/0!</v>
      </c>
      <c r="DE2" s="436" t="s">
        <v>12</v>
      </c>
      <c r="DF2" s="433" t="s">
        <v>530</v>
      </c>
      <c r="DG2" s="424" t="e">
        <f>DD7/((1/DG24)*(DG5+DG6+DG7))</f>
        <v>#DIV/0!</v>
      </c>
      <c r="DH2" s="430" t="s">
        <v>13</v>
      </c>
      <c r="DI2" s="427" t="s">
        <v>530</v>
      </c>
      <c r="DJ2" s="424" t="e">
        <f>(DD7/(DJ5+DJ6))*DJ12</f>
        <v>#DIV/0!</v>
      </c>
      <c r="DK2" s="430" t="s">
        <v>12</v>
      </c>
      <c r="DL2" s="427" t="s">
        <v>581</v>
      </c>
      <c r="DM2" s="424" t="e">
        <f>((DD7)/(DM5+DM6))*DJ12</f>
        <v>#DIV/0!</v>
      </c>
      <c r="DN2" s="430" t="s">
        <v>12</v>
      </c>
      <c r="DO2" s="427" t="s">
        <v>582</v>
      </c>
      <c r="DP2" s="424">
        <f>-(DP5+DP6+DP7)/(DP23+DP24)</f>
        <v>-49.755719687869203</v>
      </c>
      <c r="DQ2" s="421" t="s">
        <v>18</v>
      </c>
      <c r="DR2" s="574" t="s">
        <v>530</v>
      </c>
      <c r="DS2" s="445" t="e">
        <f>DS7</f>
        <v>#DIV/0!</v>
      </c>
      <c r="DT2" s="484" t="s">
        <v>12</v>
      </c>
      <c r="DU2" s="481" t="s">
        <v>530</v>
      </c>
      <c r="DV2" s="463" t="e">
        <f>(DS7*DV8)/(DV5*DV6*(1/1000))</f>
        <v>#DIV/0!</v>
      </c>
      <c r="DW2" s="466" t="s">
        <v>13</v>
      </c>
      <c r="DX2" s="478" t="s">
        <v>530</v>
      </c>
      <c r="DY2" s="463" t="e">
        <f>(DS7*DY14)/(DY9*((DY10*DY12*DY13*(DY5+DY6))+(DY11*DY12)))*DY18</f>
        <v>#DIV/0!</v>
      </c>
      <c r="DZ2" s="466" t="s">
        <v>12</v>
      </c>
      <c r="EA2" s="478" t="s">
        <v>581</v>
      </c>
      <c r="EB2" s="463" t="e">
        <f>(DS7*DY14)/(EB9*((EB10*EB12*EB13*(EB5+EB6))+(EB11*EB12)))*DY18</f>
        <v>#DIV/0!</v>
      </c>
      <c r="EC2" s="466" t="s">
        <v>12</v>
      </c>
      <c r="ED2" s="478" t="s">
        <v>582</v>
      </c>
      <c r="EE2" s="463">
        <f>-EE15/((EE10*EE12*EE13*(EE5+EE6))+(EE11*EE12))</f>
        <v>-16.803652968036527</v>
      </c>
      <c r="EF2" s="460" t="s">
        <v>18</v>
      </c>
      <c r="EG2" s="475" t="s">
        <v>530</v>
      </c>
      <c r="EH2" s="469" t="e">
        <f>EH7</f>
        <v>#DIV/0!</v>
      </c>
      <c r="EI2" s="457" t="s">
        <v>12</v>
      </c>
      <c r="EJ2" s="472" t="s">
        <v>530</v>
      </c>
      <c r="EK2" s="454" t="e">
        <f>EH7/(EK5*EK6)</f>
        <v>#DIV/0!</v>
      </c>
      <c r="EL2" s="451" t="s">
        <v>13</v>
      </c>
      <c r="EM2" s="448" t="s">
        <v>530</v>
      </c>
      <c r="EN2" s="454" t="e">
        <f>(EH7/(EN9*((EN10*EN12*EN13*(EN5+EN6))+(EN11*EN12))))*EN17</f>
        <v>#DIV/0!</v>
      </c>
      <c r="EO2" s="451" t="s">
        <v>12</v>
      </c>
      <c r="EP2" s="448" t="s">
        <v>581</v>
      </c>
      <c r="EQ2" s="454" t="e">
        <f>(EH7/(EQ9*((EQ10*EQ12*EQ13*(EQ5+EQ6))+(EQ11*EQ12))))*EN17</f>
        <v>#DIV/0!</v>
      </c>
      <c r="ER2" s="451" t="s">
        <v>12</v>
      </c>
      <c r="ES2" s="448" t="s">
        <v>582</v>
      </c>
      <c r="ET2" s="454">
        <f>-ET15/((ET10*ET12*ET13*(ET5+ET6))+(ET11*ET12))</f>
        <v>-15.395787944807553</v>
      </c>
      <c r="EU2" s="499" t="s">
        <v>18</v>
      </c>
      <c r="EV2" s="496" t="s">
        <v>530</v>
      </c>
      <c r="EW2" s="493" t="e">
        <f>EW7</f>
        <v>#DIV/0!</v>
      </c>
      <c r="EX2" s="490" t="s">
        <v>12</v>
      </c>
      <c r="EY2" s="487" t="s">
        <v>530</v>
      </c>
      <c r="EZ2" s="586" t="e">
        <f>EW7/(EZ5*EZ6*(1/EZ7))</f>
        <v>#DIV/0!</v>
      </c>
      <c r="FA2" s="592" t="s">
        <v>13</v>
      </c>
      <c r="FB2" s="589" t="s">
        <v>530</v>
      </c>
      <c r="FC2" s="586" t="e">
        <f>(EW7/(FC9*((FC10*FC12*FC13*(FC5+FC6))+(FC11*FC12))))*FC17</f>
        <v>#DIV/0!</v>
      </c>
      <c r="FD2" s="595" t="s">
        <v>12</v>
      </c>
      <c r="FE2" s="589" t="s">
        <v>581</v>
      </c>
      <c r="FF2" s="586" t="e">
        <f>(EW7/(FF9*(FF10*FF12*FF13*(FF5*FF6))+(FF11*FF12)))*FC17</f>
        <v>#DIV/0!</v>
      </c>
      <c r="FG2" s="592" t="s">
        <v>12</v>
      </c>
      <c r="FH2" s="589" t="s">
        <v>582</v>
      </c>
      <c r="FI2" s="586">
        <f>FI15/((FI10*FI12*FI13*(FI5+FI6))+(FI11*FI12))</f>
        <v>5.5555555555555554</v>
      </c>
      <c r="FJ2" s="583" t="s">
        <v>18</v>
      </c>
      <c r="FK2" s="580" t="s">
        <v>530</v>
      </c>
      <c r="FL2" s="577" t="e">
        <f>FL7</f>
        <v>#DIV/0!</v>
      </c>
      <c r="FM2" s="571" t="s">
        <v>12</v>
      </c>
      <c r="FN2" s="568" t="s">
        <v>530</v>
      </c>
      <c r="FO2" s="505" t="e">
        <f>FL7/(FO5*(1/FO6))</f>
        <v>#DIV/0!</v>
      </c>
      <c r="FP2" s="511" t="s">
        <v>13</v>
      </c>
      <c r="FQ2" s="508" t="s">
        <v>530</v>
      </c>
      <c r="FR2" s="505" t="e">
        <f>((FL7*FR6)/FR5)*FR10</f>
        <v>#DIV/0!</v>
      </c>
      <c r="FS2" s="511" t="s">
        <v>12</v>
      </c>
      <c r="FT2" s="508" t="s">
        <v>581</v>
      </c>
      <c r="FU2" s="505" t="e">
        <f>((FL7*FU6)/FU5)*FR10</f>
        <v>#DIV/0!</v>
      </c>
      <c r="FV2" s="511" t="s">
        <v>12</v>
      </c>
      <c r="FW2" s="508" t="s">
        <v>582</v>
      </c>
      <c r="FX2" s="505">
        <f>-FX5/FX6</f>
        <v>0</v>
      </c>
      <c r="FY2" s="502" t="s">
        <v>18</v>
      </c>
      <c r="FZ2" s="556" t="s">
        <v>530</v>
      </c>
      <c r="GA2" s="553" t="e">
        <f>GA7</f>
        <v>#DIV/0!</v>
      </c>
      <c r="GB2" s="550" t="s">
        <v>12</v>
      </c>
      <c r="GC2" s="559" t="s">
        <v>530</v>
      </c>
      <c r="GD2" s="538" t="e">
        <f>GA7/(GD5*GD6*(1/GD7))</f>
        <v>#DIV/0!</v>
      </c>
      <c r="GE2" s="544" t="s">
        <v>13</v>
      </c>
      <c r="GF2" s="541" t="s">
        <v>530</v>
      </c>
      <c r="GG2" s="538" t="e">
        <f>(GA7/((GG9)*((GG10*GG12*GG13*(GG5+GG6))+(GG11*GG12))))*GG17</f>
        <v>#DIV/0!</v>
      </c>
      <c r="GH2" s="544" t="s">
        <v>12</v>
      </c>
      <c r="GI2" s="541" t="s">
        <v>581</v>
      </c>
      <c r="GJ2" s="538" t="e">
        <f>(GA7/((GJ9)*((GJ10*GJ12*GJ13*(GJ5+GJ6))+(GJ11*GJ12))))*GG17</f>
        <v>#DIV/0!</v>
      </c>
      <c r="GK2" s="544" t="s">
        <v>12</v>
      </c>
      <c r="GL2" s="541" t="s">
        <v>582</v>
      </c>
      <c r="GM2" s="538">
        <f>GM15/((GM10*GM12*GM13*(GM5+GM6))+(GM11*GM12))</f>
        <v>5.5555555555555554</v>
      </c>
      <c r="GN2" s="535" t="s">
        <v>18</v>
      </c>
      <c r="GO2" s="532" t="s">
        <v>530</v>
      </c>
      <c r="GP2" s="529" t="e">
        <f>GP7</f>
        <v>#DIV/0!</v>
      </c>
      <c r="GQ2" s="526" t="s">
        <v>12</v>
      </c>
      <c r="GR2" s="523" t="s">
        <v>530</v>
      </c>
      <c r="GS2" s="517" t="e">
        <f>GP7/(GS5*GS6*(1/GS7))</f>
        <v>#DIV/0!</v>
      </c>
      <c r="GT2" s="514" t="s">
        <v>13</v>
      </c>
      <c r="GU2" s="520" t="s">
        <v>530</v>
      </c>
      <c r="GV2" s="517" t="e">
        <f>(GP7/((GV9)*((GV10*GV12*GV13*(GV5+GV6))+(GV11*GV12))))*GV17</f>
        <v>#DIV/0!</v>
      </c>
      <c r="GW2" s="514" t="s">
        <v>12</v>
      </c>
      <c r="GX2" s="520" t="s">
        <v>581</v>
      </c>
      <c r="GY2" s="517" t="e">
        <f>(GP7/((GY9*((GY10*GY12*GY13*(GY5+GY6))+(GY11*GY12)))))*GV17</f>
        <v>#DIV/0!</v>
      </c>
      <c r="GZ2" s="514" t="s">
        <v>12</v>
      </c>
      <c r="HA2" s="520" t="s">
        <v>582</v>
      </c>
      <c r="HB2" s="517" t="e">
        <f>GP7/((HB10*HB12*HB13*(HB5+HB6))+(HB11*HB12))</f>
        <v>#DIV/0!</v>
      </c>
      <c r="HC2" s="547" t="s">
        <v>18</v>
      </c>
      <c r="HD2" s="54"/>
      <c r="HE2" s="55"/>
      <c r="HF2" s="56"/>
    </row>
    <row r="3" spans="1:214" ht="12.75" customHeight="1" x14ac:dyDescent="0.2">
      <c r="A3" s="375"/>
      <c r="B3" s="376"/>
      <c r="C3" s="377"/>
      <c r="D3" s="189" t="s">
        <v>15</v>
      </c>
      <c r="E3" s="134">
        <f>1/((1/E19)+(1/E20))</f>
        <v>1.6812907170357905E-15</v>
      </c>
      <c r="F3" s="58" t="s">
        <v>294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3.5123554557818374E-13</v>
      </c>
      <c r="X3" s="62" t="s">
        <v>294</v>
      </c>
      <c r="Y3" s="202" t="s">
        <v>16</v>
      </c>
      <c r="Z3" s="187">
        <f>1/((1/Z18)+(1/Z19))</f>
        <v>3.1611199102036531E-13</v>
      </c>
      <c r="AA3" s="63" t="s">
        <v>294</v>
      </c>
      <c r="AB3" s="310"/>
      <c r="AC3" s="313"/>
      <c r="AD3" s="313"/>
      <c r="AE3" s="313"/>
      <c r="AF3" s="313"/>
      <c r="AG3" s="313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665"/>
      <c r="AS3" s="304"/>
      <c r="AT3" s="667"/>
      <c r="AU3" s="663"/>
      <c r="AV3" s="304"/>
      <c r="AW3" s="671"/>
      <c r="AX3" s="663"/>
      <c r="AY3" s="304"/>
      <c r="AZ3" s="669"/>
      <c r="BA3" s="665"/>
      <c r="BB3" s="304"/>
      <c r="BC3" s="667"/>
      <c r="BD3" s="663"/>
      <c r="BE3" s="304"/>
      <c r="BF3" s="667"/>
      <c r="BG3" s="663"/>
      <c r="BH3" s="304"/>
      <c r="BI3" s="669"/>
      <c r="BJ3" s="665"/>
      <c r="BK3" s="285"/>
      <c r="BL3" s="667"/>
      <c r="BM3" s="663"/>
      <c r="BN3" s="285"/>
      <c r="BO3" s="667"/>
      <c r="BP3" s="663"/>
      <c r="BQ3" s="285"/>
      <c r="BR3" s="669"/>
      <c r="BS3" s="212" t="s">
        <v>15</v>
      </c>
      <c r="BT3" s="64">
        <f>1/((1/BT18)+(1/BT19))</f>
        <v>1.8830456030800858E-13</v>
      </c>
      <c r="BU3" s="53" t="s">
        <v>294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79"/>
      <c r="CN3" s="259"/>
      <c r="CO3" s="262"/>
      <c r="CP3" s="279"/>
      <c r="CQ3" s="259"/>
      <c r="CR3" s="262"/>
      <c r="CS3" s="265"/>
      <c r="CT3" s="396"/>
      <c r="CU3" s="393"/>
      <c r="CV3" s="390"/>
      <c r="CW3" s="216" t="s">
        <v>15</v>
      </c>
      <c r="CX3" s="65">
        <f>1/((1/CX19)+(1/CX20))</f>
        <v>1.6662338989358907E-15</v>
      </c>
      <c r="CY3" s="66" t="s">
        <v>294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687">
        <f>(HE5*HE14)*(10^-3)*(HE13+(HE10/HE11))*((HE12*HE7)/HE8)</f>
        <v>0</v>
      </c>
      <c r="HF3" s="220" t="s">
        <v>597</v>
      </c>
    </row>
    <row r="4" spans="1:214" ht="13.5" customHeight="1" thickBot="1" x14ac:dyDescent="0.25">
      <c r="A4" s="378"/>
      <c r="B4" s="379"/>
      <c r="C4" s="380"/>
      <c r="D4" s="190" t="s">
        <v>16</v>
      </c>
      <c r="E4" s="135">
        <f>1/((1/E21)+(1/E22))</f>
        <v>1.1122638394933652E-13</v>
      </c>
      <c r="F4" s="68" t="s">
        <v>294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5.3092534460401662E-15</v>
      </c>
      <c r="X4" s="76" t="s">
        <v>294</v>
      </c>
      <c r="Y4" s="203" t="s">
        <v>15</v>
      </c>
      <c r="Z4" s="186">
        <f>1/((1/Z16)+(1/Z17))</f>
        <v>4.7783281014361497E-15</v>
      </c>
      <c r="AA4" s="77" t="s">
        <v>294</v>
      </c>
      <c r="AB4" s="311"/>
      <c r="AC4" s="314"/>
      <c r="AD4" s="314"/>
      <c r="AE4" s="314"/>
      <c r="AF4" s="314"/>
      <c r="AG4" s="314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666"/>
      <c r="AS4" s="305"/>
      <c r="AT4" s="668"/>
      <c r="AU4" s="664"/>
      <c r="AV4" s="305"/>
      <c r="AW4" s="672"/>
      <c r="AX4" s="664"/>
      <c r="AY4" s="305"/>
      <c r="AZ4" s="670"/>
      <c r="BA4" s="666"/>
      <c r="BB4" s="305"/>
      <c r="BC4" s="668"/>
      <c r="BD4" s="664"/>
      <c r="BE4" s="305"/>
      <c r="BF4" s="668"/>
      <c r="BG4" s="664"/>
      <c r="BH4" s="305"/>
      <c r="BI4" s="670"/>
      <c r="BJ4" s="666"/>
      <c r="BK4" s="286"/>
      <c r="BL4" s="668"/>
      <c r="BM4" s="664"/>
      <c r="BN4" s="286"/>
      <c r="BO4" s="668"/>
      <c r="BP4" s="664"/>
      <c r="BQ4" s="286"/>
      <c r="BR4" s="670"/>
      <c r="BS4" s="213" t="s">
        <v>16</v>
      </c>
      <c r="BT4" s="78">
        <f>1/((1/BT20)+(1/BT21))</f>
        <v>1.2457355002325691E-11</v>
      </c>
      <c r="BU4" s="79" t="s">
        <v>294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80"/>
      <c r="CN4" s="260"/>
      <c r="CO4" s="263"/>
      <c r="CP4" s="280"/>
      <c r="CQ4" s="260"/>
      <c r="CR4" s="263"/>
      <c r="CS4" s="266"/>
      <c r="CT4" s="397"/>
      <c r="CU4" s="394"/>
      <c r="CV4" s="391"/>
      <c r="CW4" s="217" t="s">
        <v>16</v>
      </c>
      <c r="CX4" s="80">
        <f>1/((1/CX21)+(1/CX22))</f>
        <v>1.1023029480540347E-13</v>
      </c>
      <c r="CY4" s="81" t="s">
        <v>294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224">
        <f>(HE6*HE14)*10^-3*(HE13+(HE10/HE11))*((HE12*HE7)/(HE8))</f>
        <v>2.2242119265431451E-16</v>
      </c>
      <c r="HF4" s="221" t="s">
        <v>598</v>
      </c>
    </row>
    <row r="5" spans="1:214" ht="13.5" thickTop="1" x14ac:dyDescent="0.2">
      <c r="A5" s="52" t="s">
        <v>267</v>
      </c>
      <c r="B5" s="129">
        <v>1</v>
      </c>
      <c r="C5" s="52" t="s">
        <v>344</v>
      </c>
      <c r="D5" s="52" t="s">
        <v>267</v>
      </c>
      <c r="E5" s="136">
        <f>B5</f>
        <v>1</v>
      </c>
      <c r="F5" s="52" t="s">
        <v>344</v>
      </c>
      <c r="G5" s="83" t="s">
        <v>267</v>
      </c>
      <c r="H5" s="136">
        <f>B5</f>
        <v>1</v>
      </c>
      <c r="I5" s="52" t="s">
        <v>344</v>
      </c>
      <c r="J5" s="83" t="s">
        <v>267</v>
      </c>
      <c r="K5" s="136">
        <f>B5</f>
        <v>1</v>
      </c>
      <c r="L5" s="52" t="s">
        <v>344</v>
      </c>
      <c r="M5" s="52" t="s">
        <v>267</v>
      </c>
      <c r="N5" s="136">
        <f>B5</f>
        <v>1</v>
      </c>
      <c r="O5" s="52" t="s">
        <v>344</v>
      </c>
      <c r="P5" s="52" t="s">
        <v>267</v>
      </c>
      <c r="Q5" s="136">
        <f>B5</f>
        <v>1</v>
      </c>
      <c r="R5" s="52" t="s">
        <v>344</v>
      </c>
      <c r="S5" s="52" t="s">
        <v>267</v>
      </c>
      <c r="T5" s="136">
        <f>B5</f>
        <v>1</v>
      </c>
      <c r="U5" s="52" t="s">
        <v>344</v>
      </c>
      <c r="V5" s="52" t="s">
        <v>267</v>
      </c>
      <c r="W5" s="136">
        <f>B5</f>
        <v>1</v>
      </c>
      <c r="X5" s="52" t="s">
        <v>344</v>
      </c>
      <c r="Y5" s="52" t="s">
        <v>267</v>
      </c>
      <c r="Z5" s="136">
        <f>B5</f>
        <v>1</v>
      </c>
      <c r="AA5" s="52" t="s">
        <v>344</v>
      </c>
      <c r="AB5" s="83" t="s">
        <v>267</v>
      </c>
      <c r="AC5" s="136">
        <f>B5</f>
        <v>1</v>
      </c>
      <c r="AD5" s="136">
        <f>B5</f>
        <v>1</v>
      </c>
      <c r="AE5" s="136">
        <f>B5</f>
        <v>1</v>
      </c>
      <c r="AF5" s="136">
        <f>B5</f>
        <v>1</v>
      </c>
      <c r="AG5" s="136">
        <f>B5</f>
        <v>1</v>
      </c>
      <c r="AH5" s="52" t="s">
        <v>344</v>
      </c>
      <c r="AI5" s="52" t="s">
        <v>267</v>
      </c>
      <c r="AJ5" s="136">
        <f>B5</f>
        <v>1</v>
      </c>
      <c r="AK5" s="52" t="s">
        <v>344</v>
      </c>
      <c r="AL5" s="52" t="s">
        <v>267</v>
      </c>
      <c r="AM5" s="136">
        <f>B5</f>
        <v>1</v>
      </c>
      <c r="AN5" s="52" t="s">
        <v>344</v>
      </c>
      <c r="AO5" s="52" t="s">
        <v>267</v>
      </c>
      <c r="AP5" s="136">
        <f>B5</f>
        <v>1</v>
      </c>
      <c r="AQ5" s="52" t="s">
        <v>344</v>
      </c>
      <c r="AR5" s="52" t="s">
        <v>267</v>
      </c>
      <c r="AS5" s="136">
        <f>B5</f>
        <v>1</v>
      </c>
      <c r="AT5" s="52" t="s">
        <v>344</v>
      </c>
      <c r="AU5" s="52" t="s">
        <v>267</v>
      </c>
      <c r="AV5" s="136">
        <f>B5</f>
        <v>1</v>
      </c>
      <c r="AW5" s="52" t="s">
        <v>344</v>
      </c>
      <c r="AX5" s="52" t="s">
        <v>267</v>
      </c>
      <c r="AY5" s="136">
        <f>B5</f>
        <v>1</v>
      </c>
      <c r="AZ5" s="52" t="s">
        <v>344</v>
      </c>
      <c r="BA5" s="52" t="s">
        <v>267</v>
      </c>
      <c r="BB5" s="136">
        <f>B5</f>
        <v>1</v>
      </c>
      <c r="BC5" s="52" t="s">
        <v>344</v>
      </c>
      <c r="BD5" s="52" t="s">
        <v>267</v>
      </c>
      <c r="BE5" s="136">
        <f>B5</f>
        <v>1</v>
      </c>
      <c r="BF5" s="52" t="s">
        <v>344</v>
      </c>
      <c r="BG5" s="52" t="s">
        <v>267</v>
      </c>
      <c r="BH5" s="136">
        <f>B5</f>
        <v>1</v>
      </c>
      <c r="BI5" s="52" t="s">
        <v>344</v>
      </c>
      <c r="BJ5" s="52" t="s">
        <v>267</v>
      </c>
      <c r="BK5" s="136">
        <f>B5</f>
        <v>1</v>
      </c>
      <c r="BL5" s="52" t="s">
        <v>344</v>
      </c>
      <c r="BM5" s="52" t="s">
        <v>267</v>
      </c>
      <c r="BN5" s="136">
        <f>B5</f>
        <v>1</v>
      </c>
      <c r="BO5" s="52" t="s">
        <v>344</v>
      </c>
      <c r="BP5" s="52" t="s">
        <v>267</v>
      </c>
      <c r="BQ5" s="136">
        <f>B5</f>
        <v>1</v>
      </c>
      <c r="BR5" s="52" t="s">
        <v>344</v>
      </c>
      <c r="BS5" s="52" t="s">
        <v>267</v>
      </c>
      <c r="BT5" s="136">
        <f>B5</f>
        <v>1</v>
      </c>
      <c r="BU5" s="52" t="s">
        <v>344</v>
      </c>
      <c r="BV5" s="83" t="s">
        <v>267</v>
      </c>
      <c r="BW5" s="136">
        <f>B5</f>
        <v>1</v>
      </c>
      <c r="BX5" s="52" t="s">
        <v>344</v>
      </c>
      <c r="BY5" s="83" t="s">
        <v>267</v>
      </c>
      <c r="BZ5" s="136">
        <f>B5</f>
        <v>1</v>
      </c>
      <c r="CA5" s="52" t="s">
        <v>344</v>
      </c>
      <c r="CB5" s="52" t="s">
        <v>267</v>
      </c>
      <c r="CC5" s="136">
        <f>B5</f>
        <v>1</v>
      </c>
      <c r="CD5" s="52" t="s">
        <v>344</v>
      </c>
      <c r="CE5" s="52" t="s">
        <v>267</v>
      </c>
      <c r="CF5" s="136">
        <f>B5</f>
        <v>1</v>
      </c>
      <c r="CG5" s="52" t="s">
        <v>344</v>
      </c>
      <c r="CH5" s="52" t="s">
        <v>267</v>
      </c>
      <c r="CI5" s="136">
        <f>B5</f>
        <v>1</v>
      </c>
      <c r="CJ5" s="52" t="s">
        <v>344</v>
      </c>
      <c r="CK5" s="52" t="s">
        <v>267</v>
      </c>
      <c r="CL5" s="136">
        <f>B5</f>
        <v>1</v>
      </c>
      <c r="CM5" s="52" t="s">
        <v>344</v>
      </c>
      <c r="CN5" s="83" t="s">
        <v>228</v>
      </c>
      <c r="CO5" s="136">
        <f>B30</f>
        <v>0</v>
      </c>
      <c r="CP5" s="52" t="s">
        <v>268</v>
      </c>
      <c r="CQ5" s="83" t="s">
        <v>228</v>
      </c>
      <c r="CR5" s="136">
        <f>CO5</f>
        <v>0</v>
      </c>
      <c r="CS5" s="52" t="s">
        <v>268</v>
      </c>
      <c r="CT5" s="83" t="s">
        <v>267</v>
      </c>
      <c r="CU5" s="136">
        <f>B5</f>
        <v>1</v>
      </c>
      <c r="CV5" s="52" t="s">
        <v>344</v>
      </c>
      <c r="CW5" s="52" t="s">
        <v>267</v>
      </c>
      <c r="CX5" s="136">
        <f>B5</f>
        <v>1</v>
      </c>
      <c r="CY5" s="52" t="s">
        <v>344</v>
      </c>
      <c r="CZ5" s="83" t="s">
        <v>267</v>
      </c>
      <c r="DA5" s="136">
        <f>B5</f>
        <v>1</v>
      </c>
      <c r="DB5" s="52" t="s">
        <v>344</v>
      </c>
      <c r="DC5" s="83" t="s">
        <v>267</v>
      </c>
      <c r="DD5" s="136">
        <f>B5</f>
        <v>1</v>
      </c>
      <c r="DE5" s="52" t="s">
        <v>344</v>
      </c>
      <c r="DF5" s="52" t="s">
        <v>17</v>
      </c>
      <c r="DG5" s="137">
        <f>(DG8*DG9*DG10*((1-EXP(-DG11*DG12))))/(DG13*DG11)</f>
        <v>0</v>
      </c>
      <c r="DH5" s="52" t="s">
        <v>18</v>
      </c>
      <c r="DI5" s="83" t="s">
        <v>19</v>
      </c>
      <c r="DJ5" s="161">
        <f>DJ7</f>
        <v>0</v>
      </c>
      <c r="DK5" s="83"/>
      <c r="DL5" s="83" t="s">
        <v>19</v>
      </c>
      <c r="DM5" s="161">
        <f>DM7</f>
        <v>0</v>
      </c>
      <c r="DO5" s="52" t="s">
        <v>17</v>
      </c>
      <c r="DP5" s="137">
        <f>(DP8*DP9*DP10*((1-EXP(-DP11*DP12))))/(DP13*DP11)</f>
        <v>0</v>
      </c>
      <c r="DQ5" s="52" t="s">
        <v>18</v>
      </c>
      <c r="DR5" s="83" t="s">
        <v>267</v>
      </c>
      <c r="DS5" s="136">
        <f>B5</f>
        <v>1</v>
      </c>
      <c r="DT5" s="52" t="s">
        <v>344</v>
      </c>
      <c r="DU5" s="83" t="s">
        <v>239</v>
      </c>
      <c r="DV5" s="169">
        <f>B24</f>
        <v>0</v>
      </c>
      <c r="DW5" s="52" t="s">
        <v>388</v>
      </c>
      <c r="DX5" s="83" t="s">
        <v>20</v>
      </c>
      <c r="DY5" s="161">
        <f>DY7</f>
        <v>0</v>
      </c>
      <c r="DZ5" s="83"/>
      <c r="EA5" s="83" t="s">
        <v>20</v>
      </c>
      <c r="EB5" s="161">
        <f>EB7</f>
        <v>0</v>
      </c>
      <c r="EC5" s="84"/>
      <c r="ED5" s="83" t="s">
        <v>20</v>
      </c>
      <c r="EE5" s="161">
        <f>EE7</f>
        <v>0</v>
      </c>
      <c r="EF5" s="84"/>
      <c r="EG5" s="83" t="s">
        <v>267</v>
      </c>
      <c r="EH5" s="136">
        <f>B5</f>
        <v>1</v>
      </c>
      <c r="EI5" s="52" t="s">
        <v>344</v>
      </c>
      <c r="EJ5" s="83" t="s">
        <v>236</v>
      </c>
      <c r="EK5" s="169">
        <f>B25</f>
        <v>0</v>
      </c>
      <c r="EL5" s="52" t="s">
        <v>388</v>
      </c>
      <c r="EM5" s="83" t="s">
        <v>20</v>
      </c>
      <c r="EN5" s="161">
        <f>EN7</f>
        <v>0</v>
      </c>
      <c r="EO5" s="83"/>
      <c r="EP5" s="83" t="s">
        <v>20</v>
      </c>
      <c r="EQ5" s="161">
        <f>EQ7</f>
        <v>0</v>
      </c>
      <c r="ER5" s="84"/>
      <c r="ES5" s="83" t="s">
        <v>20</v>
      </c>
      <c r="ET5" s="161">
        <f>ET7</f>
        <v>0</v>
      </c>
      <c r="EU5" s="84"/>
      <c r="EV5" s="83" t="s">
        <v>267</v>
      </c>
      <c r="EW5" s="136">
        <f>B5</f>
        <v>1</v>
      </c>
      <c r="EX5" s="52" t="s">
        <v>344</v>
      </c>
      <c r="EY5" s="83" t="s">
        <v>171</v>
      </c>
      <c r="EZ5" s="169">
        <f>B27</f>
        <v>0</v>
      </c>
      <c r="FA5" s="52" t="s">
        <v>388</v>
      </c>
      <c r="FB5" s="83" t="s">
        <v>20</v>
      </c>
      <c r="FC5" s="161">
        <f>FC7</f>
        <v>0</v>
      </c>
      <c r="FD5" s="83"/>
      <c r="FE5" s="83" t="s">
        <v>20</v>
      </c>
      <c r="FF5" s="161">
        <f>FF7</f>
        <v>0</v>
      </c>
      <c r="FG5" s="83"/>
      <c r="FH5" s="83" t="s">
        <v>20</v>
      </c>
      <c r="FI5" s="161">
        <f>FI7</f>
        <v>0</v>
      </c>
      <c r="FJ5" s="84"/>
      <c r="FK5" s="83" t="s">
        <v>267</v>
      </c>
      <c r="FL5" s="136">
        <f>B5</f>
        <v>1</v>
      </c>
      <c r="FM5" s="52" t="s">
        <v>344</v>
      </c>
      <c r="FN5" s="83" t="s">
        <v>105</v>
      </c>
      <c r="FO5" s="161">
        <f>B23</f>
        <v>0</v>
      </c>
      <c r="FP5" s="83" t="s">
        <v>18</v>
      </c>
      <c r="FQ5" s="83" t="s">
        <v>105</v>
      </c>
      <c r="FR5" s="161">
        <f>B23</f>
        <v>0</v>
      </c>
      <c r="FS5" s="83" t="s">
        <v>18</v>
      </c>
      <c r="FT5" s="83" t="s">
        <v>105</v>
      </c>
      <c r="FU5" s="161">
        <f>B23</f>
        <v>0</v>
      </c>
      <c r="FV5" s="83" t="s">
        <v>18</v>
      </c>
      <c r="FW5" s="83" t="s">
        <v>156</v>
      </c>
      <c r="FX5" s="161">
        <f>B33</f>
        <v>0</v>
      </c>
      <c r="FY5" s="88" t="s">
        <v>18</v>
      </c>
      <c r="FZ5" s="83" t="s">
        <v>267</v>
      </c>
      <c r="GA5" s="136">
        <f>B5</f>
        <v>1</v>
      </c>
      <c r="GB5" s="52" t="s">
        <v>344</v>
      </c>
      <c r="GC5" s="83" t="s">
        <v>237</v>
      </c>
      <c r="GD5" s="169">
        <f>B26</f>
        <v>0</v>
      </c>
      <c r="GE5" s="52" t="s">
        <v>388</v>
      </c>
      <c r="GF5" s="83" t="s">
        <v>20</v>
      </c>
      <c r="GG5" s="161">
        <f>GG7</f>
        <v>0</v>
      </c>
      <c r="GH5" s="83"/>
      <c r="GI5" s="83" t="s">
        <v>20</v>
      </c>
      <c r="GJ5" s="161">
        <f>GJ7</f>
        <v>0</v>
      </c>
      <c r="GK5" s="83"/>
      <c r="GL5" s="83" t="s">
        <v>20</v>
      </c>
      <c r="GM5" s="161">
        <f>GM7</f>
        <v>0</v>
      </c>
      <c r="GN5" s="84"/>
      <c r="GO5" s="83" t="s">
        <v>267</v>
      </c>
      <c r="GP5" s="136">
        <f>B5</f>
        <v>1</v>
      </c>
      <c r="GQ5" s="52" t="s">
        <v>344</v>
      </c>
      <c r="GR5" s="83" t="s">
        <v>599</v>
      </c>
      <c r="GS5" s="169">
        <f>B28</f>
        <v>0</v>
      </c>
      <c r="GT5" s="52" t="s">
        <v>388</v>
      </c>
      <c r="GU5" s="83" t="s">
        <v>20</v>
      </c>
      <c r="GV5" s="161">
        <f>GV7</f>
        <v>0</v>
      </c>
      <c r="GW5" s="83"/>
      <c r="GX5" s="83" t="s">
        <v>20</v>
      </c>
      <c r="GY5" s="161">
        <f>GY7</f>
        <v>0</v>
      </c>
      <c r="GZ5" s="83"/>
      <c r="HA5" s="83" t="s">
        <v>20</v>
      </c>
      <c r="HB5" s="161">
        <f>HB7</f>
        <v>0</v>
      </c>
      <c r="HC5" s="84"/>
      <c r="HD5" s="89" t="s">
        <v>21</v>
      </c>
      <c r="HE5" s="175">
        <f>B34</f>
        <v>0</v>
      </c>
      <c r="HF5" s="83" t="s">
        <v>13</v>
      </c>
    </row>
    <row r="6" spans="1:214" x14ac:dyDescent="0.2">
      <c r="A6" s="83" t="s">
        <v>247</v>
      </c>
      <c r="B6" s="180">
        <v>1.25E-4</v>
      </c>
      <c r="C6" s="84" t="s">
        <v>259</v>
      </c>
      <c r="D6" s="83" t="s">
        <v>22</v>
      </c>
      <c r="E6" s="137">
        <f>0.693/E7</f>
        <v>66.155354824913829</v>
      </c>
      <c r="G6" s="83" t="s">
        <v>248</v>
      </c>
      <c r="H6" s="136">
        <f>B7</f>
        <v>0</v>
      </c>
      <c r="I6" s="83" t="s">
        <v>259</v>
      </c>
      <c r="J6" s="83" t="s">
        <v>249</v>
      </c>
      <c r="K6" s="136">
        <f>B8</f>
        <v>0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66.155354824913829</v>
      </c>
      <c r="BV6" s="83" t="s">
        <v>248</v>
      </c>
      <c r="BW6" s="136">
        <f>B7</f>
        <v>0</v>
      </c>
      <c r="BX6" s="83" t="s">
        <v>259</v>
      </c>
      <c r="BY6" s="83" t="s">
        <v>249</v>
      </c>
      <c r="BZ6" s="136">
        <f>B8</f>
        <v>0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B17</f>
        <v>0</v>
      </c>
      <c r="CM6" s="92" t="s">
        <v>259</v>
      </c>
      <c r="CN6" s="84" t="s">
        <v>20</v>
      </c>
      <c r="CO6" s="139">
        <f>CO8</f>
        <v>0</v>
      </c>
      <c r="CQ6" s="84" t="s">
        <v>169</v>
      </c>
      <c r="CR6" s="162">
        <f>B133</f>
        <v>1</v>
      </c>
      <c r="CS6" s="52" t="s">
        <v>28</v>
      </c>
      <c r="CT6" s="83" t="s">
        <v>249</v>
      </c>
      <c r="CU6" s="136">
        <f>B8</f>
        <v>0</v>
      </c>
      <c r="CV6" s="83" t="s">
        <v>259</v>
      </c>
      <c r="CW6" s="83" t="s">
        <v>22</v>
      </c>
      <c r="CX6" s="137">
        <f>0.693/CX7</f>
        <v>66.155354824913829</v>
      </c>
      <c r="CZ6" s="83" t="s">
        <v>248</v>
      </c>
      <c r="DA6" s="136">
        <f>B7</f>
        <v>0</v>
      </c>
      <c r="DB6" s="83" t="s">
        <v>259</v>
      </c>
      <c r="DC6" s="83" t="s">
        <v>258</v>
      </c>
      <c r="DD6" s="136">
        <f>B17</f>
        <v>0</v>
      </c>
      <c r="DE6" s="92" t="s">
        <v>259</v>
      </c>
      <c r="DF6" s="52" t="s">
        <v>25</v>
      </c>
      <c r="DG6" s="137">
        <f>(DG8*DG9*DG14*((1-EXP(-DG11*DG12))))/(DG13*DG11)</f>
        <v>5.4084629109509424E-3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B17</f>
        <v>0</v>
      </c>
      <c r="DT6" s="83" t="s">
        <v>259</v>
      </c>
      <c r="DU6" s="83" t="s">
        <v>27</v>
      </c>
      <c r="DV6" s="142">
        <f>B203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B17</f>
        <v>0</v>
      </c>
      <c r="EI6" s="83" t="s">
        <v>259</v>
      </c>
      <c r="EJ6" s="83" t="s">
        <v>29</v>
      </c>
      <c r="EK6" s="142">
        <f>B209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B17</f>
        <v>0</v>
      </c>
      <c r="EX6" s="83" t="s">
        <v>259</v>
      </c>
      <c r="EY6" s="83" t="s">
        <v>148</v>
      </c>
      <c r="EZ6" s="164">
        <f>B214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B17</f>
        <v>0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B33</f>
        <v>0</v>
      </c>
      <c r="FS6" s="83" t="s">
        <v>18</v>
      </c>
      <c r="FT6" s="83" t="s">
        <v>156</v>
      </c>
      <c r="FU6" s="161">
        <f>B33</f>
        <v>0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B17</f>
        <v>0</v>
      </c>
      <c r="GB6" s="83" t="s">
        <v>259</v>
      </c>
      <c r="GC6" s="83" t="s">
        <v>485</v>
      </c>
      <c r="GD6" s="164">
        <f>B219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B17</f>
        <v>0</v>
      </c>
      <c r="GQ6" s="83" t="s">
        <v>259</v>
      </c>
      <c r="GR6" s="83" t="s">
        <v>150</v>
      </c>
      <c r="GS6" s="142">
        <f>B224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1.68105207237549E-14</v>
      </c>
      <c r="HF6" s="83" t="s">
        <v>13</v>
      </c>
    </row>
    <row r="7" spans="1:214" x14ac:dyDescent="0.2">
      <c r="A7" s="83" t="s">
        <v>248</v>
      </c>
      <c r="B7" s="183">
        <v>0</v>
      </c>
      <c r="C7" s="84" t="s">
        <v>259</v>
      </c>
      <c r="D7" s="91" t="s">
        <v>231</v>
      </c>
      <c r="E7" s="136">
        <f>B18</f>
        <v>1.04753425E-2</v>
      </c>
      <c r="F7" s="52" t="s">
        <v>60</v>
      </c>
      <c r="G7" s="83" t="s">
        <v>247</v>
      </c>
      <c r="H7" s="139">
        <f>B6</f>
        <v>1.25E-4</v>
      </c>
      <c r="I7" s="84" t="s">
        <v>259</v>
      </c>
      <c r="J7" s="83" t="s">
        <v>247</v>
      </c>
      <c r="K7" s="136">
        <f>B6</f>
        <v>1.25E-4</v>
      </c>
      <c r="L7" s="84" t="s">
        <v>259</v>
      </c>
      <c r="M7" s="83" t="s">
        <v>22</v>
      </c>
      <c r="N7" s="137">
        <f>0.693/N8</f>
        <v>66.155354824913829</v>
      </c>
      <c r="P7" s="83" t="s">
        <v>22</v>
      </c>
      <c r="Q7" s="137">
        <f>0.693/Q8</f>
        <v>66.155354824913829</v>
      </c>
      <c r="S7" s="83" t="s">
        <v>22</v>
      </c>
      <c r="T7" s="137">
        <f>0.693/T8</f>
        <v>66.155354824913829</v>
      </c>
      <c r="V7" s="83" t="s">
        <v>22</v>
      </c>
      <c r="W7" s="137">
        <f>0.693/W8</f>
        <v>66.155354824913829</v>
      </c>
      <c r="Y7" s="83" t="s">
        <v>22</v>
      </c>
      <c r="Z7" s="137">
        <f>0.693/Z8</f>
        <v>66.155354824913829</v>
      </c>
      <c r="AB7" s="83" t="s">
        <v>425</v>
      </c>
      <c r="AC7" s="150">
        <f>B231</f>
        <v>250</v>
      </c>
      <c r="AD7" s="150">
        <f>B243</f>
        <v>250</v>
      </c>
      <c r="AE7" s="150">
        <f>B255</f>
        <v>225</v>
      </c>
      <c r="AF7" s="150">
        <f>B267</f>
        <v>250</v>
      </c>
      <c r="AG7" s="150">
        <f>B291</f>
        <v>250</v>
      </c>
      <c r="AH7" s="83" t="s">
        <v>24</v>
      </c>
      <c r="AI7" s="83" t="s">
        <v>22</v>
      </c>
      <c r="AJ7" s="137">
        <f>0.693/AJ8</f>
        <v>66.155354824913829</v>
      </c>
      <c r="AL7" s="83" t="s">
        <v>22</v>
      </c>
      <c r="AM7" s="137">
        <f>0.693/AM8</f>
        <v>66.155354824913829</v>
      </c>
      <c r="AO7" s="83" t="s">
        <v>22</v>
      </c>
      <c r="AP7" s="137">
        <f>0.693/AP8</f>
        <v>66.155354824913829</v>
      </c>
      <c r="AR7" s="83" t="s">
        <v>22</v>
      </c>
      <c r="AS7" s="137">
        <f>0.693/AS8</f>
        <v>66.155354824913829</v>
      </c>
      <c r="AU7" s="83" t="s">
        <v>22</v>
      </c>
      <c r="AV7" s="137">
        <f>0.693/AV8</f>
        <v>66.155354824913829</v>
      </c>
      <c r="AX7" s="83" t="s">
        <v>22</v>
      </c>
      <c r="AY7" s="137">
        <f>0.693/AY8</f>
        <v>66.155354824913829</v>
      </c>
      <c r="BA7" s="83" t="s">
        <v>22</v>
      </c>
      <c r="BB7" s="137">
        <f>0.693/BB8</f>
        <v>66.155354824913829</v>
      </c>
      <c r="BD7" s="83" t="s">
        <v>22</v>
      </c>
      <c r="BE7" s="137">
        <f>0.693/BE8</f>
        <v>66.155354824913829</v>
      </c>
      <c r="BG7" s="83" t="s">
        <v>22</v>
      </c>
      <c r="BH7" s="137">
        <f>0.693/BH8</f>
        <v>66.155354824913829</v>
      </c>
      <c r="BJ7" s="83" t="s">
        <v>22</v>
      </c>
      <c r="BK7" s="137">
        <f>0.693/BK8</f>
        <v>66.155354824913829</v>
      </c>
      <c r="BM7" s="83" t="s">
        <v>22</v>
      </c>
      <c r="BN7" s="137">
        <f>0.693/BN8</f>
        <v>66.155354824913829</v>
      </c>
      <c r="BP7" s="83" t="s">
        <v>22</v>
      </c>
      <c r="BQ7" s="137">
        <f>0.693/BQ8</f>
        <v>66.155354824913829</v>
      </c>
      <c r="BS7" s="91" t="s">
        <v>231</v>
      </c>
      <c r="BT7" s="136">
        <f>B18</f>
        <v>1.04753425E-2</v>
      </c>
      <c r="BU7" s="52" t="s">
        <v>60</v>
      </c>
      <c r="BV7" s="83" t="s">
        <v>247</v>
      </c>
      <c r="BW7" s="139">
        <f>B6</f>
        <v>1.25E-4</v>
      </c>
      <c r="BX7" s="84" t="s">
        <v>259</v>
      </c>
      <c r="BY7" s="83" t="s">
        <v>247</v>
      </c>
      <c r="BZ7" s="139">
        <f>B6</f>
        <v>1.25E-4</v>
      </c>
      <c r="CA7" s="84" t="s">
        <v>259</v>
      </c>
      <c r="CB7" s="83" t="s">
        <v>22</v>
      </c>
      <c r="CC7" s="137">
        <f>0.693/CC8</f>
        <v>66.155354824913829</v>
      </c>
      <c r="CE7" s="83" t="s">
        <v>22</v>
      </c>
      <c r="CF7" s="137">
        <f>0.693/CF8</f>
        <v>66.155354824913829</v>
      </c>
      <c r="CH7" s="83" t="s">
        <v>22</v>
      </c>
      <c r="CI7" s="137">
        <f>0.693/CI8</f>
        <v>66.155354824913829</v>
      </c>
      <c r="CK7" s="52" t="s">
        <v>140</v>
      </c>
      <c r="CL7" s="138">
        <f>B103</f>
        <v>75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B6</f>
        <v>1.25E-4</v>
      </c>
      <c r="CV7" s="84" t="s">
        <v>259</v>
      </c>
      <c r="CW7" s="91" t="s">
        <v>231</v>
      </c>
      <c r="CX7" s="136">
        <f>B18</f>
        <v>1.04753425E-2</v>
      </c>
      <c r="CY7" s="52" t="s">
        <v>60</v>
      </c>
      <c r="CZ7" s="84" t="s">
        <v>247</v>
      </c>
      <c r="DA7" s="139">
        <f>B6</f>
        <v>1.25E-4</v>
      </c>
      <c r="DB7" s="84" t="s">
        <v>259</v>
      </c>
      <c r="DC7" s="83" t="s">
        <v>260</v>
      </c>
      <c r="DD7" s="166" t="e">
        <f>((DD5)/(DD6*(DD8+DD11)*DD19))*DD22*DD23*DJ11</f>
        <v>#DIV/0!</v>
      </c>
      <c r="DE7" s="92" t="s">
        <v>12</v>
      </c>
      <c r="DF7" s="52" t="s">
        <v>31</v>
      </c>
      <c r="DG7" s="137">
        <f>(DG8*DG9*DG15*DG21*((1-EXP(-DG16*DG17))))/(DG18*DG16)</f>
        <v>0.82362658902748997</v>
      </c>
      <c r="DH7" s="52" t="s">
        <v>18</v>
      </c>
      <c r="DI7" s="83" t="s">
        <v>32</v>
      </c>
      <c r="DJ7" s="136">
        <f>B31</f>
        <v>0</v>
      </c>
      <c r="DL7" s="83" t="s">
        <v>32</v>
      </c>
      <c r="DM7" s="136">
        <f>B31</f>
        <v>0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 t="e">
        <f>(DS5/(DS6*DS8*DS15))*DS19*DS20*DY17</f>
        <v>#DIV/0!</v>
      </c>
      <c r="DT7" s="52" t="s">
        <v>12</v>
      </c>
      <c r="DV7" s="138"/>
      <c r="DX7" s="83" t="s">
        <v>33</v>
      </c>
      <c r="DY7" s="136">
        <f>B32</f>
        <v>0</v>
      </c>
      <c r="EA7" s="83" t="s">
        <v>33</v>
      </c>
      <c r="EB7" s="136">
        <f>B32</f>
        <v>0</v>
      </c>
      <c r="EC7" s="84"/>
      <c r="ED7" s="83" t="s">
        <v>33</v>
      </c>
      <c r="EE7" s="136">
        <f>B32</f>
        <v>0</v>
      </c>
      <c r="EF7" s="84"/>
      <c r="EG7" s="83" t="s">
        <v>260</v>
      </c>
      <c r="EH7" s="168" t="e">
        <f>(EH5/(EH6*EH8*EH15))*EH19*EH20*EN16</f>
        <v>#DIV/0!</v>
      </c>
      <c r="EI7" s="52" t="s">
        <v>12</v>
      </c>
      <c r="EJ7" s="95"/>
      <c r="EK7" s="176"/>
      <c r="EM7" s="83" t="s">
        <v>33</v>
      </c>
      <c r="EN7" s="136">
        <f>B32</f>
        <v>0</v>
      </c>
      <c r="EP7" s="83" t="s">
        <v>33</v>
      </c>
      <c r="EQ7" s="136">
        <f>B32</f>
        <v>0</v>
      </c>
      <c r="ER7" s="84"/>
      <c r="ES7" s="83" t="s">
        <v>33</v>
      </c>
      <c r="ET7" s="136">
        <f>B32</f>
        <v>0</v>
      </c>
      <c r="EU7" s="84"/>
      <c r="EV7" s="83" t="s">
        <v>260</v>
      </c>
      <c r="EW7" s="168" t="e">
        <f>(EW5/(EW6*EW8*EW15))*EW19*EW20*FC16</f>
        <v>#DIV/0!</v>
      </c>
      <c r="EX7" s="52" t="s">
        <v>12</v>
      </c>
      <c r="EY7" s="83"/>
      <c r="EZ7" s="142">
        <v>1000</v>
      </c>
      <c r="FA7" s="83" t="s">
        <v>132</v>
      </c>
      <c r="FB7" s="83" t="s">
        <v>33</v>
      </c>
      <c r="FC7" s="161">
        <f>B32</f>
        <v>0</v>
      </c>
      <c r="FD7" s="83"/>
      <c r="FE7" s="83" t="s">
        <v>33</v>
      </c>
      <c r="FF7" s="161">
        <f>B32</f>
        <v>0</v>
      </c>
      <c r="FG7" s="83"/>
      <c r="FH7" s="83" t="s">
        <v>33</v>
      </c>
      <c r="FI7" s="161">
        <f>B32</f>
        <v>0</v>
      </c>
      <c r="FJ7" s="84"/>
      <c r="FK7" s="83" t="s">
        <v>260</v>
      </c>
      <c r="FL7" s="168" t="e">
        <f>(FL5/(FL6*FL8*FL15))*FL19*FL20*FR9</f>
        <v>#DIV/0!</v>
      </c>
      <c r="FM7" s="52" t="s">
        <v>12</v>
      </c>
      <c r="FN7" s="95"/>
      <c r="FO7" s="176"/>
      <c r="FQ7" s="52" t="s">
        <v>350</v>
      </c>
      <c r="FR7" s="164">
        <f>B170</f>
        <v>1</v>
      </c>
      <c r="FT7" s="95"/>
      <c r="FU7" s="176"/>
      <c r="FV7" s="83"/>
      <c r="FW7" s="95"/>
      <c r="FX7" s="176"/>
      <c r="FZ7" s="83" t="s">
        <v>260</v>
      </c>
      <c r="GA7" s="168" t="e">
        <f>(GA5/(GA6*GA8*GA15))*GA19*GA20*GG16</f>
        <v>#DIV/0!</v>
      </c>
      <c r="GB7" s="52" t="s">
        <v>12</v>
      </c>
      <c r="GC7" s="83"/>
      <c r="GD7" s="142">
        <v>1000</v>
      </c>
      <c r="GE7" s="83" t="s">
        <v>132</v>
      </c>
      <c r="GF7" s="83" t="s">
        <v>33</v>
      </c>
      <c r="GG7" s="161">
        <f>B32</f>
        <v>0</v>
      </c>
      <c r="GH7" s="83"/>
      <c r="GI7" s="83" t="s">
        <v>33</v>
      </c>
      <c r="GJ7" s="161">
        <f>B32</f>
        <v>0</v>
      </c>
      <c r="GK7" s="83"/>
      <c r="GL7" s="83" t="s">
        <v>33</v>
      </c>
      <c r="GM7" s="161">
        <f>B32</f>
        <v>0</v>
      </c>
      <c r="GN7" s="84"/>
      <c r="GO7" s="83" t="s">
        <v>260</v>
      </c>
      <c r="GP7" s="168" t="e">
        <f>(GP5/(GP6*GP8*GP14))*GP18*GP19*GV16</f>
        <v>#DIV/0!</v>
      </c>
      <c r="GQ7" s="52" t="s">
        <v>12</v>
      </c>
      <c r="GR7" s="88"/>
      <c r="GS7" s="142">
        <v>1000</v>
      </c>
      <c r="GT7" s="83" t="s">
        <v>132</v>
      </c>
      <c r="GU7" s="83" t="s">
        <v>33</v>
      </c>
      <c r="GV7" s="161">
        <f>B32</f>
        <v>0</v>
      </c>
      <c r="GW7" s="83"/>
      <c r="GX7" s="83" t="s">
        <v>33</v>
      </c>
      <c r="GY7" s="161">
        <f>B32</f>
        <v>0</v>
      </c>
      <c r="GZ7" s="83"/>
      <c r="HA7" s="83" t="s">
        <v>33</v>
      </c>
      <c r="HB7" s="161">
        <f>B32</f>
        <v>0</v>
      </c>
      <c r="HC7" s="84"/>
      <c r="HD7" s="83" t="s">
        <v>22</v>
      </c>
      <c r="HE7" s="137">
        <f>0.693/HE9</f>
        <v>66.155354824913829</v>
      </c>
    </row>
    <row r="8" spans="1:214" x14ac:dyDescent="0.2">
      <c r="A8" s="83" t="s">
        <v>249</v>
      </c>
      <c r="B8" s="183">
        <v>0</v>
      </c>
      <c r="C8" s="83" t="s">
        <v>259</v>
      </c>
      <c r="D8" s="52" t="s">
        <v>382</v>
      </c>
      <c r="E8" s="138">
        <f>B56</f>
        <v>350</v>
      </c>
      <c r="F8" s="52" t="s">
        <v>24</v>
      </c>
      <c r="G8" s="91" t="s">
        <v>257</v>
      </c>
      <c r="H8" s="136">
        <f>B16</f>
        <v>7.02368E-3</v>
      </c>
      <c r="I8" s="84" t="s">
        <v>259</v>
      </c>
      <c r="J8" s="83" t="s">
        <v>269</v>
      </c>
      <c r="K8" s="136">
        <f>B10</f>
        <v>2.1295200000000002E-3</v>
      </c>
      <c r="L8" s="83" t="s">
        <v>351</v>
      </c>
      <c r="M8" s="91" t="s">
        <v>231</v>
      </c>
      <c r="N8" s="136">
        <f>B18</f>
        <v>1.04753425E-2</v>
      </c>
      <c r="O8" s="52" t="s">
        <v>60</v>
      </c>
      <c r="P8" s="91" t="s">
        <v>231</v>
      </c>
      <c r="Q8" s="136">
        <f>B18</f>
        <v>1.04753425E-2</v>
      </c>
      <c r="R8" s="52" t="s">
        <v>60</v>
      </c>
      <c r="S8" s="91" t="s">
        <v>231</v>
      </c>
      <c r="T8" s="136">
        <f>B18</f>
        <v>1.04753425E-2</v>
      </c>
      <c r="U8" s="52" t="s">
        <v>60</v>
      </c>
      <c r="V8" s="91" t="s">
        <v>231</v>
      </c>
      <c r="W8" s="136">
        <f>B18</f>
        <v>1.04753425E-2</v>
      </c>
      <c r="X8" s="52" t="s">
        <v>60</v>
      </c>
      <c r="Y8" s="91" t="s">
        <v>231</v>
      </c>
      <c r="Z8" s="136">
        <f>B18</f>
        <v>1.04753425E-2</v>
      </c>
      <c r="AA8" s="52" t="s">
        <v>60</v>
      </c>
      <c r="AB8" s="83" t="s">
        <v>249</v>
      </c>
      <c r="AC8" s="136">
        <f>B9</f>
        <v>0</v>
      </c>
      <c r="AD8" s="136">
        <f>B9</f>
        <v>0</v>
      </c>
      <c r="AE8" s="136">
        <f>B9</f>
        <v>0</v>
      </c>
      <c r="AF8" s="136">
        <f>B9</f>
        <v>0</v>
      </c>
      <c r="AG8" s="136">
        <f>B9</f>
        <v>0</v>
      </c>
      <c r="AH8" s="83" t="s">
        <v>259</v>
      </c>
      <c r="AI8" s="91" t="s">
        <v>231</v>
      </c>
      <c r="AJ8" s="136">
        <f>B18</f>
        <v>1.04753425E-2</v>
      </c>
      <c r="AK8" s="52" t="s">
        <v>60</v>
      </c>
      <c r="AL8" s="91" t="s">
        <v>231</v>
      </c>
      <c r="AM8" s="136">
        <f>B18</f>
        <v>1.04753425E-2</v>
      </c>
      <c r="AN8" s="52" t="s">
        <v>60</v>
      </c>
      <c r="AO8" s="91" t="s">
        <v>231</v>
      </c>
      <c r="AP8" s="136">
        <f>B18</f>
        <v>1.04753425E-2</v>
      </c>
      <c r="AQ8" s="52" t="s">
        <v>60</v>
      </c>
      <c r="AR8" s="91" t="s">
        <v>231</v>
      </c>
      <c r="AS8" s="136">
        <f>B18</f>
        <v>1.04753425E-2</v>
      </c>
      <c r="AT8" s="52" t="s">
        <v>60</v>
      </c>
      <c r="AU8" s="91" t="s">
        <v>231</v>
      </c>
      <c r="AV8" s="136">
        <f>B18</f>
        <v>1.04753425E-2</v>
      </c>
      <c r="AW8" s="52" t="s">
        <v>60</v>
      </c>
      <c r="AX8" s="91" t="s">
        <v>231</v>
      </c>
      <c r="AY8" s="136">
        <f>B18</f>
        <v>1.04753425E-2</v>
      </c>
      <c r="AZ8" s="52" t="s">
        <v>60</v>
      </c>
      <c r="BA8" s="91" t="s">
        <v>231</v>
      </c>
      <c r="BB8" s="136">
        <f>B18</f>
        <v>1.04753425E-2</v>
      </c>
      <c r="BC8" s="52" t="s">
        <v>60</v>
      </c>
      <c r="BD8" s="91" t="s">
        <v>231</v>
      </c>
      <c r="BE8" s="136">
        <f>B18</f>
        <v>1.04753425E-2</v>
      </c>
      <c r="BF8" s="52" t="s">
        <v>60</v>
      </c>
      <c r="BG8" s="91" t="s">
        <v>231</v>
      </c>
      <c r="BH8" s="136">
        <f>B18</f>
        <v>1.04753425E-2</v>
      </c>
      <c r="BI8" s="52" t="s">
        <v>60</v>
      </c>
      <c r="BJ8" s="91" t="s">
        <v>231</v>
      </c>
      <c r="BK8" s="136">
        <f>B18</f>
        <v>1.04753425E-2</v>
      </c>
      <c r="BL8" s="52" t="s">
        <v>60</v>
      </c>
      <c r="BM8" s="91" t="s">
        <v>231</v>
      </c>
      <c r="BN8" s="136">
        <f>B18</f>
        <v>1.04753425E-2</v>
      </c>
      <c r="BO8" s="52" t="s">
        <v>60</v>
      </c>
      <c r="BP8" s="91" t="s">
        <v>231</v>
      </c>
      <c r="BQ8" s="136">
        <f>B18</f>
        <v>1.04753425E-2</v>
      </c>
      <c r="BR8" s="52" t="s">
        <v>60</v>
      </c>
      <c r="BS8" s="52" t="s">
        <v>140</v>
      </c>
      <c r="BT8" s="138">
        <f>B103</f>
        <v>75</v>
      </c>
      <c r="BU8" s="52" t="s">
        <v>24</v>
      </c>
      <c r="BV8" s="91" t="s">
        <v>257</v>
      </c>
      <c r="BW8" s="136">
        <f>B16</f>
        <v>7.02368E-3</v>
      </c>
      <c r="BX8" s="84" t="s">
        <v>259</v>
      </c>
      <c r="BY8" s="83" t="s">
        <v>269</v>
      </c>
      <c r="BZ8" s="136">
        <f>B10</f>
        <v>2.1295200000000002E-3</v>
      </c>
      <c r="CA8" s="83" t="s">
        <v>351</v>
      </c>
      <c r="CB8" s="91" t="s">
        <v>231</v>
      </c>
      <c r="CC8" s="136">
        <f>B18</f>
        <v>1.04753425E-2</v>
      </c>
      <c r="CD8" s="52" t="s">
        <v>60</v>
      </c>
      <c r="CE8" s="91" t="s">
        <v>231</v>
      </c>
      <c r="CF8" s="136">
        <f>B18</f>
        <v>1.04753425E-2</v>
      </c>
      <c r="CG8" s="52" t="s">
        <v>60</v>
      </c>
      <c r="CH8" s="91" t="s">
        <v>231</v>
      </c>
      <c r="CI8" s="136">
        <f>B18</f>
        <v>1.04753425E-2</v>
      </c>
      <c r="CJ8" s="52" t="s">
        <v>60</v>
      </c>
      <c r="CK8" s="52" t="s">
        <v>159</v>
      </c>
      <c r="CL8" s="162">
        <f>B128</f>
        <v>1</v>
      </c>
      <c r="CM8" s="52" t="s">
        <v>221</v>
      </c>
      <c r="CN8" s="84" t="s">
        <v>33</v>
      </c>
      <c r="CO8" s="136">
        <f>B32</f>
        <v>0</v>
      </c>
      <c r="CT8" s="83" t="s">
        <v>269</v>
      </c>
      <c r="CU8" s="136">
        <f>B10</f>
        <v>2.1295200000000002E-3</v>
      </c>
      <c r="CV8" s="83" t="s">
        <v>351</v>
      </c>
      <c r="CW8" s="52" t="s">
        <v>362</v>
      </c>
      <c r="CX8" s="138">
        <f>B169</f>
        <v>350</v>
      </c>
      <c r="CY8" s="52" t="s">
        <v>24</v>
      </c>
      <c r="CZ8" s="83" t="s">
        <v>270</v>
      </c>
      <c r="DA8" s="165">
        <f>B16</f>
        <v>7.02368E-3</v>
      </c>
      <c r="DB8" s="83" t="s">
        <v>259</v>
      </c>
      <c r="DC8" s="83" t="s">
        <v>516</v>
      </c>
      <c r="DD8" s="149">
        <f>(DD9*DD15*DD20)+(DD10*DD14*DD21)</f>
        <v>39585</v>
      </c>
      <c r="DE8" s="92" t="s">
        <v>347</v>
      </c>
      <c r="DF8" s="83" t="s">
        <v>36</v>
      </c>
      <c r="DG8" s="138">
        <f>B193</f>
        <v>3.62</v>
      </c>
      <c r="DH8" s="52" t="s">
        <v>37</v>
      </c>
      <c r="DI8" s="83" t="s">
        <v>393</v>
      </c>
      <c r="DJ8" s="138">
        <f>B35</f>
        <v>0.26</v>
      </c>
      <c r="DL8" s="83" t="s">
        <v>393</v>
      </c>
      <c r="DM8" s="138">
        <f>B35</f>
        <v>0.26</v>
      </c>
      <c r="DO8" s="83" t="s">
        <v>36</v>
      </c>
      <c r="DP8" s="138">
        <f>B193</f>
        <v>3.62</v>
      </c>
      <c r="DQ8" s="52" t="s">
        <v>37</v>
      </c>
      <c r="DR8" s="83" t="s">
        <v>147</v>
      </c>
      <c r="DS8" s="149">
        <f>(DS11*DS9*DS17)+(DS12*DS10*DS18)</f>
        <v>150914.75</v>
      </c>
      <c r="DT8" s="92" t="s">
        <v>347</v>
      </c>
      <c r="DU8" s="52" t="s">
        <v>518</v>
      </c>
      <c r="DV8" s="146">
        <f>B204</f>
        <v>1.03</v>
      </c>
      <c r="DW8" s="52" t="s">
        <v>286</v>
      </c>
      <c r="DX8" s="83" t="s">
        <v>392</v>
      </c>
      <c r="DY8" s="138">
        <f>B36</f>
        <v>0.25</v>
      </c>
      <c r="EA8" s="83" t="s">
        <v>392</v>
      </c>
      <c r="EB8" s="138">
        <f>B36</f>
        <v>0.25</v>
      </c>
      <c r="EC8" s="84"/>
      <c r="ED8" s="83" t="s">
        <v>392</v>
      </c>
      <c r="EE8" s="138">
        <f>B36</f>
        <v>0.25</v>
      </c>
      <c r="EF8" s="84"/>
      <c r="EG8" s="83" t="s">
        <v>519</v>
      </c>
      <c r="EH8" s="149">
        <f>(EH11*EH9*EH17)+(EH12*EH10*EH18)</f>
        <v>55060.25</v>
      </c>
      <c r="EI8" s="92" t="s">
        <v>347</v>
      </c>
      <c r="EJ8" s="83"/>
      <c r="EM8" s="83" t="s">
        <v>392</v>
      </c>
      <c r="EN8" s="138">
        <f>B36</f>
        <v>0.25</v>
      </c>
      <c r="EP8" s="83" t="s">
        <v>392</v>
      </c>
      <c r="EQ8" s="138">
        <f>B36</f>
        <v>0.25</v>
      </c>
      <c r="ER8" s="84"/>
      <c r="ES8" s="83" t="s">
        <v>392</v>
      </c>
      <c r="ET8" s="138">
        <f>B36</f>
        <v>0.25</v>
      </c>
      <c r="EU8" s="84"/>
      <c r="EV8" s="83" t="s">
        <v>520</v>
      </c>
      <c r="EW8" s="149">
        <f>(EW11*EW9*EW17)+(EW12*EW10*EW18)</f>
        <v>16461.375</v>
      </c>
      <c r="EX8" s="92" t="s">
        <v>347</v>
      </c>
      <c r="EY8" s="95"/>
      <c r="EZ8" s="176"/>
      <c r="FA8" s="83"/>
      <c r="FB8" s="83" t="s">
        <v>392</v>
      </c>
      <c r="FC8" s="142">
        <f>B36</f>
        <v>0.25</v>
      </c>
      <c r="FD8" s="83"/>
      <c r="FE8" s="83" t="s">
        <v>392</v>
      </c>
      <c r="FF8" s="142">
        <f>B36</f>
        <v>0.25</v>
      </c>
      <c r="FG8" s="83"/>
      <c r="FH8" s="83" t="s">
        <v>392</v>
      </c>
      <c r="FI8" s="142">
        <f>B36</f>
        <v>0.25</v>
      </c>
      <c r="FJ8" s="84"/>
      <c r="FK8" s="83" t="s">
        <v>521</v>
      </c>
      <c r="FL8" s="173">
        <f>(FL9*FL11*FL17)+(FL10*FL12*FL18)</f>
        <v>47953.5</v>
      </c>
      <c r="FM8" s="92" t="s">
        <v>347</v>
      </c>
      <c r="FN8" s="83"/>
      <c r="FO8" s="83"/>
      <c r="FP8" s="83"/>
      <c r="FQ8" s="83" t="s">
        <v>22</v>
      </c>
      <c r="FR8" s="137">
        <f>0.693/FR9</f>
        <v>66.155354824913829</v>
      </c>
      <c r="FT8" s="83"/>
      <c r="FU8" s="83"/>
      <c r="FV8" s="83"/>
      <c r="FZ8" s="83" t="s">
        <v>522</v>
      </c>
      <c r="GA8" s="173">
        <f>(GA11*GA9*GA17)+(GA10*GA12*GA18)</f>
        <v>32952.5</v>
      </c>
      <c r="GB8" s="92" t="s">
        <v>347</v>
      </c>
      <c r="GC8" s="95"/>
      <c r="GD8" s="176"/>
      <c r="GE8" s="83"/>
      <c r="GF8" s="83" t="s">
        <v>392</v>
      </c>
      <c r="GG8" s="142">
        <f>B36</f>
        <v>0.25</v>
      </c>
      <c r="GH8" s="83"/>
      <c r="GI8" s="83" t="s">
        <v>392</v>
      </c>
      <c r="GJ8" s="142">
        <f>B36</f>
        <v>0.25</v>
      </c>
      <c r="GK8" s="83"/>
      <c r="GL8" s="83" t="s">
        <v>392</v>
      </c>
      <c r="GM8" s="142">
        <f>B36</f>
        <v>0.25</v>
      </c>
      <c r="GN8" s="84"/>
      <c r="GO8" s="83" t="s">
        <v>523</v>
      </c>
      <c r="GP8" s="149">
        <f>(GP9*GP11*GP16)+(GP10*GP12*GP17)</f>
        <v>30096.5</v>
      </c>
      <c r="GQ8" s="92" t="s">
        <v>347</v>
      </c>
      <c r="GR8" s="95"/>
      <c r="GS8" s="176"/>
      <c r="GT8" s="83"/>
      <c r="GU8" s="83" t="s">
        <v>392</v>
      </c>
      <c r="GV8" s="142">
        <f>B36</f>
        <v>0.25</v>
      </c>
      <c r="GW8" s="83"/>
      <c r="GX8" s="83" t="s">
        <v>392</v>
      </c>
      <c r="GY8" s="142">
        <f>B36</f>
        <v>0.25</v>
      </c>
      <c r="GZ8" s="83"/>
      <c r="HA8" s="83" t="s">
        <v>392</v>
      </c>
      <c r="HB8" s="142">
        <f>B36</f>
        <v>0.25</v>
      </c>
      <c r="HC8" s="84"/>
      <c r="HD8" s="52" t="s">
        <v>16</v>
      </c>
      <c r="HE8" s="137">
        <f>1-EXP(-HE7*HE12)</f>
        <v>1</v>
      </c>
    </row>
    <row r="9" spans="1:214" x14ac:dyDescent="0.2">
      <c r="A9" s="83" t="s">
        <v>250</v>
      </c>
      <c r="B9" s="183">
        <v>0</v>
      </c>
      <c r="C9" s="83" t="s">
        <v>259</v>
      </c>
      <c r="D9" s="52" t="s">
        <v>379</v>
      </c>
      <c r="E9" s="138">
        <f>B53</f>
        <v>1</v>
      </c>
      <c r="F9" s="52" t="s">
        <v>146</v>
      </c>
      <c r="G9" s="83" t="s">
        <v>258</v>
      </c>
      <c r="H9" s="136">
        <f>B17</f>
        <v>0</v>
      </c>
      <c r="I9" s="92" t="s">
        <v>259</v>
      </c>
      <c r="J9" s="83" t="s">
        <v>258</v>
      </c>
      <c r="K9" s="136">
        <f>B17</f>
        <v>0</v>
      </c>
      <c r="L9" s="92" t="s">
        <v>259</v>
      </c>
      <c r="M9" s="52" t="s">
        <v>382</v>
      </c>
      <c r="N9" s="138">
        <f>B56</f>
        <v>350</v>
      </c>
      <c r="O9" s="52" t="s">
        <v>24</v>
      </c>
      <c r="P9" s="52" t="s">
        <v>382</v>
      </c>
      <c r="Q9" s="138">
        <f>B56</f>
        <v>350</v>
      </c>
      <c r="R9" s="52" t="s">
        <v>24</v>
      </c>
      <c r="S9" s="52" t="s">
        <v>382</v>
      </c>
      <c r="T9" s="138">
        <f>B56</f>
        <v>350</v>
      </c>
      <c r="U9" s="52" t="s">
        <v>24</v>
      </c>
      <c r="V9" s="52" t="s">
        <v>423</v>
      </c>
      <c r="W9" s="138">
        <f>B255</f>
        <v>225</v>
      </c>
      <c r="X9" s="52" t="s">
        <v>24</v>
      </c>
      <c r="Y9" s="52" t="s">
        <v>316</v>
      </c>
      <c r="Z9" s="138">
        <f>B231</f>
        <v>250</v>
      </c>
      <c r="AA9" s="52" t="s">
        <v>24</v>
      </c>
      <c r="AB9" s="83" t="s">
        <v>34</v>
      </c>
      <c r="AC9" s="146">
        <f>B232</f>
        <v>1</v>
      </c>
      <c r="AD9" s="146">
        <f>B244</f>
        <v>1</v>
      </c>
      <c r="AE9" s="146">
        <f>B256</f>
        <v>1</v>
      </c>
      <c r="AF9" s="146">
        <f>B268</f>
        <v>1</v>
      </c>
      <c r="AG9" s="146">
        <f>B292</f>
        <v>1</v>
      </c>
      <c r="AH9" s="83" t="s">
        <v>60</v>
      </c>
      <c r="AI9" s="52" t="s">
        <v>35</v>
      </c>
      <c r="AJ9" s="138">
        <f>B243</f>
        <v>250</v>
      </c>
      <c r="AK9" s="52" t="s">
        <v>24</v>
      </c>
      <c r="AL9" s="52" t="s">
        <v>35</v>
      </c>
      <c r="AM9" s="138">
        <f>B243</f>
        <v>250</v>
      </c>
      <c r="AN9" s="52" t="s">
        <v>24</v>
      </c>
      <c r="AO9" s="52" t="s">
        <v>35</v>
      </c>
      <c r="AP9" s="138">
        <f>B243</f>
        <v>250</v>
      </c>
      <c r="AQ9" s="52" t="s">
        <v>24</v>
      </c>
      <c r="AR9" s="52" t="s">
        <v>423</v>
      </c>
      <c r="AS9" s="138">
        <f>B255</f>
        <v>225</v>
      </c>
      <c r="AT9" s="52" t="s">
        <v>24</v>
      </c>
      <c r="AU9" s="52" t="s">
        <v>423</v>
      </c>
      <c r="AV9" s="138">
        <f>B255</f>
        <v>225</v>
      </c>
      <c r="AW9" s="52" t="s">
        <v>24</v>
      </c>
      <c r="AX9" s="52" t="s">
        <v>423</v>
      </c>
      <c r="AY9" s="138">
        <f>B255</f>
        <v>225</v>
      </c>
      <c r="AZ9" s="52" t="s">
        <v>24</v>
      </c>
      <c r="BA9" s="52" t="s">
        <v>316</v>
      </c>
      <c r="BB9" s="138">
        <f>B231</f>
        <v>250</v>
      </c>
      <c r="BC9" s="52" t="s">
        <v>24</v>
      </c>
      <c r="BD9" s="52" t="s">
        <v>316</v>
      </c>
      <c r="BE9" s="138">
        <f>B231</f>
        <v>250</v>
      </c>
      <c r="BF9" s="52" t="s">
        <v>24</v>
      </c>
      <c r="BG9" s="52" t="s">
        <v>316</v>
      </c>
      <c r="BH9" s="138">
        <f>B231</f>
        <v>250</v>
      </c>
      <c r="BI9" s="52" t="s">
        <v>24</v>
      </c>
      <c r="BJ9" s="52" t="s">
        <v>191</v>
      </c>
      <c r="BK9" s="138">
        <f>BK10*BK11</f>
        <v>250</v>
      </c>
      <c r="BL9" s="52" t="s">
        <v>24</v>
      </c>
      <c r="BM9" s="52" t="s">
        <v>191</v>
      </c>
      <c r="BN9" s="138">
        <f>BN10*BN11</f>
        <v>250</v>
      </c>
      <c r="BO9" s="52" t="s">
        <v>24</v>
      </c>
      <c r="BP9" s="52" t="s">
        <v>191</v>
      </c>
      <c r="BQ9" s="138">
        <f>BQ10*BQ11</f>
        <v>250</v>
      </c>
      <c r="BR9" s="52" t="s">
        <v>24</v>
      </c>
      <c r="BS9" s="52" t="s">
        <v>247</v>
      </c>
      <c r="BT9" s="139">
        <f>E11</f>
        <v>1.25E-4</v>
      </c>
      <c r="BU9" s="84" t="s">
        <v>259</v>
      </c>
      <c r="BV9" s="83" t="s">
        <v>258</v>
      </c>
      <c r="BW9" s="136">
        <f>B17</f>
        <v>0</v>
      </c>
      <c r="BX9" s="92" t="s">
        <v>259</v>
      </c>
      <c r="BY9" s="83" t="s">
        <v>77</v>
      </c>
      <c r="BZ9" s="136">
        <f>B19</f>
        <v>1359344473.5814338</v>
      </c>
      <c r="CA9" s="83" t="s">
        <v>78</v>
      </c>
      <c r="CB9" s="52" t="s">
        <v>140</v>
      </c>
      <c r="CC9" s="138">
        <f>B103</f>
        <v>75</v>
      </c>
      <c r="CD9" s="52" t="s">
        <v>24</v>
      </c>
      <c r="CE9" s="52" t="s">
        <v>140</v>
      </c>
      <c r="CF9" s="138">
        <f>B103</f>
        <v>75</v>
      </c>
      <c r="CG9" s="52" t="s">
        <v>24</v>
      </c>
      <c r="CH9" s="52" t="s">
        <v>140</v>
      </c>
      <c r="CI9" s="138">
        <f>B103</f>
        <v>75</v>
      </c>
      <c r="CJ9" s="52" t="s">
        <v>24</v>
      </c>
      <c r="CK9" s="84" t="s">
        <v>295</v>
      </c>
      <c r="CL9" s="142">
        <f>B302</f>
        <v>222.01757699999999</v>
      </c>
      <c r="CM9" s="84" t="s">
        <v>296</v>
      </c>
      <c r="CN9" s="84" t="s">
        <v>392</v>
      </c>
      <c r="CO9" s="162">
        <f>B36</f>
        <v>0.25</v>
      </c>
      <c r="CT9" s="83" t="s">
        <v>258</v>
      </c>
      <c r="CU9" s="136">
        <f>B17</f>
        <v>0</v>
      </c>
      <c r="CV9" s="92" t="s">
        <v>259</v>
      </c>
      <c r="CW9" s="52" t="s">
        <v>363</v>
      </c>
      <c r="CX9" s="138">
        <f>B170</f>
        <v>1</v>
      </c>
      <c r="CY9" s="52" t="s">
        <v>146</v>
      </c>
      <c r="CZ9" s="83" t="s">
        <v>258</v>
      </c>
      <c r="DA9" s="136">
        <f>B17</f>
        <v>0</v>
      </c>
      <c r="DB9" s="84" t="s">
        <v>259</v>
      </c>
      <c r="DC9" s="83" t="s">
        <v>513</v>
      </c>
      <c r="DD9" s="146">
        <f>B151</f>
        <v>41.7</v>
      </c>
      <c r="DE9" s="92" t="s">
        <v>221</v>
      </c>
      <c r="DF9" s="83" t="s">
        <v>40</v>
      </c>
      <c r="DG9" s="138">
        <f>B194</f>
        <v>0.25</v>
      </c>
      <c r="DH9" s="52" t="s">
        <v>41</v>
      </c>
      <c r="DI9" s="52" t="s">
        <v>350</v>
      </c>
      <c r="DJ9" s="164">
        <f>B170</f>
        <v>1</v>
      </c>
      <c r="DL9" s="95"/>
      <c r="DM9" s="176"/>
      <c r="DO9" s="83" t="s">
        <v>40</v>
      </c>
      <c r="DP9" s="138">
        <f>B194</f>
        <v>0.25</v>
      </c>
      <c r="DQ9" s="52" t="s">
        <v>41</v>
      </c>
      <c r="DR9" s="83" t="s">
        <v>452</v>
      </c>
      <c r="DS9" s="146">
        <f>B153</f>
        <v>349.5</v>
      </c>
      <c r="DT9" s="92" t="s">
        <v>221</v>
      </c>
      <c r="DU9" s="95"/>
      <c r="DV9" s="176"/>
      <c r="DX9" s="83" t="s">
        <v>517</v>
      </c>
      <c r="DY9" s="136">
        <f>B24</f>
        <v>0</v>
      </c>
      <c r="DZ9" s="52" t="s">
        <v>388</v>
      </c>
      <c r="EA9" s="83" t="s">
        <v>517</v>
      </c>
      <c r="EB9" s="136">
        <f>B24</f>
        <v>0</v>
      </c>
      <c r="EC9" s="52" t="s">
        <v>388</v>
      </c>
      <c r="ED9" s="83" t="s">
        <v>517</v>
      </c>
      <c r="EE9" s="136">
        <f>B24</f>
        <v>0</v>
      </c>
      <c r="EF9" s="52" t="s">
        <v>388</v>
      </c>
      <c r="EG9" s="83" t="s">
        <v>453</v>
      </c>
      <c r="EH9" s="170">
        <f>B155</f>
        <v>40.1</v>
      </c>
      <c r="EI9" s="92" t="s">
        <v>221</v>
      </c>
      <c r="EJ9" s="83"/>
      <c r="EM9" s="83" t="s">
        <v>236</v>
      </c>
      <c r="EN9" s="136">
        <f>B25</f>
        <v>0</v>
      </c>
      <c r="EO9" s="52" t="s">
        <v>388</v>
      </c>
      <c r="EP9" s="83" t="s">
        <v>236</v>
      </c>
      <c r="EQ9" s="169">
        <f>B25</f>
        <v>0</v>
      </c>
      <c r="ER9" s="52" t="s">
        <v>388</v>
      </c>
      <c r="ES9" s="83" t="s">
        <v>236</v>
      </c>
      <c r="ET9" s="169">
        <f>B25</f>
        <v>0</v>
      </c>
      <c r="EU9" s="52" t="s">
        <v>388</v>
      </c>
      <c r="EV9" s="83" t="s">
        <v>454</v>
      </c>
      <c r="EW9" s="171">
        <f>B157</f>
        <v>10.95</v>
      </c>
      <c r="EX9" s="92" t="s">
        <v>221</v>
      </c>
      <c r="EY9" s="83"/>
      <c r="EZ9" s="83"/>
      <c r="FA9" s="83"/>
      <c r="FB9" s="83" t="s">
        <v>171</v>
      </c>
      <c r="FC9" s="169">
        <f>B27</f>
        <v>0</v>
      </c>
      <c r="FD9" s="52" t="s">
        <v>388</v>
      </c>
      <c r="FE9" s="83" t="s">
        <v>171</v>
      </c>
      <c r="FF9" s="169">
        <f>B27</f>
        <v>0</v>
      </c>
      <c r="FG9" s="52" t="s">
        <v>388</v>
      </c>
      <c r="FH9" s="83" t="s">
        <v>171</v>
      </c>
      <c r="FI9" s="169">
        <f>B27</f>
        <v>0</v>
      </c>
      <c r="FJ9" s="52" t="s">
        <v>388</v>
      </c>
      <c r="FK9" s="83" t="s">
        <v>471</v>
      </c>
      <c r="FL9" s="150">
        <f>B159</f>
        <v>32.799999999999997</v>
      </c>
      <c r="FM9" s="92" t="s">
        <v>221</v>
      </c>
      <c r="FN9" s="83"/>
      <c r="FO9" s="83"/>
      <c r="FP9" s="83"/>
      <c r="FQ9" s="91" t="s">
        <v>231</v>
      </c>
      <c r="FR9" s="136">
        <f>B18</f>
        <v>1.04753425E-2</v>
      </c>
      <c r="FS9" s="52" t="s">
        <v>60</v>
      </c>
      <c r="FT9" s="83"/>
      <c r="FU9" s="93"/>
      <c r="FV9" s="83"/>
      <c r="FW9" s="83"/>
      <c r="FX9" s="93"/>
      <c r="FY9" s="83"/>
      <c r="FZ9" s="83" t="s">
        <v>473</v>
      </c>
      <c r="GA9" s="174">
        <f>B161</f>
        <v>23.6</v>
      </c>
      <c r="GB9" s="92" t="s">
        <v>221</v>
      </c>
      <c r="GC9" s="83"/>
      <c r="GD9" s="83"/>
      <c r="GE9" s="83"/>
      <c r="GF9" s="83" t="s">
        <v>237</v>
      </c>
      <c r="GG9" s="169">
        <f>B26</f>
        <v>0</v>
      </c>
      <c r="GH9" s="52" t="s">
        <v>388</v>
      </c>
      <c r="GI9" s="83" t="s">
        <v>237</v>
      </c>
      <c r="GJ9" s="169">
        <f>B26</f>
        <v>0</v>
      </c>
      <c r="GK9" s="52" t="s">
        <v>388</v>
      </c>
      <c r="GL9" s="83" t="s">
        <v>237</v>
      </c>
      <c r="GM9" s="169">
        <f>B26</f>
        <v>0</v>
      </c>
      <c r="GN9" s="52" t="s">
        <v>388</v>
      </c>
      <c r="GO9" s="83" t="s">
        <v>455</v>
      </c>
      <c r="GP9" s="150">
        <f>B163</f>
        <v>18.5</v>
      </c>
      <c r="GQ9" s="92" t="s">
        <v>221</v>
      </c>
      <c r="GR9" s="83"/>
      <c r="GS9" s="83"/>
      <c r="GT9" s="83"/>
      <c r="GU9" s="83" t="s">
        <v>238</v>
      </c>
      <c r="GV9" s="169">
        <f>B28</f>
        <v>0</v>
      </c>
      <c r="GW9" s="52" t="s">
        <v>388</v>
      </c>
      <c r="GX9" s="83" t="s">
        <v>238</v>
      </c>
      <c r="GY9" s="169">
        <f>B28</f>
        <v>0</v>
      </c>
      <c r="GZ9" s="52" t="s">
        <v>388</v>
      </c>
      <c r="HA9" s="83" t="s">
        <v>238</v>
      </c>
      <c r="HB9" s="169">
        <f>B28</f>
        <v>0</v>
      </c>
      <c r="HC9" s="52" t="s">
        <v>388</v>
      </c>
      <c r="HD9" s="91" t="s">
        <v>231</v>
      </c>
      <c r="HE9" s="136">
        <f>B18</f>
        <v>1.04753425E-2</v>
      </c>
      <c r="HF9" s="52" t="s">
        <v>60</v>
      </c>
    </row>
    <row r="10" spans="1:214" x14ac:dyDescent="0.2">
      <c r="A10" s="83" t="s">
        <v>269</v>
      </c>
      <c r="B10" s="179">
        <v>2.1295200000000002E-3</v>
      </c>
      <c r="C10" s="83" t="s">
        <v>351</v>
      </c>
      <c r="D10" s="52" t="s">
        <v>92</v>
      </c>
      <c r="E10" s="138">
        <f>E9</f>
        <v>1</v>
      </c>
      <c r="G10" s="83" t="s">
        <v>260</v>
      </c>
      <c r="H10" s="143" t="e">
        <f>(H5/(H6*H15))</f>
        <v>#DIV/0!</v>
      </c>
      <c r="I10" s="92" t="s">
        <v>11</v>
      </c>
      <c r="J10" s="83" t="s">
        <v>77</v>
      </c>
      <c r="K10" s="136">
        <f>B19</f>
        <v>1359344473.5814338</v>
      </c>
      <c r="L10" s="83" t="s">
        <v>78</v>
      </c>
      <c r="M10" s="52" t="s">
        <v>379</v>
      </c>
      <c r="N10" s="138">
        <f>B53</f>
        <v>1</v>
      </c>
      <c r="O10" s="52" t="s">
        <v>146</v>
      </c>
      <c r="P10" s="52" t="s">
        <v>379</v>
      </c>
      <c r="Q10" s="138">
        <f>B53</f>
        <v>1</v>
      </c>
      <c r="R10" s="52" t="s">
        <v>146</v>
      </c>
      <c r="S10" s="52" t="s">
        <v>379</v>
      </c>
      <c r="T10" s="138">
        <f>B53</f>
        <v>1</v>
      </c>
      <c r="U10" s="52" t="s">
        <v>146</v>
      </c>
      <c r="V10" s="52" t="s">
        <v>424</v>
      </c>
      <c r="W10" s="138">
        <f>B256</f>
        <v>1</v>
      </c>
      <c r="X10" s="52" t="s">
        <v>146</v>
      </c>
      <c r="Y10" s="52" t="s">
        <v>422</v>
      </c>
      <c r="Z10" s="138">
        <f>B232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B277</f>
        <v>5</v>
      </c>
      <c r="AG10" s="146">
        <f>B300</f>
        <v>5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B244</f>
        <v>1</v>
      </c>
      <c r="AN10" s="52" t="s">
        <v>146</v>
      </c>
      <c r="AO10" s="52" t="s">
        <v>420</v>
      </c>
      <c r="AP10" s="138">
        <f>B244</f>
        <v>1</v>
      </c>
      <c r="AQ10" s="52" t="s">
        <v>146</v>
      </c>
      <c r="AR10" s="52" t="s">
        <v>424</v>
      </c>
      <c r="AS10" s="138">
        <f>B256</f>
        <v>1</v>
      </c>
      <c r="AT10" s="52" t="s">
        <v>146</v>
      </c>
      <c r="AU10" s="52" t="s">
        <v>424</v>
      </c>
      <c r="AV10" s="138">
        <f>B256</f>
        <v>1</v>
      </c>
      <c r="AW10" s="52" t="s">
        <v>146</v>
      </c>
      <c r="AX10" s="52" t="s">
        <v>424</v>
      </c>
      <c r="AY10" s="138">
        <f>B256</f>
        <v>1</v>
      </c>
      <c r="AZ10" s="52" t="s">
        <v>146</v>
      </c>
      <c r="BA10" s="52" t="s">
        <v>422</v>
      </c>
      <c r="BB10" s="138">
        <f>B232</f>
        <v>1</v>
      </c>
      <c r="BC10" s="52" t="s">
        <v>146</v>
      </c>
      <c r="BD10" s="52" t="s">
        <v>422</v>
      </c>
      <c r="BE10" s="138">
        <f>B232</f>
        <v>1</v>
      </c>
      <c r="BF10" s="52" t="s">
        <v>146</v>
      </c>
      <c r="BG10" s="52" t="s">
        <v>422</v>
      </c>
      <c r="BH10" s="138">
        <f>B232</f>
        <v>1</v>
      </c>
      <c r="BI10" s="52" t="s">
        <v>146</v>
      </c>
      <c r="BJ10" s="52" t="s">
        <v>220</v>
      </c>
      <c r="BK10" s="138">
        <f>B278</f>
        <v>50</v>
      </c>
      <c r="BL10" s="52" t="s">
        <v>113</v>
      </c>
      <c r="BM10" s="52" t="s">
        <v>220</v>
      </c>
      <c r="BN10" s="138">
        <f>B278</f>
        <v>50</v>
      </c>
      <c r="BO10" s="52" t="s">
        <v>113</v>
      </c>
      <c r="BP10" s="52" t="s">
        <v>220</v>
      </c>
      <c r="BQ10" s="138">
        <f>B278</f>
        <v>50</v>
      </c>
      <c r="BR10" s="52" t="s">
        <v>113</v>
      </c>
      <c r="BS10" s="83" t="s">
        <v>428</v>
      </c>
      <c r="BT10" s="149">
        <f>(BT22*BT13*(1/24)*BT11*BT25)+(BT23*BT14*(1/24)*BT12*BT26)</f>
        <v>55.3125</v>
      </c>
      <c r="BU10" s="52" t="s">
        <v>426</v>
      </c>
      <c r="BV10" s="83" t="s">
        <v>260</v>
      </c>
      <c r="BW10" s="143" t="e">
        <f>(BW5/(BW6*BW13))*BW32*BW33*BW34</f>
        <v>#DIV/0!</v>
      </c>
      <c r="BX10" s="92" t="s">
        <v>13</v>
      </c>
      <c r="BY10" s="84" t="s">
        <v>16</v>
      </c>
      <c r="BZ10" s="137">
        <f>(BZ30*BZ11)/(1-EXP(-BZ11*BZ30))</f>
        <v>66.155354824913829</v>
      </c>
      <c r="CB10" s="52" t="s">
        <v>51</v>
      </c>
      <c r="CC10" s="138">
        <f>B117</f>
        <v>1</v>
      </c>
      <c r="CD10" s="52" t="s">
        <v>146</v>
      </c>
      <c r="CE10" s="52" t="s">
        <v>51</v>
      </c>
      <c r="CF10" s="138">
        <f>B117</f>
        <v>1</v>
      </c>
      <c r="CG10" s="52" t="s">
        <v>146</v>
      </c>
      <c r="CH10" s="52" t="s">
        <v>51</v>
      </c>
      <c r="CI10" s="138">
        <f>B117</f>
        <v>1</v>
      </c>
      <c r="CJ10" s="52" t="s">
        <v>146</v>
      </c>
      <c r="CK10" s="84" t="s">
        <v>293</v>
      </c>
      <c r="CL10" s="161">
        <f>B304</f>
        <v>2.8000000000000002E-12</v>
      </c>
      <c r="CM10" s="84"/>
      <c r="CN10" s="84" t="s">
        <v>164</v>
      </c>
      <c r="CO10" s="162">
        <f>B129</f>
        <v>1</v>
      </c>
      <c r="CP10" s="52" t="s">
        <v>246</v>
      </c>
      <c r="CT10" s="83" t="s">
        <v>77</v>
      </c>
      <c r="CU10" s="136">
        <f>B19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66.155354824913829</v>
      </c>
      <c r="DC10" s="83" t="s">
        <v>514</v>
      </c>
      <c r="DD10" s="146">
        <f>B152</f>
        <v>125.7</v>
      </c>
      <c r="DE10" s="92" t="s">
        <v>221</v>
      </c>
      <c r="DF10" s="92" t="s">
        <v>32</v>
      </c>
      <c r="DG10" s="136">
        <f>B31</f>
        <v>0</v>
      </c>
      <c r="DI10" s="83" t="s">
        <v>22</v>
      </c>
      <c r="DJ10" s="137">
        <f>0.693/DJ11</f>
        <v>66.155354824913829</v>
      </c>
      <c r="DL10" s="92"/>
      <c r="DO10" s="92" t="s">
        <v>32</v>
      </c>
      <c r="DP10" s="136">
        <f>B31</f>
        <v>0</v>
      </c>
      <c r="DR10" s="83" t="s">
        <v>461</v>
      </c>
      <c r="DS10" s="146">
        <f>B154</f>
        <v>445.6</v>
      </c>
      <c r="DT10" s="92" t="s">
        <v>221</v>
      </c>
      <c r="DU10" s="92"/>
      <c r="DX10" s="83" t="s">
        <v>498</v>
      </c>
      <c r="DY10" s="138">
        <f>B205</f>
        <v>20.3</v>
      </c>
      <c r="DZ10" s="52" t="s">
        <v>246</v>
      </c>
      <c r="EA10" s="83" t="s">
        <v>498</v>
      </c>
      <c r="EB10" s="138">
        <f>B205</f>
        <v>20.3</v>
      </c>
      <c r="EC10" s="52" t="s">
        <v>246</v>
      </c>
      <c r="ED10" s="83" t="s">
        <v>498</v>
      </c>
      <c r="EE10" s="138">
        <f>B205</f>
        <v>20.3</v>
      </c>
      <c r="EF10" s="52" t="s">
        <v>246</v>
      </c>
      <c r="EG10" s="83" t="s">
        <v>462</v>
      </c>
      <c r="EH10" s="170">
        <f>B156</f>
        <v>178</v>
      </c>
      <c r="EI10" s="92" t="s">
        <v>221</v>
      </c>
      <c r="EJ10" s="92"/>
      <c r="EM10" s="83" t="s">
        <v>494</v>
      </c>
      <c r="EN10" s="138">
        <f>B210</f>
        <v>11.77</v>
      </c>
      <c r="EO10" s="52" t="s">
        <v>246</v>
      </c>
      <c r="EP10" s="83" t="s">
        <v>494</v>
      </c>
      <c r="EQ10" s="138">
        <f>B210</f>
        <v>11.77</v>
      </c>
      <c r="ER10" s="52" t="s">
        <v>246</v>
      </c>
      <c r="ES10" s="83" t="s">
        <v>494</v>
      </c>
      <c r="ET10" s="138">
        <f>B210</f>
        <v>11.77</v>
      </c>
      <c r="EU10" s="52" t="s">
        <v>246</v>
      </c>
      <c r="EV10" s="83" t="s">
        <v>463</v>
      </c>
      <c r="EW10" s="170">
        <f>B158</f>
        <v>53.4</v>
      </c>
      <c r="EX10" s="92" t="s">
        <v>221</v>
      </c>
      <c r="EY10" s="83"/>
      <c r="EZ10" s="83"/>
      <c r="FA10" s="83"/>
      <c r="FB10" s="83" t="s">
        <v>152</v>
      </c>
      <c r="FC10" s="142">
        <f>B215</f>
        <v>0.2</v>
      </c>
      <c r="FD10" s="52" t="s">
        <v>246</v>
      </c>
      <c r="FE10" s="83" t="s">
        <v>152</v>
      </c>
      <c r="FF10" s="142">
        <f>B215</f>
        <v>0.2</v>
      </c>
      <c r="FG10" s="52" t="s">
        <v>246</v>
      </c>
      <c r="FH10" s="83" t="s">
        <v>152</v>
      </c>
      <c r="FI10" s="142">
        <f>B215</f>
        <v>0.2</v>
      </c>
      <c r="FJ10" s="52" t="s">
        <v>246</v>
      </c>
      <c r="FK10" s="83" t="s">
        <v>472</v>
      </c>
      <c r="FL10" s="150">
        <f>B160</f>
        <v>155.4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66.155354824913829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B162</f>
        <v>106.6</v>
      </c>
      <c r="GB10" s="92" t="s">
        <v>221</v>
      </c>
      <c r="GC10" s="83"/>
      <c r="GD10" s="83"/>
      <c r="GE10" s="83"/>
      <c r="GF10" s="83" t="s">
        <v>486</v>
      </c>
      <c r="GG10" s="142">
        <f>B220</f>
        <v>0.2</v>
      </c>
      <c r="GH10" s="52" t="s">
        <v>246</v>
      </c>
      <c r="GI10" s="83" t="s">
        <v>486</v>
      </c>
      <c r="GJ10" s="142">
        <f>B220</f>
        <v>0.2</v>
      </c>
      <c r="GK10" s="52" t="s">
        <v>246</v>
      </c>
      <c r="GL10" s="83" t="s">
        <v>486</v>
      </c>
      <c r="GM10" s="142">
        <f>B220</f>
        <v>0.2</v>
      </c>
      <c r="GN10" s="52" t="s">
        <v>246</v>
      </c>
      <c r="GO10" s="83" t="s">
        <v>464</v>
      </c>
      <c r="GP10" s="150">
        <f>B164</f>
        <v>97.9</v>
      </c>
      <c r="GQ10" s="92" t="s">
        <v>221</v>
      </c>
      <c r="GR10" s="83"/>
      <c r="GS10" s="83"/>
      <c r="GT10" s="83"/>
      <c r="GU10" s="83" t="s">
        <v>490</v>
      </c>
      <c r="GV10" s="142">
        <f>B225</f>
        <v>4.7</v>
      </c>
      <c r="GW10" s="52" t="s">
        <v>246</v>
      </c>
      <c r="GX10" s="83" t="s">
        <v>490</v>
      </c>
      <c r="GY10" s="142">
        <f>B225</f>
        <v>4.7</v>
      </c>
      <c r="GZ10" s="52" t="s">
        <v>246</v>
      </c>
      <c r="HA10" s="83" t="s">
        <v>490</v>
      </c>
      <c r="HB10" s="142">
        <f>B225</f>
        <v>4.7</v>
      </c>
      <c r="HC10" s="52" t="s">
        <v>246</v>
      </c>
      <c r="HD10" s="84" t="s">
        <v>38</v>
      </c>
      <c r="HE10" s="163">
        <f>B83</f>
        <v>0.3</v>
      </c>
    </row>
    <row r="11" spans="1:214" x14ac:dyDescent="0.2">
      <c r="A11" s="83" t="s">
        <v>252</v>
      </c>
      <c r="B11" s="183">
        <v>4.3486799999999998E-4</v>
      </c>
      <c r="C11" s="83" t="s">
        <v>352</v>
      </c>
      <c r="D11" s="52" t="s">
        <v>247</v>
      </c>
      <c r="E11" s="139">
        <f>B6</f>
        <v>1.25E-4</v>
      </c>
      <c r="F11" s="84" t="s">
        <v>259</v>
      </c>
      <c r="G11" s="83" t="s">
        <v>261</v>
      </c>
      <c r="H11" s="144">
        <f>(H5/(H7*H16*H28))</f>
        <v>2.5827280064568199</v>
      </c>
      <c r="I11" s="92" t="s">
        <v>11</v>
      </c>
      <c r="J11" s="84" t="s">
        <v>16</v>
      </c>
      <c r="K11" s="137">
        <f>(K43*K12)/(1-EXP(-K12*K43))</f>
        <v>66.155354824913829</v>
      </c>
      <c r="M11" s="52" t="s">
        <v>299</v>
      </c>
      <c r="N11" s="138">
        <f>B61</f>
        <v>0.4</v>
      </c>
      <c r="P11" s="52" t="s">
        <v>299</v>
      </c>
      <c r="Q11" s="138">
        <f>B61</f>
        <v>0.4</v>
      </c>
      <c r="S11" s="52" t="s">
        <v>299</v>
      </c>
      <c r="T11" s="138">
        <f>B61</f>
        <v>0.4</v>
      </c>
      <c r="V11" s="52" t="s">
        <v>247</v>
      </c>
      <c r="W11" s="139">
        <f>B6</f>
        <v>1.25E-4</v>
      </c>
      <c r="X11" s="84" t="s">
        <v>39</v>
      </c>
      <c r="Y11" s="52" t="s">
        <v>247</v>
      </c>
      <c r="Z11" s="139">
        <f>B6</f>
        <v>1.25E-4</v>
      </c>
      <c r="AA11" s="84" t="s">
        <v>39</v>
      </c>
      <c r="AB11" s="83" t="s">
        <v>220</v>
      </c>
      <c r="AC11" s="146"/>
      <c r="AD11" s="146"/>
      <c r="AE11" s="146"/>
      <c r="AF11" s="146">
        <f>B278</f>
        <v>50</v>
      </c>
      <c r="AG11" s="146">
        <f>B301</f>
        <v>50</v>
      </c>
      <c r="AH11" s="83" t="s">
        <v>113</v>
      </c>
      <c r="AI11" s="52" t="s">
        <v>299</v>
      </c>
      <c r="AJ11" s="138">
        <f>B248</f>
        <v>0.4</v>
      </c>
      <c r="AL11" s="52" t="s">
        <v>299</v>
      </c>
      <c r="AM11" s="138">
        <f>B248</f>
        <v>0.4</v>
      </c>
      <c r="AO11" s="52" t="s">
        <v>299</v>
      </c>
      <c r="AP11" s="138">
        <f>B248</f>
        <v>0.4</v>
      </c>
      <c r="AR11" s="52" t="s">
        <v>299</v>
      </c>
      <c r="AS11" s="138">
        <f>B260</f>
        <v>0.4</v>
      </c>
      <c r="AU11" s="52" t="s">
        <v>299</v>
      </c>
      <c r="AV11" s="138">
        <f>B260</f>
        <v>0.4</v>
      </c>
      <c r="AX11" s="52" t="s">
        <v>299</v>
      </c>
      <c r="AY11" s="138">
        <f>B260</f>
        <v>0.4</v>
      </c>
      <c r="BA11" s="52" t="s">
        <v>299</v>
      </c>
      <c r="BB11" s="138">
        <f>B236</f>
        <v>0.4</v>
      </c>
      <c r="BD11" s="52" t="s">
        <v>299</v>
      </c>
      <c r="BE11" s="138">
        <f>B236</f>
        <v>0.4</v>
      </c>
      <c r="BG11" s="52" t="s">
        <v>299</v>
      </c>
      <c r="BH11" s="138">
        <f>B236</f>
        <v>0.4</v>
      </c>
      <c r="BJ11" s="52" t="s">
        <v>219</v>
      </c>
      <c r="BK11" s="138">
        <f>B277</f>
        <v>5</v>
      </c>
      <c r="BL11" s="52" t="s">
        <v>112</v>
      </c>
      <c r="BM11" s="52" t="s">
        <v>219</v>
      </c>
      <c r="BN11" s="138">
        <f>B277</f>
        <v>5</v>
      </c>
      <c r="BO11" s="52" t="s">
        <v>112</v>
      </c>
      <c r="BP11" s="52" t="s">
        <v>219</v>
      </c>
      <c r="BQ11" s="138">
        <f>B277</f>
        <v>5</v>
      </c>
      <c r="BR11" s="52" t="s">
        <v>112</v>
      </c>
      <c r="BS11" s="83" t="s">
        <v>429</v>
      </c>
      <c r="BT11" s="141">
        <f>B93</f>
        <v>10</v>
      </c>
      <c r="BU11" s="92" t="s">
        <v>407</v>
      </c>
      <c r="BV11" s="83" t="s">
        <v>261</v>
      </c>
      <c r="BW11" s="159"/>
      <c r="BX11" s="92" t="s">
        <v>13</v>
      </c>
      <c r="BY11" s="83" t="s">
        <v>22</v>
      </c>
      <c r="BZ11" s="137">
        <f>0.693/BZ12</f>
        <v>66.155354824913829</v>
      </c>
      <c r="CB11" s="52" t="s">
        <v>300</v>
      </c>
      <c r="CC11" s="138">
        <f>B118</f>
        <v>2.41E-4</v>
      </c>
      <c r="CE11" s="52" t="s">
        <v>300</v>
      </c>
      <c r="CF11" s="138">
        <f>B120</f>
        <v>1.17E-4</v>
      </c>
      <c r="CH11" s="52" t="s">
        <v>300</v>
      </c>
      <c r="CI11" s="138">
        <f>B124</f>
        <v>2.2599999999999999E-4</v>
      </c>
      <c r="CN11" s="84" t="s">
        <v>161</v>
      </c>
      <c r="CO11" s="162">
        <f>B130</f>
        <v>1</v>
      </c>
      <c r="CP11" s="52" t="s">
        <v>246</v>
      </c>
      <c r="CT11" s="84" t="s">
        <v>16</v>
      </c>
      <c r="CU11" s="137">
        <f>(CU43*CU12)/(1-EXP(-CU12*CU43))</f>
        <v>66.155354824913829</v>
      </c>
      <c r="CW11" s="52" t="s">
        <v>247</v>
      </c>
      <c r="CX11" s="139">
        <f>B6</f>
        <v>1.25E-4</v>
      </c>
      <c r="CY11" s="84" t="s">
        <v>259</v>
      </c>
      <c r="CZ11" s="83" t="s">
        <v>22</v>
      </c>
      <c r="DA11" s="137">
        <f>0.693/DA12</f>
        <v>66.155354824913829</v>
      </c>
      <c r="DC11" s="83" t="s">
        <v>515</v>
      </c>
      <c r="DD11" s="149">
        <f>(DD12*DD15*DD20)+(DD13*DD14*DD21)</f>
        <v>56173.250000000007</v>
      </c>
      <c r="DE11" s="92" t="s">
        <v>347</v>
      </c>
      <c r="DF11" s="92" t="s">
        <v>49</v>
      </c>
      <c r="DG11" s="137">
        <f>DG19+DG20</f>
        <v>0.18127454746551735</v>
      </c>
      <c r="DI11" s="91" t="s">
        <v>231</v>
      </c>
      <c r="DJ11" s="136">
        <f>B18</f>
        <v>1.04753425E-2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B168</f>
        <v>350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B168</f>
        <v>350</v>
      </c>
      <c r="EI11" s="83" t="s">
        <v>24</v>
      </c>
      <c r="EJ11" s="92"/>
      <c r="EM11" s="83" t="s">
        <v>495</v>
      </c>
      <c r="EN11" s="138">
        <f>B211</f>
        <v>0.5</v>
      </c>
      <c r="EO11" s="52" t="s">
        <v>246</v>
      </c>
      <c r="EP11" s="83" t="s">
        <v>495</v>
      </c>
      <c r="EQ11" s="138">
        <f>B211</f>
        <v>0.5</v>
      </c>
      <c r="ER11" s="52" t="s">
        <v>246</v>
      </c>
      <c r="ES11" s="83" t="s">
        <v>495</v>
      </c>
      <c r="ET11" s="138">
        <f>B211</f>
        <v>0.5</v>
      </c>
      <c r="EU11" s="52" t="s">
        <v>246</v>
      </c>
      <c r="EV11" s="83" t="s">
        <v>456</v>
      </c>
      <c r="EW11" s="150">
        <f>B168</f>
        <v>350</v>
      </c>
      <c r="EX11" s="83" t="s">
        <v>24</v>
      </c>
      <c r="EY11" s="83"/>
      <c r="EZ11" s="83"/>
      <c r="FA11" s="83"/>
      <c r="FB11" s="83" t="s">
        <v>151</v>
      </c>
      <c r="FC11" s="142">
        <f>B216</f>
        <v>2.1999999999999999E-2</v>
      </c>
      <c r="FD11" s="52" t="s">
        <v>246</v>
      </c>
      <c r="FE11" s="83" t="s">
        <v>151</v>
      </c>
      <c r="FF11" s="142">
        <f>B216</f>
        <v>2.1999999999999999E-2</v>
      </c>
      <c r="FG11" s="52" t="s">
        <v>246</v>
      </c>
      <c r="FH11" s="83" t="s">
        <v>151</v>
      </c>
      <c r="FI11" s="142">
        <f>B216</f>
        <v>2.1999999999999999E-2</v>
      </c>
      <c r="FJ11" s="52" t="s">
        <v>246</v>
      </c>
      <c r="FK11" s="83" t="s">
        <v>456</v>
      </c>
      <c r="FL11" s="150">
        <f>B168</f>
        <v>350</v>
      </c>
      <c r="FM11" s="83" t="s">
        <v>24</v>
      </c>
      <c r="FN11" s="83"/>
      <c r="FO11" s="83"/>
      <c r="FP11" s="83"/>
      <c r="FQ11" s="95"/>
      <c r="FR11" s="176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B168</f>
        <v>350</v>
      </c>
      <c r="GB11" s="83" t="s">
        <v>24</v>
      </c>
      <c r="GC11" s="83"/>
      <c r="GD11" s="83"/>
      <c r="GE11" s="83"/>
      <c r="GF11" s="83" t="s">
        <v>487</v>
      </c>
      <c r="GG11" s="142">
        <f>B221</f>
        <v>2.1999999999999999E-2</v>
      </c>
      <c r="GH11" s="52" t="s">
        <v>246</v>
      </c>
      <c r="GI11" s="83" t="s">
        <v>487</v>
      </c>
      <c r="GJ11" s="142">
        <f>B221</f>
        <v>2.1999999999999999E-2</v>
      </c>
      <c r="GK11" s="52" t="s">
        <v>246</v>
      </c>
      <c r="GL11" s="83" t="s">
        <v>487</v>
      </c>
      <c r="GM11" s="142">
        <f>B221</f>
        <v>2.1999999999999999E-2</v>
      </c>
      <c r="GN11" s="52" t="s">
        <v>246</v>
      </c>
      <c r="GO11" s="83" t="s">
        <v>456</v>
      </c>
      <c r="GP11" s="150">
        <f>B168</f>
        <v>350</v>
      </c>
      <c r="GQ11" s="83" t="s">
        <v>24</v>
      </c>
      <c r="GR11" s="83"/>
      <c r="GS11" s="83"/>
      <c r="GT11" s="83"/>
      <c r="GU11" s="83" t="s">
        <v>491</v>
      </c>
      <c r="GV11" s="142">
        <f>B226</f>
        <v>0.37</v>
      </c>
      <c r="GW11" s="52" t="s">
        <v>246</v>
      </c>
      <c r="GX11" s="83" t="s">
        <v>491</v>
      </c>
      <c r="GY11" s="142">
        <f>B226</f>
        <v>0.37</v>
      </c>
      <c r="GZ11" s="52" t="s">
        <v>246</v>
      </c>
      <c r="HA11" s="83" t="s">
        <v>491</v>
      </c>
      <c r="HB11" s="142">
        <f>B226</f>
        <v>0.37</v>
      </c>
      <c r="HC11" s="52" t="s">
        <v>246</v>
      </c>
      <c r="HD11" s="84" t="s">
        <v>42</v>
      </c>
      <c r="HE11" s="150">
        <f>B84</f>
        <v>1.5</v>
      </c>
    </row>
    <row r="12" spans="1:214" x14ac:dyDescent="0.2">
      <c r="A12" s="83" t="s">
        <v>253</v>
      </c>
      <c r="B12" s="183">
        <v>4.4084799999999998E-4</v>
      </c>
      <c r="C12" s="83" t="s">
        <v>351</v>
      </c>
      <c r="D12" s="83" t="s">
        <v>43</v>
      </c>
      <c r="E12" s="140">
        <f>((E15/E16)*E23*E13*E25)+((E15/E16)*E24*E14*E26)</f>
        <v>6195</v>
      </c>
      <c r="F12" s="52" t="s">
        <v>426</v>
      </c>
      <c r="G12" s="83" t="s">
        <v>266</v>
      </c>
      <c r="H12" s="144">
        <f>(H5/(H8*(1/H43)*H21))</f>
        <v>5311.4555716866753</v>
      </c>
      <c r="I12" s="92" t="s">
        <v>11</v>
      </c>
      <c r="J12" s="83" t="s">
        <v>22</v>
      </c>
      <c r="K12" s="137">
        <f>0.693/K13</f>
        <v>66.155354824913829</v>
      </c>
      <c r="M12" s="52" t="s">
        <v>300</v>
      </c>
      <c r="N12" s="138">
        <f>B62</f>
        <v>1</v>
      </c>
      <c r="P12" s="52" t="s">
        <v>300</v>
      </c>
      <c r="Q12" s="138">
        <f>B62</f>
        <v>1</v>
      </c>
      <c r="S12" s="52" t="s">
        <v>300</v>
      </c>
      <c r="T12" s="138">
        <f>B62</f>
        <v>1</v>
      </c>
      <c r="V12" s="52" t="s">
        <v>44</v>
      </c>
      <c r="W12" s="150">
        <f>B262</f>
        <v>8</v>
      </c>
      <c r="X12" s="84" t="s">
        <v>194</v>
      </c>
      <c r="Y12" s="52" t="s">
        <v>44</v>
      </c>
      <c r="Z12" s="150">
        <f>B239</f>
        <v>8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B274</f>
        <v>8</v>
      </c>
      <c r="AG12" s="150">
        <f>B297</f>
        <v>8</v>
      </c>
      <c r="AH12" s="83" t="s">
        <v>194</v>
      </c>
      <c r="AI12" s="52" t="s">
        <v>300</v>
      </c>
      <c r="AJ12" s="138">
        <f>B235</f>
        <v>1</v>
      </c>
      <c r="AL12" s="52" t="s">
        <v>300</v>
      </c>
      <c r="AM12" s="138">
        <f>B235</f>
        <v>1</v>
      </c>
      <c r="AO12" s="52" t="s">
        <v>300</v>
      </c>
      <c r="AP12" s="138">
        <f>B247</f>
        <v>1</v>
      </c>
      <c r="AR12" s="52" t="s">
        <v>300</v>
      </c>
      <c r="AS12" s="138">
        <f>B259</f>
        <v>1</v>
      </c>
      <c r="AU12" s="52" t="s">
        <v>300</v>
      </c>
      <c r="AV12" s="138">
        <f>B259</f>
        <v>1</v>
      </c>
      <c r="AX12" s="52" t="s">
        <v>300</v>
      </c>
      <c r="AY12" s="138">
        <f>B259</f>
        <v>1</v>
      </c>
      <c r="BA12" s="52" t="s">
        <v>300</v>
      </c>
      <c r="BB12" s="138">
        <f>B235</f>
        <v>1</v>
      </c>
      <c r="BD12" s="52" t="s">
        <v>300</v>
      </c>
      <c r="BE12" s="138">
        <f>B235</f>
        <v>1</v>
      </c>
      <c r="BG12" s="52" t="s">
        <v>300</v>
      </c>
      <c r="BH12" s="138">
        <f>B235</f>
        <v>1</v>
      </c>
      <c r="BJ12" s="52" t="s">
        <v>158</v>
      </c>
      <c r="BK12" s="138">
        <f>B268</f>
        <v>1</v>
      </c>
      <c r="BL12" s="52" t="s">
        <v>146</v>
      </c>
      <c r="BM12" s="52" t="s">
        <v>158</v>
      </c>
      <c r="BN12" s="138">
        <f>B268</f>
        <v>1</v>
      </c>
      <c r="BO12" s="52" t="s">
        <v>146</v>
      </c>
      <c r="BP12" s="52" t="s">
        <v>158</v>
      </c>
      <c r="BQ12" s="138">
        <f>B268</f>
        <v>1</v>
      </c>
      <c r="BR12" s="52" t="s">
        <v>146</v>
      </c>
      <c r="BS12" s="83" t="s">
        <v>430</v>
      </c>
      <c r="BT12" s="141">
        <f>B94</f>
        <v>20</v>
      </c>
      <c r="BU12" s="92" t="s">
        <v>407</v>
      </c>
      <c r="BV12" s="83" t="s">
        <v>266</v>
      </c>
      <c r="BW12" s="145">
        <f>(BW5/(BW8*(1/BW29)*BW16))*BW32*BW33*BW34</f>
        <v>1.8048474369502143E-10</v>
      </c>
      <c r="BX12" s="92" t="s">
        <v>13</v>
      </c>
      <c r="BY12" s="91" t="s">
        <v>231</v>
      </c>
      <c r="BZ12" s="136">
        <f>B18</f>
        <v>1.04753425E-2</v>
      </c>
      <c r="CA12" s="52" t="s">
        <v>60</v>
      </c>
      <c r="CB12" s="52" t="s">
        <v>413</v>
      </c>
      <c r="CC12" s="138">
        <f>B119</f>
        <v>0.753</v>
      </c>
      <c r="CE12" s="52" t="s">
        <v>414</v>
      </c>
      <c r="CF12" s="138">
        <f>B121</f>
        <v>0.74299999999999999</v>
      </c>
      <c r="CH12" s="52" t="s">
        <v>416</v>
      </c>
      <c r="CI12" s="138">
        <f>B125</f>
        <v>0.66200000000000003</v>
      </c>
      <c r="CN12" s="84" t="s">
        <v>162</v>
      </c>
      <c r="CO12" s="162">
        <f>B131</f>
        <v>1</v>
      </c>
      <c r="CP12" s="52" t="s">
        <v>41</v>
      </c>
      <c r="CT12" s="83" t="s">
        <v>22</v>
      </c>
      <c r="CU12" s="137">
        <f>0.693/CU13</f>
        <v>66.155354824913829</v>
      </c>
      <c r="CW12" s="83" t="s">
        <v>506</v>
      </c>
      <c r="CX12" s="140">
        <f>((CX16/24)*CX23*CX13*CX25)+((CX15/24)*CX24*CX14*CX26)</f>
        <v>6475</v>
      </c>
      <c r="CY12" s="52" t="s">
        <v>426</v>
      </c>
      <c r="CZ12" s="91" t="s">
        <v>231</v>
      </c>
      <c r="DA12" s="136">
        <f>B18</f>
        <v>1.04753425E-2</v>
      </c>
      <c r="DB12" s="52" t="s">
        <v>60</v>
      </c>
      <c r="DC12" s="83" t="s">
        <v>467</v>
      </c>
      <c r="DD12" s="146">
        <f>B149</f>
        <v>68.099999999999994</v>
      </c>
      <c r="DE12" s="92" t="s">
        <v>221</v>
      </c>
      <c r="DF12" s="92" t="s">
        <v>52</v>
      </c>
      <c r="DG12" s="138">
        <f>B195</f>
        <v>10950</v>
      </c>
      <c r="DH12" s="52" t="s">
        <v>53</v>
      </c>
      <c r="DI12" s="84" t="s">
        <v>16</v>
      </c>
      <c r="DJ12" s="137">
        <f>(DJ9*DJ10)/(1-EXP(-DJ10*DJ9))</f>
        <v>66.155354824913829</v>
      </c>
      <c r="DL12" s="92"/>
      <c r="DO12" s="92" t="s">
        <v>52</v>
      </c>
      <c r="DP12" s="138">
        <f>B195</f>
        <v>10950</v>
      </c>
      <c r="DQ12" s="52" t="s">
        <v>53</v>
      </c>
      <c r="DR12" s="83" t="s">
        <v>465</v>
      </c>
      <c r="DS12" s="150">
        <f>B168</f>
        <v>350</v>
      </c>
      <c r="DT12" s="83" t="s">
        <v>24</v>
      </c>
      <c r="DU12" s="92"/>
      <c r="DX12" s="83" t="s">
        <v>500</v>
      </c>
      <c r="DY12" s="138">
        <f>B207</f>
        <v>1</v>
      </c>
      <c r="EA12" s="83" t="s">
        <v>500</v>
      </c>
      <c r="EB12" s="138">
        <f>B207</f>
        <v>1</v>
      </c>
      <c r="EC12" s="84"/>
      <c r="ED12" s="83" t="s">
        <v>500</v>
      </c>
      <c r="EE12" s="138">
        <f>B207</f>
        <v>1</v>
      </c>
      <c r="EF12" s="84"/>
      <c r="EG12" s="83" t="s">
        <v>465</v>
      </c>
      <c r="EH12" s="150">
        <f>B168</f>
        <v>350</v>
      </c>
      <c r="EI12" s="83" t="s">
        <v>24</v>
      </c>
      <c r="EJ12" s="92"/>
      <c r="EM12" s="83" t="s">
        <v>496</v>
      </c>
      <c r="EN12" s="138">
        <f>B212</f>
        <v>1</v>
      </c>
      <c r="EP12" s="83" t="s">
        <v>496</v>
      </c>
      <c r="EQ12" s="138">
        <f>B212</f>
        <v>1</v>
      </c>
      <c r="ER12" s="84"/>
      <c r="ES12" s="83" t="s">
        <v>496</v>
      </c>
      <c r="ET12" s="138">
        <f>B212</f>
        <v>1</v>
      </c>
      <c r="EU12" s="84"/>
      <c r="EV12" s="83" t="s">
        <v>465</v>
      </c>
      <c r="EW12" s="150">
        <f>B168</f>
        <v>350</v>
      </c>
      <c r="EX12" s="83" t="s">
        <v>24</v>
      </c>
      <c r="EY12" s="83"/>
      <c r="EZ12" s="83"/>
      <c r="FA12" s="83"/>
      <c r="FB12" s="83" t="s">
        <v>153</v>
      </c>
      <c r="FC12" s="164">
        <f>B217</f>
        <v>1</v>
      </c>
      <c r="FD12" s="83"/>
      <c r="FE12" s="83" t="s">
        <v>153</v>
      </c>
      <c r="FF12" s="164">
        <f>B217</f>
        <v>1</v>
      </c>
      <c r="FG12" s="83"/>
      <c r="FH12" s="83" t="s">
        <v>153</v>
      </c>
      <c r="FI12" s="164">
        <f>B217</f>
        <v>1</v>
      </c>
      <c r="FJ12" s="84"/>
      <c r="FK12" s="83" t="s">
        <v>465</v>
      </c>
      <c r="FL12" s="150">
        <f>B168</f>
        <v>350</v>
      </c>
      <c r="FM12" s="83" t="s">
        <v>24</v>
      </c>
      <c r="FN12" s="83"/>
      <c r="FO12" s="83"/>
      <c r="FP12" s="83"/>
      <c r="FQ12" s="88"/>
      <c r="FR12" s="88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B168</f>
        <v>350</v>
      </c>
      <c r="GB12" s="83" t="s">
        <v>24</v>
      </c>
      <c r="GC12" s="83"/>
      <c r="GD12" s="83"/>
      <c r="GE12" s="83"/>
      <c r="GF12" s="83" t="s">
        <v>488</v>
      </c>
      <c r="GG12" s="142">
        <f>B222</f>
        <v>1</v>
      </c>
      <c r="GH12" s="83"/>
      <c r="GI12" s="83" t="s">
        <v>488</v>
      </c>
      <c r="GJ12" s="142">
        <f>B222</f>
        <v>1</v>
      </c>
      <c r="GK12" s="83"/>
      <c r="GL12" s="83" t="s">
        <v>488</v>
      </c>
      <c r="GM12" s="142">
        <f>B222</f>
        <v>1</v>
      </c>
      <c r="GN12" s="84"/>
      <c r="GO12" s="83" t="s">
        <v>465</v>
      </c>
      <c r="GP12" s="150">
        <f>B168</f>
        <v>350</v>
      </c>
      <c r="GQ12" s="83" t="s">
        <v>24</v>
      </c>
      <c r="GR12" s="83"/>
      <c r="GS12" s="83"/>
      <c r="GT12" s="83"/>
      <c r="GU12" s="83" t="s">
        <v>492</v>
      </c>
      <c r="GV12" s="142">
        <f>B227</f>
        <v>1</v>
      </c>
      <c r="GW12" s="83"/>
      <c r="GX12" s="83" t="s">
        <v>492</v>
      </c>
      <c r="GY12" s="142">
        <f>B227</f>
        <v>1</v>
      </c>
      <c r="GZ12" s="83"/>
      <c r="HA12" s="83" t="s">
        <v>492</v>
      </c>
      <c r="HB12" s="142">
        <f>B227</f>
        <v>1</v>
      </c>
      <c r="HC12" s="84"/>
      <c r="HD12" s="84" t="s">
        <v>47</v>
      </c>
      <c r="HE12" s="163">
        <v>1</v>
      </c>
    </row>
    <row r="13" spans="1:214" x14ac:dyDescent="0.2">
      <c r="A13" s="83" t="s">
        <v>254</v>
      </c>
      <c r="B13" s="183">
        <v>1.2571640000000001E-3</v>
      </c>
      <c r="C13" s="83" t="s">
        <v>351</v>
      </c>
      <c r="D13" s="83" t="s">
        <v>366</v>
      </c>
      <c r="E13" s="141">
        <f>B38</f>
        <v>10</v>
      </c>
      <c r="F13" s="92" t="s">
        <v>407</v>
      </c>
      <c r="G13" s="83" t="s">
        <v>263</v>
      </c>
      <c r="H13" s="144" t="e">
        <f>(H14/((1/H40)*(H48+H49+H50)))</f>
        <v>#DIV/0!</v>
      </c>
      <c r="I13" s="92" t="s">
        <v>11</v>
      </c>
      <c r="J13" s="91" t="s">
        <v>231</v>
      </c>
      <c r="K13" s="136">
        <f>B18</f>
        <v>1.04753425E-2</v>
      </c>
      <c r="L13" s="52" t="s">
        <v>60</v>
      </c>
      <c r="M13" s="52" t="s">
        <v>54</v>
      </c>
      <c r="N13" s="138">
        <f>B63</f>
        <v>1</v>
      </c>
      <c r="P13" s="52" t="s">
        <v>54</v>
      </c>
      <c r="Q13" s="138">
        <f>B63</f>
        <v>1</v>
      </c>
      <c r="S13" s="52" t="s">
        <v>54</v>
      </c>
      <c r="T13" s="138">
        <f>B63</f>
        <v>1</v>
      </c>
      <c r="V13" s="52" t="s">
        <v>50</v>
      </c>
      <c r="W13" s="146">
        <f>B254</f>
        <v>60</v>
      </c>
      <c r="X13" s="84" t="s">
        <v>407</v>
      </c>
      <c r="Y13" s="52" t="s">
        <v>50</v>
      </c>
      <c r="Z13" s="146">
        <f>B230</f>
        <v>60</v>
      </c>
      <c r="AA13" s="84" t="s">
        <v>407</v>
      </c>
      <c r="AB13" s="83" t="s">
        <v>349</v>
      </c>
      <c r="AC13" s="146">
        <f>B233</f>
        <v>100</v>
      </c>
      <c r="AD13" s="146">
        <f>B245</f>
        <v>50</v>
      </c>
      <c r="AE13" s="146">
        <f>B257</f>
        <v>100</v>
      </c>
      <c r="AF13" s="146">
        <f>B269</f>
        <v>330</v>
      </c>
      <c r="AG13" s="146">
        <f>B293</f>
        <v>330</v>
      </c>
      <c r="AH13" s="52" t="s">
        <v>48</v>
      </c>
      <c r="AI13" s="52" t="s">
        <v>54</v>
      </c>
      <c r="AJ13" s="138">
        <f>B249</f>
        <v>1</v>
      </c>
      <c r="AL13" s="52" t="s">
        <v>54</v>
      </c>
      <c r="AM13" s="138">
        <f>B249</f>
        <v>1</v>
      </c>
      <c r="AO13" s="52" t="s">
        <v>54</v>
      </c>
      <c r="AP13" s="138">
        <f>B249</f>
        <v>1</v>
      </c>
      <c r="AR13" s="52" t="s">
        <v>54</v>
      </c>
      <c r="AS13" s="138">
        <f>B261</f>
        <v>1</v>
      </c>
      <c r="AU13" s="52" t="s">
        <v>54</v>
      </c>
      <c r="AV13" s="138">
        <f>B261</f>
        <v>1</v>
      </c>
      <c r="AX13" s="52" t="s">
        <v>54</v>
      </c>
      <c r="AY13" s="138">
        <f>B261</f>
        <v>1</v>
      </c>
      <c r="BA13" s="52" t="s">
        <v>54</v>
      </c>
      <c r="BB13" s="138">
        <f>B237</f>
        <v>1</v>
      </c>
      <c r="BD13" s="52" t="s">
        <v>54</v>
      </c>
      <c r="BE13" s="138">
        <f>B237</f>
        <v>1</v>
      </c>
      <c r="BG13" s="52" t="s">
        <v>54</v>
      </c>
      <c r="BH13" s="138">
        <f>B237</f>
        <v>1</v>
      </c>
      <c r="BJ13" s="52" t="s">
        <v>300</v>
      </c>
      <c r="BK13" s="136">
        <f>B279</f>
        <v>2.41E-4</v>
      </c>
      <c r="BM13" s="52" t="s">
        <v>300</v>
      </c>
      <c r="BN13" s="136">
        <f>B283</f>
        <v>1.17E-4</v>
      </c>
      <c r="BP13" s="52" t="s">
        <v>300</v>
      </c>
      <c r="BQ13" s="136">
        <f>B287</f>
        <v>2.2599999999999999E-4</v>
      </c>
      <c r="BS13" s="52" t="s">
        <v>431</v>
      </c>
      <c r="BT13" s="141">
        <f>B106</f>
        <v>1</v>
      </c>
      <c r="BU13" s="52" t="s">
        <v>194</v>
      </c>
      <c r="BV13" s="83" t="s">
        <v>440</v>
      </c>
      <c r="BW13" s="160">
        <f>((BW18*BW20*BW23*BW14*BW30)+(BW19*BW21*BW24*BW15*BW31))</f>
        <v>2.25</v>
      </c>
      <c r="BX13" s="83" t="s">
        <v>345</v>
      </c>
      <c r="BY13" s="83" t="s">
        <v>260</v>
      </c>
      <c r="BZ13" s="143" t="e">
        <f>((BZ5/(BZ6*BZ16*(1/BZ33)))*BZ10)*BZ12*BZ36*BZ37</f>
        <v>#DIV/0!</v>
      </c>
      <c r="CA13" s="92" t="s">
        <v>12</v>
      </c>
      <c r="CB13" s="52" t="s">
        <v>90</v>
      </c>
      <c r="CC13" s="138">
        <f>B108</f>
        <v>1</v>
      </c>
      <c r="CD13" s="52" t="s">
        <v>194</v>
      </c>
      <c r="CE13" s="52" t="s">
        <v>90</v>
      </c>
      <c r="CF13" s="138">
        <f>B108</f>
        <v>1</v>
      </c>
      <c r="CG13" s="52" t="s">
        <v>194</v>
      </c>
      <c r="CH13" s="52" t="s">
        <v>90</v>
      </c>
      <c r="CI13" s="138">
        <f>B108</f>
        <v>1</v>
      </c>
      <c r="CJ13" s="52" t="s">
        <v>194</v>
      </c>
      <c r="CN13" s="84" t="s">
        <v>163</v>
      </c>
      <c r="CO13" s="162">
        <f>B132</f>
        <v>1</v>
      </c>
      <c r="CP13" s="52" t="s">
        <v>41</v>
      </c>
      <c r="CT13" s="91" t="s">
        <v>231</v>
      </c>
      <c r="CU13" s="136">
        <f>B18</f>
        <v>1.04753425E-2</v>
      </c>
      <c r="CV13" s="52" t="s">
        <v>60</v>
      </c>
      <c r="CW13" s="83" t="s">
        <v>450</v>
      </c>
      <c r="CX13" s="141">
        <f>B147</f>
        <v>10</v>
      </c>
      <c r="CY13" s="92" t="s">
        <v>407</v>
      </c>
      <c r="CZ13" s="83" t="s">
        <v>260</v>
      </c>
      <c r="DA13" s="143" t="e">
        <f>(DA5/(DA6*DA24))*DA12*DA51*DA52</f>
        <v>#DIV/0!</v>
      </c>
      <c r="DB13" s="83" t="s">
        <v>13</v>
      </c>
      <c r="DC13" s="83" t="s">
        <v>468</v>
      </c>
      <c r="DD13" s="146">
        <f>B150</f>
        <v>176.8</v>
      </c>
      <c r="DE13" s="92" t="s">
        <v>221</v>
      </c>
      <c r="DF13" s="92" t="s">
        <v>55</v>
      </c>
      <c r="DG13" s="138">
        <f>B196</f>
        <v>240</v>
      </c>
      <c r="DH13" s="52" t="s">
        <v>56</v>
      </c>
      <c r="DI13" s="95"/>
      <c r="DJ13" s="176"/>
      <c r="DL13" s="92"/>
      <c r="DO13" s="92" t="s">
        <v>55</v>
      </c>
      <c r="DP13" s="138">
        <f>B196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B208</f>
        <v>1</v>
      </c>
      <c r="EA13" s="83" t="s">
        <v>501</v>
      </c>
      <c r="EB13" s="138">
        <f>B208</f>
        <v>1</v>
      </c>
      <c r="EC13" s="84"/>
      <c r="ED13" s="83" t="s">
        <v>501</v>
      </c>
      <c r="EE13" s="138">
        <f>B208</f>
        <v>1</v>
      </c>
      <c r="EF13" s="84"/>
      <c r="EG13" s="83" t="s">
        <v>363</v>
      </c>
      <c r="EH13" s="150">
        <f>B170</f>
        <v>1</v>
      </c>
      <c r="EI13" s="84" t="s">
        <v>60</v>
      </c>
      <c r="EJ13" s="92"/>
      <c r="EM13" s="83" t="s">
        <v>497</v>
      </c>
      <c r="EN13" s="138">
        <f>B213</f>
        <v>1</v>
      </c>
      <c r="EP13" s="83" t="s">
        <v>497</v>
      </c>
      <c r="EQ13" s="138">
        <f>B213</f>
        <v>1</v>
      </c>
      <c r="ER13" s="84"/>
      <c r="ES13" s="83" t="s">
        <v>497</v>
      </c>
      <c r="ET13" s="138">
        <f>B213</f>
        <v>1</v>
      </c>
      <c r="EU13" s="84"/>
      <c r="EV13" s="83" t="s">
        <v>363</v>
      </c>
      <c r="EW13" s="150">
        <f>B170</f>
        <v>1</v>
      </c>
      <c r="EX13" s="84" t="s">
        <v>60</v>
      </c>
      <c r="EY13" s="83"/>
      <c r="EZ13" s="83"/>
      <c r="FA13" s="83"/>
      <c r="FB13" s="83" t="s">
        <v>154</v>
      </c>
      <c r="FC13" s="164">
        <f>B218</f>
        <v>1</v>
      </c>
      <c r="FD13" s="83"/>
      <c r="FE13" s="83" t="s">
        <v>154</v>
      </c>
      <c r="FF13" s="164">
        <f>B218</f>
        <v>1</v>
      </c>
      <c r="FG13" s="83"/>
      <c r="FH13" s="83" t="s">
        <v>154</v>
      </c>
      <c r="FI13" s="164">
        <f>B218</f>
        <v>1</v>
      </c>
      <c r="FJ13" s="84"/>
      <c r="FK13" s="83" t="s">
        <v>363</v>
      </c>
      <c r="FL13" s="141">
        <f>B170</f>
        <v>1</v>
      </c>
      <c r="FM13" s="92" t="s">
        <v>60</v>
      </c>
      <c r="FN13" s="83"/>
      <c r="FO13" s="83"/>
      <c r="FP13" s="83"/>
      <c r="FQ13" s="88"/>
      <c r="FR13" s="88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B170</f>
        <v>1</v>
      </c>
      <c r="GB13" s="92" t="s">
        <v>60</v>
      </c>
      <c r="GC13" s="83"/>
      <c r="GD13" s="83"/>
      <c r="GE13" s="83"/>
      <c r="GF13" s="83" t="s">
        <v>489</v>
      </c>
      <c r="GG13" s="142">
        <f>B223</f>
        <v>1</v>
      </c>
      <c r="GH13" s="83"/>
      <c r="GI13" s="83" t="s">
        <v>489</v>
      </c>
      <c r="GJ13" s="142">
        <f>B223</f>
        <v>1</v>
      </c>
      <c r="GK13" s="83"/>
      <c r="GL13" s="83" t="s">
        <v>489</v>
      </c>
      <c r="GM13" s="142">
        <f>B223</f>
        <v>1</v>
      </c>
      <c r="GN13" s="84"/>
      <c r="GO13" s="83" t="s">
        <v>363</v>
      </c>
      <c r="GP13" s="141">
        <f>B170</f>
        <v>1</v>
      </c>
      <c r="GQ13" s="92" t="s">
        <v>60</v>
      </c>
      <c r="GR13" s="83"/>
      <c r="GS13" s="83"/>
      <c r="GT13" s="83"/>
      <c r="GU13" s="83" t="s">
        <v>493</v>
      </c>
      <c r="GV13" s="142">
        <f>B228</f>
        <v>1</v>
      </c>
      <c r="GW13" s="83"/>
      <c r="GX13" s="83" t="s">
        <v>493</v>
      </c>
      <c r="GY13" s="142">
        <f>B228</f>
        <v>1</v>
      </c>
      <c r="GZ13" s="83"/>
      <c r="HA13" s="83" t="s">
        <v>493</v>
      </c>
      <c r="HB13" s="142">
        <f>B228</f>
        <v>1</v>
      </c>
      <c r="HC13" s="84"/>
      <c r="HD13" s="84" t="s">
        <v>59</v>
      </c>
      <c r="HE13" s="150">
        <f>B33</f>
        <v>0</v>
      </c>
    </row>
    <row r="14" spans="1:214" x14ac:dyDescent="0.2">
      <c r="A14" s="83" t="s">
        <v>255</v>
      </c>
      <c r="B14" s="183">
        <v>1.94272E-3</v>
      </c>
      <c r="C14" s="83" t="s">
        <v>351</v>
      </c>
      <c r="D14" s="83" t="s">
        <v>367</v>
      </c>
      <c r="E14" s="141">
        <f>B39</f>
        <v>20</v>
      </c>
      <c r="F14" s="92" t="s">
        <v>407</v>
      </c>
      <c r="G14" s="83" t="s">
        <v>264</v>
      </c>
      <c r="H14" s="145" t="e">
        <f>(H5/(H9*(H22+H25)*H41))</f>
        <v>#DIV/0!</v>
      </c>
      <c r="I14" s="92" t="s">
        <v>10</v>
      </c>
      <c r="J14" s="83" t="s">
        <v>260</v>
      </c>
      <c r="K14" s="143" t="e">
        <f>((K5/(K6*K19*(1/K46)))*K11)</f>
        <v>#DIV/0!</v>
      </c>
      <c r="L14" s="92" t="s">
        <v>10</v>
      </c>
      <c r="M14" s="52" t="s">
        <v>408</v>
      </c>
      <c r="N14" s="150">
        <f>B78</f>
        <v>1.752</v>
      </c>
      <c r="O14" s="52" t="s">
        <v>194</v>
      </c>
      <c r="P14" s="52" t="s">
        <v>408</v>
      </c>
      <c r="Q14" s="150">
        <f>B78</f>
        <v>1.752</v>
      </c>
      <c r="R14" s="52" t="s">
        <v>194</v>
      </c>
      <c r="S14" s="52" t="s">
        <v>408</v>
      </c>
      <c r="T14" s="150">
        <f>B78</f>
        <v>1.752</v>
      </c>
      <c r="U14" s="52" t="s">
        <v>194</v>
      </c>
      <c r="V14" s="83" t="s">
        <v>256</v>
      </c>
      <c r="W14" s="136">
        <f>B15</f>
        <v>3.2316400000000001</v>
      </c>
      <c r="X14" s="83" t="s">
        <v>343</v>
      </c>
      <c r="Y14" s="83" t="s">
        <v>256</v>
      </c>
      <c r="Z14" s="136">
        <f>B15</f>
        <v>3.2316400000000001</v>
      </c>
      <c r="AA14" s="83" t="s">
        <v>343</v>
      </c>
      <c r="AB14" s="83" t="s">
        <v>300</v>
      </c>
      <c r="AC14" s="141">
        <f>B235</f>
        <v>1</v>
      </c>
      <c r="AD14" s="141">
        <f>B247</f>
        <v>1</v>
      </c>
      <c r="AE14" s="141">
        <f>B259</f>
        <v>1</v>
      </c>
      <c r="AF14" s="141">
        <f>B279</f>
        <v>2.41E-4</v>
      </c>
      <c r="AG14" s="141">
        <f>B279</f>
        <v>2.41E-4</v>
      </c>
      <c r="AH14" s="92"/>
      <c r="AI14" s="52" t="s">
        <v>57</v>
      </c>
      <c r="AJ14" s="136">
        <f>B250</f>
        <v>0</v>
      </c>
      <c r="AK14" s="52" t="s">
        <v>194</v>
      </c>
      <c r="AL14" s="52" t="s">
        <v>57</v>
      </c>
      <c r="AM14" s="136">
        <f>B250</f>
        <v>0</v>
      </c>
      <c r="AN14" s="52" t="s">
        <v>194</v>
      </c>
      <c r="AO14" s="52" t="s">
        <v>57</v>
      </c>
      <c r="AP14" s="136">
        <f>B250</f>
        <v>0</v>
      </c>
      <c r="AQ14" s="52" t="s">
        <v>194</v>
      </c>
      <c r="AR14" s="52" t="s">
        <v>57</v>
      </c>
      <c r="AS14" s="136">
        <f>B262</f>
        <v>8</v>
      </c>
      <c r="AT14" s="52" t="s">
        <v>194</v>
      </c>
      <c r="AU14" s="52" t="s">
        <v>57</v>
      </c>
      <c r="AV14" s="136">
        <f>B262</f>
        <v>8</v>
      </c>
      <c r="AW14" s="52" t="s">
        <v>194</v>
      </c>
      <c r="AX14" s="52" t="s">
        <v>57</v>
      </c>
      <c r="AY14" s="136">
        <f>B262</f>
        <v>8</v>
      </c>
      <c r="AZ14" s="52" t="s">
        <v>194</v>
      </c>
      <c r="BA14" s="52" t="s">
        <v>57</v>
      </c>
      <c r="BB14" s="136">
        <f>B238</f>
        <v>8</v>
      </c>
      <c r="BC14" s="52" t="s">
        <v>194</v>
      </c>
      <c r="BD14" s="52" t="s">
        <v>57</v>
      </c>
      <c r="BE14" s="136">
        <f>B238</f>
        <v>8</v>
      </c>
      <c r="BF14" s="52" t="s">
        <v>194</v>
      </c>
      <c r="BG14" s="52" t="s">
        <v>58</v>
      </c>
      <c r="BH14" s="136">
        <f>B238</f>
        <v>8</v>
      </c>
      <c r="BI14" s="52" t="s">
        <v>194</v>
      </c>
      <c r="BJ14" s="52" t="s">
        <v>413</v>
      </c>
      <c r="BK14" s="136">
        <f>B280</f>
        <v>0.753</v>
      </c>
      <c r="BM14" s="52" t="s">
        <v>414</v>
      </c>
      <c r="BN14" s="136">
        <f>B284</f>
        <v>0.74299999999999999</v>
      </c>
      <c r="BP14" s="52" t="s">
        <v>416</v>
      </c>
      <c r="BQ14" s="136">
        <f>B288</f>
        <v>0.66200000000000003</v>
      </c>
      <c r="BS14" s="52" t="s">
        <v>432</v>
      </c>
      <c r="BT14" s="141">
        <f>B107</f>
        <v>1</v>
      </c>
      <c r="BU14" s="52" t="s">
        <v>194</v>
      </c>
      <c r="BV14" s="83" t="s">
        <v>439</v>
      </c>
      <c r="BW14" s="146">
        <f>B95</f>
        <v>0.05</v>
      </c>
      <c r="BX14" s="83" t="s">
        <v>357</v>
      </c>
      <c r="BY14" s="83" t="s">
        <v>261</v>
      </c>
      <c r="BZ14" s="144">
        <f>((BZ5/(BZ7*BZ17*(1/BZ9)*BZ32))*BZ10)*BZ12*BZ36*BZ37</f>
        <v>8.4698330400157729E-2</v>
      </c>
      <c r="CA14" s="92" t="s">
        <v>12</v>
      </c>
      <c r="CB14" s="52" t="s">
        <v>412</v>
      </c>
      <c r="CC14" s="139">
        <f>B10</f>
        <v>2.1295200000000002E-3</v>
      </c>
      <c r="CD14" s="84" t="s">
        <v>353</v>
      </c>
      <c r="CE14" s="52" t="s">
        <v>415</v>
      </c>
      <c r="CF14" s="139">
        <f>B12</f>
        <v>4.4084799999999998E-4</v>
      </c>
      <c r="CG14" s="84" t="s">
        <v>353</v>
      </c>
      <c r="CH14" s="52" t="s">
        <v>417</v>
      </c>
      <c r="CI14" s="139">
        <f>B14</f>
        <v>1.94272E-3</v>
      </c>
      <c r="CJ14" s="84" t="s">
        <v>353</v>
      </c>
      <c r="CK14" s="84"/>
      <c r="CL14" s="84"/>
      <c r="CM14" s="84"/>
      <c r="CN14" s="52" t="s">
        <v>95</v>
      </c>
      <c r="CO14" s="164">
        <f>B117</f>
        <v>1</v>
      </c>
      <c r="CQ14" s="84"/>
      <c r="CR14" s="84"/>
      <c r="CS14" s="84"/>
      <c r="CT14" s="83" t="s">
        <v>260</v>
      </c>
      <c r="CU14" s="143" t="e">
        <f>((CU5/(CU6*CU25*(1/CU46)))*CU11)*CU13*CU49*CU50</f>
        <v>#DIV/0!</v>
      </c>
      <c r="CV14" s="92" t="s">
        <v>12</v>
      </c>
      <c r="CW14" s="83" t="s">
        <v>459</v>
      </c>
      <c r="CX14" s="141">
        <f>B148</f>
        <v>20</v>
      </c>
      <c r="CY14" s="92" t="s">
        <v>407</v>
      </c>
      <c r="CZ14" s="83" t="s">
        <v>261</v>
      </c>
      <c r="DA14" s="144">
        <f>(DA5/(DA7*DA25*DA45))*DA12*DA51*DA52</f>
        <v>1.6091400026604089E-14</v>
      </c>
      <c r="DB14" s="83" t="s">
        <v>13</v>
      </c>
      <c r="DC14" s="83" t="s">
        <v>465</v>
      </c>
      <c r="DD14" s="146">
        <f>B168</f>
        <v>350</v>
      </c>
      <c r="DE14" s="83" t="s">
        <v>24</v>
      </c>
      <c r="DF14" s="92" t="s">
        <v>393</v>
      </c>
      <c r="DG14" s="138">
        <f>B35</f>
        <v>0.26</v>
      </c>
      <c r="DL14" s="92"/>
      <c r="DO14" s="92" t="s">
        <v>393</v>
      </c>
      <c r="DP14" s="138">
        <f>B35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B204</f>
        <v>1.03</v>
      </c>
      <c r="DZ14" s="52" t="s">
        <v>286</v>
      </c>
      <c r="EA14" s="52" t="s">
        <v>518</v>
      </c>
      <c r="EB14" s="146">
        <f>B204</f>
        <v>1.03</v>
      </c>
      <c r="EC14" s="52" t="s">
        <v>286</v>
      </c>
      <c r="ED14" s="92" t="s">
        <v>392</v>
      </c>
      <c r="EE14" s="163">
        <f>B36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B170</f>
        <v>1</v>
      </c>
      <c r="EP14" s="95"/>
      <c r="EQ14" s="176"/>
      <c r="ER14" s="84"/>
      <c r="ES14" s="92" t="s">
        <v>392</v>
      </c>
      <c r="ET14" s="163">
        <f>B36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B170</f>
        <v>1</v>
      </c>
      <c r="FE14" s="95"/>
      <c r="FF14" s="176"/>
      <c r="FG14" s="83"/>
      <c r="FH14" s="83" t="s">
        <v>392</v>
      </c>
      <c r="FI14" s="142">
        <f>B36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88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B170</f>
        <v>1</v>
      </c>
      <c r="GI14" s="95"/>
      <c r="GJ14" s="176"/>
      <c r="GK14" s="83"/>
      <c r="GL14" s="83" t="s">
        <v>392</v>
      </c>
      <c r="GM14" s="142">
        <f>B36</f>
        <v>0.25</v>
      </c>
      <c r="GN14" s="84"/>
      <c r="GO14" s="92" t="s">
        <v>484</v>
      </c>
      <c r="GP14" s="146">
        <f>B192</f>
        <v>1</v>
      </c>
      <c r="GR14" s="83"/>
      <c r="GS14" s="83"/>
      <c r="GT14" s="83"/>
      <c r="GU14" s="52" t="s">
        <v>350</v>
      </c>
      <c r="GV14" s="164">
        <f>B170</f>
        <v>1</v>
      </c>
      <c r="GX14" s="95"/>
      <c r="GY14" s="176"/>
      <c r="GZ14" s="83"/>
      <c r="HA14" s="83" t="s">
        <v>392</v>
      </c>
      <c r="HB14" s="142">
        <f>B36</f>
        <v>0.25</v>
      </c>
      <c r="HC14" s="84"/>
      <c r="HD14" s="52" t="s">
        <v>225</v>
      </c>
      <c r="HE14" s="138">
        <v>1</v>
      </c>
    </row>
    <row r="15" spans="1:214" x14ac:dyDescent="0.2">
      <c r="A15" s="83" t="s">
        <v>256</v>
      </c>
      <c r="B15" s="183">
        <v>3.2316400000000001</v>
      </c>
      <c r="C15" s="83" t="s">
        <v>351</v>
      </c>
      <c r="D15" s="52" t="s">
        <v>384</v>
      </c>
      <c r="E15" s="138">
        <f>B59</f>
        <v>24</v>
      </c>
      <c r="F15" s="52" t="s">
        <v>194</v>
      </c>
      <c r="G15" s="83" t="s">
        <v>395</v>
      </c>
      <c r="H15" s="147">
        <f>(H29*H17*H68)+(H30*H18*H69)</f>
        <v>736.54</v>
      </c>
      <c r="I15" s="83" t="s">
        <v>345</v>
      </c>
      <c r="J15" s="83" t="s">
        <v>261</v>
      </c>
      <c r="K15" s="144">
        <f>((K5/(K7*K20*(1/K10)*K45))*K11)</f>
        <v>116129673.58071408</v>
      </c>
      <c r="L15" s="92" t="s">
        <v>10</v>
      </c>
      <c r="M15" s="52" t="s">
        <v>412</v>
      </c>
      <c r="N15" s="139">
        <f>B10</f>
        <v>2.1295200000000002E-3</v>
      </c>
      <c r="O15" s="84" t="s">
        <v>353</v>
      </c>
      <c r="P15" s="52" t="s">
        <v>415</v>
      </c>
      <c r="Q15" s="139">
        <f>B12</f>
        <v>4.4084799999999998E-4</v>
      </c>
      <c r="R15" s="84" t="s">
        <v>353</v>
      </c>
      <c r="S15" s="52" t="s">
        <v>417</v>
      </c>
      <c r="T15" s="139">
        <f>B14</f>
        <v>1.94272E-3</v>
      </c>
      <c r="U15" s="84" t="s">
        <v>353</v>
      </c>
      <c r="V15" s="83" t="s">
        <v>301</v>
      </c>
      <c r="W15" s="142">
        <f>B258</f>
        <v>1</v>
      </c>
      <c r="Y15" s="83" t="s">
        <v>301</v>
      </c>
      <c r="Z15" s="142">
        <f>B234</f>
        <v>1</v>
      </c>
      <c r="AB15" s="83" t="s">
        <v>232</v>
      </c>
      <c r="AC15" s="141">
        <f>B230</f>
        <v>60</v>
      </c>
      <c r="AD15" s="141">
        <f>B242</f>
        <v>60</v>
      </c>
      <c r="AE15" s="141">
        <f>B254</f>
        <v>60</v>
      </c>
      <c r="AF15" s="141">
        <f>B266</f>
        <v>60</v>
      </c>
      <c r="AG15" s="141">
        <f>B290</f>
        <v>60</v>
      </c>
      <c r="AH15" s="92" t="s">
        <v>407</v>
      </c>
      <c r="AI15" s="52" t="s">
        <v>412</v>
      </c>
      <c r="AJ15" s="139">
        <f>B10</f>
        <v>2.1295200000000002E-3</v>
      </c>
      <c r="AK15" s="84" t="s">
        <v>353</v>
      </c>
      <c r="AL15" s="52" t="s">
        <v>415</v>
      </c>
      <c r="AM15" s="139">
        <f>B12</f>
        <v>4.4084799999999998E-4</v>
      </c>
      <c r="AN15" s="84" t="s">
        <v>353</v>
      </c>
      <c r="AO15" s="52" t="s">
        <v>417</v>
      </c>
      <c r="AP15" s="139">
        <f>B14</f>
        <v>1.94272E-3</v>
      </c>
      <c r="AQ15" s="84" t="s">
        <v>353</v>
      </c>
      <c r="AR15" s="52" t="s">
        <v>412</v>
      </c>
      <c r="AS15" s="139">
        <f>B10</f>
        <v>2.1295200000000002E-3</v>
      </c>
      <c r="AT15" s="84" t="s">
        <v>353</v>
      </c>
      <c r="AU15" s="52" t="s">
        <v>415</v>
      </c>
      <c r="AV15" s="139">
        <f>B12</f>
        <v>4.4084799999999998E-4</v>
      </c>
      <c r="AW15" s="84" t="s">
        <v>353</v>
      </c>
      <c r="AX15" s="52" t="s">
        <v>417</v>
      </c>
      <c r="AY15" s="139">
        <f>B14</f>
        <v>1.94272E-3</v>
      </c>
      <c r="AZ15" s="84" t="s">
        <v>353</v>
      </c>
      <c r="BA15" s="52" t="s">
        <v>412</v>
      </c>
      <c r="BB15" s="139">
        <f>B10</f>
        <v>2.1295200000000002E-3</v>
      </c>
      <c r="BC15" s="84" t="s">
        <v>353</v>
      </c>
      <c r="BD15" s="52" t="s">
        <v>415</v>
      </c>
      <c r="BE15" s="139">
        <f>B12</f>
        <v>4.4084799999999998E-4</v>
      </c>
      <c r="BF15" s="84" t="s">
        <v>353</v>
      </c>
      <c r="BG15" s="52" t="s">
        <v>417</v>
      </c>
      <c r="BH15" s="139">
        <f>B14</f>
        <v>1.94272E-3</v>
      </c>
      <c r="BI15" s="84" t="s">
        <v>353</v>
      </c>
      <c r="BJ15" s="52" t="s">
        <v>57</v>
      </c>
      <c r="BK15" s="136">
        <f>B274</f>
        <v>8</v>
      </c>
      <c r="BL15" s="52" t="s">
        <v>194</v>
      </c>
      <c r="BM15" s="52" t="s">
        <v>57</v>
      </c>
      <c r="BN15" s="136">
        <f>B274</f>
        <v>8</v>
      </c>
      <c r="BO15" s="52" t="s">
        <v>194</v>
      </c>
      <c r="BP15" s="52" t="s">
        <v>57</v>
      </c>
      <c r="BQ15" s="136">
        <f>B274</f>
        <v>8</v>
      </c>
      <c r="BR15" s="52" t="s">
        <v>194</v>
      </c>
      <c r="BS15" s="52" t="s">
        <v>90</v>
      </c>
      <c r="BT15" s="138">
        <f>B108</f>
        <v>1</v>
      </c>
      <c r="BU15" s="52" t="s">
        <v>194</v>
      </c>
      <c r="BV15" s="83" t="s">
        <v>438</v>
      </c>
      <c r="BW15" s="146">
        <f>B96</f>
        <v>0.05</v>
      </c>
      <c r="BX15" s="83" t="s">
        <v>357</v>
      </c>
      <c r="BY15" s="83" t="s">
        <v>262</v>
      </c>
      <c r="BZ15" s="145">
        <f>(((BZ5)/(BZ8*BZ22*(1/BZ31)*BZ25*(1/24)*BZ28*BZ29))*BZ10)*BZ12*BZ36*BZ37</f>
        <v>0.13020501903342563</v>
      </c>
      <c r="CA15" s="92" t="s">
        <v>12</v>
      </c>
      <c r="CB15" s="84" t="s">
        <v>295</v>
      </c>
      <c r="CC15" s="142">
        <f>B302</f>
        <v>222.01757699999999</v>
      </c>
      <c r="CD15" s="84" t="s">
        <v>296</v>
      </c>
      <c r="CE15" s="84" t="s">
        <v>295</v>
      </c>
      <c r="CF15" s="142">
        <f>B302</f>
        <v>222.01757699999999</v>
      </c>
      <c r="CG15" s="84" t="s">
        <v>296</v>
      </c>
      <c r="CH15" s="84" t="s">
        <v>295</v>
      </c>
      <c r="CI15" s="142">
        <f>B302</f>
        <v>222.01757699999999</v>
      </c>
      <c r="CJ15" s="84" t="s">
        <v>296</v>
      </c>
      <c r="CN15" s="83" t="s">
        <v>22</v>
      </c>
      <c r="CO15" s="137">
        <f>0.693/CO16</f>
        <v>66.155354824913829</v>
      </c>
      <c r="CT15" s="83" t="s">
        <v>261</v>
      </c>
      <c r="CU15" s="144">
        <f>((CU5/(CU7*CU26*(1/CU10)*CU45))*CU11)*CU13*CU49*CU50</f>
        <v>7.2353303478899205E-4</v>
      </c>
      <c r="CV15" s="92" t="s">
        <v>12</v>
      </c>
      <c r="CW15" s="52" t="s">
        <v>365</v>
      </c>
      <c r="CX15" s="138">
        <f>B172</f>
        <v>24</v>
      </c>
      <c r="CY15" s="52" t="s">
        <v>194</v>
      </c>
      <c r="CZ15" s="83" t="s">
        <v>266</v>
      </c>
      <c r="DA15" s="153">
        <f>(DA5/(DA8*DA26*(DA46/DA47)))*DA12*DA51*DA52</f>
        <v>3.3900922326102317E-11</v>
      </c>
      <c r="DB15" s="83" t="s">
        <v>13</v>
      </c>
      <c r="DC15" s="83" t="s">
        <v>456</v>
      </c>
      <c r="DD15" s="146">
        <f>B167</f>
        <v>350</v>
      </c>
      <c r="DE15" s="83" t="s">
        <v>24</v>
      </c>
      <c r="DF15" s="92" t="s">
        <v>61</v>
      </c>
      <c r="DG15" s="138">
        <f>B197</f>
        <v>0.42</v>
      </c>
      <c r="DH15" s="52" t="s">
        <v>41</v>
      </c>
      <c r="DL15" s="92"/>
      <c r="DO15" s="92" t="s">
        <v>61</v>
      </c>
      <c r="DP15" s="138">
        <f>B197</f>
        <v>0.42</v>
      </c>
      <c r="DQ15" s="52" t="s">
        <v>41</v>
      </c>
      <c r="DR15" s="92" t="s">
        <v>479</v>
      </c>
      <c r="DS15" s="146">
        <f>B187</f>
        <v>1</v>
      </c>
      <c r="DU15" s="92"/>
      <c r="DX15" s="52" t="s">
        <v>350</v>
      </c>
      <c r="DY15" s="164">
        <f>B170</f>
        <v>1</v>
      </c>
      <c r="EA15" s="95"/>
      <c r="EB15" s="176"/>
      <c r="EC15" s="84"/>
      <c r="ED15" s="83" t="s">
        <v>27</v>
      </c>
      <c r="EE15" s="142">
        <f>B203</f>
        <v>92</v>
      </c>
      <c r="EF15" s="83" t="s">
        <v>28</v>
      </c>
      <c r="EG15" s="92" t="s">
        <v>480</v>
      </c>
      <c r="EH15" s="146">
        <f>B188</f>
        <v>1</v>
      </c>
      <c r="EJ15" s="92"/>
      <c r="EM15" s="83" t="s">
        <v>22</v>
      </c>
      <c r="EN15" s="137">
        <f>0.693/EN16</f>
        <v>66.155354824913829</v>
      </c>
      <c r="EP15" s="92"/>
      <c r="EQ15" s="84"/>
      <c r="ER15" s="84"/>
      <c r="ES15" s="83" t="s">
        <v>29</v>
      </c>
      <c r="ET15" s="142">
        <f>B209</f>
        <v>53</v>
      </c>
      <c r="EU15" s="83" t="s">
        <v>28</v>
      </c>
      <c r="EV15" s="92" t="s">
        <v>481</v>
      </c>
      <c r="EW15" s="146">
        <f>B189</f>
        <v>1</v>
      </c>
      <c r="EY15" s="83"/>
      <c r="EZ15" s="83"/>
      <c r="FA15" s="83"/>
      <c r="FB15" s="83" t="s">
        <v>22</v>
      </c>
      <c r="FC15" s="137">
        <f>0.693/FC16</f>
        <v>66.155354824913829</v>
      </c>
      <c r="FE15" s="83"/>
      <c r="FF15" s="83"/>
      <c r="FG15" s="83"/>
      <c r="FH15" s="83" t="s">
        <v>148</v>
      </c>
      <c r="FI15" s="164">
        <f>B214</f>
        <v>0.4</v>
      </c>
      <c r="FJ15" s="83" t="s">
        <v>28</v>
      </c>
      <c r="FK15" s="92" t="s">
        <v>482</v>
      </c>
      <c r="FL15" s="146">
        <f>B190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B191</f>
        <v>1</v>
      </c>
      <c r="GC15" s="83"/>
      <c r="GD15" s="83"/>
      <c r="GE15" s="83"/>
      <c r="GF15" s="83" t="s">
        <v>22</v>
      </c>
      <c r="GG15" s="137">
        <f>0.693/GG16</f>
        <v>66.155354824913829</v>
      </c>
      <c r="GI15" s="83"/>
      <c r="GJ15" s="83"/>
      <c r="GK15" s="83"/>
      <c r="GL15" s="83" t="s">
        <v>149</v>
      </c>
      <c r="GM15" s="164">
        <f>B219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66.155354824913829</v>
      </c>
      <c r="GX15" s="83"/>
      <c r="GY15" s="83"/>
      <c r="GZ15" s="83"/>
      <c r="HA15" s="83" t="s">
        <v>150</v>
      </c>
      <c r="HB15" s="142">
        <f>B224</f>
        <v>11.4</v>
      </c>
      <c r="HC15" s="83" t="s">
        <v>28</v>
      </c>
      <c r="HD15" s="84"/>
    </row>
    <row r="16" spans="1:214" x14ac:dyDescent="0.2">
      <c r="A16" s="91" t="s">
        <v>257</v>
      </c>
      <c r="B16" s="183">
        <v>7.02368E-3</v>
      </c>
      <c r="C16" s="84" t="s">
        <v>259</v>
      </c>
      <c r="E16" s="138">
        <v>24</v>
      </c>
      <c r="F16" s="52" t="s">
        <v>194</v>
      </c>
      <c r="G16" s="83" t="s">
        <v>396</v>
      </c>
      <c r="H16" s="137">
        <f>(H29*H19*H68)+(H30*H20*H69)</f>
        <v>6195</v>
      </c>
      <c r="I16" s="83" t="s">
        <v>426</v>
      </c>
      <c r="J16" s="83" t="s">
        <v>262</v>
      </c>
      <c r="K16" s="144">
        <f>((K5/(K8*K42*((K37*K41*(1/K35))+(K38*K40*(1/K35)))*K32*(1/K44)*K33))*K11)</f>
        <v>93471.570908434471</v>
      </c>
      <c r="L16" s="92" t="s">
        <v>10</v>
      </c>
      <c r="M16" s="52" t="s">
        <v>409</v>
      </c>
      <c r="N16" s="150">
        <f>B79</f>
        <v>16.416</v>
      </c>
      <c r="O16" s="52" t="s">
        <v>194</v>
      </c>
      <c r="P16" s="52" t="s">
        <v>409</v>
      </c>
      <c r="Q16" s="150">
        <f>B79</f>
        <v>16.416</v>
      </c>
      <c r="R16" s="52" t="s">
        <v>194</v>
      </c>
      <c r="S16" s="52" t="s">
        <v>409</v>
      </c>
      <c r="T16" s="150">
        <f>B79</f>
        <v>16.416</v>
      </c>
      <c r="U16" s="52" t="s">
        <v>194</v>
      </c>
      <c r="V16" s="52" t="s">
        <v>261</v>
      </c>
      <c r="W16" s="143">
        <f>((W5)/((W12/24)*W9*W10*W11*W13))*W8*W20*W21</f>
        <v>1.1576868352473497E-14</v>
      </c>
      <c r="X16" s="52" t="s">
        <v>15</v>
      </c>
      <c r="Y16" s="52" t="s">
        <v>261</v>
      </c>
      <c r="Z16" s="143">
        <f>((Z5)/((Z12/24)*Z9*Z10*Z11*Z13))*Z8*Z20*Z21</f>
        <v>1.0419181517226149E-14</v>
      </c>
      <c r="AA16" s="52" t="s">
        <v>15</v>
      </c>
      <c r="AB16" s="83" t="s">
        <v>299</v>
      </c>
      <c r="AC16" s="141">
        <f>B236</f>
        <v>0.4</v>
      </c>
      <c r="AD16" s="141">
        <f>B248</f>
        <v>0.4</v>
      </c>
      <c r="AE16" s="141">
        <f>B260</f>
        <v>0.4</v>
      </c>
      <c r="AF16" s="141">
        <f>B272</f>
        <v>0.4</v>
      </c>
      <c r="AG16" s="141">
        <f>B295</f>
        <v>0.4</v>
      </c>
      <c r="AH16" s="92"/>
      <c r="AI16" s="52" t="s">
        <v>69</v>
      </c>
      <c r="AJ16" s="136">
        <f>B251</f>
        <v>8</v>
      </c>
      <c r="AK16" s="52" t="s">
        <v>194</v>
      </c>
      <c r="AL16" s="52" t="s">
        <v>69</v>
      </c>
      <c r="AM16" s="136">
        <f>B251</f>
        <v>8</v>
      </c>
      <c r="AN16" s="52" t="s">
        <v>194</v>
      </c>
      <c r="AO16" s="52" t="s">
        <v>69</v>
      </c>
      <c r="AP16" s="136">
        <f>B251</f>
        <v>8</v>
      </c>
      <c r="AQ16" s="52" t="s">
        <v>194</v>
      </c>
      <c r="AR16" s="52" t="s">
        <v>69</v>
      </c>
      <c r="AS16" s="136">
        <f>B263</f>
        <v>0</v>
      </c>
      <c r="AT16" s="52" t="s">
        <v>194</v>
      </c>
      <c r="AU16" s="52" t="s">
        <v>69</v>
      </c>
      <c r="AV16" s="136">
        <f>B263</f>
        <v>0</v>
      </c>
      <c r="AW16" s="52" t="s">
        <v>194</v>
      </c>
      <c r="AX16" s="52" t="s">
        <v>69</v>
      </c>
      <c r="AY16" s="136">
        <f>B263</f>
        <v>0</v>
      </c>
      <c r="AZ16" s="52" t="s">
        <v>194</v>
      </c>
      <c r="BA16" s="52" t="s">
        <v>69</v>
      </c>
      <c r="BB16" s="136">
        <f>B239</f>
        <v>8</v>
      </c>
      <c r="BC16" s="52" t="s">
        <v>194</v>
      </c>
      <c r="BD16" s="52" t="s">
        <v>69</v>
      </c>
      <c r="BE16" s="136">
        <f>B239</f>
        <v>8</v>
      </c>
      <c r="BF16" s="52" t="s">
        <v>194</v>
      </c>
      <c r="BG16" s="52" t="s">
        <v>69</v>
      </c>
      <c r="BH16" s="136">
        <f>B239</f>
        <v>8</v>
      </c>
      <c r="BI16" s="52" t="s">
        <v>194</v>
      </c>
      <c r="BJ16" s="52" t="s">
        <v>412</v>
      </c>
      <c r="BK16" s="139">
        <f>B10</f>
        <v>2.1295200000000002E-3</v>
      </c>
      <c r="BL16" s="84" t="s">
        <v>353</v>
      </c>
      <c r="BM16" s="52" t="s">
        <v>415</v>
      </c>
      <c r="BN16" s="139">
        <f>B12</f>
        <v>4.4084799999999998E-4</v>
      </c>
      <c r="BO16" s="84" t="s">
        <v>353</v>
      </c>
      <c r="BP16" s="52" t="s">
        <v>417</v>
      </c>
      <c r="BQ16" s="139">
        <f>B14</f>
        <v>1.94272E-3</v>
      </c>
      <c r="BR16" s="84" t="s">
        <v>353</v>
      </c>
      <c r="BS16" s="83" t="s">
        <v>256</v>
      </c>
      <c r="BT16" s="136">
        <f>E17</f>
        <v>3.2316400000000001</v>
      </c>
      <c r="BU16" s="83" t="s">
        <v>343</v>
      </c>
      <c r="BV16" s="83" t="s">
        <v>437</v>
      </c>
      <c r="BW16" s="140">
        <f>((BW18*BW20*BW23*BW30)+(BW19*BW21*BW24*BW31))</f>
        <v>45</v>
      </c>
      <c r="BX16" s="83" t="s">
        <v>356</v>
      </c>
      <c r="BY16" s="83" t="s">
        <v>46</v>
      </c>
      <c r="BZ16" s="149">
        <f>(BZ18*BZ22*BZ34)+(BZ19*BZ23*BZ35)</f>
        <v>9225</v>
      </c>
      <c r="CA16" s="83" t="s">
        <v>346</v>
      </c>
      <c r="CB16" s="84" t="s">
        <v>293</v>
      </c>
      <c r="CC16" s="161">
        <f>B304</f>
        <v>2.8000000000000002E-12</v>
      </c>
      <c r="CD16" s="84"/>
      <c r="CE16" s="84" t="s">
        <v>293</v>
      </c>
      <c r="CF16" s="161">
        <f>B304</f>
        <v>2.8000000000000002E-12</v>
      </c>
      <c r="CG16" s="84"/>
      <c r="CH16" s="84" t="s">
        <v>293</v>
      </c>
      <c r="CI16" s="161">
        <f>B304</f>
        <v>2.8000000000000002E-12</v>
      </c>
      <c r="CJ16" s="84"/>
      <c r="CK16" s="83"/>
      <c r="CL16" s="83"/>
      <c r="CM16" s="83"/>
      <c r="CN16" s="91" t="s">
        <v>231</v>
      </c>
      <c r="CO16" s="136">
        <f>B18</f>
        <v>1.04753425E-2</v>
      </c>
      <c r="CP16" s="52" t="s">
        <v>60</v>
      </c>
      <c r="CQ16" s="83"/>
      <c r="CR16" s="83"/>
      <c r="CS16" s="83"/>
      <c r="CT16" s="83" t="s">
        <v>262</v>
      </c>
      <c r="CU16" s="144">
        <f>((CU5/(CU8*CU42*((CU37*CU41*(1/24))+(CU38*CU40*(1/24)))*CU32*(1/CU44)))*CU11)*CU13*CU49*CU50</f>
        <v>3.1310551322791915E-7</v>
      </c>
      <c r="CV16" s="92" t="s">
        <v>12</v>
      </c>
      <c r="CW16" s="52" t="s">
        <v>364</v>
      </c>
      <c r="CX16" s="138">
        <f>B171</f>
        <v>24</v>
      </c>
      <c r="CY16" s="52" t="s">
        <v>194</v>
      </c>
      <c r="CZ16" s="83" t="s">
        <v>512</v>
      </c>
      <c r="DA16" s="153" t="e">
        <f>'Rn-222+D Default'!DA16</f>
        <v>#DIV/0!</v>
      </c>
      <c r="DB16" s="83" t="s">
        <v>13</v>
      </c>
      <c r="DC16" s="83" t="s">
        <v>363</v>
      </c>
      <c r="DD16" s="146">
        <f>B170</f>
        <v>1</v>
      </c>
      <c r="DE16" s="83" t="s">
        <v>60</v>
      </c>
      <c r="DF16" s="92" t="s">
        <v>63</v>
      </c>
      <c r="DG16" s="151">
        <f>DG20+(0.693/DG22)</f>
        <v>0.23074754746551734</v>
      </c>
      <c r="DH16" s="83" t="s">
        <v>64</v>
      </c>
      <c r="DI16" s="83"/>
      <c r="DJ16" s="83"/>
      <c r="DK16" s="83"/>
      <c r="DL16" s="92"/>
      <c r="DM16" s="83"/>
      <c r="DN16" s="83"/>
      <c r="DO16" s="92" t="s">
        <v>63</v>
      </c>
      <c r="DP16" s="167">
        <f>DP20+(0.693/DP22)</f>
        <v>4.9499999999999995E-2</v>
      </c>
      <c r="DQ16" s="83" t="s">
        <v>64</v>
      </c>
      <c r="DR16" s="83"/>
      <c r="DS16" s="146">
        <v>365</v>
      </c>
      <c r="DT16" s="52" t="s">
        <v>24</v>
      </c>
      <c r="DU16" s="92"/>
      <c r="DV16" s="83"/>
      <c r="DW16" s="83"/>
      <c r="DX16" s="83" t="s">
        <v>22</v>
      </c>
      <c r="DY16" s="137">
        <f>0.693/DY17</f>
        <v>66.155354824913829</v>
      </c>
      <c r="EA16" s="92"/>
      <c r="EB16" s="83"/>
      <c r="EC16" s="83"/>
      <c r="ED16" s="92" t="s">
        <v>63</v>
      </c>
      <c r="EE16" s="167">
        <f>EE20+(0.693/EE22)</f>
        <v>4.9499999999999995E-2</v>
      </c>
      <c r="EF16" s="83" t="s">
        <v>64</v>
      </c>
      <c r="EH16" s="146">
        <v>365</v>
      </c>
      <c r="EI16" s="52" t="s">
        <v>24</v>
      </c>
      <c r="EJ16" s="92"/>
      <c r="EK16" s="83"/>
      <c r="EL16" s="83"/>
      <c r="EM16" s="91" t="s">
        <v>231</v>
      </c>
      <c r="EN16" s="136">
        <f>B18</f>
        <v>1.04753425E-2</v>
      </c>
      <c r="EO16" s="52" t="s">
        <v>60</v>
      </c>
      <c r="EP16" s="92"/>
      <c r="EQ16" s="83"/>
      <c r="ER16" s="83"/>
      <c r="ES16" s="92" t="s">
        <v>63</v>
      </c>
      <c r="ET16" s="167">
        <f>ET20+(0.693/ET22)</f>
        <v>4.9499999999999995E-2</v>
      </c>
      <c r="EU16" s="83" t="s">
        <v>64</v>
      </c>
      <c r="EV16" s="83"/>
      <c r="EW16" s="146">
        <v>365</v>
      </c>
      <c r="EX16" s="52" t="s">
        <v>24</v>
      </c>
      <c r="EY16" s="83"/>
      <c r="EZ16" s="83"/>
      <c r="FA16" s="83"/>
      <c r="FB16" s="91" t="s">
        <v>231</v>
      </c>
      <c r="FC16" s="136">
        <f>B18</f>
        <v>1.04753425E-2</v>
      </c>
      <c r="FD16" s="52" t="s">
        <v>60</v>
      </c>
      <c r="FE16" s="83"/>
      <c r="FF16" s="83"/>
      <c r="FG16" s="83"/>
      <c r="FH16" s="83" t="s">
        <v>63</v>
      </c>
      <c r="FI16" s="167">
        <f>FI20+(0.693/FI22)</f>
        <v>4.9499999999999995E-2</v>
      </c>
      <c r="FJ16" s="83" t="s">
        <v>64</v>
      </c>
      <c r="FK16" s="83"/>
      <c r="FL16" s="146">
        <v>365</v>
      </c>
      <c r="FM16" s="52" t="s">
        <v>24</v>
      </c>
      <c r="FN16" s="83"/>
      <c r="FO16" s="83"/>
      <c r="FP16" s="83"/>
      <c r="FQ16" s="83"/>
      <c r="FR16" s="83"/>
      <c r="FS16" s="83"/>
      <c r="FT16" s="83"/>
      <c r="FU16" s="83"/>
      <c r="FV16" s="83"/>
      <c r="FW16" s="83"/>
      <c r="FX16" s="83"/>
      <c r="FY16" s="83"/>
      <c r="FZ16" s="83"/>
      <c r="GA16" s="146">
        <v>365</v>
      </c>
      <c r="GB16" s="52" t="s">
        <v>24</v>
      </c>
      <c r="GC16" s="83"/>
      <c r="GD16" s="83"/>
      <c r="GE16" s="83"/>
      <c r="GF16" s="91" t="s">
        <v>231</v>
      </c>
      <c r="GG16" s="136">
        <f>B18</f>
        <v>1.04753425E-2</v>
      </c>
      <c r="GH16" s="52" t="s">
        <v>60</v>
      </c>
      <c r="GI16" s="83"/>
      <c r="GJ16" s="83"/>
      <c r="GK16" s="83"/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B165</f>
        <v>0.15</v>
      </c>
      <c r="GR16" s="83"/>
      <c r="GS16" s="83"/>
      <c r="GT16" s="83"/>
      <c r="GU16" s="91" t="s">
        <v>231</v>
      </c>
      <c r="GV16" s="136">
        <f>B18</f>
        <v>1.04753425E-2</v>
      </c>
      <c r="GW16" s="52" t="s">
        <v>60</v>
      </c>
      <c r="GX16" s="83"/>
      <c r="GY16" s="83"/>
      <c r="GZ16" s="83"/>
      <c r="HA16" s="83" t="s">
        <v>63</v>
      </c>
      <c r="HB16" s="167">
        <f>HB20+(0.693/HB22)</f>
        <v>4.9499999999999995E-2</v>
      </c>
      <c r="HC16" s="83" t="s">
        <v>64</v>
      </c>
      <c r="HD16" s="83"/>
      <c r="HE16" s="83"/>
      <c r="HF16" s="83"/>
    </row>
    <row r="17" spans="1:214" ht="13.5" thickBot="1" x14ac:dyDescent="0.25">
      <c r="A17" s="83" t="s">
        <v>258</v>
      </c>
      <c r="B17" s="183">
        <v>0</v>
      </c>
      <c r="C17" s="92" t="s">
        <v>259</v>
      </c>
      <c r="D17" s="83" t="s">
        <v>256</v>
      </c>
      <c r="E17" s="136">
        <f>B15</f>
        <v>3.2316400000000001</v>
      </c>
      <c r="F17" s="83" t="s">
        <v>343</v>
      </c>
      <c r="G17" s="83" t="s">
        <v>370</v>
      </c>
      <c r="H17" s="146">
        <f>B42</f>
        <v>0.78</v>
      </c>
      <c r="I17" s="52" t="s">
        <v>28</v>
      </c>
      <c r="J17" s="83" t="s">
        <v>263</v>
      </c>
      <c r="K17" s="153" t="e">
        <f>((K18/(K47+K48))*K11)</f>
        <v>#DIV/0!</v>
      </c>
      <c r="L17" s="92" t="s">
        <v>10</v>
      </c>
      <c r="M17" s="84" t="s">
        <v>295</v>
      </c>
      <c r="N17" s="142">
        <f>B302</f>
        <v>222.01757699999999</v>
      </c>
      <c r="O17" s="84" t="s">
        <v>296</v>
      </c>
      <c r="P17" s="84" t="s">
        <v>295</v>
      </c>
      <c r="Q17" s="142">
        <f>B302</f>
        <v>222.01757699999999</v>
      </c>
      <c r="R17" s="84" t="s">
        <v>296</v>
      </c>
      <c r="S17" s="84" t="s">
        <v>295</v>
      </c>
      <c r="T17" s="142">
        <f>B302</f>
        <v>222.01757699999999</v>
      </c>
      <c r="U17" s="84" t="s">
        <v>296</v>
      </c>
      <c r="V17" s="52" t="s">
        <v>271</v>
      </c>
      <c r="W17" s="144">
        <f>((W5)/((W12/24)*W9*W14*(1/365)))*W8*W20*W21</f>
        <v>9.8066854955676383E-15</v>
      </c>
      <c r="X17" s="52" t="s">
        <v>15</v>
      </c>
      <c r="Y17" s="52" t="s">
        <v>271</v>
      </c>
      <c r="Z17" s="144">
        <f>((Z5)/((Z12/24)*Z9*Z14*(1/365)))*Z8*Z20*Z21</f>
        <v>8.8260169460108735E-15</v>
      </c>
      <c r="AA17" s="52" t="s">
        <v>15</v>
      </c>
      <c r="AB17" s="83" t="s">
        <v>413</v>
      </c>
      <c r="AC17" s="141">
        <f>B237</f>
        <v>1</v>
      </c>
      <c r="AD17" s="141">
        <f>B249</f>
        <v>1</v>
      </c>
      <c r="AE17" s="141">
        <f>B261</f>
        <v>1</v>
      </c>
      <c r="AF17" s="141">
        <f>B280</f>
        <v>0.753</v>
      </c>
      <c r="AG17" s="141">
        <f>B280</f>
        <v>0.753</v>
      </c>
      <c r="AH17" s="92"/>
      <c r="AI17" s="84" t="s">
        <v>295</v>
      </c>
      <c r="AJ17" s="142">
        <f>B302</f>
        <v>222.01757699999999</v>
      </c>
      <c r="AK17" s="84" t="s">
        <v>296</v>
      </c>
      <c r="AL17" s="84" t="s">
        <v>295</v>
      </c>
      <c r="AM17" s="142">
        <f>B302</f>
        <v>222.01757699999999</v>
      </c>
      <c r="AN17" s="84" t="s">
        <v>296</v>
      </c>
      <c r="AO17" s="84" t="s">
        <v>295</v>
      </c>
      <c r="AP17" s="142">
        <f>B302</f>
        <v>222.01757699999999</v>
      </c>
      <c r="AQ17" s="84" t="s">
        <v>296</v>
      </c>
      <c r="AR17" s="84" t="s">
        <v>295</v>
      </c>
      <c r="AS17" s="142">
        <f>B302</f>
        <v>222.01757699999999</v>
      </c>
      <c r="AT17" s="84" t="s">
        <v>296</v>
      </c>
      <c r="AU17" s="84" t="s">
        <v>295</v>
      </c>
      <c r="AV17" s="142">
        <f>B302</f>
        <v>222.01757699999999</v>
      </c>
      <c r="AW17" s="84" t="s">
        <v>296</v>
      </c>
      <c r="AX17" s="84" t="s">
        <v>295</v>
      </c>
      <c r="AY17" s="142">
        <f>B302</f>
        <v>222.01757699999999</v>
      </c>
      <c r="AZ17" s="84" t="s">
        <v>296</v>
      </c>
      <c r="BA17" s="84" t="s">
        <v>295</v>
      </c>
      <c r="BB17" s="142">
        <f>B302</f>
        <v>222.01757699999999</v>
      </c>
      <c r="BC17" s="84" t="s">
        <v>296</v>
      </c>
      <c r="BD17" s="84" t="s">
        <v>295</v>
      </c>
      <c r="BE17" s="142">
        <f>B302</f>
        <v>222.01757699999999</v>
      </c>
      <c r="BF17" s="84" t="s">
        <v>296</v>
      </c>
      <c r="BG17" s="84" t="s">
        <v>295</v>
      </c>
      <c r="BH17" s="142">
        <f>B302</f>
        <v>222.01757699999999</v>
      </c>
      <c r="BI17" s="84" t="s">
        <v>296</v>
      </c>
      <c r="BJ17" s="84" t="s">
        <v>295</v>
      </c>
      <c r="BK17" s="142">
        <f>B302</f>
        <v>222.01757699999999</v>
      </c>
      <c r="BL17" s="84" t="s">
        <v>296</v>
      </c>
      <c r="BM17" s="84" t="s">
        <v>295</v>
      </c>
      <c r="BN17" s="142">
        <f>B302</f>
        <v>222.01757699999999</v>
      </c>
      <c r="BO17" s="84" t="s">
        <v>296</v>
      </c>
      <c r="BP17" s="84" t="s">
        <v>295</v>
      </c>
      <c r="BQ17" s="142">
        <f>B302</f>
        <v>222.01757699999999</v>
      </c>
      <c r="BR17" s="84" t="s">
        <v>296</v>
      </c>
      <c r="BS17" s="83" t="s">
        <v>301</v>
      </c>
      <c r="BT17" s="142">
        <f>B111</f>
        <v>1</v>
      </c>
      <c r="BV17" s="83" t="s">
        <v>65</v>
      </c>
      <c r="BW17" s="141">
        <f>B116</f>
        <v>0.5</v>
      </c>
      <c r="BX17" s="52" t="s">
        <v>66</v>
      </c>
      <c r="BY17" s="83" t="s">
        <v>43</v>
      </c>
      <c r="BZ17" s="149">
        <f>(BZ24*BZ20*(BZ26/24)*BZ34)+(BZ23*BZ21*(BZ27/24)*BZ35)</f>
        <v>55.3125</v>
      </c>
      <c r="CA17" s="52" t="s">
        <v>426</v>
      </c>
      <c r="CN17" s="84" t="s">
        <v>16</v>
      </c>
      <c r="CO17" s="137">
        <f>(CO14*CO15)/(1-EXP(-CO15*CO14))</f>
        <v>66.155354824913829</v>
      </c>
      <c r="CT17" s="83" t="s">
        <v>263</v>
      </c>
      <c r="CU17" s="153" t="e">
        <f>DJ2</f>
        <v>#DIV/0!</v>
      </c>
      <c r="CV17" s="92" t="s">
        <v>12</v>
      </c>
      <c r="CW17" s="83" t="s">
        <v>256</v>
      </c>
      <c r="CX17" s="136">
        <f>B15</f>
        <v>3.2316400000000001</v>
      </c>
      <c r="CY17" s="83" t="s">
        <v>343</v>
      </c>
      <c r="CZ17" s="83" t="s">
        <v>511</v>
      </c>
      <c r="DA17" s="153" t="e">
        <f>DD2</f>
        <v>#DIV/0!</v>
      </c>
      <c r="DB17" s="83" t="s">
        <v>297</v>
      </c>
      <c r="DC17" s="93"/>
      <c r="DD17" s="136">
        <v>9.9999999999999995E-7</v>
      </c>
      <c r="DE17" s="88"/>
      <c r="DF17" s="92" t="s">
        <v>67</v>
      </c>
      <c r="DG17" s="142">
        <f>B198</f>
        <v>60</v>
      </c>
      <c r="DH17" s="83" t="s">
        <v>53</v>
      </c>
      <c r="DL17" s="92"/>
      <c r="DM17" s="83"/>
      <c r="DN17" s="83"/>
      <c r="DO17" s="92" t="s">
        <v>67</v>
      </c>
      <c r="DP17" s="142">
        <f>B198</f>
        <v>60</v>
      </c>
      <c r="DQ17" s="83" t="s">
        <v>53</v>
      </c>
      <c r="DR17" s="83" t="s">
        <v>475</v>
      </c>
      <c r="DS17" s="146">
        <f>B165</f>
        <v>0.15</v>
      </c>
      <c r="DU17" s="92"/>
      <c r="DV17" s="87"/>
      <c r="DW17" s="83"/>
      <c r="DX17" s="91" t="s">
        <v>231</v>
      </c>
      <c r="DY17" s="136">
        <f>B18</f>
        <v>1.04753425E-2</v>
      </c>
      <c r="DZ17" s="52" t="s">
        <v>60</v>
      </c>
      <c r="EA17" s="92"/>
      <c r="EB17" s="83"/>
      <c r="EC17" s="83"/>
      <c r="ED17" s="92" t="s">
        <v>67</v>
      </c>
      <c r="EE17" s="142">
        <f>B198</f>
        <v>60</v>
      </c>
      <c r="EF17" s="83" t="s">
        <v>53</v>
      </c>
      <c r="EG17" s="83" t="s">
        <v>475</v>
      </c>
      <c r="EH17" s="146">
        <f>B165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66.155354824913829</v>
      </c>
      <c r="EP17" s="92"/>
      <c r="EQ17" s="83"/>
      <c r="ER17" s="83"/>
      <c r="ES17" s="92" t="s">
        <v>67</v>
      </c>
      <c r="ET17" s="142">
        <f>B198</f>
        <v>60</v>
      </c>
      <c r="EU17" s="83" t="s">
        <v>53</v>
      </c>
      <c r="EV17" s="83" t="s">
        <v>475</v>
      </c>
      <c r="EW17" s="141">
        <f>B165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66.155354824913829</v>
      </c>
      <c r="FE17" s="83"/>
      <c r="FF17" s="83"/>
      <c r="FG17" s="83"/>
      <c r="FH17" s="83" t="s">
        <v>67</v>
      </c>
      <c r="FI17" s="142">
        <f>B198</f>
        <v>60</v>
      </c>
      <c r="FJ17" s="83" t="s">
        <v>53</v>
      </c>
      <c r="FK17" s="83" t="s">
        <v>475</v>
      </c>
      <c r="FL17" s="141">
        <f>B165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B165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66.155354824913829</v>
      </c>
      <c r="GI17" s="83"/>
      <c r="GJ17" s="83"/>
      <c r="GK17" s="83"/>
      <c r="GL17" s="83" t="s">
        <v>67</v>
      </c>
      <c r="GM17" s="142">
        <f>B198</f>
        <v>60</v>
      </c>
      <c r="GN17" s="83" t="s">
        <v>53</v>
      </c>
      <c r="GO17" s="83" t="s">
        <v>476</v>
      </c>
      <c r="GP17" s="141">
        <f>B166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66.155354824913829</v>
      </c>
      <c r="GX17" s="83"/>
      <c r="GY17" s="83"/>
      <c r="GZ17" s="83"/>
      <c r="HA17" s="83" t="s">
        <v>67</v>
      </c>
      <c r="HB17" s="142">
        <f>B198</f>
        <v>60</v>
      </c>
      <c r="HC17" s="83" t="s">
        <v>53</v>
      </c>
      <c r="HD17" s="84"/>
      <c r="HE17" s="84"/>
    </row>
    <row r="18" spans="1:214" ht="19.5" thickTop="1" thickBot="1" x14ac:dyDescent="0.25">
      <c r="A18" s="91" t="s">
        <v>231</v>
      </c>
      <c r="B18" s="183">
        <v>1.04753425E-2</v>
      </c>
      <c r="C18" s="52" t="s">
        <v>235</v>
      </c>
      <c r="D18" s="83" t="s">
        <v>301</v>
      </c>
      <c r="E18" s="142">
        <f>B60</f>
        <v>1</v>
      </c>
      <c r="G18" s="83" t="s">
        <v>371</v>
      </c>
      <c r="H18" s="146">
        <f>B43</f>
        <v>2.5</v>
      </c>
      <c r="I18" s="52" t="s">
        <v>28</v>
      </c>
      <c r="J18" s="83" t="s">
        <v>264</v>
      </c>
      <c r="K18" s="154" t="e">
        <f>(K5/(K9*(K25+K28)*K36))</f>
        <v>#DIV/0!</v>
      </c>
      <c r="L18" s="92" t="s">
        <v>10</v>
      </c>
      <c r="M18" s="84" t="s">
        <v>293</v>
      </c>
      <c r="N18" s="161">
        <f>B304</f>
        <v>2.8000000000000002E-12</v>
      </c>
      <c r="O18" s="84"/>
      <c r="P18" s="84" t="s">
        <v>293</v>
      </c>
      <c r="Q18" s="161">
        <f>B304</f>
        <v>2.8000000000000002E-12</v>
      </c>
      <c r="R18" s="84"/>
      <c r="S18" s="84" t="s">
        <v>293</v>
      </c>
      <c r="T18" s="161">
        <f>B304</f>
        <v>2.8000000000000002E-12</v>
      </c>
      <c r="U18" s="84"/>
      <c r="V18" s="52" t="s">
        <v>261</v>
      </c>
      <c r="W18" s="144">
        <f>((W5*W7*W6)/((W12/24)*(1-EXP(-W7*W10))*W11*W13*W9*W10))*W8*W20*W21</f>
        <v>7.6587183361919996E-13</v>
      </c>
      <c r="X18" s="52" t="s">
        <v>16</v>
      </c>
      <c r="Y18" s="52" t="s">
        <v>261</v>
      </c>
      <c r="Z18" s="144">
        <f>((Z5*Z7*Z6)/((Z12/24)*(1-EXP(-Z7*Z10))*Z11*Z13*Z9*Z10))*Z8*Z20*Z21</f>
        <v>6.8928465025727985E-13</v>
      </c>
      <c r="AA18" s="52" t="s">
        <v>16</v>
      </c>
      <c r="AB18" s="83" t="s">
        <v>412</v>
      </c>
      <c r="AC18" s="136">
        <f>B10</f>
        <v>2.1295200000000002E-3</v>
      </c>
      <c r="AD18" s="136">
        <f>B10</f>
        <v>2.1295200000000002E-3</v>
      </c>
      <c r="AE18" s="136">
        <f>B10</f>
        <v>2.1295200000000002E-3</v>
      </c>
      <c r="AF18" s="136">
        <f>B10</f>
        <v>2.1295200000000002E-3</v>
      </c>
      <c r="AG18" s="136">
        <f>B10</f>
        <v>2.1295200000000002E-3</v>
      </c>
      <c r="AH18" s="83" t="s">
        <v>351</v>
      </c>
      <c r="AI18" s="84" t="s">
        <v>293</v>
      </c>
      <c r="AJ18" s="161">
        <f>B304</f>
        <v>2.8000000000000002E-12</v>
      </c>
      <c r="AK18" s="84"/>
      <c r="AL18" s="84" t="s">
        <v>293</v>
      </c>
      <c r="AM18" s="161">
        <f>B304</f>
        <v>2.8000000000000002E-12</v>
      </c>
      <c r="AN18" s="84"/>
      <c r="AO18" s="84" t="s">
        <v>293</v>
      </c>
      <c r="AP18" s="161">
        <f>B304</f>
        <v>2.8000000000000002E-12</v>
      </c>
      <c r="AQ18" s="84"/>
      <c r="AR18" s="84" t="s">
        <v>293</v>
      </c>
      <c r="AS18" s="161">
        <f>B304</f>
        <v>2.8000000000000002E-12</v>
      </c>
      <c r="AT18" s="84"/>
      <c r="AU18" s="84" t="s">
        <v>293</v>
      </c>
      <c r="AV18" s="161">
        <f>B304</f>
        <v>2.8000000000000002E-12</v>
      </c>
      <c r="AW18" s="84"/>
      <c r="AX18" s="84" t="s">
        <v>293</v>
      </c>
      <c r="AY18" s="161">
        <f>B304</f>
        <v>2.8000000000000002E-12</v>
      </c>
      <c r="AZ18" s="84"/>
      <c r="BA18" s="84" t="s">
        <v>293</v>
      </c>
      <c r="BB18" s="161">
        <f>B304</f>
        <v>2.8000000000000002E-12</v>
      </c>
      <c r="BC18" s="84"/>
      <c r="BD18" s="84" t="s">
        <v>293</v>
      </c>
      <c r="BE18" s="161">
        <f>B304</f>
        <v>2.8000000000000002E-12</v>
      </c>
      <c r="BF18" s="84"/>
      <c r="BG18" s="84" t="s">
        <v>293</v>
      </c>
      <c r="BH18" s="161">
        <f>B304</f>
        <v>2.8000000000000002E-12</v>
      </c>
      <c r="BI18" s="84"/>
      <c r="BJ18" s="84" t="s">
        <v>293</v>
      </c>
      <c r="BK18" s="161">
        <f>B304</f>
        <v>2.8000000000000002E-12</v>
      </c>
      <c r="BL18" s="84"/>
      <c r="BM18" s="84" t="s">
        <v>293</v>
      </c>
      <c r="BN18" s="161">
        <f>B304</f>
        <v>2.8000000000000002E-12</v>
      </c>
      <c r="BO18" s="84"/>
      <c r="BP18" s="84" t="s">
        <v>293</v>
      </c>
      <c r="BQ18" s="161">
        <f>B304</f>
        <v>2.8000000000000002E-12</v>
      </c>
      <c r="BR18" s="84"/>
      <c r="BS18" s="52" t="s">
        <v>261</v>
      </c>
      <c r="BT18" s="143">
        <f>((BT5)/(BT9*BT10))*BT7*BT27*BT28</f>
        <v>9.4184691681140319E-13</v>
      </c>
      <c r="BU18" s="52" t="s">
        <v>15</v>
      </c>
      <c r="BV18" s="83" t="s">
        <v>433</v>
      </c>
      <c r="BW18" s="150">
        <f>B112</f>
        <v>45</v>
      </c>
      <c r="BX18" s="83" t="s">
        <v>24</v>
      </c>
      <c r="BY18" s="83" t="s">
        <v>441</v>
      </c>
      <c r="BZ18" s="146">
        <f>B97</f>
        <v>200</v>
      </c>
      <c r="CA18" s="84" t="s">
        <v>48</v>
      </c>
      <c r="CB18" s="675" t="s">
        <v>572</v>
      </c>
      <c r="CC18" s="673"/>
      <c r="CD18" s="673"/>
      <c r="CE18" s="676" t="s">
        <v>573</v>
      </c>
      <c r="CF18" s="673"/>
      <c r="CG18" s="674"/>
      <c r="CJ18" s="83"/>
      <c r="CT18" s="83" t="s">
        <v>264</v>
      </c>
      <c r="CU18" s="153" t="e">
        <f>DD2</f>
        <v>#DIV/0!</v>
      </c>
      <c r="CV18" s="92" t="s">
        <v>12</v>
      </c>
      <c r="CW18" s="83" t="s">
        <v>301</v>
      </c>
      <c r="CX18" s="142">
        <f>B180</f>
        <v>1</v>
      </c>
      <c r="CZ18" s="91" t="s">
        <v>272</v>
      </c>
      <c r="DA18" s="144" t="e">
        <f>EZ2</f>
        <v>#DIV/0!</v>
      </c>
      <c r="DB18" s="83" t="s">
        <v>297</v>
      </c>
      <c r="DC18" s="88"/>
      <c r="DD18" s="136">
        <v>1000</v>
      </c>
      <c r="DE18" s="92" t="s">
        <v>99</v>
      </c>
      <c r="DF18" s="92" t="s">
        <v>68</v>
      </c>
      <c r="DG18" s="142">
        <f>B199</f>
        <v>2</v>
      </c>
      <c r="DH18" s="83" t="s">
        <v>56</v>
      </c>
      <c r="DL18" s="92"/>
      <c r="DM18" s="83"/>
      <c r="DN18" s="83"/>
      <c r="DO18" s="92" t="s">
        <v>68</v>
      </c>
      <c r="DP18" s="142">
        <f>B199</f>
        <v>2</v>
      </c>
      <c r="DQ18" s="83" t="s">
        <v>56</v>
      </c>
      <c r="DR18" s="83" t="s">
        <v>476</v>
      </c>
      <c r="DS18" s="146">
        <f>B166</f>
        <v>0.85</v>
      </c>
      <c r="DU18" s="92"/>
      <c r="DV18" s="83"/>
      <c r="DW18" s="83"/>
      <c r="DX18" s="84" t="s">
        <v>16</v>
      </c>
      <c r="DY18" s="137">
        <f>(DY15*DY16)/(1-EXP(-DY16*DY15))</f>
        <v>66.155354824913829</v>
      </c>
      <c r="EA18" s="92"/>
      <c r="EB18" s="83"/>
      <c r="EC18" s="83"/>
      <c r="ED18" s="92" t="s">
        <v>68</v>
      </c>
      <c r="EE18" s="142">
        <f>B199</f>
        <v>2</v>
      </c>
      <c r="EF18" s="83" t="s">
        <v>56</v>
      </c>
      <c r="EG18" s="83" t="s">
        <v>476</v>
      </c>
      <c r="EH18" s="146">
        <f>B166</f>
        <v>0.85</v>
      </c>
      <c r="EJ18" s="92"/>
      <c r="EK18" s="83"/>
      <c r="EL18" s="83"/>
      <c r="EM18" s="95"/>
      <c r="EN18" s="176"/>
      <c r="EP18" s="92"/>
      <c r="EQ18" s="83"/>
      <c r="ER18" s="83"/>
      <c r="ES18" s="92" t="s">
        <v>68</v>
      </c>
      <c r="ET18" s="142">
        <f>B199</f>
        <v>2</v>
      </c>
      <c r="EU18" s="83" t="s">
        <v>56</v>
      </c>
      <c r="EV18" s="83" t="s">
        <v>476</v>
      </c>
      <c r="EW18" s="141">
        <f>B166</f>
        <v>0.85</v>
      </c>
      <c r="EX18" s="92"/>
      <c r="EY18" s="83"/>
      <c r="EZ18" s="83"/>
      <c r="FA18" s="83"/>
      <c r="FB18" s="95"/>
      <c r="FC18" s="176"/>
      <c r="FD18" s="83"/>
      <c r="FE18" s="83"/>
      <c r="FF18" s="83"/>
      <c r="FG18" s="83"/>
      <c r="FH18" s="83" t="s">
        <v>68</v>
      </c>
      <c r="FI18" s="142">
        <f>B199</f>
        <v>2</v>
      </c>
      <c r="FJ18" s="83" t="s">
        <v>56</v>
      </c>
      <c r="FK18" s="83" t="s">
        <v>476</v>
      </c>
      <c r="FL18" s="141">
        <f>B166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B166</f>
        <v>0.85</v>
      </c>
      <c r="GB18" s="92"/>
      <c r="GC18" s="83"/>
      <c r="GD18" s="83"/>
      <c r="GE18" s="83"/>
      <c r="GF18" s="95"/>
      <c r="GG18" s="176"/>
      <c r="GH18" s="83"/>
      <c r="GI18" s="83"/>
      <c r="GJ18" s="83"/>
      <c r="GK18" s="83"/>
      <c r="GL18" s="83" t="s">
        <v>68</v>
      </c>
      <c r="GM18" s="142">
        <f>B199</f>
        <v>2</v>
      </c>
      <c r="GN18" s="83" t="s">
        <v>56</v>
      </c>
      <c r="GO18" s="84" t="s">
        <v>295</v>
      </c>
      <c r="GP18" s="142">
        <f>B302</f>
        <v>222.01757699999999</v>
      </c>
      <c r="GQ18" s="84" t="s">
        <v>296</v>
      </c>
      <c r="GR18" s="83"/>
      <c r="GS18" s="83"/>
      <c r="GT18" s="83"/>
      <c r="GU18" s="95"/>
      <c r="GV18" s="176"/>
      <c r="GW18" s="83"/>
      <c r="GX18" s="83"/>
      <c r="GY18" s="83"/>
      <c r="GZ18" s="83"/>
      <c r="HA18" s="83" t="s">
        <v>68</v>
      </c>
      <c r="HB18" s="142">
        <f>B199</f>
        <v>2</v>
      </c>
      <c r="HC18" s="83" t="s">
        <v>56</v>
      </c>
    </row>
    <row r="19" spans="1:214" ht="19.5" thickTop="1" thickBot="1" x14ac:dyDescent="0.25">
      <c r="A19" s="91" t="s">
        <v>77</v>
      </c>
      <c r="B19" s="183">
        <f>PEF!D3</f>
        <v>1359344473.5814338</v>
      </c>
      <c r="C19" s="52" t="s">
        <v>524</v>
      </c>
      <c r="D19" s="52" t="s">
        <v>261</v>
      </c>
      <c r="E19" s="143">
        <f>((E5)/((E15/E16)*E11*E12))*E7*E27*E28</f>
        <v>8.4093474715303867E-15</v>
      </c>
      <c r="F19" s="52" t="s">
        <v>15</v>
      </c>
      <c r="G19" s="83" t="s">
        <v>366</v>
      </c>
      <c r="H19" s="146">
        <f>B38</f>
        <v>10</v>
      </c>
      <c r="I19" s="52" t="s">
        <v>407</v>
      </c>
      <c r="J19" s="83" t="s">
        <v>445</v>
      </c>
      <c r="K19" s="155">
        <f>K21*K31*K51+K22*K32*K52</f>
        <v>43050</v>
      </c>
      <c r="L19" s="83" t="s">
        <v>346</v>
      </c>
      <c r="V19" s="52" t="s">
        <v>271</v>
      </c>
      <c r="W19" s="145">
        <f>((W5*W7*W6)/((W12/24)*(1-EXP(-W7*W6))*W14*W9*(1/365)))*W8*W20*W21</f>
        <v>6.4876475861561293E-13</v>
      </c>
      <c r="X19" s="52" t="s">
        <v>16</v>
      </c>
      <c r="Y19" s="52" t="s">
        <v>271</v>
      </c>
      <c r="Z19" s="145">
        <f>((Z5*Z7*Z6)/((Z12/24)*(1-EXP(-Z7*Z6))*Z14*Z9*(1/365)))*Z8*Z20*Z21</f>
        <v>5.8388828275405161E-13</v>
      </c>
      <c r="AA19" s="52" t="s">
        <v>16</v>
      </c>
      <c r="AB19" s="83" t="s">
        <v>247</v>
      </c>
      <c r="AC19" s="139">
        <f>B6</f>
        <v>1.25E-4</v>
      </c>
      <c r="AD19" s="139">
        <f>B6</f>
        <v>1.25E-4</v>
      </c>
      <c r="AE19" s="139">
        <f>B6</f>
        <v>1.25E-4</v>
      </c>
      <c r="AF19" s="139">
        <f>B6</f>
        <v>1.25E-4</v>
      </c>
      <c r="AG19" s="139">
        <f>B6</f>
        <v>1.25E-4</v>
      </c>
      <c r="AH19" s="84" t="s">
        <v>259</v>
      </c>
      <c r="BS19" s="52" t="s">
        <v>271</v>
      </c>
      <c r="BT19" s="144">
        <f>((BT5)/(BT16*BT8*(1/365)*BT15*(1/24)*BT17))*BT7*BT27*BT28</f>
        <v>2.3536045189362334E-13</v>
      </c>
      <c r="BU19" s="52" t="s">
        <v>15</v>
      </c>
      <c r="BV19" s="83" t="s">
        <v>434</v>
      </c>
      <c r="BW19" s="150">
        <f>B113</f>
        <v>45</v>
      </c>
      <c r="BX19" s="83" t="s">
        <v>24</v>
      </c>
      <c r="BY19" s="83" t="s">
        <v>442</v>
      </c>
      <c r="BZ19" s="146">
        <f>B98</f>
        <v>100</v>
      </c>
      <c r="CA19" s="84" t="s">
        <v>48</v>
      </c>
      <c r="CB19" s="268" t="s">
        <v>537</v>
      </c>
      <c r="CC19" s="262">
        <f>((CC22*CC23*CC24)/((1-EXP(-CC24*CC23))*CC31*(CC26/365)*CC29*(CC30/24)*CC28))*CC25*CC32*CC33</f>
        <v>9.10994683174653E-3</v>
      </c>
      <c r="CD19" s="279" t="s">
        <v>297</v>
      </c>
      <c r="CE19" s="259" t="s">
        <v>537</v>
      </c>
      <c r="CF19" s="262">
        <f>((CF22*CF23*CF24)/((1-EXP(-CF24*CF23))*CF31*(CF26/365)*CF29*(CF30/24)*CF28))*CF25*CF32*CF33</f>
        <v>0.41699050112724645</v>
      </c>
      <c r="CG19" s="265" t="s">
        <v>297</v>
      </c>
      <c r="CH19" s="83"/>
      <c r="CI19" s="83"/>
      <c r="CK19" s="675" t="s">
        <v>576</v>
      </c>
      <c r="CL19" s="673"/>
      <c r="CM19" s="673"/>
      <c r="CN19" s="676" t="s">
        <v>576</v>
      </c>
      <c r="CO19" s="673"/>
      <c r="CP19" s="677"/>
      <c r="CQ19" s="673" t="s">
        <v>576</v>
      </c>
      <c r="CR19" s="673"/>
      <c r="CS19" s="674"/>
      <c r="CT19" s="91" t="s">
        <v>272</v>
      </c>
      <c r="CU19" s="144" t="e">
        <f>FC2</f>
        <v>#DIV/0!</v>
      </c>
      <c r="CV19" s="92" t="s">
        <v>12</v>
      </c>
      <c r="CW19" s="52" t="s">
        <v>261</v>
      </c>
      <c r="CX19" s="143">
        <f>((CX5)/((CX15/CX16)*CX11*CX12))*CX7*CX27*CX28</f>
        <v>8.0457000133020445E-15</v>
      </c>
      <c r="CY19" s="52" t="s">
        <v>15</v>
      </c>
      <c r="CZ19" s="91" t="s">
        <v>273</v>
      </c>
      <c r="DA19" s="144" t="e">
        <f>GS2</f>
        <v>#DIV/0!</v>
      </c>
      <c r="DB19" s="83" t="s">
        <v>297</v>
      </c>
      <c r="DC19" s="92" t="s">
        <v>72</v>
      </c>
      <c r="DD19" s="146">
        <f>B186</f>
        <v>1</v>
      </c>
      <c r="DE19" s="93"/>
      <c r="DF19" s="92" t="s">
        <v>70</v>
      </c>
      <c r="DG19" s="138">
        <f>B200</f>
        <v>2.6999999999999999E-5</v>
      </c>
      <c r="DH19" s="52" t="s">
        <v>64</v>
      </c>
      <c r="DL19" s="92"/>
      <c r="DO19" s="92" t="s">
        <v>70</v>
      </c>
      <c r="DP19" s="138">
        <f>B200</f>
        <v>2.6999999999999999E-5</v>
      </c>
      <c r="DQ19" s="52" t="s">
        <v>64</v>
      </c>
      <c r="DR19" s="84" t="s">
        <v>295</v>
      </c>
      <c r="DS19" s="142">
        <f>B302</f>
        <v>222.01757699999999</v>
      </c>
      <c r="DT19" s="84" t="s">
        <v>296</v>
      </c>
      <c r="DU19" s="92"/>
      <c r="DX19" s="95"/>
      <c r="DY19" s="176"/>
      <c r="EA19" s="92"/>
      <c r="EB19" s="84"/>
      <c r="EC19" s="84"/>
      <c r="ED19" s="92" t="s">
        <v>70</v>
      </c>
      <c r="EE19" s="163">
        <f>B200</f>
        <v>2.6999999999999999E-5</v>
      </c>
      <c r="EF19" s="84" t="s">
        <v>64</v>
      </c>
      <c r="EG19" s="84" t="s">
        <v>295</v>
      </c>
      <c r="EH19" s="142">
        <f>B302</f>
        <v>222.01757699999999</v>
      </c>
      <c r="EI19" s="84" t="s">
        <v>296</v>
      </c>
      <c r="EJ19" s="92"/>
      <c r="EP19" s="92"/>
      <c r="EQ19" s="84"/>
      <c r="ER19" s="84"/>
      <c r="ES19" s="92" t="s">
        <v>70</v>
      </c>
      <c r="ET19" s="163">
        <f>B200</f>
        <v>2.6999999999999999E-5</v>
      </c>
      <c r="EU19" s="84" t="s">
        <v>64</v>
      </c>
      <c r="EV19" s="84" t="s">
        <v>295</v>
      </c>
      <c r="EW19" s="142">
        <f>B302</f>
        <v>222.01757699999999</v>
      </c>
      <c r="EX19" s="84" t="s">
        <v>296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B200</f>
        <v>2.6999999999999999E-5</v>
      </c>
      <c r="FJ19" s="84" t="s">
        <v>64</v>
      </c>
      <c r="FK19" s="84" t="s">
        <v>295</v>
      </c>
      <c r="FL19" s="142">
        <f>B302</f>
        <v>222.01757699999999</v>
      </c>
      <c r="FM19" s="84" t="s">
        <v>296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84" t="s">
        <v>295</v>
      </c>
      <c r="GA19" s="142">
        <f>B302</f>
        <v>222.01757699999999</v>
      </c>
      <c r="GB19" s="84" t="s">
        <v>296</v>
      </c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B200</f>
        <v>2.6999999999999999E-5</v>
      </c>
      <c r="GN19" s="84" t="s">
        <v>64</v>
      </c>
      <c r="GO19" s="84" t="s">
        <v>293</v>
      </c>
      <c r="GP19" s="161">
        <f>B304</f>
        <v>2.8000000000000002E-12</v>
      </c>
      <c r="GQ19" s="84"/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B200</f>
        <v>2.6999999999999999E-5</v>
      </c>
      <c r="HC19" s="84" t="s">
        <v>64</v>
      </c>
    </row>
    <row r="20" spans="1:214" ht="19.5" thickTop="1" thickBot="1" x14ac:dyDescent="0.25">
      <c r="A20" s="91" t="s">
        <v>103</v>
      </c>
      <c r="B20" s="183">
        <f>PEF!G3</f>
        <v>776129.4078035407</v>
      </c>
      <c r="C20" s="52" t="s">
        <v>524</v>
      </c>
      <c r="D20" s="52" t="s">
        <v>271</v>
      </c>
      <c r="E20" s="144">
        <f>((E5)/((E15/E16)*E8*E17*(1/365)*E18))*E7*E27*E28</f>
        <v>2.1014326061930652E-15</v>
      </c>
      <c r="F20" s="52" t="s">
        <v>15</v>
      </c>
      <c r="G20" s="83" t="s">
        <v>367</v>
      </c>
      <c r="H20" s="146">
        <f>B39</f>
        <v>20</v>
      </c>
      <c r="I20" s="52" t="s">
        <v>407</v>
      </c>
      <c r="J20" s="83" t="s">
        <v>396</v>
      </c>
      <c r="K20" s="155">
        <f>(K31*K23*(K34/24)*K51)+(K32*K24*(K35/24)*K52)</f>
        <v>6195</v>
      </c>
      <c r="L20" s="52" t="s">
        <v>407</v>
      </c>
      <c r="M20" s="325" t="s">
        <v>533</v>
      </c>
      <c r="N20" s="326"/>
      <c r="O20" s="326"/>
      <c r="P20" s="327" t="s">
        <v>536</v>
      </c>
      <c r="Q20" s="326"/>
      <c r="R20" s="329"/>
      <c r="V20" s="84" t="s">
        <v>295</v>
      </c>
      <c r="W20" s="142">
        <f>B302</f>
        <v>222.01757699999999</v>
      </c>
      <c r="X20" s="84" t="s">
        <v>296</v>
      </c>
      <c r="Y20" s="84" t="s">
        <v>295</v>
      </c>
      <c r="Z20" s="142">
        <f>B302</f>
        <v>222.01757699999999</v>
      </c>
      <c r="AA20" s="84" t="s">
        <v>296</v>
      </c>
      <c r="AB20" s="83" t="s">
        <v>83</v>
      </c>
      <c r="AC20" s="139">
        <f>B238</f>
        <v>8</v>
      </c>
      <c r="AD20" s="139">
        <f>B250</f>
        <v>0</v>
      </c>
      <c r="AE20" s="139">
        <f>B262</f>
        <v>8</v>
      </c>
      <c r="AF20" s="139">
        <f>B274</f>
        <v>8</v>
      </c>
      <c r="AG20" s="139">
        <f>B297</f>
        <v>8</v>
      </c>
      <c r="AH20" s="84" t="s">
        <v>194</v>
      </c>
      <c r="AI20" s="658" t="s">
        <v>558</v>
      </c>
      <c r="AJ20" s="659"/>
      <c r="AK20" s="660"/>
      <c r="AL20" s="661" t="s">
        <v>545</v>
      </c>
      <c r="AM20" s="659"/>
      <c r="AN20" s="662"/>
      <c r="AR20" s="658" t="s">
        <v>560</v>
      </c>
      <c r="AS20" s="659"/>
      <c r="AT20" s="660"/>
      <c r="AU20" s="661" t="s">
        <v>550</v>
      </c>
      <c r="AV20" s="659"/>
      <c r="AW20" s="662"/>
      <c r="BA20" s="658" t="s">
        <v>562</v>
      </c>
      <c r="BB20" s="659"/>
      <c r="BC20" s="660"/>
      <c r="BD20" s="661" t="s">
        <v>553</v>
      </c>
      <c r="BE20" s="659"/>
      <c r="BF20" s="662"/>
      <c r="BJ20" s="658" t="s">
        <v>563</v>
      </c>
      <c r="BK20" s="659"/>
      <c r="BL20" s="660"/>
      <c r="BM20" s="661" t="s">
        <v>556</v>
      </c>
      <c r="BN20" s="659"/>
      <c r="BO20" s="662"/>
      <c r="BS20" s="52" t="s">
        <v>261</v>
      </c>
      <c r="BT20" s="144">
        <f>((BT5*BT24*BT6)/((1-EXP(-BT6*BT24))*BT9*BT10))*BT7*BT27*BT28</f>
        <v>6.2308216972409482E-11</v>
      </c>
      <c r="BU20" s="52" t="s">
        <v>16</v>
      </c>
      <c r="BV20" s="52" t="s">
        <v>443</v>
      </c>
      <c r="BW20" s="138">
        <f>B109</f>
        <v>1</v>
      </c>
      <c r="BX20" s="52" t="s">
        <v>89</v>
      </c>
      <c r="BY20" s="83" t="s">
        <v>429</v>
      </c>
      <c r="BZ20" s="141">
        <f>B93</f>
        <v>10</v>
      </c>
      <c r="CA20" s="92" t="s">
        <v>407</v>
      </c>
      <c r="CB20" s="268"/>
      <c r="CC20" s="262"/>
      <c r="CD20" s="279"/>
      <c r="CE20" s="259"/>
      <c r="CF20" s="262"/>
      <c r="CG20" s="265"/>
      <c r="CK20" s="268" t="s">
        <v>530</v>
      </c>
      <c r="CL20" s="262" t="e">
        <f>(CL23/(CL24*CL25*CL26))*CL27*CL28*CO33</f>
        <v>#DIV/0!</v>
      </c>
      <c r="CM20" s="279" t="s">
        <v>12</v>
      </c>
      <c r="CN20" s="259" t="s">
        <v>7</v>
      </c>
      <c r="CO20" s="262" t="e">
        <f>(CL20/(CO23*((CO28*CO30*CO31*(CO24+CO25))+(CO29*CO30))))*CO34</f>
        <v>#DIV/0!</v>
      </c>
      <c r="CP20" s="279" t="s">
        <v>12</v>
      </c>
      <c r="CQ20" s="259" t="s">
        <v>6</v>
      </c>
      <c r="CR20" s="262" t="e">
        <f>CL20/(CR23*CR24*(1/CR25))</f>
        <v>#DIV/0!</v>
      </c>
      <c r="CS20" s="265" t="s">
        <v>12</v>
      </c>
      <c r="CT20" s="91" t="s">
        <v>273</v>
      </c>
      <c r="CU20" s="144" t="e">
        <f>GV2</f>
        <v>#DIV/0!</v>
      </c>
      <c r="CV20" s="92" t="s">
        <v>12</v>
      </c>
      <c r="CW20" s="52" t="s">
        <v>271</v>
      </c>
      <c r="CX20" s="144">
        <f>((CX5)/((CX15/CX16)*CX8*CX17*(1/365)*CX18))*CX7*CX27*CX28</f>
        <v>2.1014326061930652E-15</v>
      </c>
      <c r="CY20" s="52" t="s">
        <v>15</v>
      </c>
      <c r="CZ20" s="91" t="s">
        <v>274</v>
      </c>
      <c r="DA20" s="144" t="e">
        <f>EK2</f>
        <v>#DIV/0!</v>
      </c>
      <c r="DB20" s="83" t="s">
        <v>297</v>
      </c>
      <c r="DC20" s="83" t="s">
        <v>475</v>
      </c>
      <c r="DD20" s="146">
        <f>B165</f>
        <v>0.15</v>
      </c>
      <c r="DF20" s="92" t="s">
        <v>71</v>
      </c>
      <c r="DG20" s="137">
        <f>0.693/DG23</f>
        <v>0.18124754746551736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R20" s="84" t="s">
        <v>293</v>
      </c>
      <c r="DS20" s="161">
        <f>B304</f>
        <v>2.8000000000000002E-12</v>
      </c>
      <c r="DT20" s="84"/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G20" s="84" t="s">
        <v>293</v>
      </c>
      <c r="EH20" s="161">
        <f>B304</f>
        <v>2.8000000000000002E-12</v>
      </c>
      <c r="EI20" s="84"/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V20" s="84" t="s">
        <v>293</v>
      </c>
      <c r="EW20" s="161">
        <f>B304</f>
        <v>2.8000000000000002E-12</v>
      </c>
      <c r="EX20" s="84"/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K20" s="84" t="s">
        <v>293</v>
      </c>
      <c r="FL20" s="161">
        <f>B304</f>
        <v>2.8000000000000002E-12</v>
      </c>
      <c r="FM20" s="84"/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FZ20" s="84" t="s">
        <v>293</v>
      </c>
      <c r="GA20" s="161">
        <f>B304</f>
        <v>2.8000000000000002E-12</v>
      </c>
      <c r="GB20" s="84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91" t="s">
        <v>104</v>
      </c>
      <c r="B21" s="183">
        <f>PEF!J3</f>
        <v>69557565.807898715</v>
      </c>
      <c r="C21" s="52" t="s">
        <v>524</v>
      </c>
      <c r="D21" s="52" t="s">
        <v>261</v>
      </c>
      <c r="E21" s="144">
        <f>((E5*E10*E6)/((1-EXP(-E6*E10))*E11*E12))*E7*E27*E28</f>
        <v>5.5632336582508463E-13</v>
      </c>
      <c r="F21" s="52" t="s">
        <v>16</v>
      </c>
      <c r="G21" s="83" t="s">
        <v>397</v>
      </c>
      <c r="H21" s="148">
        <f>(H29*H36*H32*H68)+(H30*H37*H33*H69)</f>
        <v>234.815</v>
      </c>
      <c r="I21" s="83" t="s">
        <v>356</v>
      </c>
      <c r="J21" s="83" t="s">
        <v>368</v>
      </c>
      <c r="K21" s="146">
        <f>B40</f>
        <v>200</v>
      </c>
      <c r="L21" s="84" t="s">
        <v>48</v>
      </c>
      <c r="M21" s="330" t="s">
        <v>537</v>
      </c>
      <c r="N21" s="333">
        <f>((N24*N25*N26)/((1-EXP(-N26*N25))*N34*N32*(N28/365)*(((N33/24)*N31)+((N35/24)*N30))))*N27*N36*N37</f>
        <v>2.9806942877252023E-9</v>
      </c>
      <c r="O21" s="336" t="s">
        <v>298</v>
      </c>
      <c r="P21" s="339" t="s">
        <v>537</v>
      </c>
      <c r="Q21" s="333">
        <f>((Q24*Q25*Q26)/((1-EXP(-Q26*Q25))*Q34*Q32*(Q28/365)*(((Q33/24)*Q31)+((Q35/24)*Q30))))*Q27*Q36*Q37</f>
        <v>1.0310576531896261E-6</v>
      </c>
      <c r="R21" s="342" t="s">
        <v>12</v>
      </c>
      <c r="V21" s="84" t="s">
        <v>293</v>
      </c>
      <c r="W21" s="161">
        <f>B303</f>
        <v>2.8000000000000001E-15</v>
      </c>
      <c r="X21" s="84"/>
      <c r="Y21" s="84" t="s">
        <v>293</v>
      </c>
      <c r="Z21" s="161">
        <f>B303</f>
        <v>2.8000000000000001E-15</v>
      </c>
      <c r="AA21" s="84"/>
      <c r="AB21" s="83" t="s">
        <v>85</v>
      </c>
      <c r="AC21" s="139">
        <f>B239</f>
        <v>8</v>
      </c>
      <c r="AD21" s="139">
        <f>B251</f>
        <v>8</v>
      </c>
      <c r="AE21" s="139">
        <f>B263</f>
        <v>0</v>
      </c>
      <c r="AF21" s="139">
        <f>B275</f>
        <v>8</v>
      </c>
      <c r="AG21" s="139">
        <f>B298</f>
        <v>8</v>
      </c>
      <c r="AH21" s="84" t="s">
        <v>194</v>
      </c>
      <c r="AI21" s="307" t="s">
        <v>537</v>
      </c>
      <c r="AJ21" s="304">
        <f>((AJ24*AJ25*AJ26)/((1-EXP(-AJ26*AJ25))*AJ34*(AJ28/365)*AJ29*(AJ35/24)*AJ30*AJ32))*AJ27*AJ36*AJ37</f>
        <v>1.0847640721318331E-8</v>
      </c>
      <c r="AK21" s="291" t="s">
        <v>298</v>
      </c>
      <c r="AL21" s="288" t="s">
        <v>537</v>
      </c>
      <c r="AM21" s="304">
        <f>((AM24*AM25*AM26)/((1-EXP(-AM26*AM25))*AM34*(AM28/365)*AM29*(AM35/24)*AM30*AM32))*AM27*AM36*AM37</f>
        <v>3.7523281172530082E-6</v>
      </c>
      <c r="AN21" s="282" t="s">
        <v>12</v>
      </c>
      <c r="AR21" s="665" t="s">
        <v>537</v>
      </c>
      <c r="AS21" s="304">
        <f>((AS24*AS25*AS26)/((1-EXP(-AS26*AS25))*AS34*(AS28/365)*AS29*(AS33/24)*AS31*AS32))*AS27*AS36*AS37</f>
        <v>4.8211736539192576E-9</v>
      </c>
      <c r="AT21" s="667" t="s">
        <v>298</v>
      </c>
      <c r="AU21" s="663" t="s">
        <v>537</v>
      </c>
      <c r="AV21" s="304">
        <f>((AV24*AV25*AV26)/((1-EXP(-AV26*AV25))*AV34*(AV28/365)*AV29*(AV33/24)*AV31*AV32))*AV27*AV36*AV37</f>
        <v>1.6677013854457809E-6</v>
      </c>
      <c r="AW21" s="669" t="s">
        <v>12</v>
      </c>
      <c r="BA21" s="665" t="s">
        <v>537</v>
      </c>
      <c r="BB21" s="304">
        <f>((BB24*BB25*BB26)/((1-EXP(-BB26*BB25))*BB34*(BB28/365)*(BB33/24)*BB31*BB32))*BB27*BB36*BB37</f>
        <v>4.3390562885273314E-9</v>
      </c>
      <c r="BC21" s="667" t="s">
        <v>298</v>
      </c>
      <c r="BD21" s="663" t="s">
        <v>537</v>
      </c>
      <c r="BE21" s="304">
        <f>((BE24*BE25*BE26)/((1-EXP(-BE26*BE25))*BE34*(BE28/365)*(BE33/24)*BE31*BE32))*BE27*BE36*BE37</f>
        <v>1.5009312469012032E-6</v>
      </c>
      <c r="BF21" s="669" t="s">
        <v>12</v>
      </c>
      <c r="BJ21" s="665" t="s">
        <v>537</v>
      </c>
      <c r="BK21" s="285">
        <f>((BK24*BK25*BK26)/((1-EXP(-BK26*BK25))*BK35*(BK28/365)*(BK34/24)*BK32*BK33))*BK27*BK36*BK37</f>
        <v>3.4162300619049489E-4</v>
      </c>
      <c r="BL21" s="667" t="s">
        <v>298</v>
      </c>
      <c r="BM21" s="663" t="s">
        <v>537</v>
      </c>
      <c r="BN21" s="285">
        <f>((BN24*BN25*BN26)/((1-EXP(-BN26*BN25))*BN35*(BN28/365)*(BN34/24)*BN32*BN33))*BN27*BN36*BN37</f>
        <v>1.5637143792271744E-2</v>
      </c>
      <c r="BO21" s="669" t="s">
        <v>12</v>
      </c>
      <c r="BS21" s="52" t="s">
        <v>271</v>
      </c>
      <c r="BT21" s="145">
        <f>((BT5*BT24*BT6)/((1-EXP(-BT6*BT24))*BT16*BT8*(1/365)*BT15*(1/24)*BT17))*BT7*BT27*BT28</f>
        <v>1.5570354206774714E-11</v>
      </c>
      <c r="BU21" s="52" t="s">
        <v>16</v>
      </c>
      <c r="BV21" s="52" t="s">
        <v>444</v>
      </c>
      <c r="BW21" s="138">
        <f>B110</f>
        <v>1</v>
      </c>
      <c r="BX21" s="52" t="s">
        <v>89</v>
      </c>
      <c r="BY21" s="83" t="s">
        <v>430</v>
      </c>
      <c r="BZ21" s="141">
        <f>B94</f>
        <v>20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79"/>
      <c r="CN21" s="259"/>
      <c r="CO21" s="262"/>
      <c r="CP21" s="279"/>
      <c r="CQ21" s="259"/>
      <c r="CR21" s="262"/>
      <c r="CS21" s="265"/>
      <c r="CT21" s="91" t="s">
        <v>274</v>
      </c>
      <c r="CU21" s="144" t="e">
        <f>EN2</f>
        <v>#DIV/0!</v>
      </c>
      <c r="CV21" s="92" t="s">
        <v>12</v>
      </c>
      <c r="CW21" s="52" t="s">
        <v>261</v>
      </c>
      <c r="CX21" s="144">
        <f>((CX5*CX10*CX6)/((CX15/CX16)*(1-EXP(-CX6*CX9))*CX11*CX12))*CX7*CX27*CX28</f>
        <v>5.3226613919481068E-13</v>
      </c>
      <c r="CY21" s="52" t="s">
        <v>16</v>
      </c>
      <c r="CZ21" s="91" t="s">
        <v>509</v>
      </c>
      <c r="DA21" s="144" t="e">
        <f>DV2</f>
        <v>#DIV/0!</v>
      </c>
      <c r="DB21" s="83" t="s">
        <v>297</v>
      </c>
      <c r="DC21" s="83" t="s">
        <v>476</v>
      </c>
      <c r="DD21" s="146">
        <f>B166</f>
        <v>0.85</v>
      </c>
      <c r="DF21" s="92" t="s">
        <v>73</v>
      </c>
      <c r="DG21" s="138">
        <f>B201</f>
        <v>1</v>
      </c>
      <c r="DH21" s="52" t="s">
        <v>41</v>
      </c>
      <c r="DL21" s="92"/>
      <c r="DO21" s="92" t="s">
        <v>73</v>
      </c>
      <c r="DP21" s="138">
        <f>B201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B201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B201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B201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B201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B201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91" t="s">
        <v>231</v>
      </c>
      <c r="B22" s="183">
        <f>B18*365</f>
        <v>3.8235000124999998</v>
      </c>
      <c r="C22" s="52" t="s">
        <v>222</v>
      </c>
      <c r="D22" s="52" t="s">
        <v>271</v>
      </c>
      <c r="E22" s="145">
        <f>((E5*E10*E6)/((E15/E16)*E8*(1-EXP(-E6*E10))*E17*(1/365)*E18))*E7*E27*E28</f>
        <v>1.3902101970334565E-13</v>
      </c>
      <c r="F22" s="52" t="s">
        <v>16</v>
      </c>
      <c r="G22" s="83" t="s">
        <v>398</v>
      </c>
      <c r="H22" s="149">
        <f>(H29*H23*H68)+(H30*H24*H69)</f>
        <v>56282.8</v>
      </c>
      <c r="I22" s="92" t="s">
        <v>347</v>
      </c>
      <c r="J22" s="83" t="s">
        <v>369</v>
      </c>
      <c r="K22" s="146">
        <f>B41</f>
        <v>100</v>
      </c>
      <c r="L22" s="84" t="s">
        <v>48</v>
      </c>
      <c r="M22" s="331"/>
      <c r="N22" s="334"/>
      <c r="O22" s="337"/>
      <c r="P22" s="340"/>
      <c r="Q22" s="334"/>
      <c r="R22" s="343"/>
      <c r="T22" s="85"/>
      <c r="AB22" s="83" t="s">
        <v>88</v>
      </c>
      <c r="AC22" s="150">
        <f>B240</f>
        <v>0.4</v>
      </c>
      <c r="AD22" s="150">
        <f>B252</f>
        <v>0.4</v>
      </c>
      <c r="AE22" s="150">
        <f>B264</f>
        <v>0.4</v>
      </c>
      <c r="AF22" s="150">
        <f>B276</f>
        <v>0.4</v>
      </c>
      <c r="AG22" s="150">
        <f>B299</f>
        <v>0.4</v>
      </c>
      <c r="AI22" s="307"/>
      <c r="AJ22" s="304"/>
      <c r="AK22" s="291"/>
      <c r="AL22" s="288"/>
      <c r="AM22" s="304"/>
      <c r="AN22" s="282"/>
      <c r="AR22" s="665"/>
      <c r="AS22" s="304"/>
      <c r="AT22" s="667"/>
      <c r="AU22" s="663"/>
      <c r="AV22" s="304"/>
      <c r="AW22" s="669"/>
      <c r="BA22" s="665"/>
      <c r="BB22" s="304"/>
      <c r="BC22" s="667"/>
      <c r="BD22" s="663"/>
      <c r="BE22" s="304"/>
      <c r="BF22" s="669"/>
      <c r="BJ22" s="665"/>
      <c r="BK22" s="285"/>
      <c r="BL22" s="667"/>
      <c r="BM22" s="663"/>
      <c r="BN22" s="285"/>
      <c r="BO22" s="669"/>
      <c r="BS22" s="52" t="s">
        <v>433</v>
      </c>
      <c r="BT22" s="138">
        <f>B104</f>
        <v>75</v>
      </c>
      <c r="BU22" s="52" t="s">
        <v>24</v>
      </c>
      <c r="BV22" s="83" t="s">
        <v>90</v>
      </c>
      <c r="BW22" s="150">
        <f>B108</f>
        <v>1</v>
      </c>
      <c r="BX22" s="52" t="s">
        <v>194</v>
      </c>
      <c r="BY22" s="83" t="s">
        <v>140</v>
      </c>
      <c r="BZ22" s="150">
        <f>B103</f>
        <v>75</v>
      </c>
      <c r="CA22" s="83" t="s">
        <v>24</v>
      </c>
      <c r="CB22" s="52" t="s">
        <v>267</v>
      </c>
      <c r="CC22" s="136">
        <f>B5</f>
        <v>1</v>
      </c>
      <c r="CD22" s="52" t="s">
        <v>344</v>
      </c>
      <c r="CE22" s="52" t="s">
        <v>267</v>
      </c>
      <c r="CF22" s="136">
        <f>B5</f>
        <v>1</v>
      </c>
      <c r="CG22" s="52" t="s">
        <v>344</v>
      </c>
      <c r="CK22" s="269"/>
      <c r="CL22" s="263"/>
      <c r="CM22" s="280"/>
      <c r="CN22" s="260"/>
      <c r="CO22" s="263"/>
      <c r="CP22" s="280"/>
      <c r="CQ22" s="260"/>
      <c r="CR22" s="263"/>
      <c r="CS22" s="266"/>
      <c r="CT22" s="91" t="s">
        <v>275</v>
      </c>
      <c r="CU22" s="144" t="e">
        <f>DY2</f>
        <v>#DIV/0!</v>
      </c>
      <c r="CV22" s="92" t="s">
        <v>12</v>
      </c>
      <c r="CW22" s="52" t="s">
        <v>271</v>
      </c>
      <c r="CX22" s="145">
        <f>((CX5*CX10*CX6)/((CX15/CX16)*CX8*(1-EXP(-CX6*CX10))*CX17*(1/365)*CX18))*CX7*CX27*CX28</f>
        <v>1.3902101970334565E-13</v>
      </c>
      <c r="CY22" s="52" t="s">
        <v>16</v>
      </c>
      <c r="CZ22" s="91" t="s">
        <v>510</v>
      </c>
      <c r="DA22" s="144" t="e">
        <f>GD2</f>
        <v>#DIV/0!</v>
      </c>
      <c r="DB22" s="83" t="s">
        <v>297</v>
      </c>
      <c r="DC22" s="84" t="s">
        <v>295</v>
      </c>
      <c r="DD22" s="142">
        <f>B302</f>
        <v>222.01757699999999</v>
      </c>
      <c r="DE22" s="84" t="s">
        <v>296</v>
      </c>
      <c r="DF22" s="92" t="s">
        <v>74</v>
      </c>
      <c r="DG22" s="138">
        <f>B202</f>
        <v>14</v>
      </c>
      <c r="DH22" s="52" t="s">
        <v>75</v>
      </c>
      <c r="DL22" s="92"/>
      <c r="DO22" s="92" t="s">
        <v>74</v>
      </c>
      <c r="DP22" s="138">
        <f>B202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B202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B202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B202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B202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B202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105</v>
      </c>
      <c r="B23" s="182">
        <v>0</v>
      </c>
      <c r="C23" s="84" t="s">
        <v>18</v>
      </c>
      <c r="D23" s="52" t="s">
        <v>380</v>
      </c>
      <c r="E23" s="138">
        <f>B54</f>
        <v>350</v>
      </c>
      <c r="F23" s="52" t="s">
        <v>24</v>
      </c>
      <c r="G23" s="83" t="s">
        <v>399</v>
      </c>
      <c r="H23" s="146">
        <f>B149</f>
        <v>68.099999999999994</v>
      </c>
      <c r="I23" s="92" t="s">
        <v>221</v>
      </c>
      <c r="J23" s="83" t="s">
        <v>366</v>
      </c>
      <c r="K23" s="141">
        <f>B38</f>
        <v>10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666"/>
      <c r="AS23" s="305"/>
      <c r="AT23" s="668"/>
      <c r="AU23" s="664"/>
      <c r="AV23" s="305"/>
      <c r="AW23" s="670"/>
      <c r="BA23" s="666"/>
      <c r="BB23" s="305"/>
      <c r="BC23" s="668"/>
      <c r="BD23" s="664"/>
      <c r="BE23" s="305"/>
      <c r="BF23" s="670"/>
      <c r="BJ23" s="666"/>
      <c r="BK23" s="286"/>
      <c r="BL23" s="668"/>
      <c r="BM23" s="664"/>
      <c r="BN23" s="286"/>
      <c r="BO23" s="670"/>
      <c r="BS23" s="52" t="s">
        <v>434</v>
      </c>
      <c r="BT23" s="138">
        <f>B105</f>
        <v>75</v>
      </c>
      <c r="BU23" s="52" t="s">
        <v>24</v>
      </c>
      <c r="BV23" s="83" t="s">
        <v>435</v>
      </c>
      <c r="BW23" s="138">
        <f>B114</f>
        <v>1</v>
      </c>
      <c r="BX23" s="52" t="s">
        <v>80</v>
      </c>
      <c r="BY23" s="83" t="s">
        <v>434</v>
      </c>
      <c r="BZ23" s="150">
        <f>B105</f>
        <v>75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B5</f>
        <v>1</v>
      </c>
      <c r="CM23" s="52" t="s">
        <v>344</v>
      </c>
      <c r="CN23" s="52" t="s">
        <v>229</v>
      </c>
      <c r="CO23" s="136">
        <f>B29</f>
        <v>0</v>
      </c>
      <c r="CP23" s="52" t="s">
        <v>268</v>
      </c>
      <c r="CQ23" s="83" t="s">
        <v>229</v>
      </c>
      <c r="CR23" s="136">
        <f>CO23</f>
        <v>0</v>
      </c>
      <c r="CS23" s="52" t="s">
        <v>268</v>
      </c>
      <c r="CT23" s="91" t="s">
        <v>276</v>
      </c>
      <c r="CU23" s="144" t="e">
        <f>GG2</f>
        <v>#DIV/0!</v>
      </c>
      <c r="CV23" s="92" t="s">
        <v>12</v>
      </c>
      <c r="CW23" s="52" t="s">
        <v>456</v>
      </c>
      <c r="CX23" s="138">
        <f>B167</f>
        <v>350</v>
      </c>
      <c r="CY23" s="52" t="s">
        <v>24</v>
      </c>
      <c r="CZ23" s="91" t="s">
        <v>277</v>
      </c>
      <c r="DA23" s="145" t="e">
        <f>FO2</f>
        <v>#DIV/0!</v>
      </c>
      <c r="DB23" s="83" t="s">
        <v>297</v>
      </c>
      <c r="DC23" s="84" t="s">
        <v>293</v>
      </c>
      <c r="DD23" s="161">
        <f>B304</f>
        <v>2.8000000000000002E-12</v>
      </c>
      <c r="DE23" s="84"/>
      <c r="DF23" s="83" t="s">
        <v>267</v>
      </c>
      <c r="DG23" s="136">
        <f>B22</f>
        <v>3.8235000124999998</v>
      </c>
      <c r="DH23" s="52" t="s">
        <v>222</v>
      </c>
      <c r="DO23" s="83" t="s">
        <v>19</v>
      </c>
      <c r="DP23" s="161">
        <f>DP25</f>
        <v>0</v>
      </c>
      <c r="EA23" s="83"/>
      <c r="EB23" s="83"/>
      <c r="EC23" s="84"/>
      <c r="ED23" s="83" t="s">
        <v>19</v>
      </c>
      <c r="EE23" s="161">
        <f>EE25</f>
        <v>0</v>
      </c>
      <c r="EF23" s="84"/>
      <c r="EP23" s="83"/>
      <c r="EQ23" s="83"/>
      <c r="ER23" s="84"/>
      <c r="ES23" s="83" t="s">
        <v>19</v>
      </c>
      <c r="ET23" s="161">
        <f>ET25</f>
        <v>0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0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0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0</v>
      </c>
      <c r="HC23" s="84"/>
      <c r="HD23" s="67" t="s">
        <v>14</v>
      </c>
      <c r="HE23" s="126">
        <f>((HE25*HE42)*HE38*HE33*10^-3*HE32*HE27)/(HE31*HE41*(1-EXP(-HE27*HE32)))</f>
        <v>0</v>
      </c>
      <c r="HF23" s="220" t="s">
        <v>597</v>
      </c>
    </row>
    <row r="24" spans="1:214" ht="14.25" thickTop="1" thickBot="1" x14ac:dyDescent="0.25">
      <c r="A24" s="83" t="s">
        <v>239</v>
      </c>
      <c r="B24" s="183">
        <v>0</v>
      </c>
      <c r="C24" s="52" t="s">
        <v>601</v>
      </c>
      <c r="D24" s="52" t="s">
        <v>381</v>
      </c>
      <c r="E24" s="138">
        <f>B55</f>
        <v>350</v>
      </c>
      <c r="F24" s="52" t="s">
        <v>24</v>
      </c>
      <c r="G24" s="83" t="s">
        <v>310</v>
      </c>
      <c r="H24" s="146">
        <f>B46</f>
        <v>188.5</v>
      </c>
      <c r="I24" s="92" t="s">
        <v>221</v>
      </c>
      <c r="J24" s="83" t="s">
        <v>367</v>
      </c>
      <c r="K24" s="141">
        <f>B39</f>
        <v>20</v>
      </c>
      <c r="L24" s="52" t="s">
        <v>407</v>
      </c>
      <c r="M24" s="52" t="s">
        <v>267</v>
      </c>
      <c r="N24" s="136">
        <f>B5</f>
        <v>1</v>
      </c>
      <c r="O24" s="52" t="s">
        <v>344</v>
      </c>
      <c r="P24" s="52" t="s">
        <v>267</v>
      </c>
      <c r="Q24" s="136">
        <f>B5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66.155354824913829</v>
      </c>
      <c r="AD24" s="137">
        <f>0.693/AD25</f>
        <v>66.155354824913829</v>
      </c>
      <c r="AE24" s="137">
        <f>0.693/AE25</f>
        <v>66.155354824913829</v>
      </c>
      <c r="AF24" s="137">
        <f>0.693/AF25</f>
        <v>66.155354824913829</v>
      </c>
      <c r="AG24" s="137">
        <f>0.693/AG25</f>
        <v>66.155354824913829</v>
      </c>
      <c r="AI24" s="52" t="s">
        <v>267</v>
      </c>
      <c r="AJ24" s="136">
        <f>B5</f>
        <v>1</v>
      </c>
      <c r="AK24" s="52" t="s">
        <v>344</v>
      </c>
      <c r="AL24" s="52" t="s">
        <v>267</v>
      </c>
      <c r="AM24" s="136">
        <f>B5</f>
        <v>1</v>
      </c>
      <c r="AN24" s="52" t="s">
        <v>344</v>
      </c>
      <c r="AR24" s="52" t="s">
        <v>267</v>
      </c>
      <c r="AS24" s="136">
        <f>B5</f>
        <v>1</v>
      </c>
      <c r="AT24" s="52" t="s">
        <v>344</v>
      </c>
      <c r="AU24" s="52" t="s">
        <v>267</v>
      </c>
      <c r="AV24" s="136">
        <f>B5</f>
        <v>1</v>
      </c>
      <c r="AW24" s="52" t="s">
        <v>344</v>
      </c>
      <c r="BA24" s="52" t="s">
        <v>267</v>
      </c>
      <c r="BB24" s="136">
        <f>B5</f>
        <v>1</v>
      </c>
      <c r="BC24" s="52" t="s">
        <v>344</v>
      </c>
      <c r="BD24" s="52" t="s">
        <v>267</v>
      </c>
      <c r="BE24" s="136">
        <f>B5</f>
        <v>1</v>
      </c>
      <c r="BF24" s="52" t="s">
        <v>344</v>
      </c>
      <c r="BJ24" s="52" t="s">
        <v>267</v>
      </c>
      <c r="BK24" s="136">
        <f>B5</f>
        <v>1</v>
      </c>
      <c r="BL24" s="52" t="s">
        <v>344</v>
      </c>
      <c r="BM24" s="52" t="s">
        <v>267</v>
      </c>
      <c r="BN24" s="136">
        <f>B5</f>
        <v>1</v>
      </c>
      <c r="BO24" s="52" t="s">
        <v>344</v>
      </c>
      <c r="BS24" s="91" t="s">
        <v>95</v>
      </c>
      <c r="BT24" s="158">
        <f>B117</f>
        <v>1</v>
      </c>
      <c r="BU24" s="91" t="s">
        <v>60</v>
      </c>
      <c r="BV24" s="83" t="s">
        <v>436</v>
      </c>
      <c r="BW24" s="138">
        <f>B115</f>
        <v>1</v>
      </c>
      <c r="BX24" s="52" t="s">
        <v>80</v>
      </c>
      <c r="BY24" s="83" t="s">
        <v>433</v>
      </c>
      <c r="BZ24" s="150">
        <f>B104</f>
        <v>75</v>
      </c>
      <c r="CA24" s="83" t="s">
        <v>24</v>
      </c>
      <c r="CB24" s="83" t="s">
        <v>22</v>
      </c>
      <c r="CC24" s="137">
        <f>0.693/CC25</f>
        <v>66.155354824913829</v>
      </c>
      <c r="CE24" s="83" t="s">
        <v>22</v>
      </c>
      <c r="CF24" s="137">
        <f>0.693/CF25</f>
        <v>66.155354824913829</v>
      </c>
      <c r="CK24" s="52" t="s">
        <v>258</v>
      </c>
      <c r="CL24" s="136">
        <f>B17</f>
        <v>0</v>
      </c>
      <c r="CM24" s="92" t="s">
        <v>259</v>
      </c>
      <c r="CN24" s="52" t="s">
        <v>20</v>
      </c>
      <c r="CO24" s="139">
        <f>CO26</f>
        <v>0</v>
      </c>
      <c r="CQ24" s="84" t="s">
        <v>170</v>
      </c>
      <c r="CR24" s="162">
        <f>B139</f>
        <v>1</v>
      </c>
      <c r="CS24" s="52" t="s">
        <v>28</v>
      </c>
      <c r="CT24" s="91" t="s">
        <v>277</v>
      </c>
      <c r="CU24" s="145" t="e">
        <f>FR2</f>
        <v>#DIV/0!</v>
      </c>
      <c r="CV24" s="92" t="s">
        <v>12</v>
      </c>
      <c r="CW24" s="52" t="s">
        <v>465</v>
      </c>
      <c r="CX24" s="138">
        <f>B168</f>
        <v>350</v>
      </c>
      <c r="CY24" s="52" t="s">
        <v>24</v>
      </c>
      <c r="CZ24" s="83" t="s">
        <v>45</v>
      </c>
      <c r="DA24" s="149">
        <f>(DA35*DA27*DA49)+(DA36*DA28*DA50)</f>
        <v>784.7</v>
      </c>
      <c r="DB24" s="52" t="s">
        <v>345</v>
      </c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128">
        <f>((HE26*HE42)*HE38*HE33*10^-3*HE32*HE27)/(HE31*HE41*(1-EXP(-HE27*HE32)))</f>
        <v>5.9050629224864628E-15</v>
      </c>
      <c r="HF24" s="221" t="s">
        <v>598</v>
      </c>
    </row>
    <row r="25" spans="1:214" ht="15" thickTop="1" x14ac:dyDescent="0.2">
      <c r="A25" s="83" t="s">
        <v>236</v>
      </c>
      <c r="B25" s="183">
        <v>0</v>
      </c>
      <c r="C25" s="52" t="s">
        <v>388</v>
      </c>
      <c r="D25" s="83" t="s">
        <v>376</v>
      </c>
      <c r="E25" s="146">
        <f>B49</f>
        <v>0.23</v>
      </c>
      <c r="G25" s="83" t="s">
        <v>400</v>
      </c>
      <c r="H25" s="149">
        <f>(H29*H26*H68)+(H30*H27*H69)</f>
        <v>38095.4</v>
      </c>
      <c r="I25" s="92" t="s">
        <v>347</v>
      </c>
      <c r="J25" s="83" t="s">
        <v>446</v>
      </c>
      <c r="K25" s="149">
        <f>(K31*K26*K51)+(K32*K27*K52)</f>
        <v>56282.8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3.1611199102036531E-13</v>
      </c>
      <c r="X25" s="62" t="s">
        <v>294</v>
      </c>
      <c r="Y25" s="202" t="s">
        <v>16</v>
      </c>
      <c r="Z25" s="187">
        <f>1/((1/Z41)+(1/Z40))</f>
        <v>3.1611199102036531E-13</v>
      </c>
      <c r="AA25" s="63" t="s">
        <v>294</v>
      </c>
      <c r="AB25" s="91" t="s">
        <v>231</v>
      </c>
      <c r="AC25" s="136">
        <f>B18</f>
        <v>1.04753425E-2</v>
      </c>
      <c r="AD25" s="136">
        <f>B18</f>
        <v>1.04753425E-2</v>
      </c>
      <c r="AE25" s="136">
        <f>B18</f>
        <v>1.04753425E-2</v>
      </c>
      <c r="AF25" s="136">
        <f>B18</f>
        <v>1.04753425E-2</v>
      </c>
      <c r="AG25" s="136">
        <f>B18</f>
        <v>1.04753425E-2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B101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B108</f>
        <v>1</v>
      </c>
      <c r="CA25" s="94" t="s">
        <v>194</v>
      </c>
      <c r="CB25" s="91" t="s">
        <v>231</v>
      </c>
      <c r="CC25" s="136">
        <f>B18</f>
        <v>1.04753425E-2</v>
      </c>
      <c r="CD25" s="52" t="s">
        <v>60</v>
      </c>
      <c r="CE25" s="91" t="s">
        <v>231</v>
      </c>
      <c r="CF25" s="136">
        <f>B18</f>
        <v>1.04753425E-2</v>
      </c>
      <c r="CG25" s="52" t="s">
        <v>60</v>
      </c>
      <c r="CK25" s="52" t="s">
        <v>140</v>
      </c>
      <c r="CL25" s="138">
        <f>B103</f>
        <v>75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40250</v>
      </c>
      <c r="CV25" s="83" t="s">
        <v>346</v>
      </c>
      <c r="CW25" s="83" t="s">
        <v>475</v>
      </c>
      <c r="CX25" s="146">
        <f>B165</f>
        <v>0.15</v>
      </c>
      <c r="CZ25" s="83" t="s">
        <v>43</v>
      </c>
      <c r="DA25" s="140">
        <f>(DA35*DA29*(DA38/24)*DA49)+(DA36*DA30*(DA39/24)*DA50)</f>
        <v>6475</v>
      </c>
      <c r="DB25" s="83" t="s">
        <v>426</v>
      </c>
      <c r="DF25" s="52" t="s">
        <v>33</v>
      </c>
      <c r="DG25" s="136">
        <f>B32</f>
        <v>0</v>
      </c>
      <c r="DO25" s="83" t="s">
        <v>32</v>
      </c>
      <c r="DP25" s="136">
        <f>B31</f>
        <v>0</v>
      </c>
      <c r="EA25" s="83"/>
      <c r="EC25" s="84"/>
      <c r="ED25" s="83" t="s">
        <v>33</v>
      </c>
      <c r="EE25" s="136">
        <f>B32</f>
        <v>0</v>
      </c>
      <c r="EF25" s="84"/>
      <c r="EP25" s="83"/>
      <c r="ER25" s="84"/>
      <c r="ES25" s="83" t="s">
        <v>33</v>
      </c>
      <c r="ET25" s="136">
        <f>B32</f>
        <v>0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B32</f>
        <v>0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B32</f>
        <v>0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B32</f>
        <v>0</v>
      </c>
      <c r="HC25" s="84"/>
      <c r="HD25" s="89" t="s">
        <v>21</v>
      </c>
      <c r="HE25" s="150">
        <f>B34</f>
        <v>0</v>
      </c>
      <c r="HF25" s="83" t="s">
        <v>13</v>
      </c>
    </row>
    <row r="26" spans="1:214" ht="13.5" thickBot="1" x14ac:dyDescent="0.25">
      <c r="A26" s="83" t="s">
        <v>237</v>
      </c>
      <c r="B26" s="183">
        <v>0</v>
      </c>
      <c r="C26" s="52" t="s">
        <v>388</v>
      </c>
      <c r="D26" s="83" t="s">
        <v>377</v>
      </c>
      <c r="E26" s="146">
        <f>B50</f>
        <v>0.77</v>
      </c>
      <c r="G26" s="83" t="s">
        <v>401</v>
      </c>
      <c r="H26" s="146">
        <f>B151</f>
        <v>41.7</v>
      </c>
      <c r="I26" s="92" t="s">
        <v>221</v>
      </c>
      <c r="J26" s="83" t="s">
        <v>399</v>
      </c>
      <c r="K26" s="146">
        <f>B45</f>
        <v>68.099999999999994</v>
      </c>
      <c r="L26" s="92" t="s">
        <v>221</v>
      </c>
      <c r="M26" s="83" t="s">
        <v>22</v>
      </c>
      <c r="N26" s="137">
        <f>0.693/N27</f>
        <v>66.155354824913829</v>
      </c>
      <c r="P26" s="83" t="s">
        <v>22</v>
      </c>
      <c r="Q26" s="137">
        <f>0.693/Q27</f>
        <v>66.155354824913829</v>
      </c>
      <c r="V26" s="201" t="s">
        <v>15</v>
      </c>
      <c r="W26" s="75">
        <f>1/((1/W38)+(1/W39))</f>
        <v>4.7783281014361497E-15</v>
      </c>
      <c r="X26" s="76" t="s">
        <v>294</v>
      </c>
      <c r="Y26" s="203" t="s">
        <v>15</v>
      </c>
      <c r="Z26" s="185">
        <f>1/((1/Z38)+(1/Z39))</f>
        <v>4.7783281014361497E-15</v>
      </c>
      <c r="AA26" s="77" t="s">
        <v>294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66.155354824913829</v>
      </c>
      <c r="AL26" s="83" t="s">
        <v>22</v>
      </c>
      <c r="AM26" s="137">
        <f>0.693/AM27</f>
        <v>66.155354824913829</v>
      </c>
      <c r="AR26" s="83" t="s">
        <v>22</v>
      </c>
      <c r="AS26" s="137">
        <f>0.693/AS27</f>
        <v>66.155354824913829</v>
      </c>
      <c r="AU26" s="83" t="s">
        <v>22</v>
      </c>
      <c r="AV26" s="137">
        <f>0.693/AV27</f>
        <v>66.155354824913829</v>
      </c>
      <c r="BA26" s="83" t="s">
        <v>22</v>
      </c>
      <c r="BB26" s="137">
        <f>0.693/BB27</f>
        <v>66.155354824913829</v>
      </c>
      <c r="BD26" s="83" t="s">
        <v>22</v>
      </c>
      <c r="BE26" s="137">
        <f>0.693/BE27</f>
        <v>66.155354824913829</v>
      </c>
      <c r="BJ26" s="83" t="s">
        <v>22</v>
      </c>
      <c r="BK26" s="137">
        <f>0.693/BK27</f>
        <v>66.155354824913829</v>
      </c>
      <c r="BM26" s="83" t="s">
        <v>22</v>
      </c>
      <c r="BN26" s="137">
        <f>0.693/BN27</f>
        <v>66.155354824913829</v>
      </c>
      <c r="BS26" s="91" t="s">
        <v>309</v>
      </c>
      <c r="BT26" s="177">
        <f>B102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B106</f>
        <v>1</v>
      </c>
      <c r="CA26" s="94" t="s">
        <v>194</v>
      </c>
      <c r="CB26" s="52" t="s">
        <v>140</v>
      </c>
      <c r="CC26" s="138">
        <f>B103</f>
        <v>75</v>
      </c>
      <c r="CD26" s="52" t="s">
        <v>24</v>
      </c>
      <c r="CE26" s="52" t="s">
        <v>140</v>
      </c>
      <c r="CF26" s="138">
        <f>B103</f>
        <v>75</v>
      </c>
      <c r="CG26" s="52" t="s">
        <v>24</v>
      </c>
      <c r="CK26" s="52" t="s">
        <v>160</v>
      </c>
      <c r="CL26" s="162">
        <f>B134</f>
        <v>1</v>
      </c>
      <c r="CM26" s="52" t="s">
        <v>221</v>
      </c>
      <c r="CN26" s="52" t="s">
        <v>33</v>
      </c>
      <c r="CO26" s="136">
        <f>B32</f>
        <v>0</v>
      </c>
      <c r="CT26" s="83" t="s">
        <v>506</v>
      </c>
      <c r="CU26" s="155">
        <f>((CU31*CU29*CU47)+(CU32*CU30*CU48))</f>
        <v>6475</v>
      </c>
      <c r="CV26" s="52" t="s">
        <v>426</v>
      </c>
      <c r="CW26" s="83" t="s">
        <v>476</v>
      </c>
      <c r="CX26" s="141">
        <f>B166</f>
        <v>0.85</v>
      </c>
      <c r="CY26" s="83"/>
      <c r="CZ26" s="83" t="s">
        <v>142</v>
      </c>
      <c r="DA26" s="149">
        <f>(DA35*DA40*DA42*DA49)+(DA36*DA41*DA43*DA50)</f>
        <v>239.57499999999999</v>
      </c>
      <c r="DB26" s="52" t="s">
        <v>356</v>
      </c>
      <c r="DF26" s="95"/>
      <c r="DG26" s="176"/>
      <c r="DO26" s="83" t="s">
        <v>393</v>
      </c>
      <c r="DP26" s="138">
        <f>B35</f>
        <v>0.26</v>
      </c>
      <c r="EA26" s="83"/>
      <c r="EB26" s="84"/>
      <c r="EC26" s="84"/>
      <c r="ED26" s="83" t="s">
        <v>392</v>
      </c>
      <c r="EE26" s="163">
        <f>B36</f>
        <v>0.25</v>
      </c>
      <c r="EF26" s="84"/>
      <c r="EP26" s="83"/>
      <c r="EQ26" s="84"/>
      <c r="ER26" s="84"/>
      <c r="ES26" s="83" t="s">
        <v>392</v>
      </c>
      <c r="ET26" s="163">
        <f>B36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B36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B36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B36</f>
        <v>0.25</v>
      </c>
      <c r="HC26" s="84"/>
      <c r="HD26" s="84" t="s">
        <v>265</v>
      </c>
      <c r="HE26" s="139">
        <f>H2</f>
        <v>1.68105207237549E-14</v>
      </c>
      <c r="HF26" s="83" t="s">
        <v>13</v>
      </c>
    </row>
    <row r="27" spans="1:214" ht="13.5" thickTop="1" x14ac:dyDescent="0.2">
      <c r="A27" s="83" t="s">
        <v>171</v>
      </c>
      <c r="B27" s="183">
        <v>0</v>
      </c>
      <c r="C27" s="52" t="s">
        <v>388</v>
      </c>
      <c r="D27" s="84" t="s">
        <v>295</v>
      </c>
      <c r="E27" s="142">
        <f>B302</f>
        <v>222.01757699999999</v>
      </c>
      <c r="F27" s="84" t="s">
        <v>296</v>
      </c>
      <c r="G27" s="83" t="s">
        <v>402</v>
      </c>
      <c r="H27" s="146">
        <f>B48</f>
        <v>128.9</v>
      </c>
      <c r="I27" s="92" t="s">
        <v>221</v>
      </c>
      <c r="J27" s="83" t="s">
        <v>310</v>
      </c>
      <c r="K27" s="146">
        <f>B46</f>
        <v>188.5</v>
      </c>
      <c r="L27" s="92" t="s">
        <v>221</v>
      </c>
      <c r="M27" s="91" t="s">
        <v>231</v>
      </c>
      <c r="N27" s="136">
        <f>B18</f>
        <v>1.04753425E-2</v>
      </c>
      <c r="O27" s="52" t="s">
        <v>60</v>
      </c>
      <c r="P27" s="91" t="s">
        <v>231</v>
      </c>
      <c r="Q27" s="136">
        <f>B18</f>
        <v>1.04753425E-2</v>
      </c>
      <c r="R27" s="52" t="s">
        <v>60</v>
      </c>
      <c r="V27" s="52" t="s">
        <v>267</v>
      </c>
      <c r="W27" s="136">
        <f>B5</f>
        <v>1</v>
      </c>
      <c r="X27" s="52" t="s">
        <v>344</v>
      </c>
      <c r="Y27" s="52" t="s">
        <v>267</v>
      </c>
      <c r="Z27" s="136">
        <f>B5</f>
        <v>1</v>
      </c>
      <c r="AA27" s="52" t="s">
        <v>344</v>
      </c>
      <c r="AB27" s="84" t="s">
        <v>16</v>
      </c>
      <c r="AC27" s="156">
        <f>(AC23*AC24)/(1-EXP(-AC24*AC23))</f>
        <v>66.155354824913829</v>
      </c>
      <c r="AD27" s="156">
        <f>(AD23*AD24)/(1-EXP(-AD24*AD23))</f>
        <v>66.155354824913829</v>
      </c>
      <c r="AE27" s="156">
        <f>(AE23*AE24)/(1-EXP(-AE24*AE23))</f>
        <v>66.155354824913829</v>
      </c>
      <c r="AF27" s="156">
        <f>(AF23*AF24)/(1-EXP(-AF24*AF23))</f>
        <v>66.155354824913829</v>
      </c>
      <c r="AG27" s="156">
        <f>(AG23*AG24)/(1-EXP(-AG24*AG23))</f>
        <v>66.155354824913829</v>
      </c>
      <c r="AI27" s="91" t="s">
        <v>231</v>
      </c>
      <c r="AJ27" s="136">
        <f>B18</f>
        <v>1.04753425E-2</v>
      </c>
      <c r="AK27" s="52" t="s">
        <v>60</v>
      </c>
      <c r="AL27" s="91" t="s">
        <v>231</v>
      </c>
      <c r="AM27" s="136">
        <f>B18</f>
        <v>1.04753425E-2</v>
      </c>
      <c r="AN27" s="52" t="s">
        <v>60</v>
      </c>
      <c r="AR27" s="91" t="s">
        <v>231</v>
      </c>
      <c r="AS27" s="136">
        <f>B18</f>
        <v>1.04753425E-2</v>
      </c>
      <c r="AT27" s="52" t="s">
        <v>60</v>
      </c>
      <c r="AU27" s="91" t="s">
        <v>231</v>
      </c>
      <c r="AV27" s="136">
        <f>B18</f>
        <v>1.04753425E-2</v>
      </c>
      <c r="AW27" s="52" t="s">
        <v>60</v>
      </c>
      <c r="BA27" s="91" t="s">
        <v>231</v>
      </c>
      <c r="BB27" s="136">
        <f>B18</f>
        <v>1.04753425E-2</v>
      </c>
      <c r="BC27" s="52" t="s">
        <v>60</v>
      </c>
      <c r="BD27" s="91" t="s">
        <v>231</v>
      </c>
      <c r="BE27" s="136">
        <f>B18</f>
        <v>1.04753425E-2</v>
      </c>
      <c r="BF27" s="52" t="s">
        <v>60</v>
      </c>
      <c r="BJ27" s="91" t="s">
        <v>231</v>
      </c>
      <c r="BK27" s="136">
        <f>B18</f>
        <v>1.04753425E-2</v>
      </c>
      <c r="BL27" s="52" t="s">
        <v>60</v>
      </c>
      <c r="BM27" s="91" t="s">
        <v>231</v>
      </c>
      <c r="BN27" s="136">
        <f>B18</f>
        <v>1.04753425E-2</v>
      </c>
      <c r="BO27" s="52" t="s">
        <v>60</v>
      </c>
      <c r="BS27" s="84" t="s">
        <v>295</v>
      </c>
      <c r="BT27" s="142">
        <f>B302</f>
        <v>222.01757699999999</v>
      </c>
      <c r="BU27" s="84" t="s">
        <v>296</v>
      </c>
      <c r="BW27" s="138">
        <v>1000</v>
      </c>
      <c r="BX27" s="52" t="s">
        <v>218</v>
      </c>
      <c r="BY27" s="83" t="s">
        <v>90</v>
      </c>
      <c r="BZ27" s="150">
        <f>B107</f>
        <v>1</v>
      </c>
      <c r="CA27" s="52" t="s">
        <v>194</v>
      </c>
      <c r="CB27" s="52" t="s">
        <v>51</v>
      </c>
      <c r="CC27" s="138">
        <f>B117</f>
        <v>1</v>
      </c>
      <c r="CD27" s="52" t="s">
        <v>146</v>
      </c>
      <c r="CE27" s="52" t="s">
        <v>51</v>
      </c>
      <c r="CF27" s="138">
        <f>B117</f>
        <v>1</v>
      </c>
      <c r="CG27" s="52" t="s">
        <v>146</v>
      </c>
      <c r="CK27" s="84" t="s">
        <v>295</v>
      </c>
      <c r="CL27" s="142">
        <f>B302</f>
        <v>222.01757699999999</v>
      </c>
      <c r="CM27" s="84" t="s">
        <v>296</v>
      </c>
      <c r="CN27" s="52" t="s">
        <v>392</v>
      </c>
      <c r="CO27" s="162">
        <f>B36</f>
        <v>0.25</v>
      </c>
      <c r="CT27" s="83" t="s">
        <v>449</v>
      </c>
      <c r="CU27" s="146">
        <f>B141</f>
        <v>200</v>
      </c>
      <c r="CV27" s="84" t="s">
        <v>48</v>
      </c>
      <c r="CW27" s="84" t="s">
        <v>295</v>
      </c>
      <c r="CX27" s="142">
        <f>B302</f>
        <v>222.01757699999999</v>
      </c>
      <c r="CY27" s="84" t="s">
        <v>296</v>
      </c>
      <c r="CZ27" s="92" t="s">
        <v>451</v>
      </c>
      <c r="DA27" s="142">
        <f t="shared" ref="DA27:DA34" si="0">B145</f>
        <v>0.78</v>
      </c>
      <c r="DB27" s="83" t="s">
        <v>28</v>
      </c>
      <c r="DO27" s="95"/>
      <c r="DP27" s="176"/>
      <c r="DW27" s="88"/>
      <c r="DX27" s="88"/>
      <c r="DY27" s="88"/>
      <c r="DZ27" s="88"/>
      <c r="EA27" s="83"/>
      <c r="EB27" s="85"/>
      <c r="ED27" s="83" t="s">
        <v>517</v>
      </c>
      <c r="EE27" s="136">
        <f>B24</f>
        <v>0</v>
      </c>
      <c r="EF27" s="52" t="s">
        <v>388</v>
      </c>
      <c r="EP27" s="83"/>
      <c r="EQ27" s="86"/>
      <c r="ES27" s="83" t="s">
        <v>236</v>
      </c>
      <c r="ET27" s="169">
        <f>B25</f>
        <v>0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B27</f>
        <v>0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B26</f>
        <v>0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B28</f>
        <v>0</v>
      </c>
      <c r="HC27" s="52" t="s">
        <v>388</v>
      </c>
      <c r="HD27" s="83" t="s">
        <v>22</v>
      </c>
      <c r="HE27" s="137">
        <f>0.693/HE29</f>
        <v>66.155354824913829</v>
      </c>
    </row>
    <row r="28" spans="1:214" x14ac:dyDescent="0.2">
      <c r="A28" s="83" t="s">
        <v>238</v>
      </c>
      <c r="B28" s="183">
        <v>0</v>
      </c>
      <c r="C28" s="52" t="s">
        <v>388</v>
      </c>
      <c r="D28" s="84" t="s">
        <v>293</v>
      </c>
      <c r="E28" s="161">
        <f>B303</f>
        <v>2.8000000000000001E-15</v>
      </c>
      <c r="F28" s="84"/>
      <c r="G28" s="83" t="s">
        <v>65</v>
      </c>
      <c r="H28" s="141">
        <f>B65</f>
        <v>0.5</v>
      </c>
      <c r="I28" s="52" t="s">
        <v>66</v>
      </c>
      <c r="J28" s="83" t="s">
        <v>447</v>
      </c>
      <c r="K28" s="149">
        <f>(K31*K29*K51)+(K32*K30*K52)</f>
        <v>38095.4</v>
      </c>
      <c r="L28" s="92" t="s">
        <v>347</v>
      </c>
      <c r="M28" s="52" t="s">
        <v>382</v>
      </c>
      <c r="N28" s="138">
        <f>B56</f>
        <v>350</v>
      </c>
      <c r="O28" s="52" t="s">
        <v>24</v>
      </c>
      <c r="P28" s="52" t="s">
        <v>382</v>
      </c>
      <c r="Q28" s="138">
        <f>B56</f>
        <v>350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B243</f>
        <v>250</v>
      </c>
      <c r="AK28" s="52" t="s">
        <v>24</v>
      </c>
      <c r="AL28" s="52" t="s">
        <v>35</v>
      </c>
      <c r="AM28" s="138">
        <f>B243</f>
        <v>250</v>
      </c>
      <c r="AN28" s="52" t="s">
        <v>24</v>
      </c>
      <c r="AR28" s="52" t="s">
        <v>423</v>
      </c>
      <c r="AS28" s="138">
        <f>B255</f>
        <v>225</v>
      </c>
      <c r="AT28" s="52" t="s">
        <v>24</v>
      </c>
      <c r="AU28" s="52" t="s">
        <v>423</v>
      </c>
      <c r="AV28" s="138">
        <f>B255</f>
        <v>225</v>
      </c>
      <c r="AW28" s="52" t="s">
        <v>24</v>
      </c>
      <c r="BA28" s="52" t="s">
        <v>316</v>
      </c>
      <c r="BB28" s="138">
        <f>B231</f>
        <v>250</v>
      </c>
      <c r="BC28" s="52" t="s">
        <v>24</v>
      </c>
      <c r="BD28" s="52" t="s">
        <v>316</v>
      </c>
      <c r="BE28" s="138">
        <f>B231</f>
        <v>250</v>
      </c>
      <c r="BF28" s="52" t="s">
        <v>24</v>
      </c>
      <c r="BJ28" s="52" t="s">
        <v>191</v>
      </c>
      <c r="BK28" s="138">
        <f>BK29*BK30</f>
        <v>250</v>
      </c>
      <c r="BL28" s="52" t="s">
        <v>24</v>
      </c>
      <c r="BM28" s="52" t="s">
        <v>191</v>
      </c>
      <c r="BN28" s="138">
        <f>BN29*BN30</f>
        <v>250</v>
      </c>
      <c r="BO28" s="52" t="s">
        <v>24</v>
      </c>
      <c r="BS28" s="84" t="s">
        <v>293</v>
      </c>
      <c r="BT28" s="161">
        <f>B303</f>
        <v>2.8000000000000001E-15</v>
      </c>
      <c r="BU28" s="84"/>
      <c r="BV28" s="83"/>
      <c r="BW28" s="146">
        <v>365</v>
      </c>
      <c r="BX28" s="84" t="s">
        <v>24</v>
      </c>
      <c r="BY28" s="83" t="s">
        <v>302</v>
      </c>
      <c r="BZ28" s="141">
        <f>B118</f>
        <v>2.41E-4</v>
      </c>
      <c r="CB28" s="52" t="s">
        <v>300</v>
      </c>
      <c r="CC28" s="138">
        <f>B126</f>
        <v>1.5699999999999999E-5</v>
      </c>
      <c r="CE28" s="52" t="s">
        <v>300</v>
      </c>
      <c r="CF28" s="138">
        <f>B122</f>
        <v>1.35E-4</v>
      </c>
      <c r="CK28" s="84" t="s">
        <v>293</v>
      </c>
      <c r="CL28" s="161">
        <f>B304</f>
        <v>2.8000000000000002E-12</v>
      </c>
      <c r="CM28" s="84"/>
      <c r="CN28" s="52" t="s">
        <v>165</v>
      </c>
      <c r="CO28" s="162">
        <f>B135</f>
        <v>1</v>
      </c>
      <c r="CP28" s="52" t="s">
        <v>246</v>
      </c>
      <c r="CT28" s="83" t="s">
        <v>458</v>
      </c>
      <c r="CU28" s="146">
        <f>B142</f>
        <v>100</v>
      </c>
      <c r="CV28" s="84" t="s">
        <v>48</v>
      </c>
      <c r="CW28" s="84" t="s">
        <v>293</v>
      </c>
      <c r="CX28" s="161">
        <f>B303</f>
        <v>2.8000000000000001E-15</v>
      </c>
      <c r="CY28" s="84"/>
      <c r="CZ28" s="92" t="s">
        <v>460</v>
      </c>
      <c r="DA28" s="142">
        <f t="shared" si="0"/>
        <v>2.5</v>
      </c>
      <c r="DB28" s="83" t="s">
        <v>28</v>
      </c>
      <c r="DW28" s="88"/>
      <c r="DX28" s="88"/>
      <c r="DY28" s="88"/>
      <c r="DZ28" s="88"/>
      <c r="ED28" s="95"/>
      <c r="EE28" s="176"/>
      <c r="ES28" s="95"/>
      <c r="ET28" s="176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95"/>
      <c r="FI28" s="176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95"/>
      <c r="GM28" s="176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95"/>
      <c r="HB28" s="176"/>
      <c r="HD28" s="52" t="s">
        <v>16</v>
      </c>
      <c r="HE28" s="137">
        <f>1-EXP(-HE27*HE32)</f>
        <v>1</v>
      </c>
    </row>
    <row r="29" spans="1:214" ht="15.75" thickBot="1" x14ac:dyDescent="0.25">
      <c r="A29" s="52" t="s">
        <v>229</v>
      </c>
      <c r="B29" s="183">
        <f>B25</f>
        <v>0</v>
      </c>
      <c r="C29" s="52" t="s">
        <v>388</v>
      </c>
      <c r="G29" s="83" t="s">
        <v>380</v>
      </c>
      <c r="H29" s="150">
        <f>B54</f>
        <v>350</v>
      </c>
      <c r="I29" s="83" t="s">
        <v>24</v>
      </c>
      <c r="J29" s="83" t="s">
        <v>401</v>
      </c>
      <c r="K29" s="146">
        <f>B47</f>
        <v>41.7</v>
      </c>
      <c r="L29" s="92" t="s">
        <v>221</v>
      </c>
      <c r="M29" s="52" t="s">
        <v>379</v>
      </c>
      <c r="N29" s="138">
        <f>B53</f>
        <v>1</v>
      </c>
      <c r="O29" s="52" t="s">
        <v>146</v>
      </c>
      <c r="P29" s="52" t="s">
        <v>379</v>
      </c>
      <c r="Q29" s="138">
        <f>B53</f>
        <v>1</v>
      </c>
      <c r="R29" s="52" t="s">
        <v>146</v>
      </c>
      <c r="V29" s="83" t="s">
        <v>22</v>
      </c>
      <c r="W29" s="137">
        <f>0.693/W30</f>
        <v>66.155354824913829</v>
      </c>
      <c r="Y29" s="83" t="s">
        <v>22</v>
      </c>
      <c r="Z29" s="137">
        <f>0.693/Z30</f>
        <v>66.155354824913829</v>
      </c>
      <c r="AB29" s="83" t="s">
        <v>260</v>
      </c>
      <c r="AC29" s="143" t="e">
        <f>((AC5/(AC8*AC13*AC7*AC9*(1/AC6)))*AC27)*AC25*AC35*AC36</f>
        <v>#DIV/0!</v>
      </c>
      <c r="AD29" s="143" t="e">
        <f>((AD5/(AD8*AD13*AD7*AD9*(1/AD6)))*AD27)*AD25*AD35*AD36</f>
        <v>#DIV/0!</v>
      </c>
      <c r="AE29" s="143" t="e">
        <f>((AE5/(AE8*AE13*AE7*AE9*(1/AE6)))*AE27)*AE25*AE35*AE36</f>
        <v>#DIV/0!</v>
      </c>
      <c r="AF29" s="143" t="e">
        <f>((AF5*AF23*AF24)/((1-EXP(-AF24*AF23))*AF8*AF7*AF9*AF13*(1/AF28)))*AF25*AF35*AF36</f>
        <v>#DIV/0!</v>
      </c>
      <c r="AG29" s="143" t="e">
        <f>((AG5*AG23*AG24)/((1-EXP(-AG24*AG23))*AG8*AG7*AG9*AG13*(1/AG28)))*AG25*AG35*AG36</f>
        <v>#DIV/0!</v>
      </c>
      <c r="AH29" s="83" t="s">
        <v>297</v>
      </c>
      <c r="AI29" s="52" t="s">
        <v>420</v>
      </c>
      <c r="AJ29" s="138">
        <f>B244</f>
        <v>1</v>
      </c>
      <c r="AK29" s="52" t="s">
        <v>146</v>
      </c>
      <c r="AL29" s="52" t="s">
        <v>420</v>
      </c>
      <c r="AM29" s="138">
        <f>B244</f>
        <v>1</v>
      </c>
      <c r="AN29" s="52" t="s">
        <v>146</v>
      </c>
      <c r="AR29" s="52" t="s">
        <v>424</v>
      </c>
      <c r="AS29" s="138">
        <f>B256</f>
        <v>1</v>
      </c>
      <c r="AT29" s="52" t="s">
        <v>146</v>
      </c>
      <c r="AU29" s="52" t="s">
        <v>424</v>
      </c>
      <c r="AV29" s="138">
        <f>B256</f>
        <v>1</v>
      </c>
      <c r="AW29" s="52" t="s">
        <v>146</v>
      </c>
      <c r="BA29" s="52" t="s">
        <v>422</v>
      </c>
      <c r="BB29" s="138">
        <f>B232</f>
        <v>1</v>
      </c>
      <c r="BC29" s="52" t="s">
        <v>146</v>
      </c>
      <c r="BD29" s="52" t="s">
        <v>422</v>
      </c>
      <c r="BE29" s="138">
        <f>B232</f>
        <v>1</v>
      </c>
      <c r="BF29" s="52" t="s">
        <v>146</v>
      </c>
      <c r="BJ29" s="52" t="s">
        <v>220</v>
      </c>
      <c r="BK29" s="138">
        <f>B278</f>
        <v>50</v>
      </c>
      <c r="BL29" s="52" t="s">
        <v>113</v>
      </c>
      <c r="BM29" s="52" t="s">
        <v>220</v>
      </c>
      <c r="BN29" s="138">
        <f>B278</f>
        <v>50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41">
        <f>B119</f>
        <v>0.753</v>
      </c>
      <c r="CB29" s="52" t="s">
        <v>411</v>
      </c>
      <c r="CC29" s="138">
        <f>B127</f>
        <v>0.80900000000000005</v>
      </c>
      <c r="CE29" s="52" t="s">
        <v>418</v>
      </c>
      <c r="CF29" s="138">
        <f>B123</f>
        <v>0.71099999999999997</v>
      </c>
      <c r="CN29" s="52" t="s">
        <v>166</v>
      </c>
      <c r="CO29" s="162">
        <f>B136</f>
        <v>1</v>
      </c>
      <c r="CP29" s="52" t="s">
        <v>246</v>
      </c>
      <c r="CT29" s="83" t="s">
        <v>450</v>
      </c>
      <c r="CU29" s="141">
        <f>B147</f>
        <v>10</v>
      </c>
      <c r="CV29" s="92" t="s">
        <v>407</v>
      </c>
      <c r="CZ29" s="92" t="s">
        <v>450</v>
      </c>
      <c r="DA29" s="142">
        <f t="shared" si="0"/>
        <v>10</v>
      </c>
      <c r="DB29" s="83" t="s">
        <v>143</v>
      </c>
      <c r="DW29" s="88"/>
      <c r="DX29" s="88"/>
      <c r="DY29" s="88"/>
      <c r="DZ29" s="8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B18</f>
        <v>1.04753425E-2</v>
      </c>
      <c r="HF29" s="52" t="s">
        <v>60</v>
      </c>
    </row>
    <row r="30" spans="1:214" ht="19.5" thickTop="1" thickBot="1" x14ac:dyDescent="0.25">
      <c r="A30" s="83" t="s">
        <v>228</v>
      </c>
      <c r="B30" s="183">
        <f>B26</f>
        <v>0</v>
      </c>
      <c r="C30" s="52" t="s">
        <v>388</v>
      </c>
      <c r="D30" s="353" t="s">
        <v>528</v>
      </c>
      <c r="E30" s="354"/>
      <c r="F30" s="355"/>
      <c r="G30" s="83" t="s">
        <v>381</v>
      </c>
      <c r="H30" s="150">
        <f>B55</f>
        <v>350</v>
      </c>
      <c r="I30" s="83" t="s">
        <v>24</v>
      </c>
      <c r="J30" s="83" t="s">
        <v>402</v>
      </c>
      <c r="K30" s="146">
        <f>B48</f>
        <v>128.9</v>
      </c>
      <c r="L30" s="92" t="s">
        <v>221</v>
      </c>
      <c r="M30" s="52" t="s">
        <v>299</v>
      </c>
      <c r="N30" s="138">
        <f>B61</f>
        <v>0.4</v>
      </c>
      <c r="P30" s="52" t="s">
        <v>299</v>
      </c>
      <c r="Q30" s="138">
        <f>B61</f>
        <v>0.4</v>
      </c>
      <c r="V30" s="91" t="s">
        <v>231</v>
      </c>
      <c r="W30" s="136">
        <f>B18</f>
        <v>1.04753425E-2</v>
      </c>
      <c r="X30" s="52" t="s">
        <v>60</v>
      </c>
      <c r="Y30" s="91" t="s">
        <v>231</v>
      </c>
      <c r="Z30" s="136">
        <f>B18</f>
        <v>1.04753425E-2</v>
      </c>
      <c r="AA30" s="52" t="s">
        <v>60</v>
      </c>
      <c r="AB30" s="83" t="s">
        <v>261</v>
      </c>
      <c r="AC30" s="144">
        <f>((AC5/(AC19*AC15*AC7*AC9*(1/AC32)*((8/1)/(24/1))*AC28))*AC27)*AC25*AC35*AC36</f>
        <v>9.3697528005174486E-4</v>
      </c>
      <c r="AD30" s="144">
        <f>((AD5/(AD19*AD15*AD7*((8/1)/(24/1))*AD9*(1/AD32)*AD28))*AD27)*AD25*AD35*AD36</f>
        <v>9.3697528005174486E-4</v>
      </c>
      <c r="AE30" s="144">
        <f>((AE5/(AE19*AE15*AE7*((8/1)/(24/1))*AE9*(1/AE32)*AE28))*AE27)*AE25*AE35*AE36</f>
        <v>1.0410836445019387E-3</v>
      </c>
      <c r="AF30" s="144">
        <f>((AF5*AF23*AF24)/((1-EXP(-AF24*AF23))*AF19*AF7*AF9*(AF12/24)*AF15*(1/AF33)*AF28))*AF25*AF35*AF36</f>
        <v>5.3497408741225335E-7</v>
      </c>
      <c r="AG30" s="144">
        <f>((AG5*AG23*AG24)/((1-EXP(-AG24*AG23))*AG19*AG7*AG9*(AG12/24)*AG15*(1/AG34)*AG28))*AG25*AG35*AG36</f>
        <v>4.79449624206452E-5</v>
      </c>
      <c r="AH30" s="83" t="s">
        <v>297</v>
      </c>
      <c r="AI30" s="52" t="s">
        <v>299</v>
      </c>
      <c r="AJ30" s="138">
        <f>B248</f>
        <v>0.4</v>
      </c>
      <c r="AL30" s="52" t="s">
        <v>299</v>
      </c>
      <c r="AM30" s="138">
        <f>B248</f>
        <v>0.4</v>
      </c>
      <c r="AR30" s="52" t="s">
        <v>299</v>
      </c>
      <c r="AS30" s="138">
        <f>B260</f>
        <v>0.4</v>
      </c>
      <c r="AV30" s="138"/>
      <c r="BA30" s="52" t="s">
        <v>299</v>
      </c>
      <c r="BB30" s="138">
        <f>B236</f>
        <v>0.4</v>
      </c>
      <c r="BD30" s="52" t="s">
        <v>299</v>
      </c>
      <c r="BE30" s="138">
        <f>B236</f>
        <v>0.4</v>
      </c>
      <c r="BJ30" s="52" t="s">
        <v>219</v>
      </c>
      <c r="BK30" s="138">
        <f>B277</f>
        <v>5</v>
      </c>
      <c r="BL30" s="52" t="s">
        <v>112</v>
      </c>
      <c r="BM30" s="52" t="s">
        <v>219</v>
      </c>
      <c r="BN30" s="138">
        <f>B277</f>
        <v>5</v>
      </c>
      <c r="BO30" s="52" t="s">
        <v>112</v>
      </c>
      <c r="BS30" s="91"/>
      <c r="BT30" s="97"/>
      <c r="BU30" s="91"/>
      <c r="BV30" s="91" t="s">
        <v>308</v>
      </c>
      <c r="BW30" s="146">
        <f>B101</f>
        <v>0.23</v>
      </c>
      <c r="BY30" s="94" t="s">
        <v>95</v>
      </c>
      <c r="BZ30" s="150">
        <f>B117</f>
        <v>1</v>
      </c>
      <c r="CA30" s="94" t="s">
        <v>60</v>
      </c>
      <c r="CB30" s="52" t="s">
        <v>90</v>
      </c>
      <c r="CC30" s="138">
        <f>B108</f>
        <v>1</v>
      </c>
      <c r="CD30" s="52" t="s">
        <v>194</v>
      </c>
      <c r="CE30" s="52" t="s">
        <v>90</v>
      </c>
      <c r="CF30" s="138">
        <f>B108</f>
        <v>1</v>
      </c>
      <c r="CG30" s="52" t="s">
        <v>194</v>
      </c>
      <c r="CM30" s="83"/>
      <c r="CN30" s="93" t="s">
        <v>167</v>
      </c>
      <c r="CO30" s="162">
        <f>B137</f>
        <v>1</v>
      </c>
      <c r="CP30" s="52" t="s">
        <v>41</v>
      </c>
      <c r="CQ30" s="88"/>
      <c r="CR30" s="83"/>
      <c r="CS30" s="83"/>
      <c r="CT30" s="83" t="s">
        <v>459</v>
      </c>
      <c r="CU30" s="141">
        <f>B148</f>
        <v>20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20</v>
      </c>
      <c r="DB30" s="83" t="s">
        <v>143</v>
      </c>
      <c r="DW30" s="88"/>
      <c r="DX30" s="88"/>
      <c r="DY30" s="88"/>
      <c r="DZ30" s="8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B83</f>
        <v>0.3</v>
      </c>
    </row>
    <row r="31" spans="1:214" x14ac:dyDescent="0.2">
      <c r="A31" s="84" t="s">
        <v>32</v>
      </c>
      <c r="B31" s="183">
        <v>0</v>
      </c>
      <c r="D31" s="323" t="s">
        <v>530</v>
      </c>
      <c r="E31" s="347" t="e">
        <f>E38</f>
        <v>#DIV/0!</v>
      </c>
      <c r="F31" s="345" t="s">
        <v>12</v>
      </c>
      <c r="G31" s="83" t="s">
        <v>379</v>
      </c>
      <c r="H31" s="150">
        <f>B53</f>
        <v>1</v>
      </c>
      <c r="I31" s="84" t="s">
        <v>60</v>
      </c>
      <c r="J31" s="83" t="s">
        <v>380</v>
      </c>
      <c r="K31" s="150">
        <f>B54</f>
        <v>350</v>
      </c>
      <c r="L31" s="83" t="s">
        <v>24</v>
      </c>
      <c r="M31" s="52" t="s">
        <v>300</v>
      </c>
      <c r="N31" s="138">
        <f>B62</f>
        <v>1</v>
      </c>
      <c r="P31" s="52" t="s">
        <v>300</v>
      </c>
      <c r="Q31" s="138">
        <f>B62</f>
        <v>1</v>
      </c>
      <c r="V31" s="52" t="s">
        <v>35</v>
      </c>
      <c r="W31" s="138">
        <f>B243</f>
        <v>250</v>
      </c>
      <c r="X31" s="52" t="s">
        <v>24</v>
      </c>
      <c r="Y31" s="52" t="s">
        <v>191</v>
      </c>
      <c r="Z31" s="138">
        <f>B267</f>
        <v>250</v>
      </c>
      <c r="AA31" s="52" t="s">
        <v>24</v>
      </c>
      <c r="AB31" s="83" t="s">
        <v>262</v>
      </c>
      <c r="AC31" s="145">
        <f>((AC5*AC23*AC24)/((1-EXP(-AC24*AC23))*AC18*AC7*(1/365)*AC12*(1/24)*AC14*AC17))*AC25*AC35*AC36</f>
        <v>8.8607607821448189E-7</v>
      </c>
      <c r="AD31" s="145">
        <f>((AD5*AD23*AD24)/((1-EXP(-AD24*AD23))*AD18*AD7*(1/365)*AD12*(1/24)*AD16*AD17))*AD25*AD35*AD36</f>
        <v>2.215190195536205E-6</v>
      </c>
      <c r="AE31" s="145">
        <f>((AE5*AE23*AE24)/((1-EXP(-AE24*AE23))*AE18*AE7*(1/365)*AE12*(1/24)*AE14*AE17))*AE25*AE35*AE36</f>
        <v>9.8452897579386874E-7</v>
      </c>
      <c r="AF31" s="145">
        <f>((AF5*AF23*AF24)/((1-EXP(-AF24*AF23))*AF18*(AF11*AF10)*(1/365)*AF12*(1/24)*AF14*AF17))*AF25*AF35*AF36</f>
        <v>4.8826882137534607E-3</v>
      </c>
      <c r="AG31" s="145">
        <f>((AG5*AG23*AG24)/((1-EXP(-AG24*AG23))*AG18*AG7*(1/365)*AG9*(AG12/24)*AG14*AG17))*AG25*AG35*AG36</f>
        <v>4.8826882137534607E-3</v>
      </c>
      <c r="AH31" s="83" t="s">
        <v>297</v>
      </c>
      <c r="AI31" s="52" t="s">
        <v>300</v>
      </c>
      <c r="AJ31" s="138">
        <f>B235</f>
        <v>1</v>
      </c>
      <c r="AL31" s="52" t="s">
        <v>300</v>
      </c>
      <c r="AM31" s="138">
        <f>B235</f>
        <v>1</v>
      </c>
      <c r="AR31" s="52" t="s">
        <v>300</v>
      </c>
      <c r="AS31" s="138">
        <f>B259</f>
        <v>1</v>
      </c>
      <c r="AU31" s="52" t="s">
        <v>300</v>
      </c>
      <c r="AV31" s="138">
        <f>B259</f>
        <v>1</v>
      </c>
      <c r="BA31" s="52" t="s">
        <v>300</v>
      </c>
      <c r="BB31" s="138">
        <f>B235</f>
        <v>1</v>
      </c>
      <c r="BD31" s="52" t="s">
        <v>300</v>
      </c>
      <c r="BE31" s="138">
        <f>B235</f>
        <v>1</v>
      </c>
      <c r="BJ31" s="52" t="s">
        <v>158</v>
      </c>
      <c r="BK31" s="138">
        <f>B268</f>
        <v>1</v>
      </c>
      <c r="BL31" s="52" t="s">
        <v>146</v>
      </c>
      <c r="BM31" s="52" t="s">
        <v>158</v>
      </c>
      <c r="BN31" s="138">
        <f>B268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B102</f>
        <v>0.77</v>
      </c>
      <c r="BZ31" s="150">
        <v>365</v>
      </c>
      <c r="CA31" s="52" t="s">
        <v>24</v>
      </c>
      <c r="CB31" s="52" t="s">
        <v>410</v>
      </c>
      <c r="CC31" s="139">
        <f>B11</f>
        <v>4.3486799999999998E-4</v>
      </c>
      <c r="CD31" s="84" t="s">
        <v>353</v>
      </c>
      <c r="CE31" s="52" t="s">
        <v>419</v>
      </c>
      <c r="CF31" s="139">
        <f>B13</f>
        <v>1.2571640000000001E-3</v>
      </c>
      <c r="CG31" s="84" t="s">
        <v>353</v>
      </c>
      <c r="CM31" s="83"/>
      <c r="CN31" s="83" t="s">
        <v>168</v>
      </c>
      <c r="CO31" s="162">
        <f>B138</f>
        <v>1</v>
      </c>
      <c r="CP31" s="52" t="s">
        <v>41</v>
      </c>
      <c r="CQ31" s="83"/>
      <c r="CR31" s="83"/>
      <c r="CS31" s="83"/>
      <c r="CT31" s="83" t="s">
        <v>456</v>
      </c>
      <c r="CU31" s="150">
        <f>B167</f>
        <v>350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68.099999999999994</v>
      </c>
      <c r="DB31" s="83" t="s">
        <v>221</v>
      </c>
      <c r="DW31" s="88"/>
      <c r="DX31" s="88"/>
      <c r="DY31" s="88"/>
      <c r="DZ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B84</f>
        <v>1.5</v>
      </c>
    </row>
    <row r="32" spans="1:214" ht="13.5" thickBot="1" x14ac:dyDescent="0.25">
      <c r="A32" s="52" t="s">
        <v>33</v>
      </c>
      <c r="B32" s="183">
        <v>0</v>
      </c>
      <c r="D32" s="324"/>
      <c r="E32" s="348"/>
      <c r="F32" s="346"/>
      <c r="G32" s="52" t="s">
        <v>403</v>
      </c>
      <c r="H32" s="138">
        <f>B57</f>
        <v>0.54</v>
      </c>
      <c r="I32" s="52" t="s">
        <v>89</v>
      </c>
      <c r="J32" s="83" t="s">
        <v>381</v>
      </c>
      <c r="K32" s="150">
        <f>B55</f>
        <v>350</v>
      </c>
      <c r="L32" s="83" t="s">
        <v>24</v>
      </c>
      <c r="M32" s="52" t="s">
        <v>54</v>
      </c>
      <c r="N32" s="138">
        <f>B63</f>
        <v>1</v>
      </c>
      <c r="P32" s="52" t="s">
        <v>54</v>
      </c>
      <c r="Q32" s="138">
        <f>B63</f>
        <v>1</v>
      </c>
      <c r="V32" s="52" t="s">
        <v>420</v>
      </c>
      <c r="W32" s="138">
        <f>B244</f>
        <v>1</v>
      </c>
      <c r="X32" s="52" t="s">
        <v>146</v>
      </c>
      <c r="Y32" s="52" t="s">
        <v>158</v>
      </c>
      <c r="Z32" s="138">
        <f>B268</f>
        <v>1</v>
      </c>
      <c r="AA32" s="52" t="s">
        <v>146</v>
      </c>
      <c r="AB32" s="83" t="s">
        <v>77</v>
      </c>
      <c r="AC32" s="136">
        <f>B19</f>
        <v>1359344473.5814338</v>
      </c>
      <c r="AD32" s="136">
        <f>B19</f>
        <v>1359344473.5814338</v>
      </c>
      <c r="AE32" s="136">
        <f>B19</f>
        <v>1359344473.5814338</v>
      </c>
      <c r="AF32" s="136"/>
      <c r="AG32" s="136"/>
      <c r="AH32" s="104" t="s">
        <v>78</v>
      </c>
      <c r="AI32" s="52" t="s">
        <v>54</v>
      </c>
      <c r="AJ32" s="138">
        <f>B249</f>
        <v>1</v>
      </c>
      <c r="AL32" s="52" t="s">
        <v>54</v>
      </c>
      <c r="AM32" s="138">
        <f>B249</f>
        <v>1</v>
      </c>
      <c r="AR32" s="52" t="s">
        <v>54</v>
      </c>
      <c r="AS32" s="138">
        <f>B261</f>
        <v>1</v>
      </c>
      <c r="AU32" s="52" t="s">
        <v>54</v>
      </c>
      <c r="AV32" s="138">
        <f>B261</f>
        <v>1</v>
      </c>
      <c r="BA32" s="52" t="s">
        <v>54</v>
      </c>
      <c r="BB32" s="138">
        <f>B237</f>
        <v>1</v>
      </c>
      <c r="BD32" s="52" t="s">
        <v>54</v>
      </c>
      <c r="BE32" s="138">
        <f>B237</f>
        <v>1</v>
      </c>
      <c r="BJ32" s="52" t="s">
        <v>300</v>
      </c>
      <c r="BK32" s="136">
        <f>B281</f>
        <v>1.5699999999999999E-5</v>
      </c>
      <c r="BM32" s="52" t="s">
        <v>300</v>
      </c>
      <c r="BN32" s="136">
        <f>B285</f>
        <v>1.35E-4</v>
      </c>
      <c r="BS32" s="91"/>
      <c r="BT32" s="99"/>
      <c r="BU32" s="100"/>
      <c r="BV32" s="84" t="s">
        <v>295</v>
      </c>
      <c r="BW32" s="142">
        <f>B302</f>
        <v>222.01757699999999</v>
      </c>
      <c r="BX32" s="84" t="s">
        <v>296</v>
      </c>
      <c r="BZ32" s="138">
        <v>1000</v>
      </c>
      <c r="CA32" s="52" t="s">
        <v>99</v>
      </c>
      <c r="CB32" s="84" t="s">
        <v>295</v>
      </c>
      <c r="CC32" s="142">
        <f>B302</f>
        <v>222.01757699999999</v>
      </c>
      <c r="CD32" s="84" t="s">
        <v>296</v>
      </c>
      <c r="CE32" s="84" t="s">
        <v>295</v>
      </c>
      <c r="CF32" s="142">
        <f>B302</f>
        <v>222.01757699999999</v>
      </c>
      <c r="CG32" s="84" t="s">
        <v>296</v>
      </c>
      <c r="CM32" s="83"/>
      <c r="CN32" s="83" t="s">
        <v>22</v>
      </c>
      <c r="CO32" s="137">
        <f>0.693/CO33</f>
        <v>66.155354824913829</v>
      </c>
      <c r="CR32" s="83"/>
      <c r="CS32" s="83"/>
      <c r="CT32" s="83" t="s">
        <v>465</v>
      </c>
      <c r="CU32" s="150">
        <f>B168</f>
        <v>350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176.8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5" thickTop="1" x14ac:dyDescent="0.2">
      <c r="A33" s="83" t="s">
        <v>156</v>
      </c>
      <c r="B33" s="182">
        <v>0</v>
      </c>
      <c r="C33" s="83" t="s">
        <v>18</v>
      </c>
      <c r="D33" s="83" t="s">
        <v>267</v>
      </c>
      <c r="E33" s="136">
        <f>B5</f>
        <v>1</v>
      </c>
      <c r="F33" s="52" t="s">
        <v>344</v>
      </c>
      <c r="G33" s="52" t="s">
        <v>404</v>
      </c>
      <c r="H33" s="138">
        <f>B58</f>
        <v>0.71</v>
      </c>
      <c r="I33" s="52" t="s">
        <v>89</v>
      </c>
      <c r="J33" s="83" t="s">
        <v>379</v>
      </c>
      <c r="K33" s="141">
        <f>B53</f>
        <v>1</v>
      </c>
      <c r="L33" s="92" t="s">
        <v>60</v>
      </c>
      <c r="M33" s="52" t="s">
        <v>408</v>
      </c>
      <c r="N33" s="150">
        <f>B78</f>
        <v>1.752</v>
      </c>
      <c r="O33" s="52" t="s">
        <v>194</v>
      </c>
      <c r="P33" s="52" t="s">
        <v>408</v>
      </c>
      <c r="Q33" s="150">
        <f>B78</f>
        <v>1.752</v>
      </c>
      <c r="R33" s="52" t="s">
        <v>194</v>
      </c>
      <c r="V33" s="52" t="s">
        <v>247</v>
      </c>
      <c r="W33" s="139">
        <f>B6</f>
        <v>1.25E-4</v>
      </c>
      <c r="X33" s="84" t="s">
        <v>39</v>
      </c>
      <c r="Y33" s="52" t="s">
        <v>247</v>
      </c>
      <c r="Z33" s="139">
        <f>B6</f>
        <v>1.25E-4</v>
      </c>
      <c r="AA33" s="84" t="s">
        <v>39</v>
      </c>
      <c r="AB33" s="104" t="s">
        <v>103</v>
      </c>
      <c r="AC33" s="136"/>
      <c r="AD33" s="136"/>
      <c r="AE33" s="136"/>
      <c r="AF33" s="157">
        <f>B20</f>
        <v>776129.4078035407</v>
      </c>
      <c r="AG33" s="136"/>
      <c r="AH33" s="104" t="s">
        <v>78</v>
      </c>
      <c r="AI33" s="52" t="s">
        <v>57</v>
      </c>
      <c r="AJ33" s="136">
        <f>B250</f>
        <v>0</v>
      </c>
      <c r="AK33" s="52" t="s">
        <v>194</v>
      </c>
      <c r="AL33" s="52" t="s">
        <v>57</v>
      </c>
      <c r="AM33" s="136">
        <f>B250</f>
        <v>0</v>
      </c>
      <c r="AN33" s="52" t="s">
        <v>194</v>
      </c>
      <c r="AR33" s="52" t="s">
        <v>57</v>
      </c>
      <c r="AS33" s="136">
        <f>B262</f>
        <v>8</v>
      </c>
      <c r="AT33" s="52" t="s">
        <v>194</v>
      </c>
      <c r="AU33" s="52" t="s">
        <v>57</v>
      </c>
      <c r="AV33" s="136">
        <f>B262</f>
        <v>8</v>
      </c>
      <c r="AW33" s="52" t="s">
        <v>194</v>
      </c>
      <c r="BA33" s="52" t="s">
        <v>58</v>
      </c>
      <c r="BB33" s="136">
        <f>B238</f>
        <v>8</v>
      </c>
      <c r="BC33" s="52" t="s">
        <v>194</v>
      </c>
      <c r="BD33" s="52" t="s">
        <v>57</v>
      </c>
      <c r="BE33" s="136">
        <f>B238</f>
        <v>8</v>
      </c>
      <c r="BF33" s="52" t="s">
        <v>194</v>
      </c>
      <c r="BJ33" s="52" t="s">
        <v>411</v>
      </c>
      <c r="BK33" s="136">
        <f>B282</f>
        <v>0.80900000000000005</v>
      </c>
      <c r="BM33" s="52" t="s">
        <v>418</v>
      </c>
      <c r="BN33" s="136">
        <f>B286</f>
        <v>0.71099999999999997</v>
      </c>
      <c r="BS33" s="91"/>
      <c r="BT33" s="99"/>
      <c r="BU33" s="100"/>
      <c r="BV33" s="84" t="s">
        <v>293</v>
      </c>
      <c r="BW33" s="161">
        <f>B303</f>
        <v>2.8000000000000001E-15</v>
      </c>
      <c r="BX33" s="84"/>
      <c r="BZ33" s="146">
        <v>1000</v>
      </c>
      <c r="CA33" s="52" t="s">
        <v>23</v>
      </c>
      <c r="CB33" s="84" t="s">
        <v>293</v>
      </c>
      <c r="CC33" s="161">
        <f>B303</f>
        <v>2.8000000000000001E-15</v>
      </c>
      <c r="CD33" s="84"/>
      <c r="CE33" s="84" t="s">
        <v>293</v>
      </c>
      <c r="CF33" s="161">
        <f>B304</f>
        <v>2.8000000000000002E-12</v>
      </c>
      <c r="CG33" s="84"/>
      <c r="CM33" s="83"/>
      <c r="CN33" s="91" t="s">
        <v>231</v>
      </c>
      <c r="CO33" s="136">
        <f>B18</f>
        <v>1.04753425E-2</v>
      </c>
      <c r="CP33" s="52" t="s">
        <v>60</v>
      </c>
      <c r="CR33" s="83"/>
      <c r="CS33" s="83"/>
      <c r="CT33" s="83" t="s">
        <v>363</v>
      </c>
      <c r="CU33" s="141">
        <f t="shared" ref="CU33:CU42" si="1">B170</f>
        <v>1</v>
      </c>
      <c r="CV33" s="92" t="s">
        <v>60</v>
      </c>
      <c r="CZ33" s="92" t="s">
        <v>513</v>
      </c>
      <c r="DA33" s="141">
        <f t="shared" si="0"/>
        <v>41.7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B82</f>
        <v>70</v>
      </c>
    </row>
    <row r="34" spans="1:214" ht="13.5" customHeight="1" x14ac:dyDescent="0.2">
      <c r="A34" s="84" t="s">
        <v>21</v>
      </c>
      <c r="B34" s="188">
        <f>0*B302*B18*B303</f>
        <v>0</v>
      </c>
      <c r="C34" s="52" t="s">
        <v>13</v>
      </c>
      <c r="D34" s="83" t="s">
        <v>382</v>
      </c>
      <c r="E34" s="150">
        <f>B56</f>
        <v>350</v>
      </c>
      <c r="F34" s="83" t="s">
        <v>24</v>
      </c>
      <c r="G34" s="83" t="s">
        <v>383</v>
      </c>
      <c r="H34" s="150">
        <f>B59</f>
        <v>24</v>
      </c>
      <c r="I34" s="94" t="s">
        <v>194</v>
      </c>
      <c r="J34" s="83" t="s">
        <v>383</v>
      </c>
      <c r="K34" s="150">
        <f>B59</f>
        <v>24</v>
      </c>
      <c r="L34" s="94" t="s">
        <v>194</v>
      </c>
      <c r="M34" s="52" t="s">
        <v>410</v>
      </c>
      <c r="N34" s="139">
        <f>B11</f>
        <v>4.3486799999999998E-4</v>
      </c>
      <c r="O34" s="84" t="s">
        <v>354</v>
      </c>
      <c r="P34" s="52" t="s">
        <v>419</v>
      </c>
      <c r="Q34" s="139">
        <f>B13</f>
        <v>1.2571640000000001E-3</v>
      </c>
      <c r="R34" s="84" t="s">
        <v>353</v>
      </c>
      <c r="V34" s="52" t="s">
        <v>421</v>
      </c>
      <c r="W34" s="150">
        <f>B251</f>
        <v>8</v>
      </c>
      <c r="X34" s="84" t="s">
        <v>194</v>
      </c>
      <c r="Y34" s="52" t="s">
        <v>192</v>
      </c>
      <c r="Z34" s="150">
        <f>B274</f>
        <v>8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B21</f>
        <v>69557565.807898715</v>
      </c>
      <c r="AH34" s="104" t="s">
        <v>78</v>
      </c>
      <c r="AI34" s="52" t="s">
        <v>410</v>
      </c>
      <c r="AJ34" s="139">
        <f>B11</f>
        <v>4.3486799999999998E-4</v>
      </c>
      <c r="AK34" s="84" t="s">
        <v>353</v>
      </c>
      <c r="AL34" s="52" t="s">
        <v>419</v>
      </c>
      <c r="AM34" s="139">
        <f>B13</f>
        <v>1.2571640000000001E-3</v>
      </c>
      <c r="AN34" s="84" t="s">
        <v>353</v>
      </c>
      <c r="AR34" s="52" t="s">
        <v>410</v>
      </c>
      <c r="AS34" s="139">
        <f>B11</f>
        <v>4.3486799999999998E-4</v>
      </c>
      <c r="AT34" s="84" t="s">
        <v>353</v>
      </c>
      <c r="AU34" s="52" t="s">
        <v>419</v>
      </c>
      <c r="AV34" s="139">
        <f>B13</f>
        <v>1.2571640000000001E-3</v>
      </c>
      <c r="AW34" s="84" t="s">
        <v>353</v>
      </c>
      <c r="BA34" s="52" t="s">
        <v>410</v>
      </c>
      <c r="BB34" s="139">
        <f>B11</f>
        <v>4.3486799999999998E-4</v>
      </c>
      <c r="BC34" s="84" t="s">
        <v>353</v>
      </c>
      <c r="BD34" s="52" t="s">
        <v>419</v>
      </c>
      <c r="BE34" s="139">
        <f>B13</f>
        <v>1.2571640000000001E-3</v>
      </c>
      <c r="BF34" s="84" t="s">
        <v>353</v>
      </c>
      <c r="BJ34" s="52" t="s">
        <v>57</v>
      </c>
      <c r="BK34" s="136">
        <f>B274</f>
        <v>8</v>
      </c>
      <c r="BL34" s="52" t="s">
        <v>194</v>
      </c>
      <c r="BM34" s="52" t="s">
        <v>57</v>
      </c>
      <c r="BN34" s="136">
        <f>B274</f>
        <v>8</v>
      </c>
      <c r="BO34" s="52" t="s">
        <v>194</v>
      </c>
      <c r="BT34" s="102"/>
      <c r="BU34" s="91"/>
      <c r="BV34" s="91" t="s">
        <v>231</v>
      </c>
      <c r="BW34" s="136">
        <f>B18</f>
        <v>1.04753425E-2</v>
      </c>
      <c r="BX34" s="52" t="s">
        <v>60</v>
      </c>
      <c r="BY34" s="91" t="s">
        <v>308</v>
      </c>
      <c r="BZ34" s="146">
        <f>B101</f>
        <v>0.23</v>
      </c>
      <c r="CM34" s="83"/>
      <c r="CN34" s="84" t="s">
        <v>16</v>
      </c>
      <c r="CO34" s="137">
        <f>(CO31*CO32)/(1-EXP(-CO32*CO31))</f>
        <v>66.155354824913829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125.7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B33</f>
        <v>0</v>
      </c>
    </row>
    <row r="35" spans="1:214" ht="12.75" customHeight="1" x14ac:dyDescent="0.2">
      <c r="A35" s="52" t="s">
        <v>393</v>
      </c>
      <c r="B35" s="131">
        <v>0.26</v>
      </c>
      <c r="D35" s="83" t="s">
        <v>258</v>
      </c>
      <c r="E35" s="136">
        <f>B17</f>
        <v>0</v>
      </c>
      <c r="F35" s="83" t="s">
        <v>87</v>
      </c>
      <c r="G35" s="83" t="s">
        <v>384</v>
      </c>
      <c r="H35" s="150">
        <f>B59</f>
        <v>24</v>
      </c>
      <c r="I35" s="52" t="s">
        <v>194</v>
      </c>
      <c r="J35" s="83" t="s">
        <v>384</v>
      </c>
      <c r="K35" s="150">
        <f>B59</f>
        <v>24</v>
      </c>
      <c r="L35" s="52" t="s">
        <v>194</v>
      </c>
      <c r="M35" s="52" t="s">
        <v>409</v>
      </c>
      <c r="N35" s="150">
        <f>B79</f>
        <v>16.416</v>
      </c>
      <c r="O35" s="52" t="s">
        <v>194</v>
      </c>
      <c r="P35" s="52" t="s">
        <v>409</v>
      </c>
      <c r="Q35" s="150">
        <f>B79</f>
        <v>16.416</v>
      </c>
      <c r="R35" s="52" t="s">
        <v>194</v>
      </c>
      <c r="V35" s="52" t="s">
        <v>304</v>
      </c>
      <c r="W35" s="146">
        <f>B242</f>
        <v>60</v>
      </c>
      <c r="X35" s="84" t="s">
        <v>407</v>
      </c>
      <c r="Y35" s="52" t="s">
        <v>348</v>
      </c>
      <c r="Z35" s="146">
        <f>B266</f>
        <v>60</v>
      </c>
      <c r="AA35" s="84" t="s">
        <v>407</v>
      </c>
      <c r="AB35" s="84" t="s">
        <v>295</v>
      </c>
      <c r="AC35" s="141">
        <f>B302</f>
        <v>222.01757699999999</v>
      </c>
      <c r="AD35" s="150">
        <f>B302</f>
        <v>222.01757699999999</v>
      </c>
      <c r="AE35" s="150">
        <f>B302</f>
        <v>222.01757699999999</v>
      </c>
      <c r="AF35" s="150">
        <f>B302</f>
        <v>222.01757699999999</v>
      </c>
      <c r="AG35" s="150">
        <f>B302</f>
        <v>222.01757699999999</v>
      </c>
      <c r="AH35" s="84" t="s">
        <v>296</v>
      </c>
      <c r="AI35" s="52" t="s">
        <v>69</v>
      </c>
      <c r="AJ35" s="136">
        <f>B251</f>
        <v>8</v>
      </c>
      <c r="AK35" s="52" t="s">
        <v>194</v>
      </c>
      <c r="AL35" s="52" t="s">
        <v>69</v>
      </c>
      <c r="AM35" s="136">
        <f>B251</f>
        <v>8</v>
      </c>
      <c r="AN35" s="52" t="s">
        <v>194</v>
      </c>
      <c r="AR35" s="52" t="s">
        <v>69</v>
      </c>
      <c r="AS35" s="136">
        <f>B263</f>
        <v>0</v>
      </c>
      <c r="AT35" s="52" t="s">
        <v>194</v>
      </c>
      <c r="AU35" s="52" t="s">
        <v>69</v>
      </c>
      <c r="AV35" s="136">
        <f>B263</f>
        <v>0</v>
      </c>
      <c r="AW35" s="52" t="s">
        <v>194</v>
      </c>
      <c r="BA35" s="52" t="s">
        <v>69</v>
      </c>
      <c r="BB35" s="136">
        <f>B239</f>
        <v>8</v>
      </c>
      <c r="BC35" s="52" t="s">
        <v>194</v>
      </c>
      <c r="BD35" s="52" t="s">
        <v>69</v>
      </c>
      <c r="BE35" s="136">
        <f>B239</f>
        <v>8</v>
      </c>
      <c r="BF35" s="52" t="s">
        <v>194</v>
      </c>
      <c r="BJ35" s="52" t="s">
        <v>410</v>
      </c>
      <c r="BK35" s="139">
        <f>B11</f>
        <v>4.3486799999999998E-4</v>
      </c>
      <c r="BL35" s="84" t="s">
        <v>353</v>
      </c>
      <c r="BM35" s="52" t="s">
        <v>419</v>
      </c>
      <c r="BN35" s="139">
        <f>B13</f>
        <v>1.2571640000000001E-3</v>
      </c>
      <c r="BO35" s="84" t="s">
        <v>353</v>
      </c>
      <c r="BY35" s="91" t="s">
        <v>309</v>
      </c>
      <c r="BZ35" s="146">
        <f>B102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B167</f>
        <v>350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B65</f>
        <v>0.5</v>
      </c>
      <c r="HF35" s="52" t="s">
        <v>355</v>
      </c>
    </row>
    <row r="36" spans="1:214" x14ac:dyDescent="0.2">
      <c r="A36" s="52" t="s">
        <v>392</v>
      </c>
      <c r="B36" s="131">
        <v>0.25</v>
      </c>
      <c r="D36" s="83" t="s">
        <v>389</v>
      </c>
      <c r="E36" s="146">
        <f>B80</f>
        <v>1</v>
      </c>
      <c r="G36" s="83" t="s">
        <v>405</v>
      </c>
      <c r="H36" s="138">
        <f>B66</f>
        <v>1</v>
      </c>
      <c r="I36" s="52" t="s">
        <v>80</v>
      </c>
      <c r="J36" s="83" t="s">
        <v>390</v>
      </c>
      <c r="K36" s="141">
        <f>B68</f>
        <v>0.25</v>
      </c>
      <c r="M36" s="84" t="s">
        <v>295</v>
      </c>
      <c r="N36" s="142">
        <f>B302</f>
        <v>222.01757699999999</v>
      </c>
      <c r="O36" s="84" t="s">
        <v>296</v>
      </c>
      <c r="P36" s="84" t="s">
        <v>295</v>
      </c>
      <c r="Q36" s="142">
        <f>B302</f>
        <v>222.01757699999999</v>
      </c>
      <c r="R36" s="84" t="s">
        <v>296</v>
      </c>
      <c r="V36" s="83" t="s">
        <v>256</v>
      </c>
      <c r="W36" s="136">
        <f>B15</f>
        <v>3.2316400000000001</v>
      </c>
      <c r="X36" s="83" t="s">
        <v>343</v>
      </c>
      <c r="Y36" s="83" t="s">
        <v>256</v>
      </c>
      <c r="Z36" s="136">
        <f>B15</f>
        <v>3.2316400000000001</v>
      </c>
      <c r="AA36" s="83" t="s">
        <v>343</v>
      </c>
      <c r="AB36" s="84" t="s">
        <v>293</v>
      </c>
      <c r="AC36" s="161">
        <f>B304</f>
        <v>2.8000000000000002E-12</v>
      </c>
      <c r="AD36" s="136">
        <f>B304</f>
        <v>2.8000000000000002E-12</v>
      </c>
      <c r="AE36" s="136">
        <f>B304</f>
        <v>2.8000000000000002E-12</v>
      </c>
      <c r="AF36" s="136">
        <f>B304</f>
        <v>2.8000000000000002E-12</v>
      </c>
      <c r="AG36" s="136">
        <f>B304</f>
        <v>2.8000000000000002E-12</v>
      </c>
      <c r="AI36" s="84" t="s">
        <v>295</v>
      </c>
      <c r="AJ36" s="142">
        <f>B302</f>
        <v>222.01757699999999</v>
      </c>
      <c r="AK36" s="84" t="s">
        <v>296</v>
      </c>
      <c r="AL36" s="84" t="s">
        <v>295</v>
      </c>
      <c r="AM36" s="142">
        <f>B302</f>
        <v>222.01757699999999</v>
      </c>
      <c r="AN36" s="84" t="s">
        <v>296</v>
      </c>
      <c r="AR36" s="84" t="s">
        <v>295</v>
      </c>
      <c r="AS36" s="142">
        <f>B302</f>
        <v>222.01757699999999</v>
      </c>
      <c r="AT36" s="84" t="s">
        <v>296</v>
      </c>
      <c r="AU36" s="84" t="s">
        <v>295</v>
      </c>
      <c r="AV36" s="142">
        <f>B302</f>
        <v>222.01757699999999</v>
      </c>
      <c r="AW36" s="84" t="s">
        <v>296</v>
      </c>
      <c r="BA36" s="84" t="s">
        <v>295</v>
      </c>
      <c r="BB36" s="142">
        <f>B302</f>
        <v>222.01757699999999</v>
      </c>
      <c r="BC36" s="84" t="s">
        <v>296</v>
      </c>
      <c r="BD36" s="84" t="s">
        <v>295</v>
      </c>
      <c r="BE36" s="142">
        <f>B302</f>
        <v>222.01757699999999</v>
      </c>
      <c r="BF36" s="84" t="s">
        <v>296</v>
      </c>
      <c r="BJ36" s="84" t="s">
        <v>295</v>
      </c>
      <c r="BK36" s="142">
        <f>B302</f>
        <v>222.01757699999999</v>
      </c>
      <c r="BL36" s="84" t="s">
        <v>296</v>
      </c>
      <c r="BM36" s="84" t="s">
        <v>295</v>
      </c>
      <c r="BN36" s="142">
        <f>B302</f>
        <v>222.01757699999999</v>
      </c>
      <c r="BO36" s="84" t="s">
        <v>296</v>
      </c>
      <c r="BS36" s="100"/>
      <c r="BT36" s="100"/>
      <c r="BU36" s="91"/>
      <c r="BY36" s="84" t="s">
        <v>295</v>
      </c>
      <c r="BZ36" s="142">
        <f>B302</f>
        <v>222.01757699999999</v>
      </c>
      <c r="CA36" s="84" t="s">
        <v>296</v>
      </c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B168</f>
        <v>350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B87</f>
        <v>5</v>
      </c>
      <c r="HF36" s="52" t="s">
        <v>94</v>
      </c>
    </row>
    <row r="37" spans="1:214" x14ac:dyDescent="0.2">
      <c r="A37" s="381" t="s">
        <v>2</v>
      </c>
      <c r="B37" s="382"/>
      <c r="C37" s="383"/>
      <c r="D37" s="83" t="s">
        <v>394</v>
      </c>
      <c r="E37" s="146">
        <f>B44</f>
        <v>54</v>
      </c>
      <c r="F37" s="52" t="s">
        <v>48</v>
      </c>
      <c r="G37" s="83" t="s">
        <v>406</v>
      </c>
      <c r="H37" s="138">
        <f>B67</f>
        <v>1</v>
      </c>
      <c r="I37" s="52" t="s">
        <v>80</v>
      </c>
      <c r="J37" s="83" t="s">
        <v>408</v>
      </c>
      <c r="K37" s="150">
        <f>B78</f>
        <v>1.752</v>
      </c>
      <c r="L37" s="84" t="s">
        <v>194</v>
      </c>
      <c r="M37" s="84" t="s">
        <v>293</v>
      </c>
      <c r="N37" s="161">
        <f>B303</f>
        <v>2.8000000000000001E-15</v>
      </c>
      <c r="O37" s="84"/>
      <c r="P37" s="84" t="s">
        <v>293</v>
      </c>
      <c r="Q37" s="161">
        <f>B304</f>
        <v>2.8000000000000002E-12</v>
      </c>
      <c r="R37" s="84"/>
      <c r="V37" s="83" t="s">
        <v>301</v>
      </c>
      <c r="W37" s="142">
        <f>B246</f>
        <v>1</v>
      </c>
      <c r="Y37" s="83" t="s">
        <v>301</v>
      </c>
      <c r="Z37" s="142">
        <f>B270</f>
        <v>1</v>
      </c>
      <c r="AI37" s="84" t="s">
        <v>293</v>
      </c>
      <c r="AJ37" s="161">
        <f>B303</f>
        <v>2.8000000000000001E-15</v>
      </c>
      <c r="AK37" s="84"/>
      <c r="AL37" s="84" t="s">
        <v>293</v>
      </c>
      <c r="AM37" s="161">
        <f>B304</f>
        <v>2.8000000000000002E-12</v>
      </c>
      <c r="AN37" s="84"/>
      <c r="AR37" s="84" t="s">
        <v>293</v>
      </c>
      <c r="AS37" s="161">
        <f>B303</f>
        <v>2.8000000000000001E-15</v>
      </c>
      <c r="AT37" s="84"/>
      <c r="AU37" s="84" t="s">
        <v>293</v>
      </c>
      <c r="AV37" s="161">
        <f>B304</f>
        <v>2.8000000000000002E-12</v>
      </c>
      <c r="AW37" s="84"/>
      <c r="BA37" s="84" t="s">
        <v>293</v>
      </c>
      <c r="BB37" s="161">
        <f>B303</f>
        <v>2.8000000000000001E-15</v>
      </c>
      <c r="BC37" s="84"/>
      <c r="BD37" s="84" t="s">
        <v>293</v>
      </c>
      <c r="BE37" s="161">
        <f>B304</f>
        <v>2.8000000000000002E-12</v>
      </c>
      <c r="BF37" s="84"/>
      <c r="BJ37" s="84" t="s">
        <v>293</v>
      </c>
      <c r="BK37" s="161">
        <f>B303</f>
        <v>2.8000000000000001E-15</v>
      </c>
      <c r="BL37" s="84"/>
      <c r="BM37" s="84" t="s">
        <v>293</v>
      </c>
      <c r="BN37" s="161">
        <f>B304</f>
        <v>2.8000000000000002E-12</v>
      </c>
      <c r="BO37" s="84"/>
      <c r="BS37" s="91"/>
      <c r="BT37" s="91"/>
      <c r="BU37" s="91"/>
      <c r="BY37" s="84" t="s">
        <v>293</v>
      </c>
      <c r="BZ37" s="161">
        <f>B304</f>
        <v>2.8000000000000002E-12</v>
      </c>
      <c r="CA37" s="84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12.167999999999999</v>
      </c>
      <c r="CV37" s="84" t="s">
        <v>194</v>
      </c>
      <c r="CZ37" s="92" t="s">
        <v>363</v>
      </c>
      <c r="DA37" s="141">
        <f>B170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4.25" x14ac:dyDescent="0.2">
      <c r="A38" s="83" t="s">
        <v>366</v>
      </c>
      <c r="B38" s="130">
        <v>10</v>
      </c>
      <c r="C38" s="92" t="s">
        <v>407</v>
      </c>
      <c r="D38" s="83" t="s">
        <v>260</v>
      </c>
      <c r="E38" s="152" t="e">
        <f>(E33/(E35*E34*E37*E36))/E39</f>
        <v>#DIV/0!</v>
      </c>
      <c r="F38" s="84" t="s">
        <v>297</v>
      </c>
      <c r="H38" s="138">
        <f>1/1000</f>
        <v>1E-3</v>
      </c>
      <c r="I38" s="52" t="s">
        <v>82</v>
      </c>
      <c r="J38" s="83" t="s">
        <v>409</v>
      </c>
      <c r="K38" s="150">
        <f>B79</f>
        <v>16.416</v>
      </c>
      <c r="L38" s="84" t="s">
        <v>194</v>
      </c>
      <c r="V38" s="52" t="s">
        <v>261</v>
      </c>
      <c r="W38" s="143">
        <f>((W27)/((W34/24)*W31*W32*W33*W35))*W30*W42*W43</f>
        <v>1.0419181517226149E-14</v>
      </c>
      <c r="X38" s="52" t="s">
        <v>15</v>
      </c>
      <c r="Y38" s="52" t="s">
        <v>261</v>
      </c>
      <c r="Z38" s="143">
        <f>((Z27)/((Z34/24)*Z31*Z32*Z33*Z35))*Z30*Z45*Z46</f>
        <v>1.0419181517226149E-14</v>
      </c>
      <c r="AA38" s="52" t="s">
        <v>15</v>
      </c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10.007999999999999</v>
      </c>
      <c r="CV38" s="84" t="s">
        <v>194</v>
      </c>
      <c r="CZ38" s="92" t="s">
        <v>364</v>
      </c>
      <c r="DA38" s="141">
        <f>B171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B88</f>
        <v>0.18</v>
      </c>
      <c r="HF38" s="52" t="s">
        <v>355</v>
      </c>
    </row>
    <row r="39" spans="1:214" ht="14.25" customHeight="1" x14ac:dyDescent="0.2">
      <c r="A39" s="83" t="s">
        <v>367</v>
      </c>
      <c r="B39" s="130">
        <v>20</v>
      </c>
      <c r="C39" s="92" t="s">
        <v>407</v>
      </c>
      <c r="D39" s="84" t="s">
        <v>295</v>
      </c>
      <c r="E39" s="142">
        <f>B302</f>
        <v>222.01757699999999</v>
      </c>
      <c r="F39" s="84" t="s">
        <v>296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((W27)/((W34/24)*W31*W36*(1/365)))*W30*W42*W43</f>
        <v>8.8260169460108735E-15</v>
      </c>
      <c r="X39" s="52" t="s">
        <v>15</v>
      </c>
      <c r="Y39" s="52" t="s">
        <v>271</v>
      </c>
      <c r="Z39" s="144">
        <f>((Z27)/((Z34/24)*Z31*Z36*(1/365)))*Z30*Z45*Z46</f>
        <v>8.8260169460108735E-15</v>
      </c>
      <c r="AA39" s="52" t="s">
        <v>15</v>
      </c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B172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B89</f>
        <v>55</v>
      </c>
      <c r="HF39" s="52" t="s">
        <v>97</v>
      </c>
    </row>
    <row r="40" spans="1:214" ht="14.25" customHeight="1" x14ac:dyDescent="0.2">
      <c r="A40" s="83" t="s">
        <v>368</v>
      </c>
      <c r="B40" s="130">
        <v>200</v>
      </c>
      <c r="C40" s="84" t="s">
        <v>48</v>
      </c>
      <c r="D40" s="84" t="s">
        <v>293</v>
      </c>
      <c r="E40" s="161">
        <f>B304</f>
        <v>2.8000000000000002E-12</v>
      </c>
      <c r="F40" s="84"/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((W27*W29*W28)/((W34/24)*(1-EXP(-W29*W32))*W33*W35*W31*W32))*W30*W42*W43</f>
        <v>6.8928465025727985E-13</v>
      </c>
      <c r="X40" s="52" t="s">
        <v>16</v>
      </c>
      <c r="Y40" s="52" t="s">
        <v>261</v>
      </c>
      <c r="Z40" s="144">
        <f>((Z27*Z29*Z28)/((Z34/24)*(1-EXP(-Z29*Z32))*Z33*Z35*Z31*Z32))*Z30*Z45*Z46</f>
        <v>6.8928465025727985E-13</v>
      </c>
      <c r="AA40" s="52" t="s">
        <v>16</v>
      </c>
      <c r="BK40" s="352" t="s">
        <v>230</v>
      </c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0.4</v>
      </c>
      <c r="CZ40" s="92" t="s">
        <v>457</v>
      </c>
      <c r="DA40" s="141">
        <f>B181</f>
        <v>1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B90</f>
        <v>5</v>
      </c>
      <c r="HF40" s="52" t="s">
        <v>97</v>
      </c>
    </row>
    <row r="41" spans="1:214" ht="13.5" thickBot="1" x14ac:dyDescent="0.25">
      <c r="A41" s="83" t="s">
        <v>369</v>
      </c>
      <c r="B41" s="130">
        <v>100</v>
      </c>
      <c r="C41" s="84" t="s">
        <v>48</v>
      </c>
      <c r="E41" s="138"/>
      <c r="G41" s="83" t="s">
        <v>390</v>
      </c>
      <c r="H41" s="141">
        <f>B68</f>
        <v>0.25</v>
      </c>
      <c r="I41" s="84"/>
      <c r="J41" s="83" t="s">
        <v>302</v>
      </c>
      <c r="K41" s="141">
        <v>1</v>
      </c>
      <c r="V41" s="52" t="s">
        <v>271</v>
      </c>
      <c r="W41" s="145">
        <f>((W27*W29*W28)/((W34/24)*(1-EXP(-W29*W28))*W36*W31*(1/365)))*W30*W42*W43</f>
        <v>5.8388828275405161E-13</v>
      </c>
      <c r="X41" s="52" t="s">
        <v>16</v>
      </c>
      <c r="Y41" s="52" t="s">
        <v>271</v>
      </c>
      <c r="Z41" s="145">
        <f>((Z27*Z29*Z28)/((Z34/24)*(1-EXP(-Z29*Z28))*Z36*Z31*(1/365)))*Z30*Z45*Z46</f>
        <v>5.8388828275405161E-13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41">
        <f t="shared" si="1"/>
        <v>1</v>
      </c>
      <c r="CZ41" s="92" t="s">
        <v>466</v>
      </c>
      <c r="DA41" s="141">
        <f>B182</f>
        <v>1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B91</f>
        <v>5</v>
      </c>
      <c r="HF41" s="52" t="s">
        <v>97</v>
      </c>
    </row>
    <row r="42" spans="1:214" ht="19.5" thickTop="1" thickBot="1" x14ac:dyDescent="0.25">
      <c r="A42" s="83" t="s">
        <v>370</v>
      </c>
      <c r="B42" s="130">
        <v>0.78</v>
      </c>
      <c r="C42" s="83" t="s">
        <v>28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41">
        <v>1</v>
      </c>
      <c r="V42" s="84" t="s">
        <v>295</v>
      </c>
      <c r="W42" s="142">
        <f>B302</f>
        <v>222.01757699999999</v>
      </c>
      <c r="X42" s="84" t="s">
        <v>296</v>
      </c>
      <c r="Y42" s="52" t="s">
        <v>220</v>
      </c>
      <c r="Z42" s="138">
        <f>B278</f>
        <v>50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41">
        <f t="shared" si="1"/>
        <v>1</v>
      </c>
      <c r="CW42" s="84"/>
      <c r="CX42" s="84"/>
      <c r="CY42" s="84"/>
      <c r="CZ42" s="52" t="s">
        <v>477</v>
      </c>
      <c r="DA42" s="141">
        <f>B183</f>
        <v>0.54</v>
      </c>
      <c r="DB42" s="92" t="s">
        <v>358</v>
      </c>
      <c r="DW42" s="88"/>
      <c r="DX42" s="88"/>
      <c r="DY42" s="88"/>
      <c r="DZ42" s="88"/>
      <c r="HD42" s="52" t="s">
        <v>225</v>
      </c>
      <c r="HE42" s="241">
        <f>1+((HE35*HE36*HE37)/(HE38*HE39))</f>
        <v>3.1605966718331597</v>
      </c>
    </row>
    <row r="43" spans="1:214" ht="12.75" customHeight="1" x14ac:dyDescent="0.2">
      <c r="A43" s="83" t="s">
        <v>371</v>
      </c>
      <c r="B43" s="130">
        <v>2.5</v>
      </c>
      <c r="C43" s="52" t="s">
        <v>28</v>
      </c>
      <c r="D43" s="323" t="s">
        <v>530</v>
      </c>
      <c r="E43" s="347" t="e">
        <f>E53</f>
        <v>#DIV/0!</v>
      </c>
      <c r="F43" s="345" t="s">
        <v>13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V43" s="84" t="s">
        <v>293</v>
      </c>
      <c r="W43" s="161">
        <f>B303</f>
        <v>2.8000000000000001E-15</v>
      </c>
      <c r="X43" s="84"/>
      <c r="Y43" s="52" t="s">
        <v>219</v>
      </c>
      <c r="Z43" s="138">
        <f>B277</f>
        <v>5</v>
      </c>
      <c r="AA43" s="52" t="s">
        <v>157</v>
      </c>
      <c r="AE43" s="352" t="s">
        <v>226</v>
      </c>
      <c r="AF43" s="352"/>
      <c r="AG43" s="352"/>
      <c r="AI43" s="104"/>
      <c r="AJ43" s="104"/>
      <c r="AK43" s="104"/>
      <c r="BK43" s="352"/>
      <c r="BL43" s="352"/>
      <c r="BM43" s="352"/>
      <c r="BN43" s="352"/>
      <c r="BO43" s="352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B184</f>
        <v>0.71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83" t="s">
        <v>310</v>
      </c>
      <c r="B44" s="130">
        <v>54</v>
      </c>
      <c r="C44" s="52" t="s">
        <v>48</v>
      </c>
      <c r="D44" s="324"/>
      <c r="E44" s="348"/>
      <c r="F44" s="346"/>
      <c r="G44" s="52" t="s">
        <v>19</v>
      </c>
      <c r="H44" s="136">
        <f>H46</f>
        <v>0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AE44" s="352"/>
      <c r="AF44" s="352"/>
      <c r="AG44" s="352"/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5.75" thickTop="1" x14ac:dyDescent="0.2">
      <c r="A45" s="83" t="s">
        <v>372</v>
      </c>
      <c r="B45" s="130">
        <v>68.099999999999994</v>
      </c>
      <c r="C45" s="92" t="s">
        <v>221</v>
      </c>
      <c r="D45" s="83" t="s">
        <v>267</v>
      </c>
      <c r="E45" s="136">
        <f>B5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Y45" s="84" t="s">
        <v>295</v>
      </c>
      <c r="Z45" s="142">
        <f>B302</f>
        <v>222.01757699999999</v>
      </c>
      <c r="AA45" s="84" t="s">
        <v>296</v>
      </c>
      <c r="AB45" s="104"/>
      <c r="AC45" s="105"/>
      <c r="AE45" s="352"/>
      <c r="AF45" s="352"/>
      <c r="AG45" s="352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B185</f>
        <v>0.5</v>
      </c>
      <c r="DB45" s="92" t="s">
        <v>145</v>
      </c>
      <c r="DW45" s="88"/>
      <c r="DX45" s="88"/>
      <c r="DY45" s="88"/>
      <c r="DZ45" s="88"/>
    </row>
    <row r="46" spans="1:214" ht="13.5" customHeight="1" x14ac:dyDescent="0.2">
      <c r="A46" s="83" t="s">
        <v>373</v>
      </c>
      <c r="B46" s="130">
        <v>188.5</v>
      </c>
      <c r="C46" s="92" t="s">
        <v>221</v>
      </c>
      <c r="D46" s="83" t="s">
        <v>382</v>
      </c>
      <c r="E46" s="150">
        <f>B56</f>
        <v>350</v>
      </c>
      <c r="F46" s="83" t="s">
        <v>24</v>
      </c>
      <c r="G46" s="84" t="s">
        <v>32</v>
      </c>
      <c r="H46" s="139">
        <f>B31</f>
        <v>0</v>
      </c>
      <c r="K46" s="146">
        <v>1000</v>
      </c>
      <c r="L46" s="52" t="s">
        <v>23</v>
      </c>
      <c r="Y46" s="84" t="s">
        <v>293</v>
      </c>
      <c r="Z46" s="161">
        <f>B303</f>
        <v>2.8000000000000001E-15</v>
      </c>
      <c r="AA46" s="84"/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83" t="s">
        <v>374</v>
      </c>
      <c r="B47" s="130">
        <v>41.7</v>
      </c>
      <c r="C47" s="92" t="s">
        <v>221</v>
      </c>
      <c r="D47" s="83" t="s">
        <v>258</v>
      </c>
      <c r="E47" s="136">
        <f>B17</f>
        <v>0</v>
      </c>
      <c r="F47" s="83" t="s">
        <v>87</v>
      </c>
      <c r="G47" s="83" t="s">
        <v>393</v>
      </c>
      <c r="H47" s="142">
        <f>B35</f>
        <v>0.26</v>
      </c>
      <c r="J47" s="52" t="s">
        <v>19</v>
      </c>
      <c r="K47" s="136">
        <f>K49</f>
        <v>0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B165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83" t="s">
        <v>375</v>
      </c>
      <c r="B48" s="130">
        <v>128.9</v>
      </c>
      <c r="C48" s="92" t="s">
        <v>221</v>
      </c>
      <c r="D48" s="83" t="s">
        <v>379</v>
      </c>
      <c r="E48" s="146">
        <f>B53</f>
        <v>1</v>
      </c>
      <c r="F48" s="52" t="s">
        <v>60</v>
      </c>
      <c r="G48" s="52" t="s">
        <v>17</v>
      </c>
      <c r="H48" s="137">
        <f>((H51*H52*H53)*((1-EXP(-H54*H55))))/(H56*H54)</f>
        <v>0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B166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83" t="s">
        <v>376</v>
      </c>
      <c r="B49" s="130">
        <v>0.23</v>
      </c>
      <c r="D49" s="83" t="s">
        <v>394</v>
      </c>
      <c r="E49" s="146">
        <f>B44</f>
        <v>54</v>
      </c>
      <c r="F49" s="52" t="s">
        <v>48</v>
      </c>
      <c r="G49" s="52" t="s">
        <v>25</v>
      </c>
      <c r="H49" s="137">
        <f>(H51*H52*H57*((1-EXP(-H54*H55))))/(H56*H54)</f>
        <v>5.4084629109509424E-3</v>
      </c>
      <c r="I49" s="52" t="s">
        <v>18</v>
      </c>
      <c r="J49" s="84" t="s">
        <v>32</v>
      </c>
      <c r="K49" s="139">
        <f>B31</f>
        <v>0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T49" s="84" t="s">
        <v>295</v>
      </c>
      <c r="CU49" s="142">
        <f>B302</f>
        <v>222.01757699999999</v>
      </c>
      <c r="CV49" s="84" t="s">
        <v>296</v>
      </c>
      <c r="CZ49" s="83" t="s">
        <v>475</v>
      </c>
      <c r="DA49" s="146">
        <f>B165</f>
        <v>0.15</v>
      </c>
      <c r="DW49" s="88"/>
      <c r="DX49" s="88"/>
      <c r="DY49" s="88"/>
      <c r="DZ49" s="88"/>
    </row>
    <row r="50" spans="1:130" x14ac:dyDescent="0.2">
      <c r="A50" s="83" t="s">
        <v>377</v>
      </c>
      <c r="B50" s="130">
        <v>0.77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0.82362658902748997</v>
      </c>
      <c r="I50" s="52" t="s">
        <v>18</v>
      </c>
      <c r="J50" s="83" t="s">
        <v>393</v>
      </c>
      <c r="K50" s="142">
        <f>B35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T50" s="84" t="s">
        <v>293</v>
      </c>
      <c r="CU50" s="161">
        <f>B304</f>
        <v>2.8000000000000002E-12</v>
      </c>
      <c r="CV50" s="84"/>
      <c r="CZ50" s="83" t="s">
        <v>476</v>
      </c>
      <c r="DA50" s="146">
        <f>B166</f>
        <v>0.85</v>
      </c>
      <c r="DW50" s="88"/>
      <c r="DX50" s="88"/>
      <c r="DY50" s="88"/>
      <c r="DZ50" s="88"/>
    </row>
    <row r="51" spans="1:130" x14ac:dyDescent="0.2">
      <c r="A51" s="52" t="s">
        <v>378</v>
      </c>
      <c r="B51" s="131">
        <v>1</v>
      </c>
      <c r="C51" s="52" t="s">
        <v>60</v>
      </c>
      <c r="D51" s="83" t="s">
        <v>105</v>
      </c>
      <c r="E51" s="150">
        <f>B23</f>
        <v>0</v>
      </c>
      <c r="F51" s="84" t="s">
        <v>18</v>
      </c>
      <c r="G51" s="83" t="s">
        <v>36</v>
      </c>
      <c r="H51" s="138">
        <f>B69</f>
        <v>3.62</v>
      </c>
      <c r="I51" s="52" t="s">
        <v>37</v>
      </c>
      <c r="J51" s="83" t="s">
        <v>376</v>
      </c>
      <c r="K51" s="146">
        <f>B49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CZ51" s="84" t="s">
        <v>295</v>
      </c>
      <c r="DA51" s="142">
        <f>B302</f>
        <v>222.01757699999999</v>
      </c>
      <c r="DB51" s="84" t="s">
        <v>296</v>
      </c>
      <c r="DW51" s="88"/>
      <c r="DX51" s="88"/>
      <c r="DY51" s="88"/>
      <c r="DZ51" s="88"/>
    </row>
    <row r="52" spans="1:130" x14ac:dyDescent="0.2">
      <c r="A52" s="52" t="s">
        <v>448</v>
      </c>
      <c r="B52" s="131">
        <v>1</v>
      </c>
      <c r="C52" s="52" t="s">
        <v>60</v>
      </c>
      <c r="D52" s="83" t="s">
        <v>107</v>
      </c>
      <c r="E52" s="138">
        <f>B64</f>
        <v>1</v>
      </c>
      <c r="F52" s="84" t="s">
        <v>108</v>
      </c>
      <c r="G52" s="83" t="s">
        <v>40</v>
      </c>
      <c r="H52" s="138">
        <f>B70</f>
        <v>0.25</v>
      </c>
      <c r="I52" s="52" t="s">
        <v>41</v>
      </c>
      <c r="J52" s="83" t="s">
        <v>377</v>
      </c>
      <c r="K52" s="146">
        <f>B50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CZ52" s="84" t="s">
        <v>293</v>
      </c>
      <c r="DA52" s="161">
        <f>B303</f>
        <v>2.8000000000000001E-15</v>
      </c>
      <c r="DB52" s="84"/>
      <c r="DW52" s="88"/>
      <c r="DX52" s="88"/>
      <c r="DY52" s="88"/>
      <c r="DZ52" s="88"/>
    </row>
    <row r="53" spans="1:130" x14ac:dyDescent="0.2">
      <c r="A53" s="52" t="s">
        <v>379</v>
      </c>
      <c r="B53" s="131">
        <v>1</v>
      </c>
      <c r="C53" s="52" t="s">
        <v>60</v>
      </c>
      <c r="D53" s="83" t="s">
        <v>260</v>
      </c>
      <c r="E53" s="152" t="e">
        <f>(E45/(E47*E46*E48*E49*E51*E52*(1/E50)))/E54</f>
        <v>#DIV/0!</v>
      </c>
      <c r="F53" s="52" t="s">
        <v>13</v>
      </c>
      <c r="G53" s="92" t="s">
        <v>32</v>
      </c>
      <c r="H53" s="136">
        <f>B31</f>
        <v>0</v>
      </c>
      <c r="J53" s="84" t="s">
        <v>295</v>
      </c>
      <c r="K53" s="142">
        <f>B302</f>
        <v>222.01757699999999</v>
      </c>
      <c r="L53" s="84" t="s">
        <v>296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52" t="s">
        <v>380</v>
      </c>
      <c r="B54" s="131">
        <v>350</v>
      </c>
      <c r="C54" s="83" t="s">
        <v>24</v>
      </c>
      <c r="D54" s="84" t="s">
        <v>295</v>
      </c>
      <c r="E54" s="142">
        <f>B302</f>
        <v>222.01757699999999</v>
      </c>
      <c r="F54" s="84" t="s">
        <v>296</v>
      </c>
      <c r="G54" s="92" t="s">
        <v>49</v>
      </c>
      <c r="H54" s="137">
        <f>H62+H63</f>
        <v>0.18127454746551735</v>
      </c>
      <c r="J54" s="84" t="s">
        <v>293</v>
      </c>
      <c r="K54" s="161">
        <f>B304</f>
        <v>2.8000000000000002E-12</v>
      </c>
      <c r="L54" s="84"/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52" t="s">
        <v>381</v>
      </c>
      <c r="B55" s="131">
        <v>350</v>
      </c>
      <c r="C55" s="83" t="s">
        <v>24</v>
      </c>
      <c r="D55" s="84" t="s">
        <v>293</v>
      </c>
      <c r="E55" s="161">
        <f>B303</f>
        <v>2.8000000000000001E-15</v>
      </c>
      <c r="F55" s="84"/>
      <c r="G55" s="92" t="s">
        <v>52</v>
      </c>
      <c r="H55" s="138">
        <f>B71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52" t="s">
        <v>382</v>
      </c>
      <c r="B56" s="131">
        <v>350</v>
      </c>
      <c r="C56" s="83" t="s">
        <v>24</v>
      </c>
      <c r="G56" s="92" t="s">
        <v>55</v>
      </c>
      <c r="H56" s="138">
        <f>B72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52" t="s">
        <v>403</v>
      </c>
      <c r="B57" s="131">
        <v>0.54</v>
      </c>
      <c r="C57" s="52" t="s">
        <v>89</v>
      </c>
      <c r="G57" s="92" t="s">
        <v>393</v>
      </c>
      <c r="H57" s="138">
        <f>B35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52" t="s">
        <v>404</v>
      </c>
      <c r="B58" s="131">
        <v>0.71</v>
      </c>
      <c r="C58" s="52" t="s">
        <v>89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52" t="s">
        <v>385</v>
      </c>
      <c r="B59" s="131">
        <v>24</v>
      </c>
      <c r="C59" s="52" t="s">
        <v>194</v>
      </c>
      <c r="G59" s="92" t="s">
        <v>63</v>
      </c>
      <c r="H59" s="151">
        <f>H63+(0.693/H65)</f>
        <v>0.23074754746551734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52" t="s">
        <v>318</v>
      </c>
      <c r="B60" s="131">
        <v>1</v>
      </c>
      <c r="G60" s="92" t="s">
        <v>67</v>
      </c>
      <c r="H60" s="142">
        <f>B73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52" t="s">
        <v>303</v>
      </c>
      <c r="B61" s="131">
        <v>0.4</v>
      </c>
      <c r="G61" s="92" t="s">
        <v>68</v>
      </c>
      <c r="H61" s="142">
        <f>B74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52" t="s">
        <v>302</v>
      </c>
      <c r="B62" s="131">
        <v>1</v>
      </c>
      <c r="G62" s="92" t="s">
        <v>70</v>
      </c>
      <c r="H62" s="138">
        <f>B75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386</v>
      </c>
      <c r="B63" s="131">
        <v>1</v>
      </c>
      <c r="G63" s="92" t="s">
        <v>71</v>
      </c>
      <c r="H63" s="137">
        <f>0.693/H67</f>
        <v>0.18124754746551736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83" t="s">
        <v>107</v>
      </c>
      <c r="B64" s="131">
        <v>1</v>
      </c>
      <c r="C64" s="84" t="s">
        <v>108</v>
      </c>
      <c r="G64" s="92" t="s">
        <v>73</v>
      </c>
      <c r="H64" s="138">
        <f>B76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65</v>
      </c>
      <c r="B65" s="131">
        <v>0.5</v>
      </c>
      <c r="C65" s="52" t="s">
        <v>66</v>
      </c>
      <c r="G65" s="92" t="s">
        <v>74</v>
      </c>
      <c r="H65" s="138">
        <f>B77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79</v>
      </c>
      <c r="B66" s="131">
        <v>1</v>
      </c>
      <c r="C66" s="52" t="s">
        <v>80</v>
      </c>
      <c r="G66" s="52" t="s">
        <v>33</v>
      </c>
      <c r="H66" s="136">
        <f>B32</f>
        <v>0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81</v>
      </c>
      <c r="B67" s="131">
        <v>1</v>
      </c>
      <c r="C67" s="52" t="s">
        <v>80</v>
      </c>
      <c r="G67" s="83" t="s">
        <v>234</v>
      </c>
      <c r="H67" s="136">
        <f>B22</f>
        <v>3.8235000124999998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390</v>
      </c>
      <c r="B68" s="131">
        <v>0.25</v>
      </c>
      <c r="G68" s="83" t="s">
        <v>376</v>
      </c>
      <c r="H68" s="146">
        <f>B49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83" t="s">
        <v>36</v>
      </c>
      <c r="B69" s="131">
        <v>3.62</v>
      </c>
      <c r="C69" s="52" t="s">
        <v>37</v>
      </c>
      <c r="G69" s="83" t="s">
        <v>377</v>
      </c>
      <c r="H69" s="146">
        <f>B50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83" t="s">
        <v>40</v>
      </c>
      <c r="B70" s="131">
        <v>0.25</v>
      </c>
      <c r="C70" s="52" t="s">
        <v>41</v>
      </c>
      <c r="G70" s="84" t="s">
        <v>295</v>
      </c>
      <c r="H70" s="142">
        <f>B302</f>
        <v>222.01757699999999</v>
      </c>
      <c r="I70" s="84" t="s">
        <v>296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92" t="s">
        <v>52</v>
      </c>
      <c r="B71" s="131">
        <v>10950</v>
      </c>
      <c r="C71" s="52" t="s">
        <v>53</v>
      </c>
      <c r="G71" s="84" t="s">
        <v>293</v>
      </c>
      <c r="H71" s="161">
        <f>B303</f>
        <v>2.8000000000000001E-15</v>
      </c>
      <c r="I71" s="84"/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92" t="s">
        <v>55</v>
      </c>
      <c r="B72" s="131">
        <v>240</v>
      </c>
      <c r="C72" s="52" t="s">
        <v>56</v>
      </c>
      <c r="G72" s="84" t="s">
        <v>293</v>
      </c>
      <c r="H72" s="161">
        <f>B304</f>
        <v>2.8000000000000002E-12</v>
      </c>
      <c r="AF72" s="109"/>
      <c r="AG72" s="106"/>
      <c r="AH72" s="106"/>
      <c r="AI72" s="106"/>
      <c r="AJ72" s="106"/>
      <c r="AK72" s="106"/>
    </row>
    <row r="73" spans="1:105" x14ac:dyDescent="0.2">
      <c r="A73" s="92" t="s">
        <v>67</v>
      </c>
      <c r="B73" s="131">
        <v>60</v>
      </c>
      <c r="C73" s="83" t="s">
        <v>53</v>
      </c>
      <c r="G73" s="91" t="s">
        <v>231</v>
      </c>
      <c r="H73" s="85">
        <f>B18</f>
        <v>1.04753425E-2</v>
      </c>
      <c r="I73" s="52" t="s">
        <v>235</v>
      </c>
      <c r="AF73" s="109"/>
      <c r="AG73" s="106"/>
      <c r="AH73" s="106"/>
      <c r="AI73" s="106"/>
      <c r="AJ73" s="106"/>
      <c r="AK73" s="106"/>
    </row>
    <row r="74" spans="1:105" x14ac:dyDescent="0.2">
      <c r="A74" s="92" t="s">
        <v>68</v>
      </c>
      <c r="B74" s="131">
        <v>2</v>
      </c>
      <c r="C74" s="83" t="s">
        <v>56</v>
      </c>
      <c r="AF74" s="109"/>
      <c r="AG74" s="106"/>
      <c r="AH74" s="106"/>
      <c r="AI74" s="106"/>
      <c r="AJ74" s="106"/>
      <c r="AK74" s="106"/>
    </row>
    <row r="75" spans="1:105" x14ac:dyDescent="0.2">
      <c r="A75" s="92" t="s">
        <v>70</v>
      </c>
      <c r="B75" s="131">
        <v>2.6999999999999999E-5</v>
      </c>
      <c r="C75" s="52" t="s">
        <v>64</v>
      </c>
      <c r="AF75" s="108"/>
      <c r="AG75" s="106"/>
      <c r="AH75" s="106"/>
      <c r="AI75" s="106"/>
      <c r="AJ75" s="106"/>
      <c r="AK75" s="106"/>
    </row>
    <row r="76" spans="1:105" x14ac:dyDescent="0.2">
      <c r="A76" s="92" t="s">
        <v>73</v>
      </c>
      <c r="B76" s="131">
        <v>1</v>
      </c>
      <c r="C76" s="52" t="s">
        <v>41</v>
      </c>
      <c r="AF76" s="109"/>
      <c r="AG76" s="106"/>
      <c r="AH76" s="106"/>
      <c r="AI76" s="106"/>
      <c r="AJ76" s="106"/>
      <c r="AK76" s="106"/>
    </row>
    <row r="77" spans="1:105" x14ac:dyDescent="0.2">
      <c r="A77" s="92" t="s">
        <v>74</v>
      </c>
      <c r="B77" s="131">
        <v>14</v>
      </c>
      <c r="C77" s="52" t="s">
        <v>75</v>
      </c>
      <c r="AF77" s="109"/>
      <c r="AG77" s="106"/>
      <c r="AH77" s="106"/>
      <c r="AI77" s="106"/>
      <c r="AJ77" s="106"/>
      <c r="AK77" s="106"/>
    </row>
    <row r="78" spans="1:105" x14ac:dyDescent="0.2">
      <c r="A78" s="83" t="s">
        <v>408</v>
      </c>
      <c r="B78" s="130">
        <v>1.752</v>
      </c>
      <c r="C78" s="84" t="s">
        <v>194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409</v>
      </c>
      <c r="B79" s="130">
        <v>16.416</v>
      </c>
      <c r="C79" s="84" t="s">
        <v>194</v>
      </c>
      <c r="AF79" s="109"/>
      <c r="AG79" s="106"/>
    </row>
    <row r="80" spans="1:105" x14ac:dyDescent="0.2">
      <c r="A80" s="83" t="s">
        <v>389</v>
      </c>
      <c r="B80" s="130">
        <v>1</v>
      </c>
      <c r="C80" s="84"/>
      <c r="AF80" s="109"/>
      <c r="AG80" s="106"/>
      <c r="AH80" s="106"/>
      <c r="AI80" s="106"/>
      <c r="AJ80" s="106"/>
      <c r="AK80" s="106"/>
    </row>
    <row r="81" spans="1:37" x14ac:dyDescent="0.2">
      <c r="A81" s="385" t="s">
        <v>387</v>
      </c>
      <c r="B81" s="385"/>
      <c r="C81" s="385"/>
      <c r="AF81" s="109"/>
      <c r="AG81" s="106"/>
      <c r="AH81" s="106"/>
      <c r="AI81" s="106"/>
      <c r="AJ81" s="106"/>
      <c r="AK81" s="106"/>
    </row>
    <row r="82" spans="1:37" x14ac:dyDescent="0.2">
      <c r="A82" s="52" t="s">
        <v>34</v>
      </c>
      <c r="B82" s="131">
        <v>70</v>
      </c>
      <c r="C82" s="52" t="s">
        <v>60</v>
      </c>
      <c r="AF82" s="109"/>
      <c r="AG82" s="106"/>
      <c r="AH82" s="106"/>
      <c r="AI82" s="106"/>
      <c r="AJ82" s="106"/>
      <c r="AK82" s="106"/>
    </row>
    <row r="83" spans="1:37" x14ac:dyDescent="0.2">
      <c r="A83" s="84" t="s">
        <v>38</v>
      </c>
      <c r="B83" s="131">
        <v>0.3</v>
      </c>
      <c r="C83" s="52" t="s">
        <v>391</v>
      </c>
      <c r="AF83" s="109"/>
      <c r="AG83" s="106"/>
      <c r="AH83" s="106"/>
      <c r="AI83" s="106"/>
      <c r="AJ83" s="106"/>
      <c r="AK83" s="106"/>
    </row>
    <row r="84" spans="1:37" x14ac:dyDescent="0.2">
      <c r="A84" s="84" t="s">
        <v>42</v>
      </c>
      <c r="B84" s="130">
        <v>1.5</v>
      </c>
      <c r="C84" s="52" t="s">
        <v>286</v>
      </c>
      <c r="AF84" s="108"/>
      <c r="AG84" s="106"/>
    </row>
    <row r="85" spans="1:37" x14ac:dyDescent="0.2">
      <c r="A85" s="84" t="s">
        <v>47</v>
      </c>
      <c r="B85" s="131">
        <v>1</v>
      </c>
      <c r="C85" s="52" t="s">
        <v>60</v>
      </c>
      <c r="AF85" s="108"/>
      <c r="AG85" s="106"/>
      <c r="AH85" s="106"/>
      <c r="AI85" s="106"/>
      <c r="AJ85" s="106"/>
      <c r="AK85" s="106"/>
    </row>
    <row r="86" spans="1:37" x14ac:dyDescent="0.2">
      <c r="A86" s="84" t="s">
        <v>225</v>
      </c>
      <c r="B86" s="130">
        <v>1</v>
      </c>
      <c r="AF86" s="108"/>
      <c r="AG86" s="106"/>
    </row>
    <row r="87" spans="1:37" x14ac:dyDescent="0.2">
      <c r="A87" s="52" t="s">
        <v>93</v>
      </c>
      <c r="B87" s="130">
        <v>5</v>
      </c>
      <c r="C87" s="52" t="s">
        <v>94</v>
      </c>
      <c r="AH87" s="108"/>
      <c r="AI87" s="108"/>
      <c r="AJ87" s="108"/>
      <c r="AK87" s="108"/>
    </row>
    <row r="88" spans="1:37" x14ac:dyDescent="0.2">
      <c r="A88" s="52" t="s">
        <v>98</v>
      </c>
      <c r="B88" s="130">
        <v>0.18</v>
      </c>
      <c r="C88" s="52" t="s">
        <v>355</v>
      </c>
    </row>
    <row r="89" spans="1:37" x14ac:dyDescent="0.2">
      <c r="A89" s="52" t="s">
        <v>100</v>
      </c>
      <c r="B89" s="130">
        <v>55</v>
      </c>
      <c r="C89" s="52" t="s">
        <v>97</v>
      </c>
    </row>
    <row r="90" spans="1:37" x14ac:dyDescent="0.2">
      <c r="A90" s="52" t="s">
        <v>101</v>
      </c>
      <c r="B90" s="130">
        <v>5</v>
      </c>
      <c r="C90" s="52" t="s">
        <v>97</v>
      </c>
    </row>
    <row r="91" spans="1:37" x14ac:dyDescent="0.2">
      <c r="A91" s="52" t="s">
        <v>102</v>
      </c>
      <c r="B91" s="130">
        <v>5</v>
      </c>
      <c r="C91" s="52" t="s">
        <v>97</v>
      </c>
    </row>
    <row r="92" spans="1:37" x14ac:dyDescent="0.2">
      <c r="A92" s="384" t="s">
        <v>5</v>
      </c>
      <c r="B92" s="384"/>
      <c r="C92" s="384"/>
    </row>
    <row r="93" spans="1:37" x14ac:dyDescent="0.2">
      <c r="A93" s="83" t="s">
        <v>429</v>
      </c>
      <c r="B93" s="131">
        <v>10</v>
      </c>
      <c r="C93" s="92" t="s">
        <v>407</v>
      </c>
    </row>
    <row r="94" spans="1:37" x14ac:dyDescent="0.2">
      <c r="A94" s="83" t="s">
        <v>430</v>
      </c>
      <c r="B94" s="131">
        <v>20</v>
      </c>
      <c r="C94" s="92" t="s">
        <v>407</v>
      </c>
    </row>
    <row r="95" spans="1:37" x14ac:dyDescent="0.2">
      <c r="A95" s="83" t="s">
        <v>439</v>
      </c>
      <c r="B95" s="130">
        <v>0.05</v>
      </c>
      <c r="C95" s="83" t="s">
        <v>357</v>
      </c>
    </row>
    <row r="96" spans="1:37" x14ac:dyDescent="0.2">
      <c r="A96" s="83" t="s">
        <v>438</v>
      </c>
      <c r="B96" s="130">
        <v>0.05</v>
      </c>
      <c r="C96" s="83" t="s">
        <v>357</v>
      </c>
    </row>
    <row r="97" spans="1:3" x14ac:dyDescent="0.2">
      <c r="A97" s="83" t="s">
        <v>441</v>
      </c>
      <c r="B97" s="131">
        <v>200</v>
      </c>
      <c r="C97" s="84" t="s">
        <v>48</v>
      </c>
    </row>
    <row r="98" spans="1:3" x14ac:dyDescent="0.2">
      <c r="A98" s="83" t="s">
        <v>442</v>
      </c>
      <c r="B98" s="131">
        <v>100</v>
      </c>
      <c r="C98" s="84" t="s">
        <v>48</v>
      </c>
    </row>
    <row r="99" spans="1:3" x14ac:dyDescent="0.2">
      <c r="A99" s="52" t="s">
        <v>159</v>
      </c>
      <c r="B99" s="131">
        <v>1</v>
      </c>
      <c r="C99" s="52" t="s">
        <v>221</v>
      </c>
    </row>
    <row r="100" spans="1:3" x14ac:dyDescent="0.2">
      <c r="A100" s="52" t="s">
        <v>160</v>
      </c>
      <c r="B100" s="131">
        <v>1</v>
      </c>
      <c r="C100" s="52" t="s">
        <v>221</v>
      </c>
    </row>
    <row r="101" spans="1:3" x14ac:dyDescent="0.2">
      <c r="A101" s="83" t="s">
        <v>308</v>
      </c>
      <c r="B101" s="130">
        <v>0.23</v>
      </c>
    </row>
    <row r="102" spans="1:3" x14ac:dyDescent="0.2">
      <c r="A102" s="83" t="s">
        <v>309</v>
      </c>
      <c r="B102" s="130">
        <v>0.77</v>
      </c>
    </row>
    <row r="103" spans="1:3" x14ac:dyDescent="0.2">
      <c r="A103" s="52" t="s">
        <v>140</v>
      </c>
      <c r="B103" s="131">
        <v>75</v>
      </c>
      <c r="C103" s="52" t="s">
        <v>24</v>
      </c>
    </row>
    <row r="104" spans="1:3" x14ac:dyDescent="0.2">
      <c r="A104" s="52" t="s">
        <v>433</v>
      </c>
      <c r="B104" s="131">
        <v>75</v>
      </c>
      <c r="C104" s="52" t="s">
        <v>24</v>
      </c>
    </row>
    <row r="105" spans="1:3" x14ac:dyDescent="0.2">
      <c r="A105" s="52" t="s">
        <v>434</v>
      </c>
      <c r="B105" s="131">
        <v>75</v>
      </c>
      <c r="C105" s="52" t="s">
        <v>24</v>
      </c>
    </row>
    <row r="106" spans="1:3" x14ac:dyDescent="0.2">
      <c r="A106" s="52" t="s">
        <v>431</v>
      </c>
      <c r="B106" s="130">
        <v>1</v>
      </c>
      <c r="C106" s="52" t="s">
        <v>194</v>
      </c>
    </row>
    <row r="107" spans="1:3" x14ac:dyDescent="0.2">
      <c r="A107" s="52" t="s">
        <v>432</v>
      </c>
      <c r="B107" s="130">
        <v>1</v>
      </c>
      <c r="C107" s="52" t="s">
        <v>194</v>
      </c>
    </row>
    <row r="108" spans="1:3" x14ac:dyDescent="0.2">
      <c r="A108" s="52" t="s">
        <v>90</v>
      </c>
      <c r="B108" s="131">
        <v>1</v>
      </c>
      <c r="C108" s="52" t="s">
        <v>194</v>
      </c>
    </row>
    <row r="109" spans="1:3" x14ac:dyDescent="0.2">
      <c r="A109" s="52" t="s">
        <v>443</v>
      </c>
      <c r="B109" s="131">
        <v>1</v>
      </c>
      <c r="C109" s="52" t="s">
        <v>89</v>
      </c>
    </row>
    <row r="110" spans="1:3" x14ac:dyDescent="0.2">
      <c r="A110" s="52" t="s">
        <v>444</v>
      </c>
      <c r="B110" s="131">
        <v>1</v>
      </c>
      <c r="C110" s="52" t="s">
        <v>89</v>
      </c>
    </row>
    <row r="111" spans="1:3" x14ac:dyDescent="0.2">
      <c r="A111" s="83" t="s">
        <v>301</v>
      </c>
      <c r="B111" s="131">
        <v>1</v>
      </c>
    </row>
    <row r="112" spans="1:3" x14ac:dyDescent="0.2">
      <c r="A112" s="83" t="s">
        <v>433</v>
      </c>
      <c r="B112" s="130">
        <v>45</v>
      </c>
      <c r="C112" s="83" t="s">
        <v>24</v>
      </c>
    </row>
    <row r="113" spans="1:3" x14ac:dyDescent="0.2">
      <c r="A113" s="83" t="s">
        <v>434</v>
      </c>
      <c r="B113" s="130">
        <v>45</v>
      </c>
      <c r="C113" s="83" t="s">
        <v>24</v>
      </c>
    </row>
    <row r="114" spans="1:3" x14ac:dyDescent="0.2">
      <c r="A114" s="83" t="s">
        <v>435</v>
      </c>
      <c r="B114" s="131">
        <v>1</v>
      </c>
      <c r="C114" s="52" t="s">
        <v>80</v>
      </c>
    </row>
    <row r="115" spans="1:3" x14ac:dyDescent="0.2">
      <c r="A115" s="83" t="s">
        <v>436</v>
      </c>
      <c r="B115" s="131">
        <v>1</v>
      </c>
      <c r="C115" s="52" t="s">
        <v>80</v>
      </c>
    </row>
    <row r="116" spans="1:3" x14ac:dyDescent="0.2">
      <c r="A116" s="83" t="s">
        <v>65</v>
      </c>
      <c r="B116" s="130">
        <v>0.5</v>
      </c>
      <c r="C116" s="52" t="s">
        <v>66</v>
      </c>
    </row>
    <row r="117" spans="1:3" x14ac:dyDescent="0.2">
      <c r="A117" s="52" t="s">
        <v>51</v>
      </c>
      <c r="B117" s="131">
        <v>1</v>
      </c>
      <c r="C117" s="52" t="s">
        <v>60</v>
      </c>
    </row>
    <row r="118" spans="1:3" x14ac:dyDescent="0.2">
      <c r="A118" s="52" t="s">
        <v>329</v>
      </c>
      <c r="B118" s="131">
        <v>2.41E-4</v>
      </c>
    </row>
    <row r="119" spans="1:3" x14ac:dyDescent="0.2">
      <c r="A119" s="52" t="s">
        <v>330</v>
      </c>
      <c r="B119" s="131">
        <v>0.753</v>
      </c>
    </row>
    <row r="120" spans="1:3" x14ac:dyDescent="0.2">
      <c r="A120" s="52" t="s">
        <v>331</v>
      </c>
      <c r="B120" s="131">
        <v>1.17E-4</v>
      </c>
    </row>
    <row r="121" spans="1:3" x14ac:dyDescent="0.2">
      <c r="A121" s="52" t="s">
        <v>332</v>
      </c>
      <c r="B121" s="131">
        <v>0.74299999999999999</v>
      </c>
    </row>
    <row r="122" spans="1:3" x14ac:dyDescent="0.2">
      <c r="A122" s="52" t="s">
        <v>333</v>
      </c>
      <c r="B122" s="131">
        <v>1.35E-4</v>
      </c>
    </row>
    <row r="123" spans="1:3" x14ac:dyDescent="0.2">
      <c r="A123" s="52" t="s">
        <v>334</v>
      </c>
      <c r="B123" s="131">
        <v>0.71099999999999997</v>
      </c>
    </row>
    <row r="124" spans="1:3" x14ac:dyDescent="0.2">
      <c r="A124" s="52" t="s">
        <v>335</v>
      </c>
      <c r="B124" s="131">
        <v>2.2599999999999999E-4</v>
      </c>
    </row>
    <row r="125" spans="1:3" x14ac:dyDescent="0.2">
      <c r="A125" s="52" t="s">
        <v>336</v>
      </c>
      <c r="B125" s="131">
        <v>0.66200000000000003</v>
      </c>
    </row>
    <row r="126" spans="1:3" x14ac:dyDescent="0.2">
      <c r="A126" s="52" t="s">
        <v>337</v>
      </c>
      <c r="B126" s="131">
        <v>1.5699999999999999E-5</v>
      </c>
    </row>
    <row r="127" spans="1:3" x14ac:dyDescent="0.2">
      <c r="A127" s="52" t="s">
        <v>338</v>
      </c>
      <c r="B127" s="131">
        <v>0.80900000000000005</v>
      </c>
    </row>
    <row r="128" spans="1:3" x14ac:dyDescent="0.2">
      <c r="A128" s="52" t="s">
        <v>159</v>
      </c>
      <c r="B128" s="130">
        <v>1</v>
      </c>
      <c r="C128" s="52" t="s">
        <v>221</v>
      </c>
    </row>
    <row r="129" spans="1:3" x14ac:dyDescent="0.2">
      <c r="A129" s="84" t="s">
        <v>164</v>
      </c>
      <c r="B129" s="130">
        <v>1</v>
      </c>
      <c r="C129" s="52" t="s">
        <v>246</v>
      </c>
    </row>
    <row r="130" spans="1:3" x14ac:dyDescent="0.2">
      <c r="A130" s="84" t="s">
        <v>161</v>
      </c>
      <c r="B130" s="130">
        <v>1</v>
      </c>
      <c r="C130" s="52" t="s">
        <v>246</v>
      </c>
    </row>
    <row r="131" spans="1:3" x14ac:dyDescent="0.2">
      <c r="A131" s="84" t="s">
        <v>162</v>
      </c>
      <c r="B131" s="130">
        <v>1</v>
      </c>
      <c r="C131" s="52" t="s">
        <v>41</v>
      </c>
    </row>
    <row r="132" spans="1:3" x14ac:dyDescent="0.2">
      <c r="A132" s="84" t="s">
        <v>163</v>
      </c>
      <c r="B132" s="130">
        <v>1</v>
      </c>
      <c r="C132" s="52" t="s">
        <v>41</v>
      </c>
    </row>
    <row r="133" spans="1:3" x14ac:dyDescent="0.2">
      <c r="A133" s="84" t="s">
        <v>169</v>
      </c>
      <c r="B133" s="130">
        <v>1</v>
      </c>
      <c r="C133" s="52" t="s">
        <v>28</v>
      </c>
    </row>
    <row r="134" spans="1:3" x14ac:dyDescent="0.2">
      <c r="A134" s="52" t="s">
        <v>160</v>
      </c>
      <c r="B134" s="130">
        <v>1</v>
      </c>
      <c r="C134" s="52" t="s">
        <v>221</v>
      </c>
    </row>
    <row r="135" spans="1:3" x14ac:dyDescent="0.2">
      <c r="A135" s="52" t="s">
        <v>165</v>
      </c>
      <c r="B135" s="130">
        <v>1</v>
      </c>
      <c r="C135" s="52" t="s">
        <v>246</v>
      </c>
    </row>
    <row r="136" spans="1:3" x14ac:dyDescent="0.2">
      <c r="A136" s="52" t="s">
        <v>166</v>
      </c>
      <c r="B136" s="130">
        <v>1</v>
      </c>
      <c r="C136" s="52" t="s">
        <v>246</v>
      </c>
    </row>
    <row r="137" spans="1:3" x14ac:dyDescent="0.2">
      <c r="A137" s="93" t="s">
        <v>167</v>
      </c>
      <c r="B137" s="130">
        <v>1</v>
      </c>
      <c r="C137" s="52" t="s">
        <v>41</v>
      </c>
    </row>
    <row r="138" spans="1:3" x14ac:dyDescent="0.2">
      <c r="A138" s="83" t="s">
        <v>168</v>
      </c>
      <c r="B138" s="130">
        <v>1</v>
      </c>
      <c r="C138" s="52" t="s">
        <v>41</v>
      </c>
    </row>
    <row r="139" spans="1:3" x14ac:dyDescent="0.2">
      <c r="A139" s="84" t="s">
        <v>170</v>
      </c>
      <c r="B139" s="130">
        <v>1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200</v>
      </c>
      <c r="C141" s="84" t="s">
        <v>48</v>
      </c>
    </row>
    <row r="142" spans="1:3" x14ac:dyDescent="0.2">
      <c r="A142" s="83" t="s">
        <v>458</v>
      </c>
      <c r="B142" s="130">
        <v>100</v>
      </c>
      <c r="C142" s="84" t="s">
        <v>48</v>
      </c>
    </row>
    <row r="143" spans="1:3" x14ac:dyDescent="0.2">
      <c r="A143" s="83" t="s">
        <v>450</v>
      </c>
      <c r="B143" s="130">
        <v>10</v>
      </c>
      <c r="C143" s="92" t="s">
        <v>407</v>
      </c>
    </row>
    <row r="144" spans="1:3" x14ac:dyDescent="0.2">
      <c r="A144" s="83" t="s">
        <v>459</v>
      </c>
      <c r="B144" s="130">
        <v>20</v>
      </c>
      <c r="C144" s="92" t="s">
        <v>407</v>
      </c>
    </row>
    <row r="145" spans="1:3" x14ac:dyDescent="0.2">
      <c r="A145" s="92" t="s">
        <v>451</v>
      </c>
      <c r="B145" s="131">
        <v>0.78</v>
      </c>
      <c r="C145" s="83" t="s">
        <v>28</v>
      </c>
    </row>
    <row r="146" spans="1:3" x14ac:dyDescent="0.2">
      <c r="A146" s="92" t="s">
        <v>460</v>
      </c>
      <c r="B146" s="131">
        <v>2.5</v>
      </c>
      <c r="C146" s="83" t="s">
        <v>28</v>
      </c>
    </row>
    <row r="147" spans="1:3" ht="15" x14ac:dyDescent="0.2">
      <c r="A147" s="92" t="s">
        <v>450</v>
      </c>
      <c r="B147" s="131">
        <v>10</v>
      </c>
      <c r="C147" s="83" t="s">
        <v>143</v>
      </c>
    </row>
    <row r="148" spans="1:3" ht="15" x14ac:dyDescent="0.2">
      <c r="A148" s="92" t="s">
        <v>459</v>
      </c>
      <c r="B148" s="131">
        <v>20</v>
      </c>
      <c r="C148" s="83" t="s">
        <v>143</v>
      </c>
    </row>
    <row r="149" spans="1:3" x14ac:dyDescent="0.2">
      <c r="A149" s="83" t="s">
        <v>467</v>
      </c>
      <c r="B149" s="130">
        <v>68.099999999999994</v>
      </c>
      <c r="C149" s="92" t="s">
        <v>221</v>
      </c>
    </row>
    <row r="150" spans="1:3" x14ac:dyDescent="0.2">
      <c r="A150" s="83" t="s">
        <v>468</v>
      </c>
      <c r="B150" s="130">
        <v>176.8</v>
      </c>
      <c r="C150" s="92" t="s">
        <v>221</v>
      </c>
    </row>
    <row r="151" spans="1:3" x14ac:dyDescent="0.2">
      <c r="A151" s="83" t="s">
        <v>469</v>
      </c>
      <c r="B151" s="130">
        <v>41.7</v>
      </c>
      <c r="C151" s="92" t="s">
        <v>221</v>
      </c>
    </row>
    <row r="152" spans="1:3" x14ac:dyDescent="0.2">
      <c r="A152" s="83" t="s">
        <v>470</v>
      </c>
      <c r="B152" s="130">
        <v>125.7</v>
      </c>
      <c r="C152" s="92" t="s">
        <v>221</v>
      </c>
    </row>
    <row r="153" spans="1:3" x14ac:dyDescent="0.2">
      <c r="A153" s="83" t="s">
        <v>452</v>
      </c>
      <c r="B153" s="130">
        <v>349.5</v>
      </c>
      <c r="C153" s="92" t="s">
        <v>221</v>
      </c>
    </row>
    <row r="154" spans="1:3" x14ac:dyDescent="0.2">
      <c r="A154" s="83" t="s">
        <v>461</v>
      </c>
      <c r="B154" s="130">
        <v>445.6</v>
      </c>
      <c r="C154" s="92" t="s">
        <v>221</v>
      </c>
    </row>
    <row r="155" spans="1:3" x14ac:dyDescent="0.2">
      <c r="A155" s="83" t="s">
        <v>453</v>
      </c>
      <c r="B155" s="132">
        <v>40.1</v>
      </c>
      <c r="C155" s="92" t="s">
        <v>221</v>
      </c>
    </row>
    <row r="156" spans="1:3" x14ac:dyDescent="0.2">
      <c r="A156" s="83" t="s">
        <v>462</v>
      </c>
      <c r="B156" s="132">
        <v>178</v>
      </c>
      <c r="C156" s="92" t="s">
        <v>221</v>
      </c>
    </row>
    <row r="157" spans="1:3" x14ac:dyDescent="0.2">
      <c r="A157" s="83" t="s">
        <v>454</v>
      </c>
      <c r="B157" s="133">
        <v>10.95</v>
      </c>
      <c r="C157" s="92" t="s">
        <v>221</v>
      </c>
    </row>
    <row r="158" spans="1:3" x14ac:dyDescent="0.2">
      <c r="A158" s="83" t="s">
        <v>463</v>
      </c>
      <c r="B158" s="132">
        <v>53.4</v>
      </c>
      <c r="C158" s="92" t="s">
        <v>221</v>
      </c>
    </row>
    <row r="159" spans="1:3" x14ac:dyDescent="0.2">
      <c r="A159" s="83" t="s">
        <v>471</v>
      </c>
      <c r="B159" s="130">
        <v>32.799999999999997</v>
      </c>
      <c r="C159" s="92" t="s">
        <v>221</v>
      </c>
    </row>
    <row r="160" spans="1:3" x14ac:dyDescent="0.2">
      <c r="A160" s="83" t="s">
        <v>472</v>
      </c>
      <c r="B160" s="130">
        <v>155.4</v>
      </c>
      <c r="C160" s="92" t="s">
        <v>221</v>
      </c>
    </row>
    <row r="161" spans="1:3" x14ac:dyDescent="0.2">
      <c r="A161" s="83" t="s">
        <v>473</v>
      </c>
      <c r="B161" s="132">
        <v>23.6</v>
      </c>
      <c r="C161" s="92" t="s">
        <v>221</v>
      </c>
    </row>
    <row r="162" spans="1:3" x14ac:dyDescent="0.2">
      <c r="A162" s="83" t="s">
        <v>474</v>
      </c>
      <c r="B162" s="132">
        <v>106.6</v>
      </c>
      <c r="C162" s="92" t="s">
        <v>221</v>
      </c>
    </row>
    <row r="163" spans="1:3" x14ac:dyDescent="0.2">
      <c r="A163" s="83" t="s">
        <v>455</v>
      </c>
      <c r="B163" s="130">
        <v>18.5</v>
      </c>
      <c r="C163" s="92" t="s">
        <v>221</v>
      </c>
    </row>
    <row r="164" spans="1:3" x14ac:dyDescent="0.2">
      <c r="A164" s="83" t="s">
        <v>464</v>
      </c>
      <c r="B164" s="130">
        <v>97.9</v>
      </c>
      <c r="C164" s="92" t="s">
        <v>221</v>
      </c>
    </row>
    <row r="165" spans="1:3" x14ac:dyDescent="0.2">
      <c r="A165" s="83" t="s">
        <v>475</v>
      </c>
      <c r="B165" s="130">
        <v>0.15</v>
      </c>
      <c r="C165" s="88"/>
    </row>
    <row r="166" spans="1:3" x14ac:dyDescent="0.2">
      <c r="A166" s="83" t="s">
        <v>476</v>
      </c>
      <c r="B166" s="130">
        <v>0.85</v>
      </c>
      <c r="C166" s="88"/>
    </row>
    <row r="167" spans="1:3" x14ac:dyDescent="0.2">
      <c r="A167" s="83" t="s">
        <v>456</v>
      </c>
      <c r="B167" s="130">
        <v>350</v>
      </c>
      <c r="C167" s="83" t="s">
        <v>24</v>
      </c>
    </row>
    <row r="168" spans="1:3" x14ac:dyDescent="0.2">
      <c r="A168" s="83" t="s">
        <v>465</v>
      </c>
      <c r="B168" s="130">
        <v>350</v>
      </c>
      <c r="C168" s="83" t="s">
        <v>24</v>
      </c>
    </row>
    <row r="169" spans="1:3" x14ac:dyDescent="0.2">
      <c r="A169" s="52" t="s">
        <v>362</v>
      </c>
      <c r="B169" s="131">
        <v>350</v>
      </c>
      <c r="C169" s="83" t="s">
        <v>24</v>
      </c>
    </row>
    <row r="170" spans="1:3" x14ac:dyDescent="0.2">
      <c r="A170" s="83" t="s">
        <v>363</v>
      </c>
      <c r="B170" s="130">
        <v>1</v>
      </c>
      <c r="C170" s="92" t="s">
        <v>60</v>
      </c>
    </row>
    <row r="171" spans="1:3" x14ac:dyDescent="0.2">
      <c r="A171" s="83" t="s">
        <v>364</v>
      </c>
      <c r="B171" s="130">
        <v>24</v>
      </c>
      <c r="C171" s="94" t="s">
        <v>194</v>
      </c>
    </row>
    <row r="172" spans="1:3" x14ac:dyDescent="0.2">
      <c r="A172" s="83" t="s">
        <v>365</v>
      </c>
      <c r="B172" s="130">
        <v>24</v>
      </c>
      <c r="C172" s="52" t="s">
        <v>194</v>
      </c>
    </row>
    <row r="173" spans="1:3" x14ac:dyDescent="0.2">
      <c r="A173" s="83" t="s">
        <v>361</v>
      </c>
      <c r="B173" s="130">
        <v>1</v>
      </c>
    </row>
    <row r="174" spans="1:3" x14ac:dyDescent="0.2">
      <c r="A174" s="83" t="s">
        <v>83</v>
      </c>
      <c r="B174" s="130">
        <v>12.167999999999999</v>
      </c>
      <c r="C174" s="84" t="s">
        <v>194</v>
      </c>
    </row>
    <row r="175" spans="1:3" x14ac:dyDescent="0.2">
      <c r="A175" s="83" t="s">
        <v>85</v>
      </c>
      <c r="B175" s="130">
        <v>10.007999999999999</v>
      </c>
      <c r="C175" s="84" t="s">
        <v>194</v>
      </c>
    </row>
    <row r="176" spans="1:3" x14ac:dyDescent="0.2">
      <c r="A176" s="83" t="s">
        <v>88</v>
      </c>
      <c r="B176" s="130">
        <v>0.4</v>
      </c>
    </row>
    <row r="177" spans="1:3" x14ac:dyDescent="0.2">
      <c r="A177" s="83" t="s">
        <v>303</v>
      </c>
      <c r="B177" s="130">
        <v>0.4</v>
      </c>
    </row>
    <row r="178" spans="1:3" x14ac:dyDescent="0.2">
      <c r="A178" s="83" t="s">
        <v>302</v>
      </c>
      <c r="B178" s="130">
        <v>1</v>
      </c>
    </row>
    <row r="179" spans="1:3" x14ac:dyDescent="0.2">
      <c r="A179" s="83" t="s">
        <v>54</v>
      </c>
      <c r="B179" s="130">
        <v>1</v>
      </c>
    </row>
    <row r="180" spans="1:3" x14ac:dyDescent="0.2">
      <c r="A180" s="83" t="s">
        <v>301</v>
      </c>
      <c r="B180" s="131">
        <v>1</v>
      </c>
    </row>
    <row r="181" spans="1:3" x14ac:dyDescent="0.2">
      <c r="A181" s="92" t="s">
        <v>457</v>
      </c>
      <c r="B181" s="130">
        <v>1</v>
      </c>
      <c r="C181" s="92" t="s">
        <v>144</v>
      </c>
    </row>
    <row r="182" spans="1:3" x14ac:dyDescent="0.2">
      <c r="A182" s="92" t="s">
        <v>466</v>
      </c>
      <c r="B182" s="130">
        <v>1</v>
      </c>
      <c r="C182" s="92" t="s">
        <v>144</v>
      </c>
    </row>
    <row r="183" spans="1:3" x14ac:dyDescent="0.2">
      <c r="A183" s="52" t="s">
        <v>477</v>
      </c>
      <c r="B183" s="130">
        <v>0.54</v>
      </c>
      <c r="C183" s="92" t="s">
        <v>358</v>
      </c>
    </row>
    <row r="184" spans="1:3" x14ac:dyDescent="0.2">
      <c r="A184" s="52" t="s">
        <v>478</v>
      </c>
      <c r="B184" s="130">
        <v>0.71</v>
      </c>
      <c r="C184" s="92" t="s">
        <v>358</v>
      </c>
    </row>
    <row r="185" spans="1:3" ht="15" x14ac:dyDescent="0.2">
      <c r="A185" s="84" t="s">
        <v>65</v>
      </c>
      <c r="B185" s="130">
        <v>0.5</v>
      </c>
      <c r="C185" s="92" t="s">
        <v>145</v>
      </c>
    </row>
    <row r="186" spans="1:3" x14ac:dyDescent="0.2">
      <c r="A186" s="92" t="s">
        <v>361</v>
      </c>
      <c r="B186" s="130">
        <v>1</v>
      </c>
    </row>
    <row r="187" spans="1:3" x14ac:dyDescent="0.2">
      <c r="A187" s="92" t="s">
        <v>479</v>
      </c>
      <c r="B187" s="130">
        <v>1</v>
      </c>
    </row>
    <row r="188" spans="1:3" x14ac:dyDescent="0.2">
      <c r="A188" s="92" t="s">
        <v>480</v>
      </c>
      <c r="B188" s="130">
        <v>1</v>
      </c>
    </row>
    <row r="189" spans="1:3" x14ac:dyDescent="0.2">
      <c r="A189" s="92" t="s">
        <v>481</v>
      </c>
      <c r="B189" s="130">
        <v>1</v>
      </c>
    </row>
    <row r="190" spans="1:3" x14ac:dyDescent="0.2">
      <c r="A190" s="92" t="s">
        <v>482</v>
      </c>
      <c r="B190" s="130">
        <v>1</v>
      </c>
    </row>
    <row r="191" spans="1:3" x14ac:dyDescent="0.2">
      <c r="A191" s="92" t="s">
        <v>483</v>
      </c>
      <c r="B191" s="130">
        <v>1</v>
      </c>
    </row>
    <row r="192" spans="1:3" x14ac:dyDescent="0.2">
      <c r="A192" s="92" t="s">
        <v>484</v>
      </c>
      <c r="B192" s="131">
        <v>1</v>
      </c>
    </row>
    <row r="193" spans="1:3" x14ac:dyDescent="0.2">
      <c r="A193" s="83" t="s">
        <v>36</v>
      </c>
      <c r="B193" s="131">
        <v>3.62</v>
      </c>
      <c r="C193" s="52" t="s">
        <v>37</v>
      </c>
    </row>
    <row r="194" spans="1:3" x14ac:dyDescent="0.2">
      <c r="A194" s="83" t="s">
        <v>40</v>
      </c>
      <c r="B194" s="131">
        <v>0.25</v>
      </c>
      <c r="C194" s="52" t="s">
        <v>41</v>
      </c>
    </row>
    <row r="195" spans="1:3" x14ac:dyDescent="0.2">
      <c r="A195" s="92" t="s">
        <v>52</v>
      </c>
      <c r="B195" s="131">
        <v>10950</v>
      </c>
      <c r="C195" s="52" t="s">
        <v>53</v>
      </c>
    </row>
    <row r="196" spans="1:3" x14ac:dyDescent="0.2">
      <c r="A196" s="92" t="s">
        <v>55</v>
      </c>
      <c r="B196" s="131">
        <v>240</v>
      </c>
      <c r="C196" s="52" t="s">
        <v>56</v>
      </c>
    </row>
    <row r="197" spans="1:3" x14ac:dyDescent="0.2">
      <c r="A197" s="92" t="s">
        <v>61</v>
      </c>
      <c r="B197" s="131">
        <v>0.42</v>
      </c>
      <c r="C197" s="52" t="s">
        <v>41</v>
      </c>
    </row>
    <row r="198" spans="1:3" x14ac:dyDescent="0.2">
      <c r="A198" s="92" t="s">
        <v>67</v>
      </c>
      <c r="B198" s="131">
        <v>60</v>
      </c>
      <c r="C198" s="83" t="s">
        <v>53</v>
      </c>
    </row>
    <row r="199" spans="1:3" x14ac:dyDescent="0.2">
      <c r="A199" s="92" t="s">
        <v>68</v>
      </c>
      <c r="B199" s="131">
        <v>2</v>
      </c>
      <c r="C199" s="83" t="s">
        <v>56</v>
      </c>
    </row>
    <row r="200" spans="1:3" x14ac:dyDescent="0.2">
      <c r="A200" s="92" t="s">
        <v>70</v>
      </c>
      <c r="B200" s="131">
        <v>2.6999999999999999E-5</v>
      </c>
      <c r="C200" s="52" t="s">
        <v>64</v>
      </c>
    </row>
    <row r="201" spans="1:3" x14ac:dyDescent="0.2">
      <c r="A201" s="92" t="s">
        <v>73</v>
      </c>
      <c r="B201" s="131">
        <v>1</v>
      </c>
      <c r="C201" s="52" t="s">
        <v>41</v>
      </c>
    </row>
    <row r="202" spans="1:3" x14ac:dyDescent="0.2">
      <c r="A202" s="92" t="s">
        <v>74</v>
      </c>
      <c r="B202" s="131">
        <v>14</v>
      </c>
      <c r="C202" s="52" t="s">
        <v>75</v>
      </c>
    </row>
    <row r="203" spans="1:3" x14ac:dyDescent="0.2">
      <c r="A203" s="83" t="s">
        <v>27</v>
      </c>
      <c r="B203" s="131">
        <v>92</v>
      </c>
      <c r="C203" s="83" t="s">
        <v>28</v>
      </c>
    </row>
    <row r="204" spans="1:3" x14ac:dyDescent="0.2">
      <c r="A204" s="52" t="s">
        <v>285</v>
      </c>
      <c r="B204" s="130">
        <v>1.03</v>
      </c>
      <c r="C204" s="52" t="s">
        <v>286</v>
      </c>
    </row>
    <row r="205" spans="1:3" x14ac:dyDescent="0.2">
      <c r="A205" s="83" t="s">
        <v>498</v>
      </c>
      <c r="B205" s="131">
        <v>20.3</v>
      </c>
      <c r="C205" s="52" t="s">
        <v>246</v>
      </c>
    </row>
    <row r="206" spans="1:3" x14ac:dyDescent="0.2">
      <c r="A206" s="83" t="s">
        <v>499</v>
      </c>
      <c r="B206" s="131">
        <v>0.04</v>
      </c>
      <c r="C206" s="52" t="s">
        <v>246</v>
      </c>
    </row>
    <row r="207" spans="1:3" x14ac:dyDescent="0.2">
      <c r="A207" s="83" t="s">
        <v>500</v>
      </c>
      <c r="B207" s="131">
        <v>1</v>
      </c>
    </row>
    <row r="208" spans="1:3" x14ac:dyDescent="0.2">
      <c r="A208" s="83" t="s">
        <v>501</v>
      </c>
      <c r="B208" s="131">
        <v>1</v>
      </c>
    </row>
    <row r="209" spans="1:3" x14ac:dyDescent="0.2">
      <c r="A209" s="83" t="s">
        <v>29</v>
      </c>
      <c r="B209" s="131">
        <v>53</v>
      </c>
      <c r="C209" s="83" t="s">
        <v>28</v>
      </c>
    </row>
    <row r="210" spans="1:3" x14ac:dyDescent="0.2">
      <c r="A210" s="83" t="s">
        <v>494</v>
      </c>
      <c r="B210" s="131">
        <v>11.77</v>
      </c>
      <c r="C210" s="52" t="s">
        <v>246</v>
      </c>
    </row>
    <row r="211" spans="1:3" x14ac:dyDescent="0.2">
      <c r="A211" s="83" t="s">
        <v>495</v>
      </c>
      <c r="B211" s="131">
        <v>0.5</v>
      </c>
      <c r="C211" s="52" t="s">
        <v>246</v>
      </c>
    </row>
    <row r="212" spans="1:3" x14ac:dyDescent="0.2">
      <c r="A212" s="83" t="s">
        <v>496</v>
      </c>
      <c r="B212" s="131">
        <v>1</v>
      </c>
    </row>
    <row r="213" spans="1:3" x14ac:dyDescent="0.2">
      <c r="A213" s="83" t="s">
        <v>497</v>
      </c>
      <c r="B213" s="131">
        <v>1</v>
      </c>
    </row>
    <row r="214" spans="1:3" x14ac:dyDescent="0.2">
      <c r="A214" s="83" t="s">
        <v>148</v>
      </c>
      <c r="B214" s="130">
        <v>0.4</v>
      </c>
      <c r="C214" s="83" t="s">
        <v>28</v>
      </c>
    </row>
    <row r="215" spans="1:3" x14ac:dyDescent="0.2">
      <c r="A215" s="83" t="s">
        <v>152</v>
      </c>
      <c r="B215" s="131">
        <v>0.2</v>
      </c>
      <c r="C215" s="52" t="s">
        <v>246</v>
      </c>
    </row>
    <row r="216" spans="1:3" x14ac:dyDescent="0.2">
      <c r="A216" s="83" t="s">
        <v>151</v>
      </c>
      <c r="B216" s="131">
        <v>2.1999999999999999E-2</v>
      </c>
      <c r="C216" s="52" t="s">
        <v>246</v>
      </c>
    </row>
    <row r="217" spans="1:3" x14ac:dyDescent="0.2">
      <c r="A217" s="83" t="s">
        <v>153</v>
      </c>
      <c r="B217" s="130">
        <v>1</v>
      </c>
    </row>
    <row r="218" spans="1:3" x14ac:dyDescent="0.2">
      <c r="A218" s="83" t="s">
        <v>154</v>
      </c>
      <c r="B218" s="130">
        <v>1</v>
      </c>
    </row>
    <row r="219" spans="1:3" x14ac:dyDescent="0.2">
      <c r="A219" s="83" t="s">
        <v>485</v>
      </c>
      <c r="B219" s="130">
        <v>0.4</v>
      </c>
      <c r="C219" s="83" t="s">
        <v>28</v>
      </c>
    </row>
    <row r="220" spans="1:3" x14ac:dyDescent="0.2">
      <c r="A220" s="83" t="s">
        <v>486</v>
      </c>
      <c r="B220" s="131">
        <v>0.2</v>
      </c>
      <c r="C220" s="52" t="s">
        <v>246</v>
      </c>
    </row>
    <row r="221" spans="1:3" x14ac:dyDescent="0.2">
      <c r="A221" s="83" t="s">
        <v>487</v>
      </c>
      <c r="B221" s="131">
        <v>2.1999999999999999E-2</v>
      </c>
      <c r="C221" s="52" t="s">
        <v>246</v>
      </c>
    </row>
    <row r="222" spans="1:3" x14ac:dyDescent="0.2">
      <c r="A222" s="83" t="s">
        <v>488</v>
      </c>
      <c r="B222" s="131">
        <v>1</v>
      </c>
    </row>
    <row r="223" spans="1:3" x14ac:dyDescent="0.2">
      <c r="A223" s="83" t="s">
        <v>489</v>
      </c>
      <c r="B223" s="131">
        <v>1</v>
      </c>
    </row>
    <row r="224" spans="1:3" x14ac:dyDescent="0.2">
      <c r="A224" s="83" t="s">
        <v>150</v>
      </c>
      <c r="B224" s="131">
        <v>11.4</v>
      </c>
      <c r="C224" s="83" t="s">
        <v>28</v>
      </c>
    </row>
    <row r="225" spans="1:3" x14ac:dyDescent="0.2">
      <c r="A225" s="83" t="s">
        <v>490</v>
      </c>
      <c r="B225" s="131">
        <v>4.7</v>
      </c>
      <c r="C225" s="52" t="s">
        <v>246</v>
      </c>
    </row>
    <row r="226" spans="1:3" x14ac:dyDescent="0.2">
      <c r="A226" s="83" t="s">
        <v>491</v>
      </c>
      <c r="B226" s="131">
        <v>0.37</v>
      </c>
      <c r="C226" s="52" t="s">
        <v>246</v>
      </c>
    </row>
    <row r="227" spans="1:3" x14ac:dyDescent="0.2">
      <c r="A227" s="83" t="s">
        <v>492</v>
      </c>
      <c r="B227" s="131">
        <v>1</v>
      </c>
    </row>
    <row r="228" spans="1:3" x14ac:dyDescent="0.2">
      <c r="A228" s="83" t="s">
        <v>493</v>
      </c>
      <c r="B228" s="131">
        <v>1</v>
      </c>
    </row>
    <row r="229" spans="1:3" x14ac:dyDescent="0.2">
      <c r="A229" s="370" t="s">
        <v>311</v>
      </c>
      <c r="B229" s="370"/>
      <c r="C229" s="370"/>
    </row>
    <row r="230" spans="1:3" x14ac:dyDescent="0.2">
      <c r="A230" s="52" t="s">
        <v>504</v>
      </c>
      <c r="B230" s="130">
        <v>60</v>
      </c>
      <c r="C230" s="84" t="s">
        <v>407</v>
      </c>
    </row>
    <row r="231" spans="1:3" x14ac:dyDescent="0.2">
      <c r="A231" s="83" t="s">
        <v>316</v>
      </c>
      <c r="B231" s="130">
        <v>250</v>
      </c>
      <c r="C231" s="52" t="s">
        <v>24</v>
      </c>
    </row>
    <row r="232" spans="1:3" x14ac:dyDescent="0.2">
      <c r="A232" s="83" t="s">
        <v>422</v>
      </c>
      <c r="B232" s="131">
        <v>1</v>
      </c>
      <c r="C232" s="52" t="s">
        <v>60</v>
      </c>
    </row>
    <row r="233" spans="1:3" x14ac:dyDescent="0.2">
      <c r="A233" s="83" t="s">
        <v>317</v>
      </c>
      <c r="B233" s="130">
        <v>100</v>
      </c>
      <c r="C233" s="84" t="s">
        <v>48</v>
      </c>
    </row>
    <row r="234" spans="1:3" x14ac:dyDescent="0.2">
      <c r="A234" s="52" t="s">
        <v>318</v>
      </c>
      <c r="B234" s="131">
        <v>1</v>
      </c>
    </row>
    <row r="235" spans="1:3" x14ac:dyDescent="0.2">
      <c r="A235" s="83" t="s">
        <v>300</v>
      </c>
      <c r="B235" s="131">
        <v>1</v>
      </c>
    </row>
    <row r="236" spans="1:3" x14ac:dyDescent="0.2">
      <c r="A236" s="83" t="s">
        <v>299</v>
      </c>
      <c r="B236" s="131">
        <v>0.4</v>
      </c>
    </row>
    <row r="237" spans="1:3" x14ac:dyDescent="0.2">
      <c r="A237" s="83" t="s">
        <v>54</v>
      </c>
      <c r="B237" s="131">
        <v>1</v>
      </c>
    </row>
    <row r="238" spans="1:3" x14ac:dyDescent="0.2">
      <c r="A238" s="83" t="s">
        <v>83</v>
      </c>
      <c r="B238" s="130">
        <v>8</v>
      </c>
      <c r="C238" s="52" t="s">
        <v>194</v>
      </c>
    </row>
    <row r="239" spans="1:3" x14ac:dyDescent="0.2">
      <c r="A239" s="83" t="s">
        <v>85</v>
      </c>
      <c r="B239" s="130">
        <v>8</v>
      </c>
      <c r="C239" s="52" t="s">
        <v>194</v>
      </c>
    </row>
    <row r="240" spans="1:3" x14ac:dyDescent="0.2">
      <c r="A240" s="83" t="s">
        <v>88</v>
      </c>
      <c r="B240" s="130">
        <v>0.4</v>
      </c>
    </row>
    <row r="241" spans="1:3" x14ac:dyDescent="0.2">
      <c r="A241" s="370" t="s">
        <v>312</v>
      </c>
      <c r="B241" s="370"/>
      <c r="C241" s="370"/>
    </row>
    <row r="242" spans="1:3" x14ac:dyDescent="0.2">
      <c r="A242" s="52" t="s">
        <v>304</v>
      </c>
      <c r="B242" s="130">
        <v>60</v>
      </c>
      <c r="C242" s="84" t="s">
        <v>407</v>
      </c>
    </row>
    <row r="243" spans="1:3" x14ac:dyDescent="0.2">
      <c r="A243" s="83" t="s">
        <v>35</v>
      </c>
      <c r="B243" s="130">
        <v>250</v>
      </c>
      <c r="C243" s="52" t="s">
        <v>24</v>
      </c>
    </row>
    <row r="244" spans="1:3" x14ac:dyDescent="0.2">
      <c r="A244" s="83" t="s">
        <v>420</v>
      </c>
      <c r="B244" s="131">
        <v>1</v>
      </c>
      <c r="C244" s="52" t="s">
        <v>60</v>
      </c>
    </row>
    <row r="245" spans="1:3" x14ac:dyDescent="0.2">
      <c r="A245" s="83" t="s">
        <v>62</v>
      </c>
      <c r="B245" s="130">
        <v>50</v>
      </c>
      <c r="C245" s="84" t="s">
        <v>48</v>
      </c>
    </row>
    <row r="246" spans="1:3" x14ac:dyDescent="0.2">
      <c r="A246" s="52" t="s">
        <v>318</v>
      </c>
      <c r="B246" s="131">
        <v>1</v>
      </c>
    </row>
    <row r="247" spans="1:3" x14ac:dyDescent="0.2">
      <c r="A247" s="83" t="s">
        <v>300</v>
      </c>
      <c r="B247" s="131">
        <v>1</v>
      </c>
    </row>
    <row r="248" spans="1:3" x14ac:dyDescent="0.2">
      <c r="A248" s="83" t="s">
        <v>299</v>
      </c>
      <c r="B248" s="131">
        <v>0.4</v>
      </c>
    </row>
    <row r="249" spans="1:3" x14ac:dyDescent="0.2">
      <c r="A249" s="83" t="s">
        <v>54</v>
      </c>
      <c r="B249" s="131">
        <v>1</v>
      </c>
    </row>
    <row r="250" spans="1:3" x14ac:dyDescent="0.2">
      <c r="A250" s="83" t="s">
        <v>83</v>
      </c>
      <c r="B250" s="130">
        <v>0</v>
      </c>
      <c r="C250" s="52" t="s">
        <v>194</v>
      </c>
    </row>
    <row r="251" spans="1:3" x14ac:dyDescent="0.2">
      <c r="A251" s="83" t="s">
        <v>85</v>
      </c>
      <c r="B251" s="130">
        <v>8</v>
      </c>
      <c r="C251" s="52" t="s">
        <v>194</v>
      </c>
    </row>
    <row r="252" spans="1:3" x14ac:dyDescent="0.2">
      <c r="A252" s="83" t="s">
        <v>88</v>
      </c>
      <c r="B252" s="130">
        <v>0.4</v>
      </c>
    </row>
    <row r="253" spans="1:3" x14ac:dyDescent="0.2">
      <c r="A253" s="370" t="s">
        <v>313</v>
      </c>
      <c r="B253" s="370"/>
      <c r="C253" s="370"/>
    </row>
    <row r="254" spans="1:3" x14ac:dyDescent="0.2">
      <c r="A254" s="52" t="s">
        <v>50</v>
      </c>
      <c r="B254" s="130">
        <v>60</v>
      </c>
      <c r="C254" s="84" t="s">
        <v>407</v>
      </c>
    </row>
    <row r="255" spans="1:3" x14ac:dyDescent="0.2">
      <c r="A255" s="83" t="s">
        <v>423</v>
      </c>
      <c r="B255" s="130">
        <v>225</v>
      </c>
      <c r="C255" s="52" t="s">
        <v>24</v>
      </c>
    </row>
    <row r="256" spans="1:3" x14ac:dyDescent="0.2">
      <c r="A256" s="83" t="s">
        <v>424</v>
      </c>
      <c r="B256" s="131">
        <v>1</v>
      </c>
      <c r="C256" s="52" t="s">
        <v>60</v>
      </c>
    </row>
    <row r="257" spans="1:3" x14ac:dyDescent="0.2">
      <c r="A257" s="83" t="s">
        <v>503</v>
      </c>
      <c r="B257" s="130">
        <v>100</v>
      </c>
      <c r="C257" s="84" t="s">
        <v>48</v>
      </c>
    </row>
    <row r="258" spans="1:3" x14ac:dyDescent="0.2">
      <c r="A258" s="52" t="s">
        <v>318</v>
      </c>
      <c r="B258" s="131">
        <v>1</v>
      </c>
    </row>
    <row r="259" spans="1:3" x14ac:dyDescent="0.2">
      <c r="A259" s="83" t="s">
        <v>300</v>
      </c>
      <c r="B259" s="131">
        <v>1</v>
      </c>
    </row>
    <row r="260" spans="1:3" x14ac:dyDescent="0.2">
      <c r="A260" s="83" t="s">
        <v>299</v>
      </c>
      <c r="B260" s="131">
        <v>0.4</v>
      </c>
    </row>
    <row r="261" spans="1:3" x14ac:dyDescent="0.2">
      <c r="A261" s="83" t="s">
        <v>54</v>
      </c>
      <c r="B261" s="131">
        <v>1</v>
      </c>
    </row>
    <row r="262" spans="1:3" x14ac:dyDescent="0.2">
      <c r="A262" s="83" t="s">
        <v>83</v>
      </c>
      <c r="B262" s="130">
        <v>8</v>
      </c>
      <c r="C262" s="52" t="s">
        <v>194</v>
      </c>
    </row>
    <row r="263" spans="1:3" x14ac:dyDescent="0.2">
      <c r="A263" s="83" t="s">
        <v>85</v>
      </c>
      <c r="B263" s="130">
        <v>0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370" t="s">
        <v>314</v>
      </c>
      <c r="B265" s="370"/>
      <c r="C265" s="370"/>
    </row>
    <row r="266" spans="1:3" x14ac:dyDescent="0.2">
      <c r="A266" s="52" t="s">
        <v>348</v>
      </c>
      <c r="B266" s="130">
        <v>60</v>
      </c>
      <c r="C266" s="84" t="s">
        <v>407</v>
      </c>
    </row>
    <row r="267" spans="1:3" x14ac:dyDescent="0.2">
      <c r="A267" s="83" t="s">
        <v>191</v>
      </c>
      <c r="B267" s="130">
        <v>250</v>
      </c>
      <c r="C267" s="52" t="s">
        <v>24</v>
      </c>
    </row>
    <row r="268" spans="1:3" x14ac:dyDescent="0.2">
      <c r="A268" s="83" t="s">
        <v>158</v>
      </c>
      <c r="B268" s="131">
        <v>1</v>
      </c>
      <c r="C268" s="52" t="s">
        <v>60</v>
      </c>
    </row>
    <row r="269" spans="1:3" x14ac:dyDescent="0.2">
      <c r="A269" s="83" t="s">
        <v>502</v>
      </c>
      <c r="B269" s="130">
        <v>330</v>
      </c>
      <c r="C269" s="84" t="s">
        <v>48</v>
      </c>
    </row>
    <row r="270" spans="1:3" x14ac:dyDescent="0.2">
      <c r="A270" s="52" t="s">
        <v>318</v>
      </c>
      <c r="B270" s="131">
        <v>1</v>
      </c>
    </row>
    <row r="271" spans="1:3" x14ac:dyDescent="0.2">
      <c r="A271" s="83" t="s">
        <v>300</v>
      </c>
      <c r="B271" s="131">
        <v>1</v>
      </c>
    </row>
    <row r="272" spans="1:3" x14ac:dyDescent="0.2">
      <c r="A272" s="83" t="s">
        <v>299</v>
      </c>
      <c r="B272" s="131">
        <v>0.4</v>
      </c>
    </row>
    <row r="273" spans="1:3" x14ac:dyDescent="0.2">
      <c r="A273" s="83" t="s">
        <v>54</v>
      </c>
      <c r="B273" s="131">
        <v>1</v>
      </c>
    </row>
    <row r="274" spans="1:3" x14ac:dyDescent="0.2">
      <c r="A274" s="83" t="s">
        <v>83</v>
      </c>
      <c r="B274" s="130">
        <v>8</v>
      </c>
      <c r="C274" s="52" t="s">
        <v>194</v>
      </c>
    </row>
    <row r="275" spans="1:3" x14ac:dyDescent="0.2">
      <c r="A275" s="83" t="s">
        <v>85</v>
      </c>
      <c r="B275" s="130">
        <v>8</v>
      </c>
      <c r="C275" s="52" t="s">
        <v>194</v>
      </c>
    </row>
    <row r="276" spans="1:3" x14ac:dyDescent="0.2">
      <c r="A276" s="83" t="s">
        <v>88</v>
      </c>
      <c r="B276" s="130">
        <v>0.4</v>
      </c>
    </row>
    <row r="277" spans="1:3" x14ac:dyDescent="0.2">
      <c r="A277" s="83" t="s">
        <v>219</v>
      </c>
      <c r="B277" s="130">
        <v>5</v>
      </c>
      <c r="C277" s="52" t="s">
        <v>112</v>
      </c>
    </row>
    <row r="278" spans="1:3" x14ac:dyDescent="0.2">
      <c r="A278" s="83" t="s">
        <v>220</v>
      </c>
      <c r="B278" s="130">
        <v>50</v>
      </c>
      <c r="C278" s="52" t="s">
        <v>113</v>
      </c>
    </row>
    <row r="279" spans="1:3" x14ac:dyDescent="0.2">
      <c r="A279" s="52" t="s">
        <v>319</v>
      </c>
      <c r="B279" s="131">
        <v>2.41E-4</v>
      </c>
    </row>
    <row r="280" spans="1:3" x14ac:dyDescent="0.2">
      <c r="A280" s="52" t="s">
        <v>320</v>
      </c>
      <c r="B280" s="131">
        <v>0.753</v>
      </c>
    </row>
    <row r="281" spans="1:3" x14ac:dyDescent="0.2">
      <c r="A281" s="52" t="s">
        <v>321</v>
      </c>
      <c r="B281" s="131">
        <v>1.5699999999999999E-5</v>
      </c>
    </row>
    <row r="282" spans="1:3" x14ac:dyDescent="0.2">
      <c r="A282" s="52" t="s">
        <v>322</v>
      </c>
      <c r="B282" s="131">
        <v>0.80900000000000005</v>
      </c>
    </row>
    <row r="283" spans="1:3" x14ac:dyDescent="0.2">
      <c r="A283" s="52" t="s">
        <v>323</v>
      </c>
      <c r="B283" s="131">
        <v>1.17E-4</v>
      </c>
    </row>
    <row r="284" spans="1:3" x14ac:dyDescent="0.2">
      <c r="A284" s="52" t="s">
        <v>324</v>
      </c>
      <c r="B284" s="131">
        <v>0.74299999999999999</v>
      </c>
    </row>
    <row r="285" spans="1:3" x14ac:dyDescent="0.2">
      <c r="A285" s="52" t="s">
        <v>325</v>
      </c>
      <c r="B285" s="131">
        <v>1.35E-4</v>
      </c>
    </row>
    <row r="286" spans="1:3" x14ac:dyDescent="0.2">
      <c r="A286" s="52" t="s">
        <v>326</v>
      </c>
      <c r="B286" s="131">
        <v>0.71099999999999997</v>
      </c>
    </row>
    <row r="287" spans="1:3" x14ac:dyDescent="0.2">
      <c r="A287" s="52" t="s">
        <v>327</v>
      </c>
      <c r="B287" s="131">
        <v>2.2599999999999999E-4</v>
      </c>
    </row>
    <row r="288" spans="1:3" x14ac:dyDescent="0.2">
      <c r="A288" s="52" t="s">
        <v>328</v>
      </c>
      <c r="B288" s="131">
        <v>0.66200000000000003</v>
      </c>
    </row>
    <row r="289" spans="1:3" x14ac:dyDescent="0.2">
      <c r="A289" s="370" t="s">
        <v>315</v>
      </c>
      <c r="B289" s="370"/>
      <c r="C289" s="370"/>
    </row>
    <row r="290" spans="1:3" x14ac:dyDescent="0.2">
      <c r="A290" s="52" t="s">
        <v>348</v>
      </c>
      <c r="B290" s="130">
        <v>60</v>
      </c>
      <c r="C290" s="84" t="s">
        <v>407</v>
      </c>
    </row>
    <row r="291" spans="1:3" x14ac:dyDescent="0.2">
      <c r="A291" s="83" t="s">
        <v>191</v>
      </c>
      <c r="B291" s="130">
        <v>250</v>
      </c>
      <c r="C291" s="52" t="s">
        <v>24</v>
      </c>
    </row>
    <row r="292" spans="1:3" x14ac:dyDescent="0.2">
      <c r="A292" s="83" t="s">
        <v>158</v>
      </c>
      <c r="B292" s="131">
        <v>1</v>
      </c>
      <c r="C292" s="52" t="s">
        <v>60</v>
      </c>
    </row>
    <row r="293" spans="1:3" x14ac:dyDescent="0.2">
      <c r="A293" s="83" t="s">
        <v>502</v>
      </c>
      <c r="B293" s="130">
        <v>330</v>
      </c>
      <c r="C293" s="84" t="s">
        <v>48</v>
      </c>
    </row>
    <row r="294" spans="1:3" x14ac:dyDescent="0.2">
      <c r="A294" s="83" t="s">
        <v>300</v>
      </c>
      <c r="B294" s="131">
        <v>1</v>
      </c>
    </row>
    <row r="295" spans="1:3" x14ac:dyDescent="0.2">
      <c r="A295" s="83" t="s">
        <v>299</v>
      </c>
      <c r="B295" s="131">
        <v>0.4</v>
      </c>
    </row>
    <row r="296" spans="1:3" x14ac:dyDescent="0.2">
      <c r="A296" s="83" t="s">
        <v>54</v>
      </c>
      <c r="B296" s="131">
        <v>1</v>
      </c>
    </row>
    <row r="297" spans="1:3" x14ac:dyDescent="0.2">
      <c r="A297" s="83" t="s">
        <v>83</v>
      </c>
      <c r="B297" s="130">
        <v>8</v>
      </c>
      <c r="C297" s="52" t="s">
        <v>194</v>
      </c>
    </row>
    <row r="298" spans="1:3" x14ac:dyDescent="0.2">
      <c r="A298" s="83" t="s">
        <v>85</v>
      </c>
      <c r="B298" s="130">
        <v>8</v>
      </c>
      <c r="C298" s="52" t="s">
        <v>194</v>
      </c>
    </row>
    <row r="299" spans="1:3" x14ac:dyDescent="0.2">
      <c r="A299" s="83" t="s">
        <v>88</v>
      </c>
      <c r="B299" s="130">
        <v>0.4</v>
      </c>
    </row>
    <row r="300" spans="1:3" x14ac:dyDescent="0.2">
      <c r="A300" s="83" t="s">
        <v>219</v>
      </c>
      <c r="B300" s="130">
        <v>5</v>
      </c>
      <c r="C300" s="52" t="s">
        <v>112</v>
      </c>
    </row>
    <row r="301" spans="1:3" x14ac:dyDescent="0.2">
      <c r="A301" s="83" t="s">
        <v>220</v>
      </c>
      <c r="B301" s="130">
        <v>50</v>
      </c>
      <c r="C301" s="52" t="s">
        <v>113</v>
      </c>
    </row>
    <row r="302" spans="1:3" x14ac:dyDescent="0.2">
      <c r="A302" s="84" t="s">
        <v>295</v>
      </c>
      <c r="B302" s="234">
        <v>222.01757699999999</v>
      </c>
      <c r="C302" s="84" t="s">
        <v>296</v>
      </c>
    </row>
    <row r="303" spans="1:3" x14ac:dyDescent="0.2">
      <c r="A303" s="84" t="s">
        <v>293</v>
      </c>
      <c r="B303" s="129">
        <v>2.8000000000000001E-15</v>
      </c>
      <c r="C303" s="84"/>
    </row>
    <row r="304" spans="1:3" x14ac:dyDescent="0.2">
      <c r="A304" s="83" t="s">
        <v>293</v>
      </c>
      <c r="B304" s="129">
        <v>2.8000000000000002E-12</v>
      </c>
      <c r="C304" s="84"/>
    </row>
    <row r="308" spans="1:3" x14ac:dyDescent="0.2">
      <c r="A308" s="83"/>
      <c r="B308" s="101"/>
      <c r="C308" s="88"/>
    </row>
    <row r="309" spans="1:3" x14ac:dyDescent="0.2">
      <c r="A309" s="83"/>
      <c r="B309" s="101"/>
      <c r="C309" s="88"/>
    </row>
    <row r="310" spans="1:3" x14ac:dyDescent="0.2">
      <c r="A310" s="83"/>
      <c r="B310" s="101"/>
      <c r="C310" s="88"/>
    </row>
  </sheetData>
  <mergeCells count="346">
    <mergeCell ref="CC35:CG38"/>
    <mergeCell ref="BK40:BO43"/>
    <mergeCell ref="D42:F42"/>
    <mergeCell ref="D43:D44"/>
    <mergeCell ref="E43:E44"/>
    <mergeCell ref="F43:F44"/>
    <mergeCell ref="AE43:AG45"/>
    <mergeCell ref="AR21:AR23"/>
    <mergeCell ref="AS21:AS23"/>
    <mergeCell ref="AT21:AT23"/>
    <mergeCell ref="R21:R23"/>
    <mergeCell ref="AI21:AI23"/>
    <mergeCell ref="AJ21:AJ23"/>
    <mergeCell ref="AK21:AK23"/>
    <mergeCell ref="AL21:AL23"/>
    <mergeCell ref="M21:M23"/>
    <mergeCell ref="N21:N23"/>
    <mergeCell ref="O21:O23"/>
    <mergeCell ref="P21:P23"/>
    <mergeCell ref="Q21:Q23"/>
    <mergeCell ref="HD21:HF21"/>
    <mergeCell ref="V23:X23"/>
    <mergeCell ref="Y23:AA23"/>
    <mergeCell ref="D30:F30"/>
    <mergeCell ref="D31:D32"/>
    <mergeCell ref="E31:E32"/>
    <mergeCell ref="F31:F32"/>
    <mergeCell ref="BK21:BK23"/>
    <mergeCell ref="BL21:BL23"/>
    <mergeCell ref="BM21:BM23"/>
    <mergeCell ref="BN21:BN23"/>
    <mergeCell ref="BO21:BO23"/>
    <mergeCell ref="BC21:BC23"/>
    <mergeCell ref="BD21:BD23"/>
    <mergeCell ref="BE21:BE23"/>
    <mergeCell ref="BF21:BF23"/>
    <mergeCell ref="BJ21:BJ23"/>
    <mergeCell ref="AU21:AU23"/>
    <mergeCell ref="AV21:AV23"/>
    <mergeCell ref="AW21:AW23"/>
    <mergeCell ref="BA21:BA23"/>
    <mergeCell ref="BB21:BB23"/>
    <mergeCell ref="AM21:AM23"/>
    <mergeCell ref="AN21:AN23"/>
    <mergeCell ref="CO20:CO22"/>
    <mergeCell ref="CP20:CP22"/>
    <mergeCell ref="CQ20:CQ22"/>
    <mergeCell ref="CR20:CR22"/>
    <mergeCell ref="CS20:CS22"/>
    <mergeCell ref="AU20:AW20"/>
    <mergeCell ref="BA20:BC20"/>
    <mergeCell ref="BD20:BF20"/>
    <mergeCell ref="BJ20:BL20"/>
    <mergeCell ref="BM20:BO20"/>
    <mergeCell ref="M20:O20"/>
    <mergeCell ref="P20:R20"/>
    <mergeCell ref="AI20:AK20"/>
    <mergeCell ref="AL20:AN20"/>
    <mergeCell ref="AR20:AT20"/>
    <mergeCell ref="HC2:HC4"/>
    <mergeCell ref="CB18:CD18"/>
    <mergeCell ref="CE18:CG18"/>
    <mergeCell ref="CB19:CB21"/>
    <mergeCell ref="CC19:CC21"/>
    <mergeCell ref="CD19:CD21"/>
    <mergeCell ref="CE19:CE21"/>
    <mergeCell ref="CF19:CF21"/>
    <mergeCell ref="CG19:CG21"/>
    <mergeCell ref="CK19:CM19"/>
    <mergeCell ref="CN19:CP19"/>
    <mergeCell ref="CQ19:CS19"/>
    <mergeCell ref="CK20:CK22"/>
    <mergeCell ref="CL20:CL22"/>
    <mergeCell ref="CM20:CM22"/>
    <mergeCell ref="CN20:CN22"/>
    <mergeCell ref="GX2:GX4"/>
    <mergeCell ref="GY2:GY4"/>
    <mergeCell ref="GZ2:GZ4"/>
    <mergeCell ref="HA2:HA4"/>
    <mergeCell ref="HB2:HB4"/>
    <mergeCell ref="GS2:GS4"/>
    <mergeCell ref="GT2:GT4"/>
    <mergeCell ref="GU2:GU4"/>
    <mergeCell ref="GV2:GV4"/>
    <mergeCell ref="GW2:GW4"/>
    <mergeCell ref="GN2:GN4"/>
    <mergeCell ref="GO2:GO4"/>
    <mergeCell ref="GP2:GP4"/>
    <mergeCell ref="GQ2:GQ4"/>
    <mergeCell ref="GR2:GR4"/>
    <mergeCell ref="GI2:GI4"/>
    <mergeCell ref="GJ2:GJ4"/>
    <mergeCell ref="GK2:GK4"/>
    <mergeCell ref="GL2:GL4"/>
    <mergeCell ref="GM2:GM4"/>
    <mergeCell ref="GD2:GD4"/>
    <mergeCell ref="GE2:GE4"/>
    <mergeCell ref="GF2:GF4"/>
    <mergeCell ref="GG2:GG4"/>
    <mergeCell ref="GH2:GH4"/>
    <mergeCell ref="FY2:FY4"/>
    <mergeCell ref="FZ2:FZ4"/>
    <mergeCell ref="GA2:GA4"/>
    <mergeCell ref="GB2:GB4"/>
    <mergeCell ref="GC2:GC4"/>
    <mergeCell ref="FT2:FT4"/>
    <mergeCell ref="FU2:FU4"/>
    <mergeCell ref="FV2:FV4"/>
    <mergeCell ref="FW2:FW4"/>
    <mergeCell ref="FX2:FX4"/>
    <mergeCell ref="FO2:FO4"/>
    <mergeCell ref="FP2:FP4"/>
    <mergeCell ref="FQ2:FQ4"/>
    <mergeCell ref="FR2:FR4"/>
    <mergeCell ref="FS2:FS4"/>
    <mergeCell ref="FJ2:FJ4"/>
    <mergeCell ref="FK2:FK4"/>
    <mergeCell ref="FL2:FL4"/>
    <mergeCell ref="FM2:FM4"/>
    <mergeCell ref="FN2:FN4"/>
    <mergeCell ref="FE2:FE4"/>
    <mergeCell ref="FF2:FF4"/>
    <mergeCell ref="FG2:FG4"/>
    <mergeCell ref="FH2:FH4"/>
    <mergeCell ref="FI2:FI4"/>
    <mergeCell ref="EZ2:EZ4"/>
    <mergeCell ref="FA2:FA4"/>
    <mergeCell ref="FB2:FB4"/>
    <mergeCell ref="FC2:FC4"/>
    <mergeCell ref="FD2:FD4"/>
    <mergeCell ref="EU2:EU4"/>
    <mergeCell ref="EV2:EV4"/>
    <mergeCell ref="EW2:EW4"/>
    <mergeCell ref="EX2:EX4"/>
    <mergeCell ref="EY2:EY4"/>
    <mergeCell ref="EP2:EP4"/>
    <mergeCell ref="EQ2:EQ4"/>
    <mergeCell ref="ER2:ER4"/>
    <mergeCell ref="ES2:ES4"/>
    <mergeCell ref="ET2:ET4"/>
    <mergeCell ref="EK2:EK4"/>
    <mergeCell ref="EL2:EL4"/>
    <mergeCell ref="EM2:EM4"/>
    <mergeCell ref="EN2:EN4"/>
    <mergeCell ref="EO2:EO4"/>
    <mergeCell ref="EF2:EF4"/>
    <mergeCell ref="EG2:EG4"/>
    <mergeCell ref="EH2:EH4"/>
    <mergeCell ref="EI2:EI4"/>
    <mergeCell ref="EJ2:EJ4"/>
    <mergeCell ref="EA2:EA4"/>
    <mergeCell ref="EB2:EB4"/>
    <mergeCell ref="EC2:EC4"/>
    <mergeCell ref="ED2:ED4"/>
    <mergeCell ref="EE2:EE4"/>
    <mergeCell ref="DV2:DV4"/>
    <mergeCell ref="DW2:DW4"/>
    <mergeCell ref="DX2:DX4"/>
    <mergeCell ref="DY2:DY4"/>
    <mergeCell ref="DZ2:DZ4"/>
    <mergeCell ref="DQ2:DQ4"/>
    <mergeCell ref="DR2:DR4"/>
    <mergeCell ref="DS2:DS4"/>
    <mergeCell ref="DT2:DT4"/>
    <mergeCell ref="DU2:DU4"/>
    <mergeCell ref="DL2:DL4"/>
    <mergeCell ref="DM2:DM4"/>
    <mergeCell ref="DN2:DN4"/>
    <mergeCell ref="DO2:DO4"/>
    <mergeCell ref="DP2:DP4"/>
    <mergeCell ref="DG2:DG4"/>
    <mergeCell ref="DH2:DH4"/>
    <mergeCell ref="DI2:DI4"/>
    <mergeCell ref="DJ2:DJ4"/>
    <mergeCell ref="DK2:DK4"/>
    <mergeCell ref="DB2:DB4"/>
    <mergeCell ref="DC2:DC4"/>
    <mergeCell ref="DD2:DD4"/>
    <mergeCell ref="DE2:DE4"/>
    <mergeCell ref="DF2:DF4"/>
    <mergeCell ref="CT2:CT4"/>
    <mergeCell ref="CU2:CU4"/>
    <mergeCell ref="CV2:CV4"/>
    <mergeCell ref="CZ2:CZ4"/>
    <mergeCell ref="DA2:DA4"/>
    <mergeCell ref="CO2:CO4"/>
    <mergeCell ref="CP2:CP4"/>
    <mergeCell ref="CQ2:CQ4"/>
    <mergeCell ref="CR2:CR4"/>
    <mergeCell ref="CS2:CS4"/>
    <mergeCell ref="CJ2:CJ4"/>
    <mergeCell ref="CK2:CK4"/>
    <mergeCell ref="CL2:CL4"/>
    <mergeCell ref="CM2:CM4"/>
    <mergeCell ref="CN2:CN4"/>
    <mergeCell ref="CE2:CE4"/>
    <mergeCell ref="CF2:CF4"/>
    <mergeCell ref="CG2:CG4"/>
    <mergeCell ref="CH2:CH4"/>
    <mergeCell ref="CI2:CI4"/>
    <mergeCell ref="BZ2:BZ4"/>
    <mergeCell ref="CA2:CA4"/>
    <mergeCell ref="CB2:CB4"/>
    <mergeCell ref="CC2:CC4"/>
    <mergeCell ref="CD2:CD4"/>
    <mergeCell ref="BR2:BR4"/>
    <mergeCell ref="BV2:BV4"/>
    <mergeCell ref="BW2:BW4"/>
    <mergeCell ref="BX2:BX4"/>
    <mergeCell ref="BY2:BY4"/>
    <mergeCell ref="BM2:BM4"/>
    <mergeCell ref="BN2:BN4"/>
    <mergeCell ref="BO2:BO4"/>
    <mergeCell ref="BP2:BP4"/>
    <mergeCell ref="BQ2:BQ4"/>
    <mergeCell ref="BH2:BH4"/>
    <mergeCell ref="BI2:BI4"/>
    <mergeCell ref="BJ2:BJ4"/>
    <mergeCell ref="BK2:BK4"/>
    <mergeCell ref="BL2:BL4"/>
    <mergeCell ref="BD2:BD4"/>
    <mergeCell ref="BE2:BE4"/>
    <mergeCell ref="BF2:BF4"/>
    <mergeCell ref="BG2:BG4"/>
    <mergeCell ref="AX2:AX4"/>
    <mergeCell ref="AY2:AY4"/>
    <mergeCell ref="AZ2:AZ4"/>
    <mergeCell ref="BA2:BA4"/>
    <mergeCell ref="BB2:BB4"/>
    <mergeCell ref="AU2:AU4"/>
    <mergeCell ref="AV2:AV4"/>
    <mergeCell ref="AW2:AW4"/>
    <mergeCell ref="AN2:AN4"/>
    <mergeCell ref="AO2:AO4"/>
    <mergeCell ref="AP2:AP4"/>
    <mergeCell ref="AQ2:AQ4"/>
    <mergeCell ref="AR2:AR4"/>
    <mergeCell ref="BC2:BC4"/>
    <mergeCell ref="AL2:AL4"/>
    <mergeCell ref="AM2:AM4"/>
    <mergeCell ref="AD2:AD4"/>
    <mergeCell ref="AE2:AE4"/>
    <mergeCell ref="AF2:AF4"/>
    <mergeCell ref="AG2:AG4"/>
    <mergeCell ref="AH2:AH4"/>
    <mergeCell ref="AS2:AS4"/>
    <mergeCell ref="AT2:AT4"/>
    <mergeCell ref="AC2:AC4"/>
    <mergeCell ref="M2:M4"/>
    <mergeCell ref="N2:N4"/>
    <mergeCell ref="O2:O4"/>
    <mergeCell ref="P2:P4"/>
    <mergeCell ref="Q2:Q4"/>
    <mergeCell ref="AI2:AI4"/>
    <mergeCell ref="AJ2:AJ4"/>
    <mergeCell ref="AK2:AK4"/>
    <mergeCell ref="GR1:GT1"/>
    <mergeCell ref="GU1:GW1"/>
    <mergeCell ref="GX1:GZ1"/>
    <mergeCell ref="HA1:HC1"/>
    <mergeCell ref="HD1:HF1"/>
    <mergeCell ref="GC1:GE1"/>
    <mergeCell ref="GF1:GH1"/>
    <mergeCell ref="GI1:GK1"/>
    <mergeCell ref="GL1:GN1"/>
    <mergeCell ref="GO1:GQ1"/>
    <mergeCell ref="FN1:FP1"/>
    <mergeCell ref="FQ1:FS1"/>
    <mergeCell ref="FT1:FV1"/>
    <mergeCell ref="FW1:FX1"/>
    <mergeCell ref="FZ1:GB1"/>
    <mergeCell ref="EY1:FA1"/>
    <mergeCell ref="FB1:FD1"/>
    <mergeCell ref="FE1:FG1"/>
    <mergeCell ref="FH1:FJ1"/>
    <mergeCell ref="FK1:FM1"/>
    <mergeCell ref="EJ1:EL1"/>
    <mergeCell ref="EM1:EO1"/>
    <mergeCell ref="EP1:ER1"/>
    <mergeCell ref="ES1:EU1"/>
    <mergeCell ref="EV1:EX1"/>
    <mergeCell ref="DU1:DW1"/>
    <mergeCell ref="DX1:DZ1"/>
    <mergeCell ref="EA1:EC1"/>
    <mergeCell ref="ED1:EF1"/>
    <mergeCell ref="EG1:EI1"/>
    <mergeCell ref="DF1:DH1"/>
    <mergeCell ref="DI1:DK1"/>
    <mergeCell ref="DL1:DN1"/>
    <mergeCell ref="DO1:DQ1"/>
    <mergeCell ref="DR1:DT1"/>
    <mergeCell ref="CQ1:CS1"/>
    <mergeCell ref="CT1:CV1"/>
    <mergeCell ref="CW1:CY1"/>
    <mergeCell ref="CZ1:DB1"/>
    <mergeCell ref="DC1:DE1"/>
    <mergeCell ref="CB1:CD1"/>
    <mergeCell ref="CE1:CG1"/>
    <mergeCell ref="CH1:CJ1"/>
    <mergeCell ref="CK1:CM1"/>
    <mergeCell ref="CN1:CP1"/>
    <mergeCell ref="BM1:BO1"/>
    <mergeCell ref="BP1:BR1"/>
    <mergeCell ref="BS1:BU1"/>
    <mergeCell ref="BV1:BX1"/>
    <mergeCell ref="BY1:CA1"/>
    <mergeCell ref="AX1:AZ1"/>
    <mergeCell ref="BA1:BC1"/>
    <mergeCell ref="BD1:BF1"/>
    <mergeCell ref="BG1:BI1"/>
    <mergeCell ref="BJ1:BL1"/>
    <mergeCell ref="AI1:AK1"/>
    <mergeCell ref="AL1:AN1"/>
    <mergeCell ref="AO1:AQ1"/>
    <mergeCell ref="AR1:AT1"/>
    <mergeCell ref="AU1:AW1"/>
    <mergeCell ref="A81:C81"/>
    <mergeCell ref="A92:C92"/>
    <mergeCell ref="A140:C140"/>
    <mergeCell ref="A229:C229"/>
    <mergeCell ref="A241:C241"/>
    <mergeCell ref="A253:C253"/>
    <mergeCell ref="A265:C265"/>
    <mergeCell ref="A289:C289"/>
    <mergeCell ref="A37:C37"/>
    <mergeCell ref="Y1:AA1"/>
    <mergeCell ref="AB1:AB4"/>
    <mergeCell ref="A2:C4"/>
    <mergeCell ref="A1:C1"/>
    <mergeCell ref="D1:F1"/>
    <mergeCell ref="G1:I1"/>
    <mergeCell ref="J1:L1"/>
    <mergeCell ref="M1:O1"/>
    <mergeCell ref="P1:R1"/>
    <mergeCell ref="S1:U1"/>
    <mergeCell ref="V1:X1"/>
    <mergeCell ref="R2:R4"/>
    <mergeCell ref="S2:S4"/>
    <mergeCell ref="T2:T4"/>
    <mergeCell ref="U2:U4"/>
    <mergeCell ref="L2:L4"/>
    <mergeCell ref="G2:G4"/>
    <mergeCell ref="H2:H4"/>
    <mergeCell ref="I2:I4"/>
    <mergeCell ref="J2:J4"/>
    <mergeCell ref="K2:K4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77"/>
  <sheetViews>
    <sheetView zoomScale="80" zoomScaleNormal="80" workbookViewId="0">
      <pane xSplit="3" topLeftCell="D1" activePane="topRight" state="frozen"/>
      <selection pane="topRight" activeCell="K21" sqref="K21"/>
    </sheetView>
  </sheetViews>
  <sheetFormatPr defaultRowHeight="12.75" x14ac:dyDescent="0.2"/>
  <cols>
    <col min="1" max="1" width="15" style="52" bestFit="1" customWidth="1"/>
    <col min="2" max="2" width="9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28515625" style="52" bestFit="1" customWidth="1"/>
    <col min="79" max="79" width="18.85546875" style="52" bestFit="1" customWidth="1"/>
    <col min="80" max="80" width="11" style="52" bestFit="1" customWidth="1"/>
    <col min="81" max="81" width="9.28515625" style="52" bestFit="1" customWidth="1"/>
    <col min="82" max="82" width="20.28515625" style="52" bestFit="1" customWidth="1"/>
    <col min="83" max="83" width="12.42578125" style="52" bestFit="1" customWidth="1"/>
    <col min="84" max="84" width="9.28515625" style="52" bestFit="1" customWidth="1"/>
    <col min="85" max="85" width="20.28515625" style="52" bestFit="1" customWidth="1"/>
    <col min="86" max="86" width="13.5703125" style="52" bestFit="1" customWidth="1"/>
    <col min="87" max="87" width="9.2851562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6.285156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9.28515625" style="52" bestFit="1" customWidth="1"/>
    <col min="142" max="142" width="7" style="52" bestFit="1" customWidth="1"/>
    <col min="143" max="143" width="12" style="52" bestFit="1" customWidth="1"/>
    <col min="144" max="144" width="9.28515625" style="52" bestFit="1" customWidth="1"/>
    <col min="145" max="145" width="7" style="52" bestFit="1" customWidth="1"/>
    <col min="146" max="146" width="12" style="52" bestFit="1" customWidth="1"/>
    <col min="147" max="147" width="9.28515625" style="52" bestFit="1" customWidth="1"/>
    <col min="148" max="148" width="7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7" style="52" bestFit="1" customWidth="1"/>
    <col min="158" max="158" width="12" style="52" bestFit="1" customWidth="1"/>
    <col min="159" max="159" width="9.28515625" style="52" bestFit="1" customWidth="1"/>
    <col min="160" max="160" width="7" style="52" bestFit="1" customWidth="1"/>
    <col min="161" max="161" width="12" style="52" bestFit="1" customWidth="1"/>
    <col min="162" max="162" width="9.28515625" style="52" bestFit="1" customWidth="1"/>
    <col min="163" max="163" width="7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6.285156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9.28515625" style="52" bestFit="1" customWidth="1"/>
    <col min="187" max="187" width="7" style="52" bestFit="1" customWidth="1"/>
    <col min="188" max="188" width="12" style="52" bestFit="1" customWidth="1"/>
    <col min="189" max="189" width="9.28515625" style="52" bestFit="1" customWidth="1"/>
    <col min="190" max="190" width="7" style="52" bestFit="1" customWidth="1"/>
    <col min="191" max="191" width="12" style="52" bestFit="1" customWidth="1"/>
    <col min="192" max="192" width="9.28515625" style="52" bestFit="1" customWidth="1"/>
    <col min="193" max="193" width="7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7" style="52" bestFit="1" customWidth="1"/>
    <col min="203" max="203" width="12" style="52" bestFit="1" customWidth="1"/>
    <col min="204" max="204" width="9.28515625" style="52" bestFit="1" customWidth="1"/>
    <col min="205" max="205" width="7" style="52" bestFit="1" customWidth="1"/>
    <col min="206" max="206" width="12" style="52" bestFit="1" customWidth="1"/>
    <col min="207" max="207" width="9.28515625" style="52" bestFit="1" customWidth="1"/>
    <col min="208" max="208" width="7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13" style="52" bestFit="1" customWidth="1"/>
    <col min="214" max="214" width="21.28515625" style="52" bestFit="1" customWidth="1"/>
    <col min="215" max="16384" width="9.140625" style="52"/>
  </cols>
  <sheetData>
    <row r="1" spans="1:214" ht="21.75" thickTop="1" thickBot="1" x14ac:dyDescent="0.25">
      <c r="A1" s="349" t="s">
        <v>0</v>
      </c>
      <c r="B1" s="350"/>
      <c r="C1" s="351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565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296" t="s">
        <v>557</v>
      </c>
      <c r="AJ1" s="294"/>
      <c r="AK1" s="297"/>
      <c r="AL1" s="293" t="s">
        <v>546</v>
      </c>
      <c r="AM1" s="294"/>
      <c r="AN1" s="297"/>
      <c r="AO1" s="293" t="s">
        <v>547</v>
      </c>
      <c r="AP1" s="294"/>
      <c r="AQ1" s="295"/>
      <c r="AR1" s="296" t="s">
        <v>559</v>
      </c>
      <c r="AS1" s="294"/>
      <c r="AT1" s="297"/>
      <c r="AU1" s="293" t="s">
        <v>548</v>
      </c>
      <c r="AV1" s="294"/>
      <c r="AW1" s="297"/>
      <c r="AX1" s="293" t="s">
        <v>549</v>
      </c>
      <c r="AY1" s="294"/>
      <c r="AZ1" s="295"/>
      <c r="BA1" s="296" t="s">
        <v>561</v>
      </c>
      <c r="BB1" s="294"/>
      <c r="BC1" s="297"/>
      <c r="BD1" s="293" t="s">
        <v>551</v>
      </c>
      <c r="BE1" s="294"/>
      <c r="BF1" s="297"/>
      <c r="BG1" s="293" t="s">
        <v>552</v>
      </c>
      <c r="BH1" s="294"/>
      <c r="BI1" s="295"/>
      <c r="BJ1" s="296" t="s">
        <v>564</v>
      </c>
      <c r="BK1" s="294"/>
      <c r="BL1" s="297"/>
      <c r="BM1" s="293" t="s">
        <v>554</v>
      </c>
      <c r="BN1" s="294"/>
      <c r="BO1" s="297"/>
      <c r="BP1" s="293" t="s">
        <v>555</v>
      </c>
      <c r="BQ1" s="294"/>
      <c r="BR1" s="295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274" t="s">
        <v>569</v>
      </c>
      <c r="CC1" s="270"/>
      <c r="CD1" s="270"/>
      <c r="CE1" s="271" t="s">
        <v>570</v>
      </c>
      <c r="CF1" s="270"/>
      <c r="CG1" s="272"/>
      <c r="CH1" s="270" t="s">
        <v>571</v>
      </c>
      <c r="CI1" s="270"/>
      <c r="CJ1" s="273"/>
      <c r="CK1" s="270" t="s">
        <v>575</v>
      </c>
      <c r="CL1" s="270"/>
      <c r="CM1" s="270"/>
      <c r="CN1" s="271" t="s">
        <v>575</v>
      </c>
      <c r="CO1" s="270"/>
      <c r="CP1" s="272"/>
      <c r="CQ1" s="270" t="s">
        <v>575</v>
      </c>
      <c r="CR1" s="270"/>
      <c r="CS1" s="273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4.25" thickTop="1" thickBot="1" x14ac:dyDescent="0.25">
      <c r="A2" s="681" t="s">
        <v>240</v>
      </c>
      <c r="B2" s="682"/>
      <c r="C2" s="683"/>
      <c r="D2" s="193"/>
      <c r="E2" s="194"/>
      <c r="F2" s="194"/>
      <c r="G2" s="363" t="s">
        <v>531</v>
      </c>
      <c r="H2" s="360">
        <f>1/((1/H10)+(1/H12)+(1/H13))</f>
        <v>4.5038698314037422</v>
      </c>
      <c r="I2" s="625" t="s">
        <v>11</v>
      </c>
      <c r="J2" s="622" t="s">
        <v>531</v>
      </c>
      <c r="K2" s="360">
        <f>1/((1/K14)+(1/K15)+(1/K16)+(1/K17))</f>
        <v>1.0449136881845187</v>
      </c>
      <c r="L2" s="345" t="s">
        <v>10</v>
      </c>
      <c r="M2" s="330" t="s">
        <v>537</v>
      </c>
      <c r="N2" s="333">
        <f>(N5*N6*N7)/((1-EXP(-N7*N6))*N15*N13*(N9/365)*(((N14/24)*N12)+((N16/24)*N11)))</f>
        <v>83.517074907786267</v>
      </c>
      <c r="O2" s="336" t="s">
        <v>10</v>
      </c>
      <c r="P2" s="339" t="s">
        <v>537</v>
      </c>
      <c r="Q2" s="333">
        <f>(Q5*Q6*Q7)/((1-EXP(-Q7*Q6))*Q15*Q13*(Q9/365)*(((Q14/24)*Q12)+((Q16/24)*Q11)))</f>
        <v>171.87757138827848</v>
      </c>
      <c r="R2" s="336" t="s">
        <v>10</v>
      </c>
      <c r="S2" s="339" t="s">
        <v>537</v>
      </c>
      <c r="T2" s="333">
        <f>(T5*T6*T7)/((1-EXP(-T7*T6))*T15*T13*(T9/365)*(((T14/24)*T12)+((T16/24)*T11)))</f>
        <v>94.997803719196384</v>
      </c>
      <c r="U2" s="342" t="s">
        <v>10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189.74143704835768</v>
      </c>
      <c r="AD2" s="315">
        <f>1/((1/AD29)+(1/AD30)+(1/AD31))</f>
        <v>118.17025344218902</v>
      </c>
      <c r="AE2" s="315">
        <f>1/((1/AE29)+(1/AE30)+(1/AE31))</f>
        <v>189.74143704835768</v>
      </c>
      <c r="AF2" s="315">
        <f>1/((1/AF29)+(1/AF30)+(1/AF31))</f>
        <v>1.5941127006503524</v>
      </c>
      <c r="AG2" s="320">
        <f>1/((1/AG29)+(1/AG31)+(1/AG30))</f>
        <v>38.994676412160956</v>
      </c>
      <c r="AH2" s="318" t="s">
        <v>10</v>
      </c>
      <c r="AI2" s="306" t="s">
        <v>537</v>
      </c>
      <c r="AJ2" s="303">
        <f>(AJ5*AJ6*AJ7)/((1-EXP(-AJ7*AJ6))*AJ15*(AJ9/365)*AJ10*(AJ16/24)*AJ11*AJ13)</f>
        <v>501.12660258478093</v>
      </c>
      <c r="AK2" s="290" t="s">
        <v>10</v>
      </c>
      <c r="AL2" s="287" t="s">
        <v>537</v>
      </c>
      <c r="AM2" s="303">
        <f>(AM5*AM6*AM7)/((1-EXP(-AM7*AM6))*AM15*(AM9/365)*AM10*(AM16/24)*AM11*AM13)</f>
        <v>1031.2895599406936</v>
      </c>
      <c r="AN2" s="290" t="s">
        <v>10</v>
      </c>
      <c r="AO2" s="287" t="s">
        <v>537</v>
      </c>
      <c r="AP2" s="303">
        <f>(AP5*AP6*AP7)/((1-EXP(-AP7*AP6))*AP15*(AP9/365)*AP10*(AP16/24)*AP11*AP13)</f>
        <v>570.01258571954691</v>
      </c>
      <c r="AQ2" s="281" t="s">
        <v>10</v>
      </c>
      <c r="AR2" s="306" t="s">
        <v>537</v>
      </c>
      <c r="AS2" s="303">
        <f>(AS5*AS6*AS7)/((1-EXP(-AS7*AS6))*AS15*(AS9/365)*AS10*(AS14/24)*AS12*AS13)</f>
        <v>2079363.4962024104</v>
      </c>
      <c r="AT2" s="290" t="s">
        <v>10</v>
      </c>
      <c r="AU2" s="287" t="s">
        <v>537</v>
      </c>
      <c r="AV2" s="303">
        <f>(AV5*AV6*AV7)/((1-EXP(-AV7*AV6))*AV15*(AV9/365)*AV10*(AV14/24)*AV12*AV13)</f>
        <v>8814440.6832537912</v>
      </c>
      <c r="AW2" s="290" t="s">
        <v>10</v>
      </c>
      <c r="AX2" s="287" t="s">
        <v>537</v>
      </c>
      <c r="AY2" s="303">
        <f>(AY5*AY6*AY7)/((1-EXP(-AY7*AY6))*AY15*(AY9/365)*AY10*(AY14/24)*AY12*AY13)</f>
        <v>2522179.582829854</v>
      </c>
      <c r="AZ2" s="281" t="s">
        <v>10</v>
      </c>
      <c r="BA2" s="306" t="s">
        <v>537</v>
      </c>
      <c r="BB2" s="303">
        <f>(BB5*BB6*BB7)/((1-EXP(-BB7*BB6))*BB15*(BB9/365)*(BB14/24)*BB12*BB13)</f>
        <v>2079363.4962024104</v>
      </c>
      <c r="BC2" s="290" t="s">
        <v>10</v>
      </c>
      <c r="BD2" s="287" t="s">
        <v>537</v>
      </c>
      <c r="BE2" s="303">
        <f>(BE5*BE6*BE7)/((1-EXP(-BE7*BE6))*BE15*(BE9/365)*(BE14/24)*BE12*BE13)</f>
        <v>8814440.6832537912</v>
      </c>
      <c r="BF2" s="290" t="s">
        <v>10</v>
      </c>
      <c r="BG2" s="287" t="s">
        <v>537</v>
      </c>
      <c r="BH2" s="303">
        <f>(BH5*BH6*BH7)/((1-EXP(-BH7*BH6))*BH15*(BH9/365)*(BH14/24)*BH12*BH13)</f>
        <v>2522179.582829854</v>
      </c>
      <c r="BI2" s="281" t="s">
        <v>10</v>
      </c>
      <c r="BJ2" s="306" t="s">
        <v>537</v>
      </c>
      <c r="BK2" s="284">
        <f>(BK5*BK6*BK7)/((1-EXP(-BK7*BK6))*BK16*(BK9/365)*(BK15/24)*BK13*BK14)</f>
        <v>3465605.8270040178</v>
      </c>
      <c r="BL2" s="290" t="s">
        <v>10</v>
      </c>
      <c r="BM2" s="287" t="s">
        <v>537</v>
      </c>
      <c r="BN2" s="284">
        <f>(BN5*BN6*BN7)/((1-EXP(-BN7*BN6))*BN16*(BN9/365)*(BN15/24)*BN13*BN14)</f>
        <v>14690734.47208965</v>
      </c>
      <c r="BO2" s="290" t="s">
        <v>10</v>
      </c>
      <c r="BP2" s="287" t="s">
        <v>537</v>
      </c>
      <c r="BQ2" s="284">
        <f>(BQ5*BQ6*BQ7)/((1-EXP(-BQ7*BQ6))*BQ16*(BQ9/365)*(BQ15/24)*BQ13*BQ14)</f>
        <v>4203632.6380497552</v>
      </c>
      <c r="BR2" s="281" t="s">
        <v>10</v>
      </c>
      <c r="BS2" s="214"/>
      <c r="BT2" s="120"/>
      <c r="BU2" s="215"/>
      <c r="BV2" s="258" t="s">
        <v>531</v>
      </c>
      <c r="BW2" s="261">
        <f>1/((1/BW10)+(1/BW12))</f>
        <v>0.40538283619252408</v>
      </c>
      <c r="BX2" s="278" t="s">
        <v>11</v>
      </c>
      <c r="BY2" s="258" t="s">
        <v>531</v>
      </c>
      <c r="BZ2" s="261">
        <f>1/((1/BZ13)+(1/BZ14)+(1/BZ15))</f>
        <v>332.9439110253565</v>
      </c>
      <c r="CA2" s="264" t="s">
        <v>10</v>
      </c>
      <c r="CB2" s="267" t="s">
        <v>537</v>
      </c>
      <c r="CC2" s="261">
        <f>(CC5*CC6*CC7)/((1-EXP(-CC7*CC6))*CC14*(CC9/365)*CC12*(CC13/24)*CC11)</f>
        <v>4725826.12773275</v>
      </c>
      <c r="CD2" s="278" t="s">
        <v>10</v>
      </c>
      <c r="CE2" s="258" t="s">
        <v>537</v>
      </c>
      <c r="CF2" s="261">
        <f>(CF5*CF6*CF7)/((1-EXP(-CF7*CF6))*CF10*CF14*(CF9/365)*CF12*(CF13/24)*CF11)</f>
        <v>20032819.734667707</v>
      </c>
      <c r="CG2" s="278" t="s">
        <v>10</v>
      </c>
      <c r="CH2" s="258" t="s">
        <v>537</v>
      </c>
      <c r="CI2" s="261">
        <f>(CI5*CI6*CI7)/((1-EXP(-CI7*CI6))*CI10*CI14*(CI9/365)*CI12*(CI13/24)*CI11)</f>
        <v>5732226.3246133039</v>
      </c>
      <c r="CJ2" s="264" t="s">
        <v>10</v>
      </c>
      <c r="CK2" s="267" t="s">
        <v>530</v>
      </c>
      <c r="CL2" s="261">
        <f>CL5/(CL6*CL7*CL8)</f>
        <v>6.8823598235362935</v>
      </c>
      <c r="CM2" s="255" t="s">
        <v>10</v>
      </c>
      <c r="CN2" s="258" t="s">
        <v>7</v>
      </c>
      <c r="CO2" s="261">
        <f>(CL2/(CO5*((CO10*CO12*CO13*(CO6+CO7))+(CO11*CO12))))*CO17</f>
        <v>191.32443019277727</v>
      </c>
      <c r="CP2" s="278" t="s">
        <v>10</v>
      </c>
      <c r="CQ2" s="275" t="s">
        <v>6</v>
      </c>
      <c r="CR2" s="261">
        <f>CL2/(CR5*CR6*(1/CR7))</f>
        <v>573529.98529469105</v>
      </c>
      <c r="CS2" s="264" t="s">
        <v>10</v>
      </c>
      <c r="CT2" s="395" t="s">
        <v>531</v>
      </c>
      <c r="CU2" s="392">
        <f>1/((1/CU14)+(1/CU15)+(1/CU16)+(1/CU17))</f>
        <v>0.26417433870159462</v>
      </c>
      <c r="CV2" s="389" t="s">
        <v>10</v>
      </c>
      <c r="CW2" s="218"/>
      <c r="CX2" s="219"/>
      <c r="CY2" s="219"/>
      <c r="CZ2" s="407" t="s">
        <v>531</v>
      </c>
      <c r="DA2" s="404">
        <f>1/((1/DA13)+(1/DA15)+(1/DA16))</f>
        <v>2.6524049688504392</v>
      </c>
      <c r="DB2" s="401" t="s">
        <v>11</v>
      </c>
      <c r="DC2" s="442" t="s">
        <v>530</v>
      </c>
      <c r="DD2" s="439">
        <f>DD7</f>
        <v>6.8823598235362937E-2</v>
      </c>
      <c r="DE2" s="436" t="s">
        <v>10</v>
      </c>
      <c r="DF2" s="433" t="s">
        <v>530</v>
      </c>
      <c r="DG2" s="424">
        <f>DD7/((1/DG24)*(DG5+DG6+DG7))</f>
        <v>5.4074565463791826</v>
      </c>
      <c r="DH2" s="430" t="s">
        <v>11</v>
      </c>
      <c r="DI2" s="427" t="s">
        <v>530</v>
      </c>
      <c r="DJ2" s="424">
        <f>(DD7/(DJ5+DJ6))*DJ12</f>
        <v>0.26489901956980033</v>
      </c>
      <c r="DK2" s="430" t="s">
        <v>10</v>
      </c>
      <c r="DL2" s="427" t="s">
        <v>581</v>
      </c>
      <c r="DM2" s="424">
        <f>((DD7)/(DM5+DM6))*DJ12</f>
        <v>0.26489901956980033</v>
      </c>
      <c r="DN2" s="430" t="s">
        <v>10</v>
      </c>
      <c r="DO2" s="427" t="s">
        <v>582</v>
      </c>
      <c r="DP2" s="424">
        <f>-(DP5+DP6+DP7)/(DP23+DP24)</f>
        <v>-49.75468846311847</v>
      </c>
      <c r="DQ2" s="421" t="s">
        <v>18</v>
      </c>
      <c r="DR2" s="574" t="s">
        <v>530</v>
      </c>
      <c r="DS2" s="445">
        <f>DS7</f>
        <v>0.13764719647072587</v>
      </c>
      <c r="DT2" s="484" t="s">
        <v>10</v>
      </c>
      <c r="DU2" s="481" t="s">
        <v>530</v>
      </c>
      <c r="DV2" s="463">
        <f>(DS7*DV8)/(DV5*DV6*(1/1000))</f>
        <v>3669166.9866678999</v>
      </c>
      <c r="DW2" s="466" t="s">
        <v>11</v>
      </c>
      <c r="DX2" s="478" t="s">
        <v>530</v>
      </c>
      <c r="DY2" s="463">
        <f>(DS7*DY14)/(DY9*((DY10*DY12*DY13*(DY5+DY6))+(DY11*DY12)))*DY18</f>
        <v>61699.841819247013</v>
      </c>
      <c r="DZ2" s="466" t="s">
        <v>10</v>
      </c>
      <c r="EA2" s="478" t="s">
        <v>581</v>
      </c>
      <c r="EB2" s="463">
        <f>(DS7*DY14)/(EB9*((EB10*EB12*EB13*(EB5+EB6))+(EB11*EB12)))*DY18</f>
        <v>61699.841819247013</v>
      </c>
      <c r="EC2" s="466" t="s">
        <v>10</v>
      </c>
      <c r="ED2" s="478" t="s">
        <v>582</v>
      </c>
      <c r="EE2" s="463">
        <f>-EE15/((EE10*EE12*EE13*(EE5+EE6))+(EE11*EE12))</f>
        <v>-16.802282392818878</v>
      </c>
      <c r="EF2" s="460" t="s">
        <v>18</v>
      </c>
      <c r="EG2" s="475" t="s">
        <v>530</v>
      </c>
      <c r="EH2" s="469">
        <f>EH7</f>
        <v>0.13764719647072587</v>
      </c>
      <c r="EI2" s="457" t="s">
        <v>10</v>
      </c>
      <c r="EJ2" s="472" t="s">
        <v>530</v>
      </c>
      <c r="EK2" s="454">
        <f>EH7/(EK5*EK6)</f>
        <v>5.1942338290839958</v>
      </c>
      <c r="EL2" s="451" t="s">
        <v>11</v>
      </c>
      <c r="EM2" s="448" t="s">
        <v>530</v>
      </c>
      <c r="EN2" s="454">
        <f>(EH7/(EN9*((EN10*EN12*EN13*(EN5+EN6))+(EN11*EN12))))*EN17</f>
        <v>80.027462225261289</v>
      </c>
      <c r="EO2" s="451" t="s">
        <v>10</v>
      </c>
      <c r="EP2" s="448" t="s">
        <v>581</v>
      </c>
      <c r="EQ2" s="454">
        <f>(EH7/(EQ9*((EQ10*EQ12*EQ13*(EQ5+EQ6))+(EQ11*EQ12))))*EN17</f>
        <v>80.027462225261289</v>
      </c>
      <c r="ER2" s="451" t="s">
        <v>10</v>
      </c>
      <c r="ES2" s="448" t="s">
        <v>582</v>
      </c>
      <c r="ET2" s="454">
        <f>-ET15/((ET10*ET12*ET13*(ET5+ET6))+(ET11*ET12))</f>
        <v>-15.39462998242915</v>
      </c>
      <c r="EU2" s="499" t="s">
        <v>18</v>
      </c>
      <c r="EV2" s="496" t="s">
        <v>530</v>
      </c>
      <c r="EW2" s="493">
        <f>EW7</f>
        <v>0.13764719647072587</v>
      </c>
      <c r="EX2" s="490" t="s">
        <v>10</v>
      </c>
      <c r="EY2" s="487" t="s">
        <v>530</v>
      </c>
      <c r="EZ2" s="586">
        <f>EW7/(EZ5*EZ6*(1/EZ7))</f>
        <v>114705.99705893821</v>
      </c>
      <c r="FA2" s="592" t="s">
        <v>11</v>
      </c>
      <c r="FB2" s="589" t="s">
        <v>530</v>
      </c>
      <c r="FC2" s="586">
        <f>(EW7/(FC9*((FC10*FC12*FC13*(FC5+FC6))+(FC11*FC12))))*FC17</f>
        <v>637.72783566358589</v>
      </c>
      <c r="FD2" s="595" t="s">
        <v>10</v>
      </c>
      <c r="FE2" s="589" t="s">
        <v>581</v>
      </c>
      <c r="FF2" s="586">
        <f>(EW7/(FF9*(FF10*FF12*FF13*(FF5*FF6))+(FF11*FF12)))*FC17</f>
        <v>6.2617095385056283</v>
      </c>
      <c r="FG2" s="592" t="s">
        <v>10</v>
      </c>
      <c r="FH2" s="589" t="s">
        <v>582</v>
      </c>
      <c r="FI2" s="586">
        <f>FI15/((FI10*FI12*FI13*(FI5+FI6))+(FI11*FI12))</f>
        <v>5.5552160701290481</v>
      </c>
      <c r="FJ2" s="583" t="s">
        <v>18</v>
      </c>
      <c r="FK2" s="580" t="s">
        <v>530</v>
      </c>
      <c r="FL2" s="577">
        <f>FL7</f>
        <v>0.13764719647072587</v>
      </c>
      <c r="FM2" s="571" t="s">
        <v>10</v>
      </c>
      <c r="FN2" s="568" t="s">
        <v>530</v>
      </c>
      <c r="FO2" s="505">
        <f>FL7/(FO5*(1/FO6))</f>
        <v>0.57352998529469112</v>
      </c>
      <c r="FP2" s="511" t="s">
        <v>11</v>
      </c>
      <c r="FQ2" s="508" t="s">
        <v>530</v>
      </c>
      <c r="FR2" s="505">
        <f>((FL7*FR6)/FR5)*FR10</f>
        <v>2.295960508512755E-3</v>
      </c>
      <c r="FS2" s="511" t="s">
        <v>10</v>
      </c>
      <c r="FT2" s="508" t="s">
        <v>581</v>
      </c>
      <c r="FU2" s="505">
        <f>((FL7*FU6)/FU5)*FR10</f>
        <v>2.295960508512755E-3</v>
      </c>
      <c r="FV2" s="511" t="s">
        <v>10</v>
      </c>
      <c r="FW2" s="508" t="s">
        <v>582</v>
      </c>
      <c r="FX2" s="505">
        <f>-FX5/FX6</f>
        <v>-4.0000000000000001E-3</v>
      </c>
      <c r="FY2" s="502" t="s">
        <v>18</v>
      </c>
      <c r="FZ2" s="556" t="s">
        <v>530</v>
      </c>
      <c r="GA2" s="553">
        <f>GA7</f>
        <v>0.13764719647072587</v>
      </c>
      <c r="GB2" s="550" t="s">
        <v>10</v>
      </c>
      <c r="GC2" s="559" t="s">
        <v>530</v>
      </c>
      <c r="GD2" s="538">
        <f>GA7/(GD5*GD6*(1/GD7))</f>
        <v>57352.998529469107</v>
      </c>
      <c r="GE2" s="544" t="s">
        <v>11</v>
      </c>
      <c r="GF2" s="541" t="s">
        <v>530</v>
      </c>
      <c r="GG2" s="538">
        <f>(GA7/((GG9)*((GG10*GG12*GG13*(GG5+GG6))+(GG11*GG12))))*GG17</f>
        <v>318.86391783179295</v>
      </c>
      <c r="GH2" s="544" t="s">
        <v>10</v>
      </c>
      <c r="GI2" s="541" t="s">
        <v>581</v>
      </c>
      <c r="GJ2" s="538">
        <f>(GA7/((GJ9)*((GJ10*GJ12*GJ13*(GJ5+GJ6))+(GJ11*GJ12))))*GG17</f>
        <v>318.86391783179295</v>
      </c>
      <c r="GK2" s="544" t="s">
        <v>10</v>
      </c>
      <c r="GL2" s="541" t="s">
        <v>582</v>
      </c>
      <c r="GM2" s="538">
        <f>GM15/((GM10*GM12*GM13*(GM5+GM6))+(GM11*GM12))</f>
        <v>5.5552160701290481</v>
      </c>
      <c r="GN2" s="535" t="s">
        <v>18</v>
      </c>
      <c r="GO2" s="532" t="s">
        <v>530</v>
      </c>
      <c r="GP2" s="529">
        <f>GP7</f>
        <v>0.13764719647072587</v>
      </c>
      <c r="GQ2" s="526" t="s">
        <v>10</v>
      </c>
      <c r="GR2" s="523" t="s">
        <v>530</v>
      </c>
      <c r="GS2" s="517">
        <f>GP7/(GS5*GS6*(1/GS7))</f>
        <v>71025.385175813135</v>
      </c>
      <c r="GT2" s="514" t="s">
        <v>11</v>
      </c>
      <c r="GU2" s="520" t="s">
        <v>530</v>
      </c>
      <c r="GV2" s="517">
        <f>(GP7/((GV9)*((GV10*GV12*GV13*(GV5+GV6))+(GV11*GV12))))*GV17</f>
        <v>524.45616455474851</v>
      </c>
      <c r="GW2" s="514" t="s">
        <v>10</v>
      </c>
      <c r="GX2" s="520" t="s">
        <v>581</v>
      </c>
      <c r="GY2" s="517">
        <f>(GP7/((GY9*((GY10*GY12*GY13*(GY5+GY6))+(GY11*GY12)))))*GV17</f>
        <v>524.45616455474851</v>
      </c>
      <c r="GZ2" s="514" t="s">
        <v>10</v>
      </c>
      <c r="HA2" s="520" t="s">
        <v>582</v>
      </c>
      <c r="HB2" s="517">
        <f>GP7/((HB10*HB12*HB13*(HB5+HB6))+(HB11*HB12))</f>
        <v>8.9086074414648136E-2</v>
      </c>
      <c r="HC2" s="547" t="s">
        <v>18</v>
      </c>
      <c r="HD2" s="54"/>
      <c r="HE2" s="55"/>
      <c r="HF2" s="56"/>
    </row>
    <row r="3" spans="1:214" ht="13.5" thickTop="1" x14ac:dyDescent="0.2">
      <c r="A3" s="114" t="s">
        <v>302</v>
      </c>
      <c r="B3" s="228">
        <v>2.41E-4</v>
      </c>
      <c r="C3" s="115"/>
      <c r="D3" s="189" t="s">
        <v>15</v>
      </c>
      <c r="E3" s="134">
        <f>1/((1/E19)+(1/E20))</f>
        <v>1.7093500236283394E-3</v>
      </c>
      <c r="F3" s="58" t="s">
        <v>9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2.0781928523760291E-3</v>
      </c>
      <c r="X3" s="62" t="s">
        <v>9</v>
      </c>
      <c r="Y3" s="202" t="s">
        <v>16</v>
      </c>
      <c r="Z3" s="187">
        <f>1/((1/Z18)+(1/Z19))</f>
        <v>2.0781928523760291E-3</v>
      </c>
      <c r="AA3" s="63" t="s">
        <v>9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307"/>
      <c r="AS3" s="304"/>
      <c r="AT3" s="291"/>
      <c r="AU3" s="288"/>
      <c r="AV3" s="304"/>
      <c r="AW3" s="291"/>
      <c r="AX3" s="288"/>
      <c r="AY3" s="304"/>
      <c r="AZ3" s="282"/>
      <c r="BA3" s="307"/>
      <c r="BB3" s="304"/>
      <c r="BC3" s="291"/>
      <c r="BD3" s="288"/>
      <c r="BE3" s="304"/>
      <c r="BF3" s="291"/>
      <c r="BG3" s="288"/>
      <c r="BH3" s="304"/>
      <c r="BI3" s="282"/>
      <c r="BJ3" s="307"/>
      <c r="BK3" s="285"/>
      <c r="BL3" s="291"/>
      <c r="BM3" s="288"/>
      <c r="BN3" s="285"/>
      <c r="BO3" s="291"/>
      <c r="BP3" s="288"/>
      <c r="BQ3" s="285"/>
      <c r="BR3" s="282"/>
      <c r="BS3" s="212" t="s">
        <v>15</v>
      </c>
      <c r="BT3" s="64">
        <f>1/((1/BT18)+(1/BT19))</f>
        <v>2.23769457638619E-2</v>
      </c>
      <c r="BU3" s="53" t="s">
        <v>9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56"/>
      <c r="CN3" s="259"/>
      <c r="CO3" s="262"/>
      <c r="CP3" s="279"/>
      <c r="CQ3" s="276"/>
      <c r="CR3" s="262"/>
      <c r="CS3" s="265"/>
      <c r="CT3" s="396"/>
      <c r="CU3" s="393"/>
      <c r="CV3" s="390"/>
      <c r="CW3" s="216" t="s">
        <v>15</v>
      </c>
      <c r="CX3" s="65">
        <f>1/((1/CX19)+(1/CX20))</f>
        <v>1.6480006187000679E-3</v>
      </c>
      <c r="CY3" s="66" t="s">
        <v>9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126">
        <f>(HE5*HE14)*(10^-3)*(HE13+(HE10/HE11))*((HE12*HE7)/HE8)</f>
        <v>6.3050544760088617E-2</v>
      </c>
      <c r="HF3" s="220" t="s">
        <v>592</v>
      </c>
    </row>
    <row r="4" spans="1:214" ht="13.5" thickBot="1" x14ac:dyDescent="0.25">
      <c r="A4" s="116" t="s">
        <v>54</v>
      </c>
      <c r="B4" s="229">
        <v>0.753</v>
      </c>
      <c r="C4" s="117"/>
      <c r="D4" s="190" t="s">
        <v>16</v>
      </c>
      <c r="E4" s="135">
        <f>1/((1/E21)+(1/E22))</f>
        <v>1.7107214313561451E-3</v>
      </c>
      <c r="F4" s="68" t="s">
        <v>9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2.0765268594882449E-3</v>
      </c>
      <c r="X4" s="76" t="s">
        <v>9</v>
      </c>
      <c r="Y4" s="203" t="s">
        <v>15</v>
      </c>
      <c r="Z4" s="186">
        <f>1/((1/Z16)+(1/Z17))</f>
        <v>2.0765268594882449E-3</v>
      </c>
      <c r="AA4" s="77" t="s">
        <v>9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308"/>
      <c r="AS4" s="305"/>
      <c r="AT4" s="292"/>
      <c r="AU4" s="289"/>
      <c r="AV4" s="305"/>
      <c r="AW4" s="292"/>
      <c r="AX4" s="289"/>
      <c r="AY4" s="305"/>
      <c r="AZ4" s="283"/>
      <c r="BA4" s="308"/>
      <c r="BB4" s="305"/>
      <c r="BC4" s="292"/>
      <c r="BD4" s="289"/>
      <c r="BE4" s="305"/>
      <c r="BF4" s="292"/>
      <c r="BG4" s="289"/>
      <c r="BH4" s="305"/>
      <c r="BI4" s="283"/>
      <c r="BJ4" s="308"/>
      <c r="BK4" s="286"/>
      <c r="BL4" s="292"/>
      <c r="BM4" s="289"/>
      <c r="BN4" s="286"/>
      <c r="BO4" s="292"/>
      <c r="BP4" s="289"/>
      <c r="BQ4" s="286"/>
      <c r="BR4" s="283"/>
      <c r="BS4" s="213" t="s">
        <v>16</v>
      </c>
      <c r="BT4" s="78">
        <f>1/((1/BT20)+(1/BT21))</f>
        <v>2.2394898737753171E-2</v>
      </c>
      <c r="BU4" s="79" t="s">
        <v>9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57"/>
      <c r="CN4" s="260"/>
      <c r="CO4" s="263"/>
      <c r="CP4" s="280"/>
      <c r="CQ4" s="277"/>
      <c r="CR4" s="263"/>
      <c r="CS4" s="266"/>
      <c r="CT4" s="397"/>
      <c r="CU4" s="394"/>
      <c r="CV4" s="391"/>
      <c r="CW4" s="217" t="s">
        <v>16</v>
      </c>
      <c r="CX4" s="80">
        <f>1/((1/CX21)+(1/CX22))</f>
        <v>1.6493228059365451E-3</v>
      </c>
      <c r="CY4" s="81" t="s">
        <v>9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127">
        <f>(HE6*HE14)*10^-3*(HE13+(HE10/HE11))*((HE12*HE7)/(HE8))</f>
        <v>1.8931429759902297E-2</v>
      </c>
      <c r="HF4" s="221" t="s">
        <v>593</v>
      </c>
    </row>
    <row r="5" spans="1:214" ht="14.25" thickTop="1" thickBot="1" x14ac:dyDescent="0.25">
      <c r="A5" s="681" t="s">
        <v>241</v>
      </c>
      <c r="B5" s="682"/>
      <c r="C5" s="683"/>
      <c r="D5" s="52" t="s">
        <v>267</v>
      </c>
      <c r="E5" s="136">
        <f>B17</f>
        <v>1</v>
      </c>
      <c r="F5" s="52" t="s">
        <v>344</v>
      </c>
      <c r="G5" s="83" t="s">
        <v>267</v>
      </c>
      <c r="H5" s="136">
        <f>B17</f>
        <v>1</v>
      </c>
      <c r="I5" s="52" t="s">
        <v>344</v>
      </c>
      <c r="J5" s="83" t="s">
        <v>267</v>
      </c>
      <c r="K5" s="136">
        <f>B17</f>
        <v>1</v>
      </c>
      <c r="L5" s="52" t="s">
        <v>344</v>
      </c>
      <c r="M5" s="52" t="s">
        <v>267</v>
      </c>
      <c r="N5" s="136">
        <f>B17</f>
        <v>1</v>
      </c>
      <c r="O5" s="52" t="s">
        <v>344</v>
      </c>
      <c r="P5" s="52" t="s">
        <v>267</v>
      </c>
      <c r="Q5" s="136">
        <f>B17</f>
        <v>1</v>
      </c>
      <c r="R5" s="52" t="s">
        <v>344</v>
      </c>
      <c r="S5" s="52" t="s">
        <v>267</v>
      </c>
      <c r="T5" s="136">
        <f>B17</f>
        <v>1</v>
      </c>
      <c r="U5" s="52" t="s">
        <v>344</v>
      </c>
      <c r="V5" s="52" t="s">
        <v>267</v>
      </c>
      <c r="W5" s="136">
        <f>B17</f>
        <v>1</v>
      </c>
      <c r="X5" s="52" t="s">
        <v>344</v>
      </c>
      <c r="Y5" s="52" t="s">
        <v>267</v>
      </c>
      <c r="Z5" s="136">
        <f>B17</f>
        <v>1</v>
      </c>
      <c r="AA5" s="52" t="s">
        <v>344</v>
      </c>
      <c r="AB5" s="83" t="s">
        <v>267</v>
      </c>
      <c r="AC5" s="136">
        <f>B17</f>
        <v>1</v>
      </c>
      <c r="AD5" s="136">
        <f>B17</f>
        <v>1</v>
      </c>
      <c r="AE5" s="136">
        <f>B17</f>
        <v>1</v>
      </c>
      <c r="AF5" s="136">
        <f>B17</f>
        <v>1</v>
      </c>
      <c r="AG5" s="136">
        <f>B17</f>
        <v>1</v>
      </c>
      <c r="AH5" s="52" t="s">
        <v>344</v>
      </c>
      <c r="AI5" s="52" t="s">
        <v>267</v>
      </c>
      <c r="AJ5" s="136">
        <f>B17</f>
        <v>1</v>
      </c>
      <c r="AK5" s="52" t="s">
        <v>344</v>
      </c>
      <c r="AL5" s="52" t="s">
        <v>267</v>
      </c>
      <c r="AM5" s="136">
        <f>B17</f>
        <v>1</v>
      </c>
      <c r="AN5" s="52" t="s">
        <v>344</v>
      </c>
      <c r="AO5" s="52" t="s">
        <v>267</v>
      </c>
      <c r="AP5" s="136">
        <f>B17</f>
        <v>1</v>
      </c>
      <c r="AQ5" s="52" t="s">
        <v>344</v>
      </c>
      <c r="AR5" s="52" t="s">
        <v>267</v>
      </c>
      <c r="AS5" s="136">
        <f>B17</f>
        <v>1</v>
      </c>
      <c r="AT5" s="52" t="s">
        <v>344</v>
      </c>
      <c r="AU5" s="52" t="s">
        <v>267</v>
      </c>
      <c r="AV5" s="136">
        <f>B17</f>
        <v>1</v>
      </c>
      <c r="AW5" s="52" t="s">
        <v>344</v>
      </c>
      <c r="AX5" s="52" t="s">
        <v>267</v>
      </c>
      <c r="AY5" s="136">
        <f>B17</f>
        <v>1</v>
      </c>
      <c r="AZ5" s="52" t="s">
        <v>344</v>
      </c>
      <c r="BA5" s="52" t="s">
        <v>267</v>
      </c>
      <c r="BB5" s="136">
        <f>B17</f>
        <v>1</v>
      </c>
      <c r="BC5" s="52" t="s">
        <v>344</v>
      </c>
      <c r="BD5" s="52" t="s">
        <v>267</v>
      </c>
      <c r="BE5" s="136">
        <f>B17</f>
        <v>1</v>
      </c>
      <c r="BF5" s="52" t="s">
        <v>344</v>
      </c>
      <c r="BG5" s="52" t="s">
        <v>267</v>
      </c>
      <c r="BH5" s="136">
        <f>B17</f>
        <v>1</v>
      </c>
      <c r="BI5" s="52" t="s">
        <v>344</v>
      </c>
      <c r="BJ5" s="52" t="s">
        <v>267</v>
      </c>
      <c r="BK5" s="136">
        <f>B17</f>
        <v>1</v>
      </c>
      <c r="BL5" s="52" t="s">
        <v>344</v>
      </c>
      <c r="BM5" s="52" t="s">
        <v>267</v>
      </c>
      <c r="BN5" s="136">
        <f>B17</f>
        <v>1</v>
      </c>
      <c r="BO5" s="52" t="s">
        <v>344</v>
      </c>
      <c r="BP5" s="52" t="s">
        <v>267</v>
      </c>
      <c r="BQ5" s="136">
        <f>B17</f>
        <v>1</v>
      </c>
      <c r="BR5" s="52" t="s">
        <v>344</v>
      </c>
      <c r="BS5" s="52" t="s">
        <v>267</v>
      </c>
      <c r="BT5" s="136">
        <f>B17</f>
        <v>1</v>
      </c>
      <c r="BU5" s="52" t="s">
        <v>344</v>
      </c>
      <c r="BV5" s="83" t="s">
        <v>267</v>
      </c>
      <c r="BW5" s="136">
        <f>B17</f>
        <v>1</v>
      </c>
      <c r="BX5" s="52" t="s">
        <v>344</v>
      </c>
      <c r="BY5" s="83" t="s">
        <v>267</v>
      </c>
      <c r="BZ5" s="136">
        <f>B17</f>
        <v>1</v>
      </c>
      <c r="CA5" s="52" t="s">
        <v>344</v>
      </c>
      <c r="CB5" s="52" t="s">
        <v>267</v>
      </c>
      <c r="CC5" s="136">
        <f>B17</f>
        <v>1</v>
      </c>
      <c r="CD5" s="52" t="s">
        <v>344</v>
      </c>
      <c r="CE5" s="52" t="s">
        <v>267</v>
      </c>
      <c r="CF5" s="136">
        <f>B17</f>
        <v>1</v>
      </c>
      <c r="CG5" s="52" t="s">
        <v>344</v>
      </c>
      <c r="CH5" s="52" t="s">
        <v>267</v>
      </c>
      <c r="CI5" s="136">
        <f>B17</f>
        <v>1</v>
      </c>
      <c r="CJ5" s="52" t="s">
        <v>344</v>
      </c>
      <c r="CK5" s="52" t="s">
        <v>267</v>
      </c>
      <c r="CL5" s="136">
        <f>B17</f>
        <v>1</v>
      </c>
      <c r="CM5" s="52" t="s">
        <v>344</v>
      </c>
      <c r="CN5" s="83" t="s">
        <v>228</v>
      </c>
      <c r="CO5" s="136">
        <f>B42</f>
        <v>6.0000000000000001E-3</v>
      </c>
      <c r="CP5" s="52" t="s">
        <v>268</v>
      </c>
      <c r="CQ5" s="83" t="s">
        <v>228</v>
      </c>
      <c r="CR5" s="136">
        <f>CO5</f>
        <v>6.0000000000000001E-3</v>
      </c>
      <c r="CS5" s="52" t="s">
        <v>268</v>
      </c>
      <c r="CT5" s="83" t="s">
        <v>267</v>
      </c>
      <c r="CU5" s="136">
        <f>B17</f>
        <v>1</v>
      </c>
      <c r="CV5" s="52" t="s">
        <v>344</v>
      </c>
      <c r="CW5" s="52" t="s">
        <v>267</v>
      </c>
      <c r="CX5" s="136">
        <f>B17</f>
        <v>1</v>
      </c>
      <c r="CY5" s="52" t="s">
        <v>344</v>
      </c>
      <c r="CZ5" s="83" t="s">
        <v>267</v>
      </c>
      <c r="DA5" s="136">
        <f>B17</f>
        <v>1</v>
      </c>
      <c r="DB5" s="52" t="s">
        <v>344</v>
      </c>
      <c r="DC5" s="83" t="s">
        <v>267</v>
      </c>
      <c r="DD5" s="136">
        <f>B17</f>
        <v>1</v>
      </c>
      <c r="DE5" s="52" t="s">
        <v>344</v>
      </c>
      <c r="DF5" s="52" t="s">
        <v>17</v>
      </c>
      <c r="DG5" s="137">
        <f>(DG8*DG9*DG10*((1-EXP(-DG11*DG12))))/(DG13*DG11)</f>
        <v>6.6877504027585484E-4</v>
      </c>
      <c r="DH5" s="52" t="s">
        <v>18</v>
      </c>
      <c r="DI5" s="83" t="s">
        <v>19</v>
      </c>
      <c r="DJ5" s="161">
        <f>DJ7</f>
        <v>1.914E-5</v>
      </c>
      <c r="DK5" s="83"/>
      <c r="DL5" s="83" t="s">
        <v>19</v>
      </c>
      <c r="DM5" s="161">
        <f>DM7</f>
        <v>1.914E-5</v>
      </c>
      <c r="DO5" s="52" t="s">
        <v>17</v>
      </c>
      <c r="DP5" s="137">
        <f>(DP8*DP9*DP10*((1-EXP(-DP11*DP12))))/(DP13*DP11)</f>
        <v>6.8418630199139872E-4</v>
      </c>
      <c r="DQ5" s="52" t="s">
        <v>18</v>
      </c>
      <c r="DR5" s="83" t="s">
        <v>267</v>
      </c>
      <c r="DS5" s="136">
        <f>B17</f>
        <v>1</v>
      </c>
      <c r="DT5" s="52" t="s">
        <v>344</v>
      </c>
      <c r="DU5" s="83" t="s">
        <v>239</v>
      </c>
      <c r="DV5" s="169">
        <f>B36</f>
        <v>4.2E-7</v>
      </c>
      <c r="DW5" s="52" t="s">
        <v>601</v>
      </c>
      <c r="DX5" s="83" t="s">
        <v>20</v>
      </c>
      <c r="DY5" s="161">
        <f>DY7</f>
        <v>2.1999999999999999E-5</v>
      </c>
      <c r="DZ5" s="83"/>
      <c r="EA5" s="83" t="s">
        <v>20</v>
      </c>
      <c r="EB5" s="161">
        <f>EB7</f>
        <v>2.1999999999999999E-5</v>
      </c>
      <c r="EC5" s="84"/>
      <c r="ED5" s="83" t="s">
        <v>20</v>
      </c>
      <c r="EE5" s="161">
        <f>EE7</f>
        <v>2.1999999999999999E-5</v>
      </c>
      <c r="EF5" s="84"/>
      <c r="EG5" s="83" t="s">
        <v>267</v>
      </c>
      <c r="EH5" s="136">
        <f>B17</f>
        <v>1</v>
      </c>
      <c r="EI5" s="52" t="s">
        <v>344</v>
      </c>
      <c r="EJ5" s="83" t="s">
        <v>236</v>
      </c>
      <c r="EK5" s="169">
        <f>B37</f>
        <v>5.0000000000000001E-4</v>
      </c>
      <c r="EL5" s="52" t="s">
        <v>388</v>
      </c>
      <c r="EM5" s="83" t="s">
        <v>20</v>
      </c>
      <c r="EN5" s="161">
        <f>EN7</f>
        <v>2.1999999999999999E-5</v>
      </c>
      <c r="EO5" s="83"/>
      <c r="EP5" s="83" t="s">
        <v>20</v>
      </c>
      <c r="EQ5" s="161">
        <f>EQ7</f>
        <v>2.1999999999999999E-5</v>
      </c>
      <c r="ER5" s="84"/>
      <c r="ES5" s="83" t="s">
        <v>20</v>
      </c>
      <c r="ET5" s="161">
        <f>ET7</f>
        <v>2.1999999999999999E-5</v>
      </c>
      <c r="EU5" s="84"/>
      <c r="EV5" s="83" t="s">
        <v>267</v>
      </c>
      <c r="EW5" s="136">
        <f>B17</f>
        <v>1</v>
      </c>
      <c r="EX5" s="52" t="s">
        <v>344</v>
      </c>
      <c r="EY5" s="83" t="s">
        <v>171</v>
      </c>
      <c r="EZ5" s="169">
        <f>B39</f>
        <v>3.0000000000000001E-3</v>
      </c>
      <c r="FA5" s="52" t="s">
        <v>388</v>
      </c>
      <c r="FB5" s="83" t="s">
        <v>20</v>
      </c>
      <c r="FC5" s="161">
        <f>FC7</f>
        <v>2.1999999999999999E-5</v>
      </c>
      <c r="FD5" s="83"/>
      <c r="FE5" s="83" t="s">
        <v>20</v>
      </c>
      <c r="FF5" s="161">
        <f>FF7</f>
        <v>2.1999999999999999E-5</v>
      </c>
      <c r="FG5" s="83"/>
      <c r="FH5" s="83" t="s">
        <v>20</v>
      </c>
      <c r="FI5" s="161">
        <f>FI7</f>
        <v>2.1999999999999999E-5</v>
      </c>
      <c r="FJ5" s="84"/>
      <c r="FK5" s="83" t="s">
        <v>267</v>
      </c>
      <c r="FL5" s="136">
        <f>B17</f>
        <v>1</v>
      </c>
      <c r="FM5" s="52" t="s">
        <v>344</v>
      </c>
      <c r="FN5" s="83" t="s">
        <v>105</v>
      </c>
      <c r="FO5" s="161">
        <f>B35</f>
        <v>240</v>
      </c>
      <c r="FP5" s="83" t="s">
        <v>18</v>
      </c>
      <c r="FQ5" s="83" t="s">
        <v>105</v>
      </c>
      <c r="FR5" s="161">
        <f>B35</f>
        <v>240</v>
      </c>
      <c r="FS5" s="83" t="s">
        <v>18</v>
      </c>
      <c r="FT5" s="83" t="s">
        <v>105</v>
      </c>
      <c r="FU5" s="161">
        <f>B35</f>
        <v>240</v>
      </c>
      <c r="FV5" s="83" t="s">
        <v>18</v>
      </c>
      <c r="FW5" s="83" t="s">
        <v>156</v>
      </c>
      <c r="FX5" s="161">
        <f>B45</f>
        <v>4</v>
      </c>
      <c r="FY5" s="88" t="s">
        <v>18</v>
      </c>
      <c r="FZ5" s="83" t="s">
        <v>267</v>
      </c>
      <c r="GA5" s="136">
        <f>B17</f>
        <v>1</v>
      </c>
      <c r="GB5" s="52" t="s">
        <v>344</v>
      </c>
      <c r="GC5" s="83" t="s">
        <v>237</v>
      </c>
      <c r="GD5" s="169">
        <f>B38</f>
        <v>6.0000000000000001E-3</v>
      </c>
      <c r="GE5" s="52" t="s">
        <v>388</v>
      </c>
      <c r="GF5" s="83" t="s">
        <v>20</v>
      </c>
      <c r="GG5" s="161">
        <f>GG7</f>
        <v>2.1999999999999999E-5</v>
      </c>
      <c r="GH5" s="83"/>
      <c r="GI5" s="83" t="s">
        <v>20</v>
      </c>
      <c r="GJ5" s="161">
        <f>GJ7</f>
        <v>2.1999999999999999E-5</v>
      </c>
      <c r="GK5" s="83"/>
      <c r="GL5" s="83" t="s">
        <v>20</v>
      </c>
      <c r="GM5" s="161">
        <f>GM7</f>
        <v>2.1999999999999999E-5</v>
      </c>
      <c r="GN5" s="84"/>
      <c r="GO5" s="83" t="s">
        <v>267</v>
      </c>
      <c r="GP5" s="136">
        <f>B17</f>
        <v>1</v>
      </c>
      <c r="GQ5" s="52" t="s">
        <v>344</v>
      </c>
      <c r="GR5" s="83" t="s">
        <v>238</v>
      </c>
      <c r="GS5" s="169">
        <f>B40</f>
        <v>1.7000000000000001E-4</v>
      </c>
      <c r="GT5" s="52" t="s">
        <v>388</v>
      </c>
      <c r="GU5" s="83" t="s">
        <v>20</v>
      </c>
      <c r="GV5" s="161">
        <f>GV7</f>
        <v>2.1999999999999999E-5</v>
      </c>
      <c r="GW5" s="83"/>
      <c r="GX5" s="83" t="s">
        <v>20</v>
      </c>
      <c r="GY5" s="161">
        <f>GY7</f>
        <v>2.1999999999999999E-5</v>
      </c>
      <c r="GZ5" s="83"/>
      <c r="HA5" s="83" t="s">
        <v>20</v>
      </c>
      <c r="HB5" s="161">
        <f>HB7</f>
        <v>2.1999999999999999E-5</v>
      </c>
      <c r="HC5" s="84"/>
      <c r="HD5" s="89" t="s">
        <v>21</v>
      </c>
      <c r="HE5" s="175">
        <f>B46</f>
        <v>15</v>
      </c>
      <c r="HF5" s="83" t="s">
        <v>11</v>
      </c>
    </row>
    <row r="6" spans="1:214" ht="13.5" thickTop="1" x14ac:dyDescent="0.2">
      <c r="A6" s="114" t="s">
        <v>339</v>
      </c>
      <c r="B6" s="228">
        <v>1.17E-4</v>
      </c>
      <c r="C6" s="115"/>
      <c r="D6" s="83" t="s">
        <v>22</v>
      </c>
      <c r="E6" s="137">
        <f>0.693/E7</f>
        <v>1.6041666666666665E-3</v>
      </c>
      <c r="G6" s="83" t="s">
        <v>248</v>
      </c>
      <c r="H6" s="136">
        <f>B19</f>
        <v>8.8060000000000005E-4</v>
      </c>
      <c r="I6" s="83" t="s">
        <v>259</v>
      </c>
      <c r="J6" s="83" t="s">
        <v>249</v>
      </c>
      <c r="K6" s="136">
        <f>B20</f>
        <v>8.8060000000000005E-4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1.6041666666666665E-3</v>
      </c>
      <c r="BV6" s="83" t="s">
        <v>248</v>
      </c>
      <c r="BW6" s="136">
        <f>B19</f>
        <v>8.8060000000000005E-4</v>
      </c>
      <c r="BX6" s="83" t="s">
        <v>259</v>
      </c>
      <c r="BY6" s="83" t="s">
        <v>249</v>
      </c>
      <c r="BZ6" s="136">
        <f>B20</f>
        <v>8.8060000000000005E-4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B29</f>
        <v>8.8060000000000005E-4</v>
      </c>
      <c r="CM6" s="91" t="s">
        <v>10</v>
      </c>
      <c r="CN6" s="84" t="s">
        <v>20</v>
      </c>
      <c r="CO6" s="139">
        <f>CO8</f>
        <v>2.1999999999999999E-5</v>
      </c>
      <c r="CQ6" s="84" t="s">
        <v>169</v>
      </c>
      <c r="CR6" s="162">
        <f>B133</f>
        <v>2</v>
      </c>
      <c r="CS6" s="52" t="s">
        <v>28</v>
      </c>
      <c r="CT6" s="83" t="s">
        <v>249</v>
      </c>
      <c r="CU6" s="136">
        <f>B20</f>
        <v>8.8060000000000005E-4</v>
      </c>
      <c r="CV6" s="83" t="s">
        <v>259</v>
      </c>
      <c r="CW6" s="83" t="s">
        <v>22</v>
      </c>
      <c r="CX6" s="137">
        <f>0.693/CX7</f>
        <v>1.6041666666666665E-3</v>
      </c>
      <c r="CZ6" s="83" t="s">
        <v>248</v>
      </c>
      <c r="DA6" s="136">
        <f>B19</f>
        <v>8.8060000000000005E-4</v>
      </c>
      <c r="DB6" s="83" t="s">
        <v>259</v>
      </c>
      <c r="DC6" s="83" t="s">
        <v>258</v>
      </c>
      <c r="DD6" s="136">
        <f>B29</f>
        <v>8.8060000000000005E-4</v>
      </c>
      <c r="DE6" s="92" t="s">
        <v>259</v>
      </c>
      <c r="DF6" s="52" t="s">
        <v>25</v>
      </c>
      <c r="DG6" s="137">
        <f>(DG8*DG9*DG14*((1-EXP(-DG11*DG12))))/(DG13*DG11)</f>
        <v>9.0847184154504852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B29</f>
        <v>8.8060000000000005E-4</v>
      </c>
      <c r="DT6" s="83" t="s">
        <v>259</v>
      </c>
      <c r="DU6" s="83" t="s">
        <v>27</v>
      </c>
      <c r="DV6" s="142">
        <f>B199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B29</f>
        <v>8.8060000000000005E-4</v>
      </c>
      <c r="EI6" s="83" t="s">
        <v>259</v>
      </c>
      <c r="EJ6" s="83" t="s">
        <v>29</v>
      </c>
      <c r="EK6" s="142">
        <f>B205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B29</f>
        <v>8.8060000000000005E-4</v>
      </c>
      <c r="EX6" s="83" t="s">
        <v>259</v>
      </c>
      <c r="EY6" s="83" t="s">
        <v>148</v>
      </c>
      <c r="EZ6" s="164">
        <f>B210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B29</f>
        <v>8.8060000000000005E-4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B45</f>
        <v>4</v>
      </c>
      <c r="FS6" s="83" t="s">
        <v>18</v>
      </c>
      <c r="FT6" s="83" t="s">
        <v>156</v>
      </c>
      <c r="FU6" s="161">
        <f>B45</f>
        <v>4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B29</f>
        <v>8.8060000000000005E-4</v>
      </c>
      <c r="GB6" s="83" t="s">
        <v>259</v>
      </c>
      <c r="GC6" s="83" t="s">
        <v>485</v>
      </c>
      <c r="GD6" s="164">
        <f>B215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B29</f>
        <v>8.8060000000000005E-4</v>
      </c>
      <c r="GQ6" s="83" t="s">
        <v>259</v>
      </c>
      <c r="GR6" s="83" t="s">
        <v>150</v>
      </c>
      <c r="GS6" s="142">
        <f>B220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4.5038698314037422</v>
      </c>
      <c r="HF6" s="83" t="s">
        <v>11</v>
      </c>
    </row>
    <row r="7" spans="1:214" x14ac:dyDescent="0.2">
      <c r="A7" s="116" t="s">
        <v>242</v>
      </c>
      <c r="B7" s="229">
        <v>0.74299999999999999</v>
      </c>
      <c r="C7" s="117"/>
      <c r="D7" s="91" t="s">
        <v>231</v>
      </c>
      <c r="E7" s="136">
        <f>B30</f>
        <v>432</v>
      </c>
      <c r="F7" s="52" t="s">
        <v>60</v>
      </c>
      <c r="G7" s="83" t="s">
        <v>247</v>
      </c>
      <c r="H7" s="139">
        <f>B18</f>
        <v>0.36297000000000001</v>
      </c>
      <c r="I7" s="84" t="s">
        <v>259</v>
      </c>
      <c r="J7" s="83" t="s">
        <v>247</v>
      </c>
      <c r="K7" s="136">
        <f>B18</f>
        <v>0.36297000000000001</v>
      </c>
      <c r="L7" s="84" t="s">
        <v>259</v>
      </c>
      <c r="M7" s="83" t="s">
        <v>22</v>
      </c>
      <c r="N7" s="137">
        <f>0.693/N8</f>
        <v>1.6041666666666665E-3</v>
      </c>
      <c r="P7" s="83" t="s">
        <v>22</v>
      </c>
      <c r="Q7" s="137">
        <f>0.693/Q8</f>
        <v>1.6041666666666665E-3</v>
      </c>
      <c r="S7" s="83" t="s">
        <v>22</v>
      </c>
      <c r="T7" s="137">
        <f>0.693/T8</f>
        <v>1.6041666666666665E-3</v>
      </c>
      <c r="V7" s="83" t="s">
        <v>22</v>
      </c>
      <c r="W7" s="137">
        <f>0.693/W8</f>
        <v>1.6041666666666665E-3</v>
      </c>
      <c r="Y7" s="83" t="s">
        <v>22</v>
      </c>
      <c r="Z7" s="137">
        <f>0.693/Z8</f>
        <v>1.6041666666666665E-3</v>
      </c>
      <c r="AB7" s="83" t="s">
        <v>425</v>
      </c>
      <c r="AC7" s="150">
        <f>B227</f>
        <v>125</v>
      </c>
      <c r="AD7" s="150">
        <f>B237</f>
        <v>125</v>
      </c>
      <c r="AE7" s="150">
        <f>B247</f>
        <v>125</v>
      </c>
      <c r="AF7" s="150">
        <f>B257</f>
        <v>125</v>
      </c>
      <c r="AG7" s="150">
        <f>B269</f>
        <v>125</v>
      </c>
      <c r="AH7" s="83" t="s">
        <v>24</v>
      </c>
      <c r="AI7" s="83" t="s">
        <v>22</v>
      </c>
      <c r="AJ7" s="137">
        <f>0.693/AJ8</f>
        <v>1.6041666666666665E-3</v>
      </c>
      <c r="AL7" s="83" t="s">
        <v>22</v>
      </c>
      <c r="AM7" s="137">
        <f>0.693/AM8</f>
        <v>1.6041666666666665E-3</v>
      </c>
      <c r="AO7" s="83" t="s">
        <v>22</v>
      </c>
      <c r="AP7" s="137">
        <f>0.693/AP8</f>
        <v>1.6041666666666665E-3</v>
      </c>
      <c r="AR7" s="83" t="s">
        <v>22</v>
      </c>
      <c r="AS7" s="137">
        <f>0.693/AS8</f>
        <v>1.6041666666666665E-3</v>
      </c>
      <c r="AU7" s="83" t="s">
        <v>22</v>
      </c>
      <c r="AV7" s="137">
        <f>0.693/AV8</f>
        <v>1.6041666666666665E-3</v>
      </c>
      <c r="AX7" s="83" t="s">
        <v>22</v>
      </c>
      <c r="AY7" s="137">
        <f>0.693/AY8</f>
        <v>1.6041666666666665E-3</v>
      </c>
      <c r="BA7" s="83" t="s">
        <v>22</v>
      </c>
      <c r="BB7" s="137">
        <f>0.693/BB8</f>
        <v>1.6041666666666665E-3</v>
      </c>
      <c r="BD7" s="83" t="s">
        <v>22</v>
      </c>
      <c r="BE7" s="137">
        <f>0.693/BE8</f>
        <v>1.6041666666666665E-3</v>
      </c>
      <c r="BG7" s="83" t="s">
        <v>22</v>
      </c>
      <c r="BH7" s="137">
        <f>0.693/BH8</f>
        <v>1.6041666666666665E-3</v>
      </c>
      <c r="BJ7" s="83" t="s">
        <v>22</v>
      </c>
      <c r="BK7" s="137">
        <f>0.693/BK8</f>
        <v>1.6041666666666665E-3</v>
      </c>
      <c r="BM7" s="83" t="s">
        <v>22</v>
      </c>
      <c r="BN7" s="137">
        <f>0.693/BN8</f>
        <v>1.6041666666666665E-3</v>
      </c>
      <c r="BP7" s="83" t="s">
        <v>22</v>
      </c>
      <c r="BQ7" s="137">
        <f>0.693/BQ8</f>
        <v>1.6041666666666665E-3</v>
      </c>
      <c r="BS7" s="91" t="s">
        <v>231</v>
      </c>
      <c r="BT7" s="136">
        <f>B30</f>
        <v>432</v>
      </c>
      <c r="BU7" s="52" t="s">
        <v>60</v>
      </c>
      <c r="BV7" s="83" t="s">
        <v>247</v>
      </c>
      <c r="BW7" s="139">
        <f>B18</f>
        <v>0.36297000000000001</v>
      </c>
      <c r="BX7" s="84" t="s">
        <v>259</v>
      </c>
      <c r="BY7" s="83" t="s">
        <v>247</v>
      </c>
      <c r="BZ7" s="139">
        <f>B18</f>
        <v>0.36297000000000001</v>
      </c>
      <c r="CA7" s="84" t="s">
        <v>259</v>
      </c>
      <c r="CB7" s="83" t="s">
        <v>22</v>
      </c>
      <c r="CC7" s="137">
        <f>0.693/CC8</f>
        <v>1.6041666666666665E-3</v>
      </c>
      <c r="CE7" s="83" t="s">
        <v>22</v>
      </c>
      <c r="CF7" s="137">
        <f>0.693/CF8</f>
        <v>1.6041666666666665E-3</v>
      </c>
      <c r="CH7" s="83" t="s">
        <v>22</v>
      </c>
      <c r="CI7" s="137">
        <f>0.693/CI8</f>
        <v>1.6041666666666665E-3</v>
      </c>
      <c r="CK7" s="52" t="s">
        <v>140</v>
      </c>
      <c r="CL7" s="138">
        <f>B113</f>
        <v>55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B18</f>
        <v>0.36297000000000001</v>
      </c>
      <c r="CV7" s="84" t="s">
        <v>259</v>
      </c>
      <c r="CW7" s="91" t="s">
        <v>231</v>
      </c>
      <c r="CX7" s="136">
        <f>B30</f>
        <v>432</v>
      </c>
      <c r="CY7" s="52" t="s">
        <v>60</v>
      </c>
      <c r="CZ7" s="84" t="s">
        <v>247</v>
      </c>
      <c r="DA7" s="139">
        <f>B18</f>
        <v>0.36297000000000001</v>
      </c>
      <c r="DB7" s="84" t="s">
        <v>259</v>
      </c>
      <c r="DC7" s="83" t="s">
        <v>260</v>
      </c>
      <c r="DD7" s="166">
        <f>(DD5)/(DD6*(DD8+DD11)*DD19)</f>
        <v>6.8823598235362937E-2</v>
      </c>
      <c r="DE7" s="92" t="s">
        <v>10</v>
      </c>
      <c r="DF7" s="52" t="s">
        <v>31</v>
      </c>
      <c r="DG7" s="137">
        <f>(DG8*DG9*DG15*DG21*((1-EXP(-DG16*DG17))))/(DG18*DG16)</f>
        <v>3.6421488784670224</v>
      </c>
      <c r="DH7" s="52" t="s">
        <v>18</v>
      </c>
      <c r="DI7" s="83" t="s">
        <v>32</v>
      </c>
      <c r="DJ7" s="136">
        <f>B43</f>
        <v>1.914E-5</v>
      </c>
      <c r="DL7" s="83" t="s">
        <v>32</v>
      </c>
      <c r="DM7" s="136">
        <f>B43</f>
        <v>1.914E-5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DS5/(DS6*DS8*DS15)</f>
        <v>0.13764719647072587</v>
      </c>
      <c r="DT7" s="52" t="s">
        <v>10</v>
      </c>
      <c r="DV7" s="138"/>
      <c r="DX7" s="83" t="s">
        <v>33</v>
      </c>
      <c r="DY7" s="136">
        <f>B44</f>
        <v>2.1999999999999999E-5</v>
      </c>
      <c r="EA7" s="83" t="s">
        <v>33</v>
      </c>
      <c r="EB7" s="136">
        <f>B44</f>
        <v>2.1999999999999999E-5</v>
      </c>
      <c r="EC7" s="84"/>
      <c r="ED7" s="83" t="s">
        <v>33</v>
      </c>
      <c r="EE7" s="136">
        <f>B44</f>
        <v>2.1999999999999999E-5</v>
      </c>
      <c r="EF7" s="84"/>
      <c r="EG7" s="83" t="s">
        <v>260</v>
      </c>
      <c r="EH7" s="168">
        <f>EH5/(EH6*EH8*EH15)</f>
        <v>0.13764719647072587</v>
      </c>
      <c r="EI7" s="52" t="s">
        <v>10</v>
      </c>
      <c r="EM7" s="83" t="s">
        <v>33</v>
      </c>
      <c r="EN7" s="136">
        <f>B44</f>
        <v>2.1999999999999999E-5</v>
      </c>
      <c r="EP7" s="83" t="s">
        <v>33</v>
      </c>
      <c r="EQ7" s="136">
        <f>B44</f>
        <v>2.1999999999999999E-5</v>
      </c>
      <c r="ER7" s="84"/>
      <c r="ES7" s="83" t="s">
        <v>33</v>
      </c>
      <c r="ET7" s="136">
        <f>B44</f>
        <v>2.1999999999999999E-5</v>
      </c>
      <c r="EU7" s="84"/>
      <c r="EV7" s="83" t="s">
        <v>260</v>
      </c>
      <c r="EW7" s="168">
        <f>EW5/(EW6*EW8*EW15)</f>
        <v>0.13764719647072587</v>
      </c>
      <c r="EX7" s="52" t="s">
        <v>10</v>
      </c>
      <c r="EY7" s="83"/>
      <c r="EZ7" s="142">
        <v>1000</v>
      </c>
      <c r="FA7" s="83" t="s">
        <v>132</v>
      </c>
      <c r="FB7" s="83" t="s">
        <v>33</v>
      </c>
      <c r="FC7" s="161">
        <f>B44</f>
        <v>2.1999999999999999E-5</v>
      </c>
      <c r="FD7" s="83"/>
      <c r="FE7" s="83" t="s">
        <v>33</v>
      </c>
      <c r="FF7" s="161">
        <f>B44</f>
        <v>2.1999999999999999E-5</v>
      </c>
      <c r="FG7" s="83"/>
      <c r="FH7" s="83" t="s">
        <v>33</v>
      </c>
      <c r="FI7" s="161">
        <f>B44</f>
        <v>2.1999999999999999E-5</v>
      </c>
      <c r="FJ7" s="84"/>
      <c r="FK7" s="83" t="s">
        <v>260</v>
      </c>
      <c r="FL7" s="168">
        <f>FL5/(FL6*FL8*FL15)</f>
        <v>0.13764719647072587</v>
      </c>
      <c r="FM7" s="52" t="s">
        <v>10</v>
      </c>
      <c r="FN7" s="83"/>
      <c r="FQ7" s="52" t="s">
        <v>350</v>
      </c>
      <c r="FR7" s="164">
        <f>B168</f>
        <v>1</v>
      </c>
      <c r="FT7" s="83"/>
      <c r="FU7" s="83"/>
      <c r="FV7" s="83"/>
      <c r="FZ7" s="83" t="s">
        <v>260</v>
      </c>
      <c r="GA7" s="168">
        <f>GA5/(GA6*GA8*GA15)</f>
        <v>0.13764719647072587</v>
      </c>
      <c r="GB7" s="52" t="s">
        <v>10</v>
      </c>
      <c r="GC7" s="83"/>
      <c r="GD7" s="142">
        <v>1000</v>
      </c>
      <c r="GE7" s="83" t="s">
        <v>132</v>
      </c>
      <c r="GF7" s="83" t="s">
        <v>33</v>
      </c>
      <c r="GG7" s="161">
        <f>B44</f>
        <v>2.1999999999999999E-5</v>
      </c>
      <c r="GH7" s="83"/>
      <c r="GI7" s="83" t="s">
        <v>33</v>
      </c>
      <c r="GJ7" s="161">
        <f>B44</f>
        <v>2.1999999999999999E-5</v>
      </c>
      <c r="GK7" s="83"/>
      <c r="GL7" s="83" t="s">
        <v>33</v>
      </c>
      <c r="GM7" s="161">
        <f>B44</f>
        <v>2.1999999999999999E-5</v>
      </c>
      <c r="GN7" s="84"/>
      <c r="GO7" s="83" t="s">
        <v>260</v>
      </c>
      <c r="GP7" s="168">
        <f>GP5/(GP6*GP8*GP14)</f>
        <v>0.13764719647072587</v>
      </c>
      <c r="GQ7" s="52" t="s">
        <v>10</v>
      </c>
      <c r="GR7" s="88"/>
      <c r="GS7" s="142">
        <v>1000</v>
      </c>
      <c r="GT7" s="83" t="s">
        <v>132</v>
      </c>
      <c r="GU7" s="83" t="s">
        <v>33</v>
      </c>
      <c r="GV7" s="161">
        <f>B44</f>
        <v>2.1999999999999999E-5</v>
      </c>
      <c r="GW7" s="83"/>
      <c r="GX7" s="83" t="s">
        <v>33</v>
      </c>
      <c r="GY7" s="161">
        <f>B44</f>
        <v>2.1999999999999999E-5</v>
      </c>
      <c r="GZ7" s="83"/>
      <c r="HA7" s="83" t="s">
        <v>33</v>
      </c>
      <c r="HB7" s="161">
        <f>B44</f>
        <v>2.1999999999999999E-5</v>
      </c>
      <c r="HC7" s="84"/>
      <c r="HD7" s="83" t="s">
        <v>22</v>
      </c>
      <c r="HE7" s="137">
        <f>0.693/HE9</f>
        <v>1.6041666666666665E-3</v>
      </c>
    </row>
    <row r="8" spans="1:214" x14ac:dyDescent="0.2">
      <c r="A8" s="116" t="s">
        <v>340</v>
      </c>
      <c r="B8" s="229">
        <v>1.35E-4</v>
      </c>
      <c r="C8" s="117"/>
      <c r="D8" s="52" t="s">
        <v>382</v>
      </c>
      <c r="E8" s="138">
        <f>B68</f>
        <v>150</v>
      </c>
      <c r="F8" s="52" t="s">
        <v>24</v>
      </c>
      <c r="G8" s="91" t="s">
        <v>257</v>
      </c>
      <c r="H8" s="136">
        <f>B28</f>
        <v>0.28767199999999998</v>
      </c>
      <c r="I8" s="84" t="s">
        <v>259</v>
      </c>
      <c r="J8" s="83" t="s">
        <v>269</v>
      </c>
      <c r="K8" s="136">
        <f>B22</f>
        <v>3.7173200000000003E-2</v>
      </c>
      <c r="L8" s="83" t="s">
        <v>351</v>
      </c>
      <c r="M8" s="91" t="s">
        <v>231</v>
      </c>
      <c r="N8" s="136">
        <f>B30</f>
        <v>432</v>
      </c>
      <c r="O8" s="52" t="s">
        <v>60</v>
      </c>
      <c r="P8" s="91" t="s">
        <v>231</v>
      </c>
      <c r="Q8" s="136">
        <f>B30</f>
        <v>432</v>
      </c>
      <c r="R8" s="52" t="s">
        <v>60</v>
      </c>
      <c r="S8" s="91" t="s">
        <v>231</v>
      </c>
      <c r="T8" s="136">
        <f>B30</f>
        <v>432</v>
      </c>
      <c r="U8" s="52" t="s">
        <v>60</v>
      </c>
      <c r="V8" s="91" t="s">
        <v>231</v>
      </c>
      <c r="W8" s="136">
        <f>B30</f>
        <v>432</v>
      </c>
      <c r="X8" s="52" t="s">
        <v>60</v>
      </c>
      <c r="Y8" s="91" t="s">
        <v>231</v>
      </c>
      <c r="Z8" s="136">
        <f>B30</f>
        <v>432</v>
      </c>
      <c r="AA8" s="52" t="s">
        <v>60</v>
      </c>
      <c r="AB8" s="83" t="s">
        <v>249</v>
      </c>
      <c r="AC8" s="136">
        <f>B21</f>
        <v>7.5480000000000002E-4</v>
      </c>
      <c r="AD8" s="136">
        <f>B21</f>
        <v>7.5480000000000002E-4</v>
      </c>
      <c r="AE8" s="136">
        <f>B21</f>
        <v>7.5480000000000002E-4</v>
      </c>
      <c r="AF8" s="136">
        <f>B21</f>
        <v>7.5480000000000002E-4</v>
      </c>
      <c r="AG8" s="136">
        <f>B21</f>
        <v>7.5480000000000002E-4</v>
      </c>
      <c r="AH8" s="83" t="s">
        <v>259</v>
      </c>
      <c r="AI8" s="91" t="s">
        <v>231</v>
      </c>
      <c r="AJ8" s="136">
        <f>B30</f>
        <v>432</v>
      </c>
      <c r="AK8" s="52" t="s">
        <v>60</v>
      </c>
      <c r="AL8" s="91" t="s">
        <v>231</v>
      </c>
      <c r="AM8" s="136">
        <f>B30</f>
        <v>432</v>
      </c>
      <c r="AN8" s="52" t="s">
        <v>60</v>
      </c>
      <c r="AO8" s="91" t="s">
        <v>231</v>
      </c>
      <c r="AP8" s="136">
        <f>B30</f>
        <v>432</v>
      </c>
      <c r="AQ8" s="52" t="s">
        <v>60</v>
      </c>
      <c r="AR8" s="91" t="s">
        <v>231</v>
      </c>
      <c r="AS8" s="136">
        <f>B30</f>
        <v>432</v>
      </c>
      <c r="AT8" s="52" t="s">
        <v>60</v>
      </c>
      <c r="AU8" s="91" t="s">
        <v>231</v>
      </c>
      <c r="AV8" s="136">
        <f>B30</f>
        <v>432</v>
      </c>
      <c r="AW8" s="52" t="s">
        <v>60</v>
      </c>
      <c r="AX8" s="91" t="s">
        <v>231</v>
      </c>
      <c r="AY8" s="136">
        <f>B30</f>
        <v>432</v>
      </c>
      <c r="AZ8" s="52" t="s">
        <v>60</v>
      </c>
      <c r="BA8" s="91" t="s">
        <v>231</v>
      </c>
      <c r="BB8" s="136">
        <f>B30</f>
        <v>432</v>
      </c>
      <c r="BC8" s="52" t="s">
        <v>60</v>
      </c>
      <c r="BD8" s="91" t="s">
        <v>231</v>
      </c>
      <c r="BE8" s="136">
        <f>B30</f>
        <v>432</v>
      </c>
      <c r="BF8" s="52" t="s">
        <v>60</v>
      </c>
      <c r="BG8" s="91" t="s">
        <v>231</v>
      </c>
      <c r="BH8" s="136">
        <f>B30</f>
        <v>432</v>
      </c>
      <c r="BI8" s="52" t="s">
        <v>60</v>
      </c>
      <c r="BJ8" s="91" t="s">
        <v>231</v>
      </c>
      <c r="BK8" s="136">
        <f>B30</f>
        <v>432</v>
      </c>
      <c r="BL8" s="52" t="s">
        <v>60</v>
      </c>
      <c r="BM8" s="91" t="s">
        <v>231</v>
      </c>
      <c r="BN8" s="136">
        <f>B30</f>
        <v>432</v>
      </c>
      <c r="BO8" s="52" t="s">
        <v>60</v>
      </c>
      <c r="BP8" s="91" t="s">
        <v>231</v>
      </c>
      <c r="BQ8" s="136">
        <f>B30</f>
        <v>432</v>
      </c>
      <c r="BR8" s="52" t="s">
        <v>60</v>
      </c>
      <c r="BS8" s="52" t="s">
        <v>140</v>
      </c>
      <c r="BT8" s="138">
        <f>B113</f>
        <v>55</v>
      </c>
      <c r="BU8" s="52" t="s">
        <v>24</v>
      </c>
      <c r="BV8" s="91" t="s">
        <v>257</v>
      </c>
      <c r="BW8" s="136">
        <f>B28</f>
        <v>0.28767199999999998</v>
      </c>
      <c r="BX8" s="84" t="s">
        <v>259</v>
      </c>
      <c r="BY8" s="83" t="s">
        <v>269</v>
      </c>
      <c r="BZ8" s="136">
        <f>B22</f>
        <v>3.7173200000000003E-2</v>
      </c>
      <c r="CA8" s="83" t="s">
        <v>351</v>
      </c>
      <c r="CB8" s="91" t="s">
        <v>231</v>
      </c>
      <c r="CC8" s="136">
        <f>B30</f>
        <v>432</v>
      </c>
      <c r="CD8" s="52" t="s">
        <v>60</v>
      </c>
      <c r="CE8" s="91" t="s">
        <v>231</v>
      </c>
      <c r="CF8" s="136">
        <f>B30</f>
        <v>432</v>
      </c>
      <c r="CG8" s="52" t="s">
        <v>60</v>
      </c>
      <c r="CH8" s="91" t="s">
        <v>231</v>
      </c>
      <c r="CI8" s="136">
        <f>B30</f>
        <v>432</v>
      </c>
      <c r="CJ8" s="52" t="s">
        <v>60</v>
      </c>
      <c r="CK8" s="52" t="s">
        <v>159</v>
      </c>
      <c r="CL8" s="162">
        <f>B128</f>
        <v>3</v>
      </c>
      <c r="CM8" s="52" t="s">
        <v>221</v>
      </c>
      <c r="CN8" s="84" t="s">
        <v>33</v>
      </c>
      <c r="CO8" s="136">
        <f>B44</f>
        <v>2.1999999999999999E-5</v>
      </c>
      <c r="CT8" s="83" t="s">
        <v>269</v>
      </c>
      <c r="CU8" s="136">
        <f>B22</f>
        <v>3.7173200000000003E-2</v>
      </c>
      <c r="CV8" s="83" t="s">
        <v>351</v>
      </c>
      <c r="CW8" s="52" t="s">
        <v>362</v>
      </c>
      <c r="CX8" s="138">
        <f>B167</f>
        <v>150</v>
      </c>
      <c r="CY8" s="52" t="s">
        <v>24</v>
      </c>
      <c r="CZ8" s="83" t="s">
        <v>270</v>
      </c>
      <c r="DA8" s="165">
        <f>B28</f>
        <v>0.28767199999999998</v>
      </c>
      <c r="DB8" s="83" t="s">
        <v>259</v>
      </c>
      <c r="DC8" s="83" t="s">
        <v>516</v>
      </c>
      <c r="DD8" s="149">
        <f>(DD9*DD15*DD20)+(DD10*DD14*DD21)</f>
        <v>8250</v>
      </c>
      <c r="DE8" s="92" t="s">
        <v>347</v>
      </c>
      <c r="DF8" s="83" t="s">
        <v>36</v>
      </c>
      <c r="DG8" s="138">
        <f>B189</f>
        <v>3.62</v>
      </c>
      <c r="DH8" s="52" t="s">
        <v>37</v>
      </c>
      <c r="DI8" s="83" t="s">
        <v>393</v>
      </c>
      <c r="DJ8" s="138">
        <f>B47</f>
        <v>0.26</v>
      </c>
      <c r="DL8" s="83" t="s">
        <v>393</v>
      </c>
      <c r="DM8" s="138">
        <f>B47</f>
        <v>0.26</v>
      </c>
      <c r="DO8" s="83" t="s">
        <v>36</v>
      </c>
      <c r="DP8" s="138">
        <f>B189</f>
        <v>3.62</v>
      </c>
      <c r="DQ8" s="52" t="s">
        <v>37</v>
      </c>
      <c r="DR8" s="83" t="s">
        <v>147</v>
      </c>
      <c r="DS8" s="149">
        <f>(DS11*DS9*DS17)+(DS12*DS10*DS18)</f>
        <v>8250</v>
      </c>
      <c r="DT8" s="92" t="s">
        <v>347</v>
      </c>
      <c r="DU8" s="52" t="s">
        <v>518</v>
      </c>
      <c r="DV8" s="146">
        <f>B200</f>
        <v>1.03</v>
      </c>
      <c r="DW8" s="52" t="s">
        <v>286</v>
      </c>
      <c r="DX8" s="83" t="s">
        <v>392</v>
      </c>
      <c r="DY8" s="138">
        <f>B48</f>
        <v>0.25</v>
      </c>
      <c r="EA8" s="83" t="s">
        <v>392</v>
      </c>
      <c r="EB8" s="138">
        <f>B48</f>
        <v>0.25</v>
      </c>
      <c r="EC8" s="84"/>
      <c r="ED8" s="83" t="s">
        <v>392</v>
      </c>
      <c r="EE8" s="138">
        <f>B48</f>
        <v>0.25</v>
      </c>
      <c r="EF8" s="84"/>
      <c r="EG8" s="83" t="s">
        <v>519</v>
      </c>
      <c r="EH8" s="149">
        <f>(EH11*EH9*EH17)+(EH12*EH10*EH18)</f>
        <v>8250</v>
      </c>
      <c r="EI8" s="92" t="s">
        <v>347</v>
      </c>
      <c r="EJ8" s="83"/>
      <c r="EM8" s="83" t="s">
        <v>392</v>
      </c>
      <c r="EN8" s="138">
        <f>B48</f>
        <v>0.25</v>
      </c>
      <c r="EP8" s="83" t="s">
        <v>392</v>
      </c>
      <c r="EQ8" s="138">
        <f>B48</f>
        <v>0.25</v>
      </c>
      <c r="ER8" s="84"/>
      <c r="ES8" s="83" t="s">
        <v>392</v>
      </c>
      <c r="ET8" s="138">
        <f>B48</f>
        <v>0.25</v>
      </c>
      <c r="EU8" s="84"/>
      <c r="EV8" s="83" t="s">
        <v>520</v>
      </c>
      <c r="EW8" s="149">
        <f>(EW11*EW9*EW17)+(EW12*EW10*EW18)</f>
        <v>8250</v>
      </c>
      <c r="EX8" s="92" t="s">
        <v>347</v>
      </c>
      <c r="EY8" s="83"/>
      <c r="EZ8" s="83"/>
      <c r="FA8" s="83"/>
      <c r="FB8" s="83" t="s">
        <v>392</v>
      </c>
      <c r="FC8" s="142">
        <f>B48</f>
        <v>0.25</v>
      </c>
      <c r="FD8" s="83"/>
      <c r="FE8" s="83" t="s">
        <v>392</v>
      </c>
      <c r="FF8" s="142">
        <f>B48</f>
        <v>0.25</v>
      </c>
      <c r="FG8" s="83"/>
      <c r="FH8" s="83" t="s">
        <v>392</v>
      </c>
      <c r="FI8" s="142">
        <f>B48</f>
        <v>0.25</v>
      </c>
      <c r="FJ8" s="84"/>
      <c r="FK8" s="83" t="s">
        <v>521</v>
      </c>
      <c r="FL8" s="173">
        <f>(FL9*FL11*FL17)+(FL10*FL12*FL18)</f>
        <v>8250</v>
      </c>
      <c r="FM8" s="92" t="s">
        <v>347</v>
      </c>
      <c r="FN8" s="83"/>
      <c r="FO8" s="83"/>
      <c r="FP8" s="83"/>
      <c r="FQ8" s="83" t="s">
        <v>22</v>
      </c>
      <c r="FR8" s="137">
        <f>0.693/FR9</f>
        <v>1.6041666666666665E-3</v>
      </c>
      <c r="FT8" s="83"/>
      <c r="FU8" s="83"/>
      <c r="FV8" s="83"/>
      <c r="FZ8" s="83" t="s">
        <v>522</v>
      </c>
      <c r="GA8" s="173">
        <f>(GA11*GA9*GA17)+(GA10*GA12*GA18)</f>
        <v>8250</v>
      </c>
      <c r="GB8" s="92" t="s">
        <v>347</v>
      </c>
      <c r="GC8" s="83"/>
      <c r="GD8" s="83"/>
      <c r="GE8" s="83"/>
      <c r="GF8" s="83" t="s">
        <v>392</v>
      </c>
      <c r="GG8" s="142">
        <f>B48</f>
        <v>0.25</v>
      </c>
      <c r="GH8" s="83"/>
      <c r="GI8" s="83" t="s">
        <v>392</v>
      </c>
      <c r="GJ8" s="142">
        <f>B48</f>
        <v>0.25</v>
      </c>
      <c r="GK8" s="83"/>
      <c r="GL8" s="83" t="s">
        <v>392</v>
      </c>
      <c r="GM8" s="142">
        <f>B48</f>
        <v>0.25</v>
      </c>
      <c r="GN8" s="84"/>
      <c r="GO8" s="83" t="s">
        <v>523</v>
      </c>
      <c r="GP8" s="149">
        <f>(GP9*GP11*GP16)+(GP10*GP12*GP17)</f>
        <v>8250</v>
      </c>
      <c r="GQ8" s="92" t="s">
        <v>347</v>
      </c>
      <c r="GR8" s="83"/>
      <c r="GS8" s="83"/>
      <c r="GT8" s="83"/>
      <c r="GU8" s="83" t="s">
        <v>392</v>
      </c>
      <c r="GV8" s="142">
        <f>B48</f>
        <v>0.25</v>
      </c>
      <c r="GW8" s="83"/>
      <c r="GX8" s="83" t="s">
        <v>392</v>
      </c>
      <c r="GY8" s="142">
        <f>B48</f>
        <v>0.25</v>
      </c>
      <c r="GZ8" s="83"/>
      <c r="HA8" s="83" t="s">
        <v>392</v>
      </c>
      <c r="HB8" s="142">
        <f>B48</f>
        <v>0.25</v>
      </c>
      <c r="HC8" s="84"/>
      <c r="HD8" s="52" t="s">
        <v>16</v>
      </c>
      <c r="HE8" s="123">
        <f>1-EXP(-HE7*HE12)</f>
        <v>1.6028806790575612E-3</v>
      </c>
    </row>
    <row r="9" spans="1:214" x14ac:dyDescent="0.2">
      <c r="A9" s="116" t="s">
        <v>243</v>
      </c>
      <c r="B9" s="229">
        <v>0.71099999999999997</v>
      </c>
      <c r="C9" s="117"/>
      <c r="D9" s="52" t="s">
        <v>379</v>
      </c>
      <c r="E9" s="138">
        <f>B65</f>
        <v>1</v>
      </c>
      <c r="F9" s="52" t="s">
        <v>146</v>
      </c>
      <c r="G9" s="83" t="s">
        <v>258</v>
      </c>
      <c r="H9" s="136">
        <f>B29</f>
        <v>8.8060000000000005E-4</v>
      </c>
      <c r="I9" s="92" t="s">
        <v>259</v>
      </c>
      <c r="J9" s="83" t="s">
        <v>258</v>
      </c>
      <c r="K9" s="136">
        <f>B29</f>
        <v>8.8060000000000005E-4</v>
      </c>
      <c r="L9" s="92" t="s">
        <v>259</v>
      </c>
      <c r="M9" s="52" t="s">
        <v>382</v>
      </c>
      <c r="N9" s="138">
        <f>B68</f>
        <v>150</v>
      </c>
      <c r="O9" s="52" t="s">
        <v>24</v>
      </c>
      <c r="P9" s="52" t="s">
        <v>382</v>
      </c>
      <c r="Q9" s="138">
        <f>B68</f>
        <v>150</v>
      </c>
      <c r="R9" s="52" t="s">
        <v>24</v>
      </c>
      <c r="S9" s="52" t="s">
        <v>382</v>
      </c>
      <c r="T9" s="138">
        <f>B68</f>
        <v>150</v>
      </c>
      <c r="U9" s="52" t="s">
        <v>24</v>
      </c>
      <c r="V9" s="52" t="s">
        <v>423</v>
      </c>
      <c r="W9" s="138">
        <f>B247</f>
        <v>125</v>
      </c>
      <c r="X9" s="52" t="s">
        <v>24</v>
      </c>
      <c r="Y9" s="52" t="s">
        <v>316</v>
      </c>
      <c r="Z9" s="138">
        <f>B227</f>
        <v>125</v>
      </c>
      <c r="AA9" s="52" t="s">
        <v>24</v>
      </c>
      <c r="AB9" s="83" t="s">
        <v>34</v>
      </c>
      <c r="AC9" s="146">
        <f>B228</f>
        <v>1</v>
      </c>
      <c r="AD9" s="146">
        <f>B238</f>
        <v>1</v>
      </c>
      <c r="AE9" s="146">
        <f>B248</f>
        <v>1</v>
      </c>
      <c r="AF9" s="146">
        <f>B258</f>
        <v>1</v>
      </c>
      <c r="AG9" s="146">
        <f>B270</f>
        <v>1</v>
      </c>
      <c r="AH9" s="83" t="s">
        <v>60</v>
      </c>
      <c r="AI9" s="52" t="s">
        <v>35</v>
      </c>
      <c r="AJ9" s="138">
        <f>B237</f>
        <v>125</v>
      </c>
      <c r="AK9" s="52" t="s">
        <v>24</v>
      </c>
      <c r="AL9" s="52" t="s">
        <v>35</v>
      </c>
      <c r="AM9" s="138">
        <f>B237</f>
        <v>125</v>
      </c>
      <c r="AN9" s="52" t="s">
        <v>24</v>
      </c>
      <c r="AO9" s="52" t="s">
        <v>35</v>
      </c>
      <c r="AP9" s="138">
        <f>B237</f>
        <v>125</v>
      </c>
      <c r="AQ9" s="52" t="s">
        <v>24</v>
      </c>
      <c r="AR9" s="52" t="s">
        <v>423</v>
      </c>
      <c r="AS9" s="138">
        <f>B247</f>
        <v>125</v>
      </c>
      <c r="AT9" s="52" t="s">
        <v>24</v>
      </c>
      <c r="AU9" s="52" t="s">
        <v>423</v>
      </c>
      <c r="AV9" s="138">
        <f>B247</f>
        <v>125</v>
      </c>
      <c r="AW9" s="52" t="s">
        <v>24</v>
      </c>
      <c r="AX9" s="52" t="s">
        <v>423</v>
      </c>
      <c r="AY9" s="138">
        <f>B247</f>
        <v>125</v>
      </c>
      <c r="AZ9" s="52" t="s">
        <v>24</v>
      </c>
      <c r="BA9" s="52" t="s">
        <v>316</v>
      </c>
      <c r="BB9" s="138">
        <f>B227</f>
        <v>125</v>
      </c>
      <c r="BC9" s="52" t="s">
        <v>24</v>
      </c>
      <c r="BD9" s="52" t="s">
        <v>316</v>
      </c>
      <c r="BE9" s="138">
        <f>B227</f>
        <v>125</v>
      </c>
      <c r="BF9" s="52" t="s">
        <v>24</v>
      </c>
      <c r="BG9" s="52" t="s">
        <v>316</v>
      </c>
      <c r="BH9" s="138">
        <f>B227</f>
        <v>125</v>
      </c>
      <c r="BI9" s="52" t="s">
        <v>24</v>
      </c>
      <c r="BJ9" s="52" t="s">
        <v>191</v>
      </c>
      <c r="BK9" s="138">
        <f>BK10*BK11</f>
        <v>75</v>
      </c>
      <c r="BL9" s="52" t="s">
        <v>24</v>
      </c>
      <c r="BM9" s="52" t="s">
        <v>191</v>
      </c>
      <c r="BN9" s="138">
        <f>BN10*BN11</f>
        <v>75</v>
      </c>
      <c r="BO9" s="52" t="s">
        <v>24</v>
      </c>
      <c r="BP9" s="52" t="s">
        <v>191</v>
      </c>
      <c r="BQ9" s="138">
        <f>BQ10*BQ11</f>
        <v>75</v>
      </c>
      <c r="BR9" s="52" t="s">
        <v>24</v>
      </c>
      <c r="BS9" s="52" t="s">
        <v>247</v>
      </c>
      <c r="BT9" s="139">
        <f>E11</f>
        <v>0.36297000000000001</v>
      </c>
      <c r="BU9" s="84" t="s">
        <v>259</v>
      </c>
      <c r="BV9" s="83" t="s">
        <v>258</v>
      </c>
      <c r="BW9" s="136">
        <f>B29</f>
        <v>8.8060000000000005E-4</v>
      </c>
      <c r="BX9" s="92" t="s">
        <v>259</v>
      </c>
      <c r="BY9" s="83" t="s">
        <v>77</v>
      </c>
      <c r="BZ9" s="136">
        <f>B31</f>
        <v>1359344473.5814338</v>
      </c>
      <c r="CA9" s="83" t="s">
        <v>78</v>
      </c>
      <c r="CB9" s="52" t="s">
        <v>140</v>
      </c>
      <c r="CC9" s="138">
        <f>B113</f>
        <v>55</v>
      </c>
      <c r="CD9" s="52" t="s">
        <v>24</v>
      </c>
      <c r="CE9" s="52" t="s">
        <v>140</v>
      </c>
      <c r="CF9" s="138">
        <f>B113</f>
        <v>55</v>
      </c>
      <c r="CG9" s="52" t="s">
        <v>24</v>
      </c>
      <c r="CH9" s="52" t="s">
        <v>140</v>
      </c>
      <c r="CI9" s="138">
        <f>B113</f>
        <v>55</v>
      </c>
      <c r="CJ9" s="52" t="s">
        <v>24</v>
      </c>
      <c r="CN9" s="84" t="s">
        <v>392</v>
      </c>
      <c r="CO9" s="162">
        <f>B48</f>
        <v>0.25</v>
      </c>
      <c r="CT9" s="83" t="s">
        <v>258</v>
      </c>
      <c r="CU9" s="136">
        <f>B29</f>
        <v>8.8060000000000005E-4</v>
      </c>
      <c r="CV9" s="92" t="s">
        <v>259</v>
      </c>
      <c r="CW9" s="52" t="s">
        <v>363</v>
      </c>
      <c r="CX9" s="138">
        <f>B168</f>
        <v>1</v>
      </c>
      <c r="CY9" s="52" t="s">
        <v>146</v>
      </c>
      <c r="CZ9" s="83" t="s">
        <v>258</v>
      </c>
      <c r="DA9" s="136">
        <f>B29</f>
        <v>8.8060000000000005E-4</v>
      </c>
      <c r="DB9" s="84" t="s">
        <v>259</v>
      </c>
      <c r="DC9" s="83" t="s">
        <v>513</v>
      </c>
      <c r="DD9" s="146">
        <f>B149</f>
        <v>55</v>
      </c>
      <c r="DE9" s="92" t="s">
        <v>221</v>
      </c>
      <c r="DF9" s="83" t="s">
        <v>40</v>
      </c>
      <c r="DG9" s="138">
        <f>B190</f>
        <v>0.25</v>
      </c>
      <c r="DH9" s="52" t="s">
        <v>41</v>
      </c>
      <c r="DI9" s="52" t="s">
        <v>350</v>
      </c>
      <c r="DJ9" s="164">
        <f>B168</f>
        <v>1</v>
      </c>
      <c r="DL9" s="83"/>
      <c r="DO9" s="83" t="s">
        <v>40</v>
      </c>
      <c r="DP9" s="138">
        <f>B190</f>
        <v>0.25</v>
      </c>
      <c r="DQ9" s="52" t="s">
        <v>41</v>
      </c>
      <c r="DR9" s="83" t="s">
        <v>452</v>
      </c>
      <c r="DS9" s="146">
        <f>B151</f>
        <v>55</v>
      </c>
      <c r="DT9" s="92" t="s">
        <v>221</v>
      </c>
      <c r="DU9" s="83"/>
      <c r="DX9" s="83" t="s">
        <v>517</v>
      </c>
      <c r="DY9" s="136">
        <f>B36</f>
        <v>4.2E-7</v>
      </c>
      <c r="DZ9" s="52" t="s">
        <v>601</v>
      </c>
      <c r="EA9" s="83" t="s">
        <v>517</v>
      </c>
      <c r="EB9" s="136">
        <f>B36</f>
        <v>4.2E-7</v>
      </c>
      <c r="EC9" s="52" t="s">
        <v>601</v>
      </c>
      <c r="ED9" s="83" t="s">
        <v>517</v>
      </c>
      <c r="EE9" s="136">
        <f>B36</f>
        <v>4.2E-7</v>
      </c>
      <c r="EF9" s="52" t="s">
        <v>601</v>
      </c>
      <c r="EG9" s="83" t="s">
        <v>453</v>
      </c>
      <c r="EH9" s="170">
        <f>B153</f>
        <v>55</v>
      </c>
      <c r="EI9" s="92" t="s">
        <v>221</v>
      </c>
      <c r="EJ9" s="83"/>
      <c r="EM9" s="83" t="s">
        <v>236</v>
      </c>
      <c r="EN9" s="136">
        <f>B37</f>
        <v>5.0000000000000001E-4</v>
      </c>
      <c r="EO9" s="52" t="s">
        <v>388</v>
      </c>
      <c r="EP9" s="83" t="s">
        <v>236</v>
      </c>
      <c r="EQ9" s="169">
        <f>B37</f>
        <v>5.0000000000000001E-4</v>
      </c>
      <c r="ER9" s="52" t="s">
        <v>388</v>
      </c>
      <c r="ES9" s="83" t="s">
        <v>236</v>
      </c>
      <c r="ET9" s="169">
        <f>B37</f>
        <v>5.0000000000000001E-4</v>
      </c>
      <c r="EU9" s="52" t="s">
        <v>388</v>
      </c>
      <c r="EV9" s="83" t="s">
        <v>454</v>
      </c>
      <c r="EW9" s="171">
        <f>B155</f>
        <v>55</v>
      </c>
      <c r="EX9" s="92" t="s">
        <v>221</v>
      </c>
      <c r="EY9" s="83"/>
      <c r="EZ9" s="83"/>
      <c r="FA9" s="83"/>
      <c r="FB9" s="83" t="s">
        <v>171</v>
      </c>
      <c r="FC9" s="169">
        <f>B39</f>
        <v>3.0000000000000001E-3</v>
      </c>
      <c r="FD9" s="52" t="s">
        <v>388</v>
      </c>
      <c r="FE9" s="83" t="s">
        <v>171</v>
      </c>
      <c r="FF9" s="169">
        <f>B39</f>
        <v>3.0000000000000001E-3</v>
      </c>
      <c r="FG9" s="52" t="s">
        <v>388</v>
      </c>
      <c r="FH9" s="83" t="s">
        <v>171</v>
      </c>
      <c r="FI9" s="169">
        <f>B39</f>
        <v>3.0000000000000001E-3</v>
      </c>
      <c r="FJ9" s="52" t="s">
        <v>388</v>
      </c>
      <c r="FK9" s="83" t="s">
        <v>471</v>
      </c>
      <c r="FL9" s="150">
        <f>B157</f>
        <v>55</v>
      </c>
      <c r="FM9" s="92" t="s">
        <v>221</v>
      </c>
      <c r="FN9" s="83"/>
      <c r="FO9" s="83"/>
      <c r="FP9" s="83"/>
      <c r="FQ9" s="91" t="s">
        <v>231</v>
      </c>
      <c r="FR9" s="136">
        <f>B30</f>
        <v>432</v>
      </c>
      <c r="FS9" s="52" t="s">
        <v>60</v>
      </c>
      <c r="FT9" s="83"/>
      <c r="FU9" s="93"/>
      <c r="FV9" s="83"/>
      <c r="FW9" s="83"/>
      <c r="FX9" s="93"/>
      <c r="FY9" s="83"/>
      <c r="FZ9" s="83" t="s">
        <v>473</v>
      </c>
      <c r="GA9" s="174">
        <f>B159</f>
        <v>55</v>
      </c>
      <c r="GB9" s="92" t="s">
        <v>221</v>
      </c>
      <c r="GC9" s="83"/>
      <c r="GD9" s="83"/>
      <c r="GE9" s="83"/>
      <c r="GF9" s="83" t="s">
        <v>237</v>
      </c>
      <c r="GG9" s="169">
        <f>B38</f>
        <v>6.0000000000000001E-3</v>
      </c>
      <c r="GH9" s="52" t="s">
        <v>388</v>
      </c>
      <c r="GI9" s="83" t="s">
        <v>237</v>
      </c>
      <c r="GJ9" s="169">
        <f>B38</f>
        <v>6.0000000000000001E-3</v>
      </c>
      <c r="GK9" s="52" t="s">
        <v>388</v>
      </c>
      <c r="GL9" s="83" t="s">
        <v>237</v>
      </c>
      <c r="GM9" s="169">
        <f>B38</f>
        <v>6.0000000000000001E-3</v>
      </c>
      <c r="GN9" s="52" t="s">
        <v>388</v>
      </c>
      <c r="GO9" s="83" t="s">
        <v>455</v>
      </c>
      <c r="GP9" s="150">
        <f>B161</f>
        <v>55</v>
      </c>
      <c r="GQ9" s="92" t="s">
        <v>221</v>
      </c>
      <c r="GR9" s="83"/>
      <c r="GS9" s="83"/>
      <c r="GT9" s="83"/>
      <c r="GU9" s="83" t="s">
        <v>238</v>
      </c>
      <c r="GV9" s="169">
        <f>B40</f>
        <v>1.7000000000000001E-4</v>
      </c>
      <c r="GW9" s="52" t="s">
        <v>388</v>
      </c>
      <c r="GX9" s="83" t="s">
        <v>238</v>
      </c>
      <c r="GY9" s="169">
        <f>B40</f>
        <v>1.7000000000000001E-4</v>
      </c>
      <c r="GZ9" s="52" t="s">
        <v>388</v>
      </c>
      <c r="HA9" s="83" t="s">
        <v>238</v>
      </c>
      <c r="HB9" s="169">
        <f>B40</f>
        <v>1.7000000000000001E-4</v>
      </c>
      <c r="HC9" s="52" t="s">
        <v>388</v>
      </c>
      <c r="HD9" s="91" t="s">
        <v>231</v>
      </c>
      <c r="HE9" s="136">
        <f>B30</f>
        <v>432</v>
      </c>
      <c r="HF9" s="52" t="s">
        <v>60</v>
      </c>
    </row>
    <row r="10" spans="1:214" x14ac:dyDescent="0.2">
      <c r="A10" s="116" t="s">
        <v>341</v>
      </c>
      <c r="B10" s="229">
        <v>2.2599999999999999E-4</v>
      </c>
      <c r="C10" s="117"/>
      <c r="D10" s="52" t="s">
        <v>92</v>
      </c>
      <c r="E10" s="138">
        <f>E9</f>
        <v>1</v>
      </c>
      <c r="G10" s="83" t="s">
        <v>260</v>
      </c>
      <c r="H10" s="143">
        <f>H5/(H6*H15)</f>
        <v>6.2437903553731324</v>
      </c>
      <c r="I10" s="92" t="s">
        <v>11</v>
      </c>
      <c r="J10" s="83" t="s">
        <v>77</v>
      </c>
      <c r="K10" s="136">
        <f>B31</f>
        <v>1359344473.5814338</v>
      </c>
      <c r="L10" s="83" t="s">
        <v>78</v>
      </c>
      <c r="M10" s="52" t="s">
        <v>379</v>
      </c>
      <c r="N10" s="138">
        <f>B65</f>
        <v>1</v>
      </c>
      <c r="O10" s="52" t="s">
        <v>146</v>
      </c>
      <c r="P10" s="52" t="s">
        <v>379</v>
      </c>
      <c r="Q10" s="138">
        <f>B65</f>
        <v>1</v>
      </c>
      <c r="R10" s="52" t="s">
        <v>146</v>
      </c>
      <c r="S10" s="52" t="s">
        <v>379</v>
      </c>
      <c r="T10" s="138">
        <f>B65</f>
        <v>1</v>
      </c>
      <c r="U10" s="52" t="s">
        <v>146</v>
      </c>
      <c r="V10" s="52" t="s">
        <v>424</v>
      </c>
      <c r="W10" s="138">
        <f>B248</f>
        <v>1</v>
      </c>
      <c r="X10" s="52" t="s">
        <v>146</v>
      </c>
      <c r="Y10" s="52" t="s">
        <v>422</v>
      </c>
      <c r="Z10" s="138">
        <f>B228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B265</f>
        <v>3</v>
      </c>
      <c r="AG10" s="146">
        <f>B276</f>
        <v>3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B238</f>
        <v>1</v>
      </c>
      <c r="AN10" s="52" t="s">
        <v>146</v>
      </c>
      <c r="AO10" s="52" t="s">
        <v>420</v>
      </c>
      <c r="AP10" s="138">
        <f>B238</f>
        <v>1</v>
      </c>
      <c r="AQ10" s="52" t="s">
        <v>146</v>
      </c>
      <c r="AR10" s="52" t="s">
        <v>424</v>
      </c>
      <c r="AS10" s="138">
        <f>B248</f>
        <v>1</v>
      </c>
      <c r="AT10" s="52" t="s">
        <v>146</v>
      </c>
      <c r="AU10" s="52" t="s">
        <v>424</v>
      </c>
      <c r="AV10" s="138">
        <f>B248</f>
        <v>1</v>
      </c>
      <c r="AW10" s="52" t="s">
        <v>146</v>
      </c>
      <c r="AX10" s="52" t="s">
        <v>424</v>
      </c>
      <c r="AY10" s="138">
        <f>B248</f>
        <v>1</v>
      </c>
      <c r="AZ10" s="52" t="s">
        <v>146</v>
      </c>
      <c r="BA10" s="52" t="s">
        <v>422</v>
      </c>
      <c r="BB10" s="138">
        <f>B228</f>
        <v>1</v>
      </c>
      <c r="BC10" s="52" t="s">
        <v>146</v>
      </c>
      <c r="BD10" s="52" t="s">
        <v>422</v>
      </c>
      <c r="BE10" s="138">
        <f>B228</f>
        <v>1</v>
      </c>
      <c r="BF10" s="52" t="s">
        <v>146</v>
      </c>
      <c r="BG10" s="52" t="s">
        <v>422</v>
      </c>
      <c r="BH10" s="138">
        <f>B228</f>
        <v>1</v>
      </c>
      <c r="BI10" s="52" t="s">
        <v>146</v>
      </c>
      <c r="BJ10" s="52" t="s">
        <v>220</v>
      </c>
      <c r="BK10" s="138">
        <f>B266</f>
        <v>25</v>
      </c>
      <c r="BL10" s="52" t="s">
        <v>113</v>
      </c>
      <c r="BM10" s="52" t="s">
        <v>220</v>
      </c>
      <c r="BN10" s="138">
        <f>B266</f>
        <v>25</v>
      </c>
      <c r="BO10" s="52" t="s">
        <v>113</v>
      </c>
      <c r="BP10" s="52" t="s">
        <v>220</v>
      </c>
      <c r="BQ10" s="138">
        <f>B266</f>
        <v>25</v>
      </c>
      <c r="BR10" s="52" t="s">
        <v>113</v>
      </c>
      <c r="BS10" s="83" t="s">
        <v>428</v>
      </c>
      <c r="BT10" s="149">
        <f>(BT22*BT13*(1/24)*BT11*BT25)+(BT23*BT14*(1/24)*BT12*BT26)</f>
        <v>101.40624999999999</v>
      </c>
      <c r="BU10" s="52" t="s">
        <v>426</v>
      </c>
      <c r="BV10" s="83" t="s">
        <v>260</v>
      </c>
      <c r="BW10" s="143">
        <f>BW5/(BW6*BW13)</f>
        <v>0.41294158941217762</v>
      </c>
      <c r="BX10" s="92" t="s">
        <v>11</v>
      </c>
      <c r="BY10" s="84" t="s">
        <v>16</v>
      </c>
      <c r="BZ10" s="137">
        <f>(BZ30*BZ11)/(1-EXP(-BZ11*BZ30))</f>
        <v>1.0008022977791844</v>
      </c>
      <c r="CB10" s="52" t="s">
        <v>51</v>
      </c>
      <c r="CC10" s="138">
        <f>B127</f>
        <v>1</v>
      </c>
      <c r="CD10" s="52" t="s">
        <v>146</v>
      </c>
      <c r="CE10" s="52" t="s">
        <v>51</v>
      </c>
      <c r="CF10" s="138">
        <f>B127</f>
        <v>1</v>
      </c>
      <c r="CG10" s="52" t="s">
        <v>146</v>
      </c>
      <c r="CH10" s="52" t="s">
        <v>51</v>
      </c>
      <c r="CI10" s="138">
        <f>B127</f>
        <v>1</v>
      </c>
      <c r="CJ10" s="52" t="s">
        <v>146</v>
      </c>
      <c r="CN10" s="84" t="s">
        <v>164</v>
      </c>
      <c r="CO10" s="162">
        <f>B129</f>
        <v>2</v>
      </c>
      <c r="CP10" s="52" t="s">
        <v>246</v>
      </c>
      <c r="CT10" s="83" t="s">
        <v>77</v>
      </c>
      <c r="CU10" s="136">
        <f>B31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1.0008022977791844</v>
      </c>
      <c r="DC10" s="83" t="s">
        <v>514</v>
      </c>
      <c r="DD10" s="146">
        <f>B150</f>
        <v>55</v>
      </c>
      <c r="DE10" s="92" t="s">
        <v>221</v>
      </c>
      <c r="DF10" s="92" t="s">
        <v>32</v>
      </c>
      <c r="DG10" s="136">
        <f>B43</f>
        <v>1.914E-5</v>
      </c>
      <c r="DI10" s="83" t="s">
        <v>22</v>
      </c>
      <c r="DJ10" s="137">
        <f>0.693/DJ11</f>
        <v>1.6041666666666665E-3</v>
      </c>
      <c r="DL10" s="92"/>
      <c r="DO10" s="92" t="s">
        <v>32</v>
      </c>
      <c r="DP10" s="136">
        <f>B43</f>
        <v>1.914E-5</v>
      </c>
      <c r="DR10" s="83" t="s">
        <v>461</v>
      </c>
      <c r="DS10" s="146">
        <f>B152</f>
        <v>55</v>
      </c>
      <c r="DT10" s="92" t="s">
        <v>221</v>
      </c>
      <c r="DU10" s="92"/>
      <c r="DX10" s="83" t="s">
        <v>498</v>
      </c>
      <c r="DY10" s="138">
        <f>B201</f>
        <v>20.3</v>
      </c>
      <c r="DZ10" s="52" t="s">
        <v>246</v>
      </c>
      <c r="EA10" s="83" t="s">
        <v>498</v>
      </c>
      <c r="EB10" s="138">
        <f>B201</f>
        <v>20.3</v>
      </c>
      <c r="EC10" s="52" t="s">
        <v>246</v>
      </c>
      <c r="ED10" s="83" t="s">
        <v>498</v>
      </c>
      <c r="EE10" s="138">
        <f>B201</f>
        <v>20.3</v>
      </c>
      <c r="EF10" s="52" t="s">
        <v>246</v>
      </c>
      <c r="EG10" s="83" t="s">
        <v>462</v>
      </c>
      <c r="EH10" s="170">
        <f>B154</f>
        <v>55</v>
      </c>
      <c r="EI10" s="92" t="s">
        <v>221</v>
      </c>
      <c r="EJ10" s="92"/>
      <c r="EM10" s="83" t="s">
        <v>494</v>
      </c>
      <c r="EN10" s="138">
        <f>B206</f>
        <v>11.77</v>
      </c>
      <c r="EO10" s="52" t="s">
        <v>246</v>
      </c>
      <c r="EP10" s="83" t="s">
        <v>494</v>
      </c>
      <c r="EQ10" s="138">
        <f>B206</f>
        <v>11.77</v>
      </c>
      <c r="ER10" s="52" t="s">
        <v>246</v>
      </c>
      <c r="ES10" s="83" t="s">
        <v>494</v>
      </c>
      <c r="ET10" s="138">
        <f>B206</f>
        <v>11.77</v>
      </c>
      <c r="EU10" s="52" t="s">
        <v>246</v>
      </c>
      <c r="EV10" s="83" t="s">
        <v>463</v>
      </c>
      <c r="EW10" s="170">
        <f>B156</f>
        <v>55</v>
      </c>
      <c r="EX10" s="92" t="s">
        <v>221</v>
      </c>
      <c r="EY10" s="83"/>
      <c r="EZ10" s="83"/>
      <c r="FA10" s="83"/>
      <c r="FB10" s="83" t="s">
        <v>152</v>
      </c>
      <c r="FC10" s="142">
        <f>B211</f>
        <v>0.2</v>
      </c>
      <c r="FD10" s="52" t="s">
        <v>246</v>
      </c>
      <c r="FE10" s="83" t="s">
        <v>152</v>
      </c>
      <c r="FF10" s="142">
        <f>B211</f>
        <v>0.2</v>
      </c>
      <c r="FG10" s="52" t="s">
        <v>246</v>
      </c>
      <c r="FH10" s="83" t="s">
        <v>152</v>
      </c>
      <c r="FI10" s="142">
        <f>B211</f>
        <v>0.2</v>
      </c>
      <c r="FJ10" s="52" t="s">
        <v>246</v>
      </c>
      <c r="FK10" s="83" t="s">
        <v>472</v>
      </c>
      <c r="FL10" s="150">
        <f>B158</f>
        <v>55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1.0008022977791844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B160</f>
        <v>55</v>
      </c>
      <c r="GB10" s="92" t="s">
        <v>221</v>
      </c>
      <c r="GC10" s="83"/>
      <c r="GD10" s="83"/>
      <c r="GE10" s="83"/>
      <c r="GF10" s="83" t="s">
        <v>486</v>
      </c>
      <c r="GG10" s="142">
        <f>B216</f>
        <v>0.2</v>
      </c>
      <c r="GH10" s="52" t="s">
        <v>246</v>
      </c>
      <c r="GI10" s="83" t="s">
        <v>486</v>
      </c>
      <c r="GJ10" s="142">
        <f>B216</f>
        <v>0.2</v>
      </c>
      <c r="GK10" s="52" t="s">
        <v>246</v>
      </c>
      <c r="GL10" s="83" t="s">
        <v>486</v>
      </c>
      <c r="GM10" s="142">
        <f>B216</f>
        <v>0.2</v>
      </c>
      <c r="GN10" s="52" t="s">
        <v>246</v>
      </c>
      <c r="GO10" s="83" t="s">
        <v>464</v>
      </c>
      <c r="GP10" s="150">
        <f>B162</f>
        <v>55</v>
      </c>
      <c r="GQ10" s="92" t="s">
        <v>221</v>
      </c>
      <c r="GR10" s="83"/>
      <c r="GS10" s="83"/>
      <c r="GT10" s="83"/>
      <c r="GU10" s="83" t="s">
        <v>490</v>
      </c>
      <c r="GV10" s="142">
        <f>B221</f>
        <v>4.7</v>
      </c>
      <c r="GW10" s="52" t="s">
        <v>246</v>
      </c>
      <c r="GX10" s="83" t="s">
        <v>490</v>
      </c>
      <c r="GY10" s="142">
        <f>B221</f>
        <v>4.7</v>
      </c>
      <c r="GZ10" s="52" t="s">
        <v>246</v>
      </c>
      <c r="HA10" s="83" t="s">
        <v>490</v>
      </c>
      <c r="HB10" s="142">
        <f>B221</f>
        <v>4.7</v>
      </c>
      <c r="HC10" s="52" t="s">
        <v>246</v>
      </c>
      <c r="HD10" s="84" t="s">
        <v>38</v>
      </c>
      <c r="HE10" s="163">
        <f>B93</f>
        <v>0.3</v>
      </c>
    </row>
    <row r="11" spans="1:214" x14ac:dyDescent="0.2">
      <c r="A11" s="116" t="s">
        <v>244</v>
      </c>
      <c r="B11" s="229">
        <v>0.66200000000000003</v>
      </c>
      <c r="C11" s="117"/>
      <c r="D11" s="52" t="s">
        <v>247</v>
      </c>
      <c r="E11" s="139">
        <f>B18</f>
        <v>0.36297000000000001</v>
      </c>
      <c r="F11" s="84" t="s">
        <v>259</v>
      </c>
      <c r="G11" s="83" t="s">
        <v>261</v>
      </c>
      <c r="H11" s="144">
        <f>H5/(H7*H16*H28)</f>
        <v>4.150732394136737E-3</v>
      </c>
      <c r="I11" s="92" t="s">
        <v>11</v>
      </c>
      <c r="J11" s="84" t="s">
        <v>16</v>
      </c>
      <c r="K11" s="137">
        <f>(K43*K12)/(1-EXP(-K12*K43))</f>
        <v>1.0008022977791844</v>
      </c>
      <c r="M11" s="52" t="s">
        <v>299</v>
      </c>
      <c r="N11" s="138">
        <f>B73</f>
        <v>1</v>
      </c>
      <c r="P11" s="52" t="s">
        <v>299</v>
      </c>
      <c r="Q11" s="138">
        <f>B73</f>
        <v>1</v>
      </c>
      <c r="S11" s="52" t="s">
        <v>299</v>
      </c>
      <c r="T11" s="138">
        <f>B73</f>
        <v>1</v>
      </c>
      <c r="V11" s="52" t="s">
        <v>247</v>
      </c>
      <c r="W11" s="139">
        <f>B18</f>
        <v>0.36297000000000001</v>
      </c>
      <c r="X11" s="84" t="s">
        <v>39</v>
      </c>
      <c r="Y11" s="52" t="s">
        <v>247</v>
      </c>
      <c r="Z11" s="139">
        <f>B18</f>
        <v>0.36297000000000001</v>
      </c>
      <c r="AA11" s="84" t="s">
        <v>39</v>
      </c>
      <c r="AB11" s="83" t="s">
        <v>220</v>
      </c>
      <c r="AC11" s="146"/>
      <c r="AD11" s="146"/>
      <c r="AE11" s="146"/>
      <c r="AF11" s="146">
        <f>B266</f>
        <v>25</v>
      </c>
      <c r="AG11" s="146">
        <f>B277</f>
        <v>25</v>
      </c>
      <c r="AH11" s="83" t="s">
        <v>113</v>
      </c>
      <c r="AI11" s="52" t="s">
        <v>299</v>
      </c>
      <c r="AJ11" s="138">
        <f>B241</f>
        <v>1</v>
      </c>
      <c r="AL11" s="52" t="s">
        <v>299</v>
      </c>
      <c r="AM11" s="138">
        <f>B241</f>
        <v>1</v>
      </c>
      <c r="AO11" s="52" t="s">
        <v>299</v>
      </c>
      <c r="AP11" s="138">
        <f>B241</f>
        <v>1</v>
      </c>
      <c r="AR11" s="52" t="s">
        <v>299</v>
      </c>
      <c r="AS11" s="138">
        <f>B251</f>
        <v>1</v>
      </c>
      <c r="AU11" s="52" t="s">
        <v>299</v>
      </c>
      <c r="AV11" s="138">
        <f>B251</f>
        <v>1</v>
      </c>
      <c r="AX11" s="52" t="s">
        <v>299</v>
      </c>
      <c r="AY11" s="138">
        <f>B251</f>
        <v>1</v>
      </c>
      <c r="BA11" s="52" t="s">
        <v>299</v>
      </c>
      <c r="BB11" s="138">
        <f>B231</f>
        <v>1</v>
      </c>
      <c r="BD11" s="52" t="s">
        <v>299</v>
      </c>
      <c r="BE11" s="138">
        <f>B231</f>
        <v>1</v>
      </c>
      <c r="BG11" s="52" t="s">
        <v>299</v>
      </c>
      <c r="BH11" s="138">
        <f>B231</f>
        <v>1</v>
      </c>
      <c r="BJ11" s="52" t="s">
        <v>219</v>
      </c>
      <c r="BK11" s="138">
        <f>B265</f>
        <v>3</v>
      </c>
      <c r="BL11" s="52" t="s">
        <v>112</v>
      </c>
      <c r="BM11" s="52" t="s">
        <v>219</v>
      </c>
      <c r="BN11" s="138">
        <f>B265</f>
        <v>3</v>
      </c>
      <c r="BO11" s="52" t="s">
        <v>112</v>
      </c>
      <c r="BP11" s="52" t="s">
        <v>219</v>
      </c>
      <c r="BQ11" s="138">
        <f>B265</f>
        <v>3</v>
      </c>
      <c r="BR11" s="52" t="s">
        <v>112</v>
      </c>
      <c r="BS11" s="83" t="s">
        <v>429</v>
      </c>
      <c r="BT11" s="141">
        <f>B103</f>
        <v>5</v>
      </c>
      <c r="BU11" s="92" t="s">
        <v>407</v>
      </c>
      <c r="BV11" s="83" t="s">
        <v>261</v>
      </c>
      <c r="BW11" s="159"/>
      <c r="BX11" s="92" t="s">
        <v>11</v>
      </c>
      <c r="BY11" s="83" t="s">
        <v>22</v>
      </c>
      <c r="BZ11" s="137">
        <f>0.693/BZ12</f>
        <v>1.6041666666666665E-3</v>
      </c>
      <c r="CB11" s="52" t="s">
        <v>300</v>
      </c>
      <c r="CC11" s="136">
        <f>B3</f>
        <v>2.41E-4</v>
      </c>
      <c r="CE11" s="52" t="s">
        <v>300</v>
      </c>
      <c r="CF11" s="136">
        <f>B6</f>
        <v>1.17E-4</v>
      </c>
      <c r="CH11" s="52" t="s">
        <v>300</v>
      </c>
      <c r="CI11" s="136">
        <f>B10</f>
        <v>2.2599999999999999E-4</v>
      </c>
      <c r="CN11" s="84" t="s">
        <v>161</v>
      </c>
      <c r="CO11" s="162">
        <f>B130</f>
        <v>2</v>
      </c>
      <c r="CP11" s="52" t="s">
        <v>246</v>
      </c>
      <c r="CT11" s="84" t="s">
        <v>16</v>
      </c>
      <c r="CU11" s="137">
        <f>(CU43*CU12)/(1-EXP(-CU12*CU43))</f>
        <v>1.0008022977791844</v>
      </c>
      <c r="CW11" s="52" t="s">
        <v>247</v>
      </c>
      <c r="CX11" s="139">
        <f>B18</f>
        <v>0.36297000000000001</v>
      </c>
      <c r="CY11" s="84" t="s">
        <v>259</v>
      </c>
      <c r="CZ11" s="83" t="s">
        <v>22</v>
      </c>
      <c r="DA11" s="137">
        <f>0.693/DA12</f>
        <v>1.6041666666666665E-3</v>
      </c>
      <c r="DC11" s="83" t="s">
        <v>515</v>
      </c>
      <c r="DD11" s="149">
        <f>(DD12*DD15*DD20)+(DD13*DD14*DD21)</f>
        <v>8250</v>
      </c>
      <c r="DE11" s="92" t="s">
        <v>347</v>
      </c>
      <c r="DF11" s="92" t="s">
        <v>49</v>
      </c>
      <c r="DG11" s="137">
        <f>DG19+DG20</f>
        <v>3.1394977168949772E-5</v>
      </c>
      <c r="DI11" s="91" t="s">
        <v>231</v>
      </c>
      <c r="DJ11" s="136">
        <f>B30</f>
        <v>432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B166</f>
        <v>150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B166</f>
        <v>150</v>
      </c>
      <c r="EI11" s="83" t="s">
        <v>24</v>
      </c>
      <c r="EJ11" s="92"/>
      <c r="EM11" s="83" t="s">
        <v>495</v>
      </c>
      <c r="EN11" s="138">
        <f>B207</f>
        <v>0.5</v>
      </c>
      <c r="EO11" s="52" t="s">
        <v>246</v>
      </c>
      <c r="EP11" s="83" t="s">
        <v>495</v>
      </c>
      <c r="EQ11" s="138">
        <f>B207</f>
        <v>0.5</v>
      </c>
      <c r="ER11" s="52" t="s">
        <v>246</v>
      </c>
      <c r="ES11" s="83" t="s">
        <v>495</v>
      </c>
      <c r="ET11" s="138">
        <f>B207</f>
        <v>0.5</v>
      </c>
      <c r="EU11" s="52" t="s">
        <v>246</v>
      </c>
      <c r="EV11" s="83" t="s">
        <v>456</v>
      </c>
      <c r="EW11" s="150">
        <f>B166</f>
        <v>150</v>
      </c>
      <c r="EX11" s="83" t="s">
        <v>24</v>
      </c>
      <c r="EY11" s="83"/>
      <c r="EZ11" s="83"/>
      <c r="FA11" s="83"/>
      <c r="FB11" s="83" t="s">
        <v>151</v>
      </c>
      <c r="FC11" s="142">
        <f>B212</f>
        <v>2.1999999999999999E-2</v>
      </c>
      <c r="FD11" s="52" t="s">
        <v>246</v>
      </c>
      <c r="FE11" s="83" t="s">
        <v>151</v>
      </c>
      <c r="FF11" s="142">
        <f>B212</f>
        <v>2.1999999999999999E-2</v>
      </c>
      <c r="FG11" s="52" t="s">
        <v>246</v>
      </c>
      <c r="FH11" s="83" t="s">
        <v>151</v>
      </c>
      <c r="FI11" s="142">
        <f>B212</f>
        <v>2.1999999999999999E-2</v>
      </c>
      <c r="FJ11" s="52" t="s">
        <v>246</v>
      </c>
      <c r="FK11" s="83" t="s">
        <v>456</v>
      </c>
      <c r="FL11" s="150">
        <f>B166</f>
        <v>150</v>
      </c>
      <c r="FM11" s="83" t="s">
        <v>24</v>
      </c>
      <c r="FN11" s="83"/>
      <c r="FO11" s="83"/>
      <c r="FP11" s="83"/>
      <c r="FQ11" s="88"/>
      <c r="FR11" s="86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B166</f>
        <v>150</v>
      </c>
      <c r="GB11" s="83" t="s">
        <v>24</v>
      </c>
      <c r="GC11" s="83"/>
      <c r="GD11" s="83"/>
      <c r="GE11" s="83"/>
      <c r="GF11" s="83" t="s">
        <v>487</v>
      </c>
      <c r="GG11" s="142">
        <f>B217</f>
        <v>2.1999999999999999E-2</v>
      </c>
      <c r="GH11" s="52" t="s">
        <v>246</v>
      </c>
      <c r="GI11" s="83" t="s">
        <v>487</v>
      </c>
      <c r="GJ11" s="142">
        <f>B217</f>
        <v>2.1999999999999999E-2</v>
      </c>
      <c r="GK11" s="52" t="s">
        <v>246</v>
      </c>
      <c r="GL11" s="83" t="s">
        <v>487</v>
      </c>
      <c r="GM11" s="142">
        <f>B217</f>
        <v>2.1999999999999999E-2</v>
      </c>
      <c r="GN11" s="52" t="s">
        <v>246</v>
      </c>
      <c r="GO11" s="83" t="s">
        <v>456</v>
      </c>
      <c r="GP11" s="150">
        <f>B166</f>
        <v>150</v>
      </c>
      <c r="GQ11" s="83" t="s">
        <v>24</v>
      </c>
      <c r="GR11" s="83"/>
      <c r="GS11" s="83"/>
      <c r="GT11" s="83"/>
      <c r="GU11" s="83" t="s">
        <v>491</v>
      </c>
      <c r="GV11" s="142">
        <f>B222</f>
        <v>0.37</v>
      </c>
      <c r="GW11" s="52" t="s">
        <v>246</v>
      </c>
      <c r="GX11" s="83" t="s">
        <v>491</v>
      </c>
      <c r="GY11" s="142">
        <f>B222</f>
        <v>0.37</v>
      </c>
      <c r="GZ11" s="52" t="s">
        <v>246</v>
      </c>
      <c r="HA11" s="83" t="s">
        <v>491</v>
      </c>
      <c r="HB11" s="142">
        <f>B222</f>
        <v>0.37</v>
      </c>
      <c r="HC11" s="52" t="s">
        <v>246</v>
      </c>
      <c r="HD11" s="84" t="s">
        <v>42</v>
      </c>
      <c r="HE11" s="150">
        <f>B94</f>
        <v>1.5</v>
      </c>
    </row>
    <row r="12" spans="1:214" x14ac:dyDescent="0.2">
      <c r="A12" s="116" t="s">
        <v>342</v>
      </c>
      <c r="B12" s="229">
        <v>1.5699999999999999E-5</v>
      </c>
      <c r="C12" s="117"/>
      <c r="D12" s="83" t="s">
        <v>43</v>
      </c>
      <c r="E12" s="140">
        <f>((E15/E16)*E23*E13*E25)+((E15/E16)*E24*E14*E26)</f>
        <v>1327.5</v>
      </c>
      <c r="F12" s="52" t="s">
        <v>426</v>
      </c>
      <c r="G12" s="83" t="s">
        <v>266</v>
      </c>
      <c r="H12" s="144">
        <f>H5/(H8*(1/H43)*H21)</f>
        <v>63.939836992830649</v>
      </c>
      <c r="I12" s="92" t="s">
        <v>11</v>
      </c>
      <c r="J12" s="83" t="s">
        <v>22</v>
      </c>
      <c r="K12" s="137">
        <f>0.693/K13</f>
        <v>1.6041666666666665E-3</v>
      </c>
      <c r="M12" s="52" t="s">
        <v>300</v>
      </c>
      <c r="N12" s="136">
        <f>B3</f>
        <v>2.41E-4</v>
      </c>
      <c r="P12" s="52" t="s">
        <v>300</v>
      </c>
      <c r="Q12" s="136">
        <f>B6</f>
        <v>1.17E-4</v>
      </c>
      <c r="S12" s="52" t="s">
        <v>300</v>
      </c>
      <c r="T12" s="136">
        <f>B10</f>
        <v>2.2599999999999999E-4</v>
      </c>
      <c r="V12" s="52" t="s">
        <v>44</v>
      </c>
      <c r="W12" s="150">
        <f>B252</f>
        <v>5</v>
      </c>
      <c r="X12" s="84" t="s">
        <v>194</v>
      </c>
      <c r="Y12" s="52" t="s">
        <v>44</v>
      </c>
      <c r="Z12" s="150">
        <f>B233</f>
        <v>5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B262</f>
        <v>5</v>
      </c>
      <c r="AG12" s="150">
        <f>B273</f>
        <v>5</v>
      </c>
      <c r="AH12" s="83" t="s">
        <v>194</v>
      </c>
      <c r="AI12" s="52" t="s">
        <v>300</v>
      </c>
      <c r="AJ12" s="136">
        <f>B3</f>
        <v>2.41E-4</v>
      </c>
      <c r="AL12" s="52" t="s">
        <v>300</v>
      </c>
      <c r="AM12" s="136">
        <f>B6</f>
        <v>1.17E-4</v>
      </c>
      <c r="AO12" s="52" t="s">
        <v>300</v>
      </c>
      <c r="AP12" s="136">
        <f>B10</f>
        <v>2.2599999999999999E-4</v>
      </c>
      <c r="AR12" s="52" t="s">
        <v>300</v>
      </c>
      <c r="AS12" s="136">
        <f>B3</f>
        <v>2.41E-4</v>
      </c>
      <c r="AU12" s="52" t="s">
        <v>300</v>
      </c>
      <c r="AV12" s="136">
        <f>B6</f>
        <v>1.17E-4</v>
      </c>
      <c r="AX12" s="52" t="s">
        <v>300</v>
      </c>
      <c r="AY12" s="136">
        <f>B10</f>
        <v>2.2599999999999999E-4</v>
      </c>
      <c r="BA12" s="52" t="s">
        <v>300</v>
      </c>
      <c r="BB12" s="136">
        <f>B3</f>
        <v>2.41E-4</v>
      </c>
      <c r="BD12" s="52" t="s">
        <v>300</v>
      </c>
      <c r="BE12" s="136">
        <f>B6</f>
        <v>1.17E-4</v>
      </c>
      <c r="BG12" s="52" t="s">
        <v>300</v>
      </c>
      <c r="BH12" s="136">
        <f>B10</f>
        <v>2.2599999999999999E-4</v>
      </c>
      <c r="BJ12" s="52" t="s">
        <v>158</v>
      </c>
      <c r="BK12" s="138">
        <f>B258</f>
        <v>1</v>
      </c>
      <c r="BL12" s="52" t="s">
        <v>146</v>
      </c>
      <c r="BM12" s="52" t="s">
        <v>158</v>
      </c>
      <c r="BN12" s="138">
        <f>B258</f>
        <v>1</v>
      </c>
      <c r="BO12" s="52" t="s">
        <v>146</v>
      </c>
      <c r="BP12" s="52" t="s">
        <v>158</v>
      </c>
      <c r="BQ12" s="138">
        <f>B258</f>
        <v>1</v>
      </c>
      <c r="BR12" s="52" t="s">
        <v>146</v>
      </c>
      <c r="BS12" s="83" t="s">
        <v>430</v>
      </c>
      <c r="BT12" s="141">
        <f>B104</f>
        <v>10</v>
      </c>
      <c r="BU12" s="92" t="s">
        <v>407</v>
      </c>
      <c r="BV12" s="83" t="s">
        <v>266</v>
      </c>
      <c r="BW12" s="145">
        <f>BW5/(BW8*(1/BW29)*BW16)</f>
        <v>22.146434449334976</v>
      </c>
      <c r="BX12" s="92" t="s">
        <v>11</v>
      </c>
      <c r="BY12" s="91" t="s">
        <v>231</v>
      </c>
      <c r="BZ12" s="136">
        <f>B30</f>
        <v>432</v>
      </c>
      <c r="CA12" s="52" t="s">
        <v>60</v>
      </c>
      <c r="CB12" s="52" t="s">
        <v>413</v>
      </c>
      <c r="CC12" s="136">
        <f>B4</f>
        <v>0.753</v>
      </c>
      <c r="CE12" s="52" t="s">
        <v>414</v>
      </c>
      <c r="CF12" s="136">
        <f>B7</f>
        <v>0.74299999999999999</v>
      </c>
      <c r="CH12" s="52" t="s">
        <v>416</v>
      </c>
      <c r="CI12" s="136">
        <f>B11</f>
        <v>0.66200000000000003</v>
      </c>
      <c r="CN12" s="84" t="s">
        <v>162</v>
      </c>
      <c r="CO12" s="162">
        <f>B131</f>
        <v>2</v>
      </c>
      <c r="CP12" s="52" t="s">
        <v>41</v>
      </c>
      <c r="CT12" s="83" t="s">
        <v>22</v>
      </c>
      <c r="CU12" s="137">
        <f>0.693/CU13</f>
        <v>1.6041666666666665E-3</v>
      </c>
      <c r="CW12" s="83" t="s">
        <v>506</v>
      </c>
      <c r="CX12" s="140">
        <f>((CX16/24)*CX23*CX13*CX25)+((CX15/24)*CX24*CX14*CX26)</f>
        <v>1387.5</v>
      </c>
      <c r="CY12" s="52" t="s">
        <v>426</v>
      </c>
      <c r="CZ12" s="91" t="s">
        <v>231</v>
      </c>
      <c r="DA12" s="136">
        <f>B30</f>
        <v>432</v>
      </c>
      <c r="DB12" s="52" t="s">
        <v>60</v>
      </c>
      <c r="DC12" s="83" t="s">
        <v>467</v>
      </c>
      <c r="DD12" s="146">
        <f>B147</f>
        <v>55</v>
      </c>
      <c r="DE12" s="92" t="s">
        <v>221</v>
      </c>
      <c r="DF12" s="92" t="s">
        <v>52</v>
      </c>
      <c r="DG12" s="138">
        <f>B191</f>
        <v>10950</v>
      </c>
      <c r="DH12" s="52" t="s">
        <v>53</v>
      </c>
      <c r="DI12" s="84" t="s">
        <v>16</v>
      </c>
      <c r="DJ12" s="137">
        <f>(DJ9*DJ10)/(1-EXP(-DJ10*DJ9))</f>
        <v>1.0008022977791844</v>
      </c>
      <c r="DL12" s="92"/>
      <c r="DO12" s="92" t="s">
        <v>52</v>
      </c>
      <c r="DP12" s="138">
        <f>B191</f>
        <v>10950</v>
      </c>
      <c r="DQ12" s="52" t="s">
        <v>53</v>
      </c>
      <c r="DR12" s="83" t="s">
        <v>465</v>
      </c>
      <c r="DS12" s="150">
        <f>B166</f>
        <v>150</v>
      </c>
      <c r="DT12" s="83" t="s">
        <v>24</v>
      </c>
      <c r="DU12" s="92"/>
      <c r="DX12" s="83" t="s">
        <v>500</v>
      </c>
      <c r="DY12" s="138">
        <f>B203</f>
        <v>1</v>
      </c>
      <c r="EA12" s="83" t="s">
        <v>500</v>
      </c>
      <c r="EB12" s="138">
        <f>B203</f>
        <v>1</v>
      </c>
      <c r="EC12" s="84"/>
      <c r="ED12" s="83" t="s">
        <v>500</v>
      </c>
      <c r="EE12" s="138">
        <f>B203</f>
        <v>1</v>
      </c>
      <c r="EF12" s="84"/>
      <c r="EG12" s="83" t="s">
        <v>465</v>
      </c>
      <c r="EH12" s="150">
        <f>B166</f>
        <v>150</v>
      </c>
      <c r="EI12" s="83" t="s">
        <v>24</v>
      </c>
      <c r="EJ12" s="92"/>
      <c r="EM12" s="83" t="s">
        <v>496</v>
      </c>
      <c r="EN12" s="138">
        <f>B208</f>
        <v>1</v>
      </c>
      <c r="EP12" s="83" t="s">
        <v>496</v>
      </c>
      <c r="EQ12" s="138">
        <f>B208</f>
        <v>1</v>
      </c>
      <c r="ER12" s="84"/>
      <c r="ES12" s="83" t="s">
        <v>496</v>
      </c>
      <c r="ET12" s="138">
        <f>B208</f>
        <v>1</v>
      </c>
      <c r="EU12" s="84"/>
      <c r="EV12" s="83" t="s">
        <v>465</v>
      </c>
      <c r="EW12" s="150">
        <f>B166</f>
        <v>150</v>
      </c>
      <c r="EX12" s="83" t="s">
        <v>24</v>
      </c>
      <c r="EY12" s="83"/>
      <c r="EZ12" s="83"/>
      <c r="FA12" s="83"/>
      <c r="FB12" s="83" t="s">
        <v>153</v>
      </c>
      <c r="FC12" s="164">
        <f>B213</f>
        <v>1</v>
      </c>
      <c r="FD12" s="83"/>
      <c r="FE12" s="83" t="s">
        <v>153</v>
      </c>
      <c r="FF12" s="164">
        <f>B213</f>
        <v>1</v>
      </c>
      <c r="FG12" s="83"/>
      <c r="FH12" s="83" t="s">
        <v>153</v>
      </c>
      <c r="FI12" s="164">
        <f>B213</f>
        <v>1</v>
      </c>
      <c r="FJ12" s="84"/>
      <c r="FK12" s="83" t="s">
        <v>465</v>
      </c>
      <c r="FL12" s="150">
        <f>B166</f>
        <v>150</v>
      </c>
      <c r="FM12" s="83" t="s">
        <v>24</v>
      </c>
      <c r="FN12" s="83"/>
      <c r="FO12" s="83"/>
      <c r="FP12" s="83"/>
      <c r="FQ12" s="88"/>
      <c r="FR12" s="88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B166</f>
        <v>150</v>
      </c>
      <c r="GB12" s="83" t="s">
        <v>24</v>
      </c>
      <c r="GC12" s="83"/>
      <c r="GD12" s="83"/>
      <c r="GE12" s="83"/>
      <c r="GF12" s="83" t="s">
        <v>488</v>
      </c>
      <c r="GG12" s="142">
        <f>B218</f>
        <v>1</v>
      </c>
      <c r="GH12" s="83"/>
      <c r="GI12" s="83" t="s">
        <v>488</v>
      </c>
      <c r="GJ12" s="142">
        <f>B218</f>
        <v>1</v>
      </c>
      <c r="GK12" s="83"/>
      <c r="GL12" s="83" t="s">
        <v>488</v>
      </c>
      <c r="GM12" s="142">
        <f>B218</f>
        <v>1</v>
      </c>
      <c r="GN12" s="84"/>
      <c r="GO12" s="83" t="s">
        <v>465</v>
      </c>
      <c r="GP12" s="150">
        <f>B166</f>
        <v>150</v>
      </c>
      <c r="GQ12" s="83" t="s">
        <v>24</v>
      </c>
      <c r="GR12" s="83"/>
      <c r="GS12" s="83"/>
      <c r="GT12" s="83"/>
      <c r="GU12" s="83" t="s">
        <v>492</v>
      </c>
      <c r="GV12" s="142">
        <f>B223</f>
        <v>1</v>
      </c>
      <c r="GW12" s="83"/>
      <c r="GX12" s="83" t="s">
        <v>492</v>
      </c>
      <c r="GY12" s="142">
        <f>B223</f>
        <v>1</v>
      </c>
      <c r="GZ12" s="83"/>
      <c r="HA12" s="83" t="s">
        <v>492</v>
      </c>
      <c r="HB12" s="142">
        <f>B223</f>
        <v>1</v>
      </c>
      <c r="HC12" s="84"/>
      <c r="HD12" s="84" t="s">
        <v>47</v>
      </c>
      <c r="HE12" s="163">
        <v>1</v>
      </c>
    </row>
    <row r="13" spans="1:214" ht="13.5" thickBot="1" x14ac:dyDescent="0.25">
      <c r="A13" s="118" t="s">
        <v>245</v>
      </c>
      <c r="B13" s="230">
        <v>0.80900000000000005</v>
      </c>
      <c r="C13" s="119"/>
      <c r="D13" s="83" t="s">
        <v>366</v>
      </c>
      <c r="E13" s="141">
        <f>B50</f>
        <v>5</v>
      </c>
      <c r="F13" s="92" t="s">
        <v>407</v>
      </c>
      <c r="G13" s="83" t="s">
        <v>263</v>
      </c>
      <c r="H13" s="144">
        <f>H14/((1/H40)*(H48+H49+H50))</f>
        <v>21.62982618551673</v>
      </c>
      <c r="I13" s="92" t="s">
        <v>11</v>
      </c>
      <c r="J13" s="91" t="s">
        <v>231</v>
      </c>
      <c r="K13" s="136">
        <f>B30</f>
        <v>432</v>
      </c>
      <c r="L13" s="52" t="s">
        <v>60</v>
      </c>
      <c r="M13" s="52" t="s">
        <v>54</v>
      </c>
      <c r="N13" s="136">
        <f>B4</f>
        <v>0.753</v>
      </c>
      <c r="P13" s="52" t="s">
        <v>54</v>
      </c>
      <c r="Q13" s="136">
        <f>B7</f>
        <v>0.74299999999999999</v>
      </c>
      <c r="S13" s="52" t="s">
        <v>54</v>
      </c>
      <c r="T13" s="136">
        <f>B11</f>
        <v>0.66200000000000003</v>
      </c>
      <c r="V13" s="52" t="s">
        <v>50</v>
      </c>
      <c r="W13" s="146">
        <f>B246</f>
        <v>50</v>
      </c>
      <c r="X13" s="84" t="s">
        <v>407</v>
      </c>
      <c r="Y13" s="52" t="s">
        <v>50</v>
      </c>
      <c r="Z13" s="146">
        <f>B226</f>
        <v>50</v>
      </c>
      <c r="AA13" s="84" t="s">
        <v>407</v>
      </c>
      <c r="AB13" s="83" t="s">
        <v>349</v>
      </c>
      <c r="AC13" s="146">
        <f>B229</f>
        <v>50</v>
      </c>
      <c r="AD13" s="146">
        <f>B239</f>
        <v>50</v>
      </c>
      <c r="AE13" s="146">
        <f>B249</f>
        <v>50</v>
      </c>
      <c r="AF13" s="146">
        <f>B259</f>
        <v>200</v>
      </c>
      <c r="AG13" s="146">
        <f>B271</f>
        <v>200</v>
      </c>
      <c r="AH13" s="52" t="s">
        <v>48</v>
      </c>
      <c r="AI13" s="52" t="s">
        <v>54</v>
      </c>
      <c r="AJ13" s="136">
        <f>B4</f>
        <v>0.753</v>
      </c>
      <c r="AL13" s="52" t="s">
        <v>54</v>
      </c>
      <c r="AM13" s="136">
        <f>B7</f>
        <v>0.74299999999999999</v>
      </c>
      <c r="AO13" s="52" t="s">
        <v>54</v>
      </c>
      <c r="AP13" s="136">
        <f>B11</f>
        <v>0.66200000000000003</v>
      </c>
      <c r="AR13" s="52" t="s">
        <v>54</v>
      </c>
      <c r="AS13" s="136">
        <f>B4</f>
        <v>0.753</v>
      </c>
      <c r="AU13" s="52" t="s">
        <v>54</v>
      </c>
      <c r="AV13" s="136">
        <f>B7</f>
        <v>0.74299999999999999</v>
      </c>
      <c r="AX13" s="52" t="s">
        <v>54</v>
      </c>
      <c r="AY13" s="136">
        <f>B11</f>
        <v>0.66200000000000003</v>
      </c>
      <c r="BA13" s="52" t="s">
        <v>54</v>
      </c>
      <c r="BB13" s="136">
        <f>B4</f>
        <v>0.753</v>
      </c>
      <c r="BD13" s="52" t="s">
        <v>54</v>
      </c>
      <c r="BE13" s="136">
        <f>B7</f>
        <v>0.74299999999999999</v>
      </c>
      <c r="BG13" s="52" t="s">
        <v>54</v>
      </c>
      <c r="BH13" s="136">
        <f>B11</f>
        <v>0.66200000000000003</v>
      </c>
      <c r="BJ13" s="52" t="s">
        <v>300</v>
      </c>
      <c r="BK13" s="136">
        <f>B3</f>
        <v>2.41E-4</v>
      </c>
      <c r="BM13" s="52" t="s">
        <v>300</v>
      </c>
      <c r="BN13" s="136">
        <f>B6</f>
        <v>1.17E-4</v>
      </c>
      <c r="BP13" s="52" t="s">
        <v>300</v>
      </c>
      <c r="BQ13" s="136">
        <f>B10</f>
        <v>2.2599999999999999E-4</v>
      </c>
      <c r="BS13" s="52" t="s">
        <v>431</v>
      </c>
      <c r="BT13" s="141">
        <f>B116</f>
        <v>5</v>
      </c>
      <c r="BU13" s="52" t="s">
        <v>194</v>
      </c>
      <c r="BV13" s="83" t="s">
        <v>440</v>
      </c>
      <c r="BW13" s="160">
        <f>((BW18*BW20*BW23*BW14*BW30)+(BW19*BW21*BW24*BW15*BW31))</f>
        <v>2750</v>
      </c>
      <c r="BX13" s="83" t="s">
        <v>345</v>
      </c>
      <c r="BY13" s="83" t="s">
        <v>260</v>
      </c>
      <c r="BZ13" s="143">
        <f>(BZ5/(BZ6*BZ16*(1/BZ33)))*BZ10</f>
        <v>335.99422075796411</v>
      </c>
      <c r="CA13" s="92" t="s">
        <v>10</v>
      </c>
      <c r="CB13" s="52" t="s">
        <v>90</v>
      </c>
      <c r="CC13" s="138">
        <f>B118</f>
        <v>5</v>
      </c>
      <c r="CD13" s="52" t="s">
        <v>194</v>
      </c>
      <c r="CE13" s="52" t="s">
        <v>90</v>
      </c>
      <c r="CF13" s="138">
        <f>B118</f>
        <v>5</v>
      </c>
      <c r="CG13" s="52" t="s">
        <v>194</v>
      </c>
      <c r="CH13" s="52" t="s">
        <v>90</v>
      </c>
      <c r="CI13" s="138">
        <f>B118</f>
        <v>5</v>
      </c>
      <c r="CJ13" s="52" t="s">
        <v>194</v>
      </c>
      <c r="CN13" s="84" t="s">
        <v>163</v>
      </c>
      <c r="CO13" s="162">
        <f>B132</f>
        <v>2</v>
      </c>
      <c r="CP13" s="52" t="s">
        <v>41</v>
      </c>
      <c r="CT13" s="91" t="s">
        <v>231</v>
      </c>
      <c r="CU13" s="136">
        <f>B30</f>
        <v>432</v>
      </c>
      <c r="CV13" s="52" t="s">
        <v>60</v>
      </c>
      <c r="CW13" s="83" t="s">
        <v>450</v>
      </c>
      <c r="CX13" s="141">
        <f>B145</f>
        <v>5</v>
      </c>
      <c r="CY13" s="92" t="s">
        <v>407</v>
      </c>
      <c r="CZ13" s="83" t="s">
        <v>260</v>
      </c>
      <c r="DA13" s="143">
        <f>DA5/(DA6*DA24)</f>
        <v>5.7680729949637506</v>
      </c>
      <c r="DB13" s="83" t="s">
        <v>11</v>
      </c>
      <c r="DC13" s="83" t="s">
        <v>468</v>
      </c>
      <c r="DD13" s="146">
        <f>B148</f>
        <v>55</v>
      </c>
      <c r="DE13" s="92" t="s">
        <v>221</v>
      </c>
      <c r="DF13" s="92" t="s">
        <v>55</v>
      </c>
      <c r="DG13" s="138">
        <f>B192</f>
        <v>240</v>
      </c>
      <c r="DH13" s="52" t="s">
        <v>56</v>
      </c>
      <c r="DL13" s="92"/>
      <c r="DO13" s="92" t="s">
        <v>55</v>
      </c>
      <c r="DP13" s="138">
        <f>B192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B204</f>
        <v>1</v>
      </c>
      <c r="EA13" s="83" t="s">
        <v>501</v>
      </c>
      <c r="EB13" s="138">
        <f>B204</f>
        <v>1</v>
      </c>
      <c r="EC13" s="84"/>
      <c r="ED13" s="83" t="s">
        <v>501</v>
      </c>
      <c r="EE13" s="138">
        <f>B204</f>
        <v>1</v>
      </c>
      <c r="EF13" s="84"/>
      <c r="EG13" s="83" t="s">
        <v>363</v>
      </c>
      <c r="EH13" s="150">
        <f>B168</f>
        <v>1</v>
      </c>
      <c r="EI13" s="84" t="s">
        <v>60</v>
      </c>
      <c r="EJ13" s="92"/>
      <c r="EM13" s="83" t="s">
        <v>497</v>
      </c>
      <c r="EN13" s="138">
        <f>B209</f>
        <v>1</v>
      </c>
      <c r="EP13" s="83" t="s">
        <v>497</v>
      </c>
      <c r="EQ13" s="138">
        <f>B209</f>
        <v>1</v>
      </c>
      <c r="ER13" s="84"/>
      <c r="ES13" s="83" t="s">
        <v>497</v>
      </c>
      <c r="ET13" s="138">
        <f>B209</f>
        <v>1</v>
      </c>
      <c r="EU13" s="84"/>
      <c r="EV13" s="83" t="s">
        <v>363</v>
      </c>
      <c r="EW13" s="150">
        <f>B168</f>
        <v>1</v>
      </c>
      <c r="EX13" s="84" t="s">
        <v>60</v>
      </c>
      <c r="EY13" s="83"/>
      <c r="EZ13" s="83"/>
      <c r="FA13" s="83"/>
      <c r="FB13" s="83" t="s">
        <v>154</v>
      </c>
      <c r="FC13" s="164">
        <f>B214</f>
        <v>1</v>
      </c>
      <c r="FD13" s="83"/>
      <c r="FE13" s="83" t="s">
        <v>154</v>
      </c>
      <c r="FF13" s="164">
        <f>B214</f>
        <v>1</v>
      </c>
      <c r="FG13" s="83"/>
      <c r="FH13" s="83" t="s">
        <v>154</v>
      </c>
      <c r="FI13" s="164">
        <f>B214</f>
        <v>1</v>
      </c>
      <c r="FJ13" s="84"/>
      <c r="FK13" s="83" t="s">
        <v>363</v>
      </c>
      <c r="FL13" s="141">
        <f>B168</f>
        <v>1</v>
      </c>
      <c r="FM13" s="92" t="s">
        <v>60</v>
      </c>
      <c r="FN13" s="83"/>
      <c r="FO13" s="83"/>
      <c r="FP13" s="83"/>
      <c r="FQ13" s="88"/>
      <c r="FR13" s="88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B168</f>
        <v>1</v>
      </c>
      <c r="GB13" s="92" t="s">
        <v>60</v>
      </c>
      <c r="GC13" s="83"/>
      <c r="GD13" s="83"/>
      <c r="GE13" s="83"/>
      <c r="GF13" s="83" t="s">
        <v>489</v>
      </c>
      <c r="GG13" s="142">
        <f>B219</f>
        <v>1</v>
      </c>
      <c r="GH13" s="83"/>
      <c r="GI13" s="83" t="s">
        <v>489</v>
      </c>
      <c r="GJ13" s="142">
        <f>B219</f>
        <v>1</v>
      </c>
      <c r="GK13" s="83"/>
      <c r="GL13" s="83" t="s">
        <v>489</v>
      </c>
      <c r="GM13" s="142">
        <f>B219</f>
        <v>1</v>
      </c>
      <c r="GN13" s="84"/>
      <c r="GO13" s="83" t="s">
        <v>363</v>
      </c>
      <c r="GP13" s="141">
        <f>B168</f>
        <v>1</v>
      </c>
      <c r="GQ13" s="92" t="s">
        <v>60</v>
      </c>
      <c r="GR13" s="83"/>
      <c r="GS13" s="83"/>
      <c r="GT13" s="83"/>
      <c r="GU13" s="83" t="s">
        <v>493</v>
      </c>
      <c r="GV13" s="142">
        <f>B224</f>
        <v>1</v>
      </c>
      <c r="GW13" s="83"/>
      <c r="GX13" s="83" t="s">
        <v>493</v>
      </c>
      <c r="GY13" s="142">
        <f>B224</f>
        <v>1</v>
      </c>
      <c r="GZ13" s="83"/>
      <c r="HA13" s="83" t="s">
        <v>493</v>
      </c>
      <c r="HB13" s="142">
        <f>B224</f>
        <v>1</v>
      </c>
      <c r="HC13" s="84"/>
      <c r="HD13" s="84" t="s">
        <v>59</v>
      </c>
      <c r="HE13" s="150">
        <f>B45</f>
        <v>4</v>
      </c>
    </row>
    <row r="14" spans="1:214" ht="13.5" thickTop="1" x14ac:dyDescent="0.2">
      <c r="A14" s="372" t="s">
        <v>233</v>
      </c>
      <c r="B14" s="373"/>
      <c r="C14" s="374"/>
      <c r="D14" s="83" t="s">
        <v>367</v>
      </c>
      <c r="E14" s="141">
        <f>B51</f>
        <v>10</v>
      </c>
      <c r="F14" s="92" t="s">
        <v>407</v>
      </c>
      <c r="G14" s="83" t="s">
        <v>264</v>
      </c>
      <c r="H14" s="145">
        <f>H5/(H9*(H22+H25)*H41)</f>
        <v>0.27529439294145175</v>
      </c>
      <c r="I14" s="92" t="s">
        <v>10</v>
      </c>
      <c r="J14" s="83" t="s">
        <v>260</v>
      </c>
      <c r="K14" s="143">
        <f>(K5/(K6*K19*(1/K46)))*K11</f>
        <v>123.19788094458684</v>
      </c>
      <c r="L14" s="92" t="s">
        <v>10</v>
      </c>
      <c r="M14" s="52" t="s">
        <v>408</v>
      </c>
      <c r="N14" s="150">
        <f>B88</f>
        <v>5</v>
      </c>
      <c r="O14" s="52" t="s">
        <v>194</v>
      </c>
      <c r="P14" s="52" t="s">
        <v>408</v>
      </c>
      <c r="Q14" s="150">
        <f>B88</f>
        <v>5</v>
      </c>
      <c r="R14" s="52" t="s">
        <v>194</v>
      </c>
      <c r="S14" s="52" t="s">
        <v>408</v>
      </c>
      <c r="T14" s="150">
        <f>B88</f>
        <v>5</v>
      </c>
      <c r="U14" s="52" t="s">
        <v>194</v>
      </c>
      <c r="V14" s="83" t="s">
        <v>256</v>
      </c>
      <c r="W14" s="136">
        <f>B27</f>
        <v>125.5296</v>
      </c>
      <c r="X14" s="83" t="s">
        <v>343</v>
      </c>
      <c r="Y14" s="83" t="s">
        <v>256</v>
      </c>
      <c r="Z14" s="136">
        <f>B27</f>
        <v>125.5296</v>
      </c>
      <c r="AA14" s="83" t="s">
        <v>343</v>
      </c>
      <c r="AB14" s="83" t="s">
        <v>300</v>
      </c>
      <c r="AC14" s="161">
        <f>B3</f>
        <v>2.41E-4</v>
      </c>
      <c r="AD14" s="161">
        <f>B3</f>
        <v>2.41E-4</v>
      </c>
      <c r="AE14" s="161">
        <f>B3</f>
        <v>2.41E-4</v>
      </c>
      <c r="AF14" s="161">
        <f>B3</f>
        <v>2.41E-4</v>
      </c>
      <c r="AG14" s="161">
        <f>B3</f>
        <v>2.41E-4</v>
      </c>
      <c r="AH14" s="92"/>
      <c r="AI14" s="52" t="s">
        <v>57</v>
      </c>
      <c r="AJ14" s="136">
        <f>B242</f>
        <v>5</v>
      </c>
      <c r="AK14" s="52" t="s">
        <v>194</v>
      </c>
      <c r="AL14" s="52" t="s">
        <v>57</v>
      </c>
      <c r="AM14" s="136">
        <f>B242</f>
        <v>5</v>
      </c>
      <c r="AN14" s="52" t="s">
        <v>194</v>
      </c>
      <c r="AO14" s="52" t="s">
        <v>57</v>
      </c>
      <c r="AP14" s="136">
        <f>B242</f>
        <v>5</v>
      </c>
      <c r="AQ14" s="52" t="s">
        <v>194</v>
      </c>
      <c r="AR14" s="52" t="s">
        <v>57</v>
      </c>
      <c r="AS14" s="136">
        <f>B252</f>
        <v>5</v>
      </c>
      <c r="AT14" s="52" t="s">
        <v>194</v>
      </c>
      <c r="AU14" s="52" t="s">
        <v>57</v>
      </c>
      <c r="AV14" s="136">
        <f>B252</f>
        <v>5</v>
      </c>
      <c r="AW14" s="52" t="s">
        <v>194</v>
      </c>
      <c r="AX14" s="52" t="s">
        <v>57</v>
      </c>
      <c r="AY14" s="136">
        <f>B252</f>
        <v>5</v>
      </c>
      <c r="AZ14" s="52" t="s">
        <v>194</v>
      </c>
      <c r="BA14" s="52" t="s">
        <v>57</v>
      </c>
      <c r="BB14" s="136">
        <f>B232</f>
        <v>5</v>
      </c>
      <c r="BC14" s="52" t="s">
        <v>194</v>
      </c>
      <c r="BD14" s="52" t="s">
        <v>57</v>
      </c>
      <c r="BE14" s="136">
        <f>B232</f>
        <v>5</v>
      </c>
      <c r="BF14" s="52" t="s">
        <v>194</v>
      </c>
      <c r="BG14" s="52" t="s">
        <v>58</v>
      </c>
      <c r="BH14" s="136">
        <f>B232</f>
        <v>5</v>
      </c>
      <c r="BI14" s="52" t="s">
        <v>194</v>
      </c>
      <c r="BJ14" s="52" t="s">
        <v>413</v>
      </c>
      <c r="BK14" s="136">
        <f>B4</f>
        <v>0.753</v>
      </c>
      <c r="BM14" s="52" t="s">
        <v>414</v>
      </c>
      <c r="BN14" s="136">
        <f>B7</f>
        <v>0.74299999999999999</v>
      </c>
      <c r="BP14" s="52" t="s">
        <v>416</v>
      </c>
      <c r="BQ14" s="136">
        <f>B11</f>
        <v>0.66200000000000003</v>
      </c>
      <c r="BS14" s="52" t="s">
        <v>432</v>
      </c>
      <c r="BT14" s="141">
        <f>B117</f>
        <v>5</v>
      </c>
      <c r="BU14" s="52" t="s">
        <v>194</v>
      </c>
      <c r="BV14" s="83" t="s">
        <v>439</v>
      </c>
      <c r="BW14" s="146">
        <f>B105</f>
        <v>2</v>
      </c>
      <c r="BX14" s="83" t="s">
        <v>357</v>
      </c>
      <c r="BY14" s="83" t="s">
        <v>261</v>
      </c>
      <c r="BZ14" s="144">
        <f>(BZ5/(BZ7*BZ17*(1/BZ9)*BZ32))*BZ10</f>
        <v>36960.885334476712</v>
      </c>
      <c r="CA14" s="92" t="s">
        <v>10</v>
      </c>
      <c r="CB14" s="52" t="s">
        <v>412</v>
      </c>
      <c r="CC14" s="139">
        <f>B22</f>
        <v>3.7173200000000003E-2</v>
      </c>
      <c r="CD14" s="84" t="s">
        <v>353</v>
      </c>
      <c r="CE14" s="52" t="s">
        <v>415</v>
      </c>
      <c r="CF14" s="139">
        <f>B24</f>
        <v>1.83064E-2</v>
      </c>
      <c r="CG14" s="84" t="s">
        <v>353</v>
      </c>
      <c r="CH14" s="52" t="s">
        <v>417</v>
      </c>
      <c r="CI14" s="139">
        <f>B26</f>
        <v>3.7173200000000003E-2</v>
      </c>
      <c r="CJ14" s="84" t="s">
        <v>353</v>
      </c>
      <c r="CK14" s="84"/>
      <c r="CL14" s="84"/>
      <c r="CM14" s="84"/>
      <c r="CN14" s="52" t="s">
        <v>95</v>
      </c>
      <c r="CO14" s="164">
        <f>B127</f>
        <v>1</v>
      </c>
      <c r="CQ14" s="84"/>
      <c r="CR14" s="84"/>
      <c r="CS14" s="84"/>
      <c r="CT14" s="83" t="s">
        <v>260</v>
      </c>
      <c r="CU14" s="143">
        <f>(CU5/(CU6*CU25*(1/CU46)))*CU11</f>
        <v>131.7681683146451</v>
      </c>
      <c r="CV14" s="92" t="s">
        <v>10</v>
      </c>
      <c r="CW14" s="83" t="s">
        <v>459</v>
      </c>
      <c r="CX14" s="141">
        <f>B146</f>
        <v>10</v>
      </c>
      <c r="CY14" s="92" t="s">
        <v>407</v>
      </c>
      <c r="CZ14" s="83" t="s">
        <v>261</v>
      </c>
      <c r="DA14" s="144">
        <f>DA5/(DA7*DA25*DA45)</f>
        <v>3.9712412635794728E-3</v>
      </c>
      <c r="DB14" s="83" t="s">
        <v>11</v>
      </c>
      <c r="DC14" s="83" t="s">
        <v>465</v>
      </c>
      <c r="DD14" s="146">
        <f>B166</f>
        <v>150</v>
      </c>
      <c r="DE14" s="83" t="s">
        <v>24</v>
      </c>
      <c r="DF14" s="92" t="s">
        <v>393</v>
      </c>
      <c r="DG14" s="138">
        <f>B47</f>
        <v>0.26</v>
      </c>
      <c r="DL14" s="92"/>
      <c r="DO14" s="92" t="s">
        <v>393</v>
      </c>
      <c r="DP14" s="138">
        <f>B47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B200</f>
        <v>1.03</v>
      </c>
      <c r="DZ14" s="52" t="s">
        <v>286</v>
      </c>
      <c r="EA14" s="52" t="s">
        <v>518</v>
      </c>
      <c r="EB14" s="146">
        <f>B200</f>
        <v>1.03</v>
      </c>
      <c r="EC14" s="52" t="s">
        <v>286</v>
      </c>
      <c r="ED14" s="92" t="s">
        <v>392</v>
      </c>
      <c r="EE14" s="163">
        <f>B48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B168</f>
        <v>1</v>
      </c>
      <c r="EP14" s="92"/>
      <c r="EQ14" s="84"/>
      <c r="ER14" s="84"/>
      <c r="ES14" s="92" t="s">
        <v>392</v>
      </c>
      <c r="ET14" s="163">
        <f>B48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B168</f>
        <v>1</v>
      </c>
      <c r="FE14" s="83"/>
      <c r="FF14" s="83"/>
      <c r="FG14" s="83"/>
      <c r="FH14" s="83" t="s">
        <v>392</v>
      </c>
      <c r="FI14" s="142">
        <f>B48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88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B168</f>
        <v>1</v>
      </c>
      <c r="GI14" s="83"/>
      <c r="GJ14" s="83"/>
      <c r="GK14" s="83"/>
      <c r="GL14" s="83" t="s">
        <v>392</v>
      </c>
      <c r="GM14" s="142">
        <f>B48</f>
        <v>0.25</v>
      </c>
      <c r="GN14" s="84"/>
      <c r="GO14" s="92" t="s">
        <v>484</v>
      </c>
      <c r="GP14" s="146">
        <f>B188</f>
        <v>1</v>
      </c>
      <c r="GR14" s="83"/>
      <c r="GS14" s="83"/>
      <c r="GT14" s="83"/>
      <c r="GU14" s="52" t="s">
        <v>350</v>
      </c>
      <c r="GV14" s="164">
        <f>B168</f>
        <v>1</v>
      </c>
      <c r="GX14" s="83"/>
      <c r="GY14" s="83"/>
      <c r="GZ14" s="83"/>
      <c r="HA14" s="83" t="s">
        <v>392</v>
      </c>
      <c r="HB14" s="142">
        <f>B48</f>
        <v>0.25</v>
      </c>
      <c r="HC14" s="84"/>
      <c r="HD14" s="52" t="s">
        <v>225</v>
      </c>
      <c r="HE14" s="138">
        <v>1</v>
      </c>
    </row>
    <row r="15" spans="1:214" x14ac:dyDescent="0.2">
      <c r="A15" s="375"/>
      <c r="B15" s="376"/>
      <c r="C15" s="377"/>
      <c r="D15" s="52" t="s">
        <v>384</v>
      </c>
      <c r="E15" s="138">
        <f>B71</f>
        <v>24</v>
      </c>
      <c r="F15" s="52" t="s">
        <v>194</v>
      </c>
      <c r="G15" s="83" t="s">
        <v>395</v>
      </c>
      <c r="H15" s="147">
        <f>(H29*H17*H68)+(H30*H18*H69)</f>
        <v>181.875</v>
      </c>
      <c r="I15" s="83" t="s">
        <v>345</v>
      </c>
      <c r="J15" s="83" t="s">
        <v>261</v>
      </c>
      <c r="K15" s="144">
        <f>(K5/(K7*K20*(1/K10)*K45))*K11</f>
        <v>2823.4009630503042</v>
      </c>
      <c r="L15" s="92" t="s">
        <v>10</v>
      </c>
      <c r="M15" s="52" t="s">
        <v>412</v>
      </c>
      <c r="N15" s="139">
        <f>B22</f>
        <v>3.7173200000000003E-2</v>
      </c>
      <c r="O15" s="84" t="s">
        <v>353</v>
      </c>
      <c r="P15" s="52" t="s">
        <v>415</v>
      </c>
      <c r="Q15" s="139">
        <f>B24</f>
        <v>1.83064E-2</v>
      </c>
      <c r="R15" s="84" t="s">
        <v>353</v>
      </c>
      <c r="S15" s="52" t="s">
        <v>417</v>
      </c>
      <c r="T15" s="139">
        <f>B26</f>
        <v>3.7173200000000003E-2</v>
      </c>
      <c r="U15" s="84" t="s">
        <v>353</v>
      </c>
      <c r="V15" s="83" t="s">
        <v>301</v>
      </c>
      <c r="W15" s="142">
        <f>B250</f>
        <v>2</v>
      </c>
      <c r="Y15" s="83" t="s">
        <v>301</v>
      </c>
      <c r="Z15" s="142">
        <f>B230</f>
        <v>2</v>
      </c>
      <c r="AB15" s="83" t="s">
        <v>232</v>
      </c>
      <c r="AC15" s="141">
        <f>B226</f>
        <v>50</v>
      </c>
      <c r="AD15" s="141">
        <f>B236</f>
        <v>50</v>
      </c>
      <c r="AE15" s="141">
        <f>B246</f>
        <v>50</v>
      </c>
      <c r="AF15" s="141">
        <f>B256</f>
        <v>50</v>
      </c>
      <c r="AG15" s="141">
        <f>B268</f>
        <v>50</v>
      </c>
      <c r="AH15" s="92" t="s">
        <v>407</v>
      </c>
      <c r="AI15" s="52" t="s">
        <v>412</v>
      </c>
      <c r="AJ15" s="139">
        <f>B22</f>
        <v>3.7173200000000003E-2</v>
      </c>
      <c r="AK15" s="84" t="s">
        <v>353</v>
      </c>
      <c r="AL15" s="52" t="s">
        <v>415</v>
      </c>
      <c r="AM15" s="139">
        <f>B24</f>
        <v>1.83064E-2</v>
      </c>
      <c r="AN15" s="84" t="s">
        <v>353</v>
      </c>
      <c r="AO15" s="52" t="s">
        <v>417</v>
      </c>
      <c r="AP15" s="139">
        <f>B26</f>
        <v>3.7173200000000003E-2</v>
      </c>
      <c r="AQ15" s="84" t="s">
        <v>353</v>
      </c>
      <c r="AR15" s="52" t="s">
        <v>412</v>
      </c>
      <c r="AS15" s="139">
        <f>B22</f>
        <v>3.7173200000000003E-2</v>
      </c>
      <c r="AT15" s="84" t="s">
        <v>353</v>
      </c>
      <c r="AU15" s="52" t="s">
        <v>415</v>
      </c>
      <c r="AV15" s="139">
        <f>B24</f>
        <v>1.83064E-2</v>
      </c>
      <c r="AW15" s="84" t="s">
        <v>353</v>
      </c>
      <c r="AX15" s="52" t="s">
        <v>417</v>
      </c>
      <c r="AY15" s="139">
        <f>B26</f>
        <v>3.7173200000000003E-2</v>
      </c>
      <c r="AZ15" s="84" t="s">
        <v>353</v>
      </c>
      <c r="BA15" s="52" t="s">
        <v>412</v>
      </c>
      <c r="BB15" s="139">
        <f>B22</f>
        <v>3.7173200000000003E-2</v>
      </c>
      <c r="BC15" s="84" t="s">
        <v>353</v>
      </c>
      <c r="BD15" s="52" t="s">
        <v>415</v>
      </c>
      <c r="BE15" s="139">
        <f>B24</f>
        <v>1.83064E-2</v>
      </c>
      <c r="BF15" s="84" t="s">
        <v>353</v>
      </c>
      <c r="BG15" s="52" t="s">
        <v>417</v>
      </c>
      <c r="BH15" s="139">
        <f>B26</f>
        <v>3.7173200000000003E-2</v>
      </c>
      <c r="BI15" s="84" t="s">
        <v>353</v>
      </c>
      <c r="BJ15" s="52" t="s">
        <v>57</v>
      </c>
      <c r="BK15" s="136">
        <f>B262</f>
        <v>5</v>
      </c>
      <c r="BL15" s="52" t="s">
        <v>194</v>
      </c>
      <c r="BM15" s="52" t="s">
        <v>57</v>
      </c>
      <c r="BN15" s="136">
        <f>B262</f>
        <v>5</v>
      </c>
      <c r="BO15" s="52" t="s">
        <v>194</v>
      </c>
      <c r="BP15" s="52" t="s">
        <v>57</v>
      </c>
      <c r="BQ15" s="136">
        <f>B262</f>
        <v>5</v>
      </c>
      <c r="BR15" s="52" t="s">
        <v>194</v>
      </c>
      <c r="BS15" s="52" t="s">
        <v>90</v>
      </c>
      <c r="BT15" s="138">
        <f>B118</f>
        <v>5</v>
      </c>
      <c r="BU15" s="52" t="s">
        <v>194</v>
      </c>
      <c r="BV15" s="83" t="s">
        <v>438</v>
      </c>
      <c r="BW15" s="146">
        <f>B106</f>
        <v>2</v>
      </c>
      <c r="BX15" s="83" t="s">
        <v>357</v>
      </c>
      <c r="BY15" s="83" t="s">
        <v>262</v>
      </c>
      <c r="BZ15" s="145">
        <f>((BZ5)/(BZ8*BZ22*(1/BZ31)*BZ25*(1/24)*BZ28*BZ29))*BZ10</f>
        <v>4725826.1277327519</v>
      </c>
      <c r="CA15" s="92" t="s">
        <v>10</v>
      </c>
      <c r="CN15" s="83" t="s">
        <v>22</v>
      </c>
      <c r="CO15" s="137">
        <f>0.693/CO16</f>
        <v>1.6041666666666665E-3</v>
      </c>
      <c r="CT15" s="83" t="s">
        <v>261</v>
      </c>
      <c r="CU15" s="144">
        <f>(CU5/(CU7*CU26*(1/CU10)*CU45))*CU11</f>
        <v>2701.3079484319128</v>
      </c>
      <c r="CV15" s="92" t="s">
        <v>10</v>
      </c>
      <c r="CW15" s="52" t="s">
        <v>365</v>
      </c>
      <c r="CX15" s="138">
        <f>B170</f>
        <v>24</v>
      </c>
      <c r="CY15" s="52" t="s">
        <v>194</v>
      </c>
      <c r="CZ15" s="83" t="s">
        <v>266</v>
      </c>
      <c r="DA15" s="153">
        <f>DA5/(DA8*DA26*(DA46/DA47))</f>
        <v>53.423416434799286</v>
      </c>
      <c r="DB15" s="83" t="s">
        <v>11</v>
      </c>
      <c r="DC15" s="83" t="s">
        <v>456</v>
      </c>
      <c r="DD15" s="146">
        <f>B165</f>
        <v>150</v>
      </c>
      <c r="DE15" s="83" t="s">
        <v>24</v>
      </c>
      <c r="DF15" s="92" t="s">
        <v>61</v>
      </c>
      <c r="DG15" s="138">
        <f>B193</f>
        <v>0.42</v>
      </c>
      <c r="DH15" s="52" t="s">
        <v>41</v>
      </c>
      <c r="DL15" s="92"/>
      <c r="DO15" s="92" t="s">
        <v>61</v>
      </c>
      <c r="DP15" s="138">
        <f>B193</f>
        <v>0.42</v>
      </c>
      <c r="DQ15" s="52" t="s">
        <v>41</v>
      </c>
      <c r="DR15" s="92" t="s">
        <v>479</v>
      </c>
      <c r="DS15" s="146">
        <f>B183</f>
        <v>1</v>
      </c>
      <c r="DU15" s="92"/>
      <c r="DX15" s="52" t="s">
        <v>350</v>
      </c>
      <c r="DY15" s="164">
        <f>B168</f>
        <v>1</v>
      </c>
      <c r="EA15" s="92"/>
      <c r="EB15" s="84"/>
      <c r="EC15" s="84"/>
      <c r="ED15" s="83" t="s">
        <v>27</v>
      </c>
      <c r="EE15" s="142">
        <f>B199</f>
        <v>92</v>
      </c>
      <c r="EF15" s="83" t="s">
        <v>28</v>
      </c>
      <c r="EG15" s="92" t="s">
        <v>480</v>
      </c>
      <c r="EH15" s="146">
        <f>B184</f>
        <v>1</v>
      </c>
      <c r="EJ15" s="92"/>
      <c r="EM15" s="83" t="s">
        <v>22</v>
      </c>
      <c r="EN15" s="137">
        <f>0.693/EN16</f>
        <v>1.6041666666666665E-3</v>
      </c>
      <c r="EP15" s="92"/>
      <c r="EQ15" s="84"/>
      <c r="ER15" s="84"/>
      <c r="ES15" s="83" t="s">
        <v>29</v>
      </c>
      <c r="ET15" s="142">
        <f>B205</f>
        <v>53</v>
      </c>
      <c r="EU15" s="83" t="s">
        <v>28</v>
      </c>
      <c r="EV15" s="92" t="s">
        <v>481</v>
      </c>
      <c r="EW15" s="146">
        <f>B185</f>
        <v>1</v>
      </c>
      <c r="EY15" s="83"/>
      <c r="EZ15" s="83"/>
      <c r="FA15" s="83"/>
      <c r="FB15" s="83" t="s">
        <v>22</v>
      </c>
      <c r="FC15" s="137">
        <f>0.693/FC16</f>
        <v>1.6041666666666665E-3</v>
      </c>
      <c r="FE15" s="83"/>
      <c r="FF15" s="83"/>
      <c r="FG15" s="83"/>
      <c r="FH15" s="83" t="s">
        <v>148</v>
      </c>
      <c r="FI15" s="164">
        <f>B210</f>
        <v>0.4</v>
      </c>
      <c r="FJ15" s="83" t="s">
        <v>28</v>
      </c>
      <c r="FK15" s="92" t="s">
        <v>482</v>
      </c>
      <c r="FL15" s="146">
        <f>B186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B187</f>
        <v>1</v>
      </c>
      <c r="GC15" s="83"/>
      <c r="GD15" s="83"/>
      <c r="GE15" s="83"/>
      <c r="GF15" s="83" t="s">
        <v>22</v>
      </c>
      <c r="GG15" s="137">
        <f>0.693/GG16</f>
        <v>1.6041666666666665E-3</v>
      </c>
      <c r="GI15" s="83"/>
      <c r="GJ15" s="83"/>
      <c r="GK15" s="83"/>
      <c r="GL15" s="83" t="s">
        <v>149</v>
      </c>
      <c r="GM15" s="164">
        <f>B215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1.6041666666666665E-3</v>
      </c>
      <c r="GX15" s="83"/>
      <c r="GY15" s="83"/>
      <c r="GZ15" s="83"/>
      <c r="HA15" s="83" t="s">
        <v>150</v>
      </c>
      <c r="HB15" s="142">
        <f>B220</f>
        <v>11.4</v>
      </c>
      <c r="HC15" s="83" t="s">
        <v>28</v>
      </c>
      <c r="HD15" s="84"/>
    </row>
    <row r="16" spans="1:214" s="83" customFormat="1" ht="13.5" thickBot="1" x14ac:dyDescent="0.25">
      <c r="A16" s="378"/>
      <c r="B16" s="379"/>
      <c r="C16" s="380"/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1327.5</v>
      </c>
      <c r="I16" s="83" t="s">
        <v>426</v>
      </c>
      <c r="J16" s="83" t="s">
        <v>262</v>
      </c>
      <c r="K16" s="144">
        <f>(K5/(K8*K42*((K37*K41*(1/K35))+(K38*K40*(1/K35)))*K32*(1/K44)*K33))*K11</f>
        <v>208.7775933769901</v>
      </c>
      <c r="L16" s="92" t="s">
        <v>10</v>
      </c>
      <c r="M16" s="52" t="s">
        <v>409</v>
      </c>
      <c r="N16" s="150">
        <f>B89</f>
        <v>25</v>
      </c>
      <c r="O16" s="52" t="s">
        <v>194</v>
      </c>
      <c r="P16" s="52" t="s">
        <v>409</v>
      </c>
      <c r="Q16" s="150">
        <f>B89</f>
        <v>25</v>
      </c>
      <c r="R16" s="52" t="s">
        <v>194</v>
      </c>
      <c r="S16" s="52" t="s">
        <v>409</v>
      </c>
      <c r="T16" s="150">
        <f>B89</f>
        <v>25</v>
      </c>
      <c r="U16" s="52" t="s">
        <v>194</v>
      </c>
      <c r="V16" s="52" t="s">
        <v>261</v>
      </c>
      <c r="W16" s="143">
        <f>(W5)/((W12/24)*W9*W10*W11*W13)</f>
        <v>2.1158773452351429E-3</v>
      </c>
      <c r="X16" s="52" t="s">
        <v>15</v>
      </c>
      <c r="Y16" s="52" t="s">
        <v>261</v>
      </c>
      <c r="Z16" s="143">
        <f>(Z5)/((Z12/24)*Z9*Z10*Z11*Z13)</f>
        <v>2.1158773452351429E-3</v>
      </c>
      <c r="AA16" s="52" t="s">
        <v>15</v>
      </c>
      <c r="AB16" s="83" t="s">
        <v>299</v>
      </c>
      <c r="AC16" s="141">
        <f>B231</f>
        <v>1</v>
      </c>
      <c r="AD16" s="141">
        <f>B241</f>
        <v>1</v>
      </c>
      <c r="AE16" s="141">
        <f>B251</f>
        <v>1</v>
      </c>
      <c r="AF16" s="141">
        <f>B261</f>
        <v>1</v>
      </c>
      <c r="AG16" s="141">
        <f>B272</f>
        <v>1</v>
      </c>
      <c r="AH16" s="92"/>
      <c r="AI16" s="52" t="s">
        <v>69</v>
      </c>
      <c r="AJ16" s="136">
        <f>B243</f>
        <v>5</v>
      </c>
      <c r="AK16" s="52" t="s">
        <v>194</v>
      </c>
      <c r="AL16" s="52" t="s">
        <v>69</v>
      </c>
      <c r="AM16" s="136">
        <f>B243</f>
        <v>5</v>
      </c>
      <c r="AN16" s="52" t="s">
        <v>194</v>
      </c>
      <c r="AO16" s="52" t="s">
        <v>69</v>
      </c>
      <c r="AP16" s="136">
        <f>B243</f>
        <v>5</v>
      </c>
      <c r="AQ16" s="52" t="s">
        <v>194</v>
      </c>
      <c r="AR16" s="52" t="s">
        <v>69</v>
      </c>
      <c r="AS16" s="136">
        <f>B253</f>
        <v>5</v>
      </c>
      <c r="AT16" s="52" t="s">
        <v>194</v>
      </c>
      <c r="AU16" s="52" t="s">
        <v>69</v>
      </c>
      <c r="AV16" s="136">
        <f>B253</f>
        <v>5</v>
      </c>
      <c r="AW16" s="52" t="s">
        <v>194</v>
      </c>
      <c r="AX16" s="52" t="s">
        <v>69</v>
      </c>
      <c r="AY16" s="136">
        <f>B253</f>
        <v>5</v>
      </c>
      <c r="AZ16" s="52" t="s">
        <v>194</v>
      </c>
      <c r="BA16" s="52" t="s">
        <v>69</v>
      </c>
      <c r="BB16" s="136">
        <f>B233</f>
        <v>5</v>
      </c>
      <c r="BC16" s="52" t="s">
        <v>194</v>
      </c>
      <c r="BD16" s="52" t="s">
        <v>69</v>
      </c>
      <c r="BE16" s="136">
        <f>B233</f>
        <v>5</v>
      </c>
      <c r="BF16" s="52" t="s">
        <v>194</v>
      </c>
      <c r="BG16" s="52" t="s">
        <v>69</v>
      </c>
      <c r="BH16" s="136">
        <f>B233</f>
        <v>5</v>
      </c>
      <c r="BI16" s="52" t="s">
        <v>194</v>
      </c>
      <c r="BJ16" s="52" t="s">
        <v>412</v>
      </c>
      <c r="BK16" s="139">
        <f>B22</f>
        <v>3.7173200000000003E-2</v>
      </c>
      <c r="BL16" s="84" t="s">
        <v>353</v>
      </c>
      <c r="BM16" s="52" t="s">
        <v>415</v>
      </c>
      <c r="BN16" s="139">
        <f>B24</f>
        <v>1.83064E-2</v>
      </c>
      <c r="BO16" s="84" t="s">
        <v>353</v>
      </c>
      <c r="BP16" s="52" t="s">
        <v>417</v>
      </c>
      <c r="BQ16" s="139">
        <f>B26</f>
        <v>3.7173200000000003E-2</v>
      </c>
      <c r="BR16" s="84" t="s">
        <v>353</v>
      </c>
      <c r="BS16" s="83" t="s">
        <v>256</v>
      </c>
      <c r="BT16" s="136">
        <f>E17</f>
        <v>125.5296</v>
      </c>
      <c r="BU16" s="83" t="s">
        <v>343</v>
      </c>
      <c r="BV16" s="83" t="s">
        <v>437</v>
      </c>
      <c r="BW16" s="140">
        <f>((BW18*BW20*BW23*BW30)+(BW19*BW21*BW24*BW31))</f>
        <v>1375</v>
      </c>
      <c r="BX16" s="83" t="s">
        <v>356</v>
      </c>
      <c r="BY16" s="83" t="s">
        <v>46</v>
      </c>
      <c r="BZ16" s="149">
        <f>(BZ18*BZ22*BZ34)+(BZ19*BZ23*BZ35)</f>
        <v>3382.5</v>
      </c>
      <c r="CA16" s="83" t="s">
        <v>346</v>
      </c>
      <c r="CN16" s="91" t="s">
        <v>231</v>
      </c>
      <c r="CO16" s="136">
        <f>B30</f>
        <v>432</v>
      </c>
      <c r="CP16" s="52" t="s">
        <v>60</v>
      </c>
      <c r="CT16" s="83" t="s">
        <v>262</v>
      </c>
      <c r="CU16" s="144">
        <f>(CU5/(CU8*CU42*((CU37*CU41*(1/24))+(CU38*CU40*(1/24)))*CU32*(1/CU44)))*CU11</f>
        <v>417.30379151272047</v>
      </c>
      <c r="CV16" s="92" t="s">
        <v>10</v>
      </c>
      <c r="CW16" s="52" t="s">
        <v>364</v>
      </c>
      <c r="CX16" s="138">
        <f>B169</f>
        <v>24</v>
      </c>
      <c r="CY16" s="52" t="s">
        <v>194</v>
      </c>
      <c r="CZ16" s="83" t="s">
        <v>512</v>
      </c>
      <c r="DA16" s="153">
        <f>DG2</f>
        <v>5.4074565463791826</v>
      </c>
      <c r="DB16" s="83" t="s">
        <v>11</v>
      </c>
      <c r="DC16" s="83" t="s">
        <v>363</v>
      </c>
      <c r="DD16" s="146">
        <f>B168</f>
        <v>1</v>
      </c>
      <c r="DE16" s="83" t="s">
        <v>60</v>
      </c>
      <c r="DF16" s="92" t="s">
        <v>63</v>
      </c>
      <c r="DG16" s="151">
        <f>DG20+(0.693/DG22)</f>
        <v>4.9504394977168943E-2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1.6041666666666665E-3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B30</f>
        <v>432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B30</f>
        <v>432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B30</f>
        <v>432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B163</f>
        <v>0.15</v>
      </c>
      <c r="GQ16" s="52"/>
      <c r="GU16" s="91" t="s">
        <v>231</v>
      </c>
      <c r="GV16" s="136">
        <f>B30</f>
        <v>432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</row>
    <row r="17" spans="1:214" ht="14.25" thickTop="1" thickBot="1" x14ac:dyDescent="0.25">
      <c r="A17" s="52" t="s">
        <v>267</v>
      </c>
      <c r="B17" s="129">
        <v>1</v>
      </c>
      <c r="C17" s="52" t="s">
        <v>344</v>
      </c>
      <c r="D17" s="83" t="s">
        <v>256</v>
      </c>
      <c r="E17" s="136">
        <f>B27</f>
        <v>125.5296</v>
      </c>
      <c r="F17" s="83" t="s">
        <v>343</v>
      </c>
      <c r="G17" s="83" t="s">
        <v>370</v>
      </c>
      <c r="H17" s="146">
        <f>B54</f>
        <v>0.25</v>
      </c>
      <c r="I17" s="52" t="s">
        <v>28</v>
      </c>
      <c r="J17" s="83" t="s">
        <v>263</v>
      </c>
      <c r="K17" s="153">
        <f>(K18/(K47+K48))*K11</f>
        <v>1.0595960782792013</v>
      </c>
      <c r="L17" s="92" t="s">
        <v>10</v>
      </c>
      <c r="M17" s="83"/>
      <c r="N17" s="83"/>
      <c r="O17" s="83"/>
      <c r="P17" s="83"/>
      <c r="Q17" s="83"/>
      <c r="R17" s="83"/>
      <c r="S17" s="83"/>
      <c r="T17" s="83"/>
      <c r="U17" s="83"/>
      <c r="V17" s="52" t="s">
        <v>271</v>
      </c>
      <c r="W17" s="144">
        <f>(W5)/((W12/24)*W9*W14*(1/365))</f>
        <v>0.1116549403487305</v>
      </c>
      <c r="X17" s="52" t="s">
        <v>15</v>
      </c>
      <c r="Y17" s="52" t="s">
        <v>271</v>
      </c>
      <c r="Z17" s="144">
        <f>(Z5)/((Z12/24)*Z9*Z14*(1/365))</f>
        <v>0.1116549403487305</v>
      </c>
      <c r="AA17" s="52" t="s">
        <v>15</v>
      </c>
      <c r="AB17" s="83" t="s">
        <v>413</v>
      </c>
      <c r="AC17" s="161">
        <f>B4</f>
        <v>0.753</v>
      </c>
      <c r="AD17" s="161">
        <f>B4</f>
        <v>0.753</v>
      </c>
      <c r="AE17" s="161">
        <f>B4</f>
        <v>0.753</v>
      </c>
      <c r="AF17" s="161">
        <f>B4</f>
        <v>0.753</v>
      </c>
      <c r="AG17" s="161">
        <f>B4</f>
        <v>0.753</v>
      </c>
      <c r="AH17" s="92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K17" s="83"/>
      <c r="BL17" s="83"/>
      <c r="BM17" s="83"/>
      <c r="BN17" s="83"/>
      <c r="BO17" s="83"/>
      <c r="BP17" s="83"/>
      <c r="BQ17" s="83"/>
      <c r="BR17" s="83"/>
      <c r="BS17" s="83" t="s">
        <v>301</v>
      </c>
      <c r="BT17" s="142">
        <f>B121</f>
        <v>2</v>
      </c>
      <c r="BV17" s="83" t="s">
        <v>65</v>
      </c>
      <c r="BW17" s="141">
        <f>B126</f>
        <v>0.5</v>
      </c>
      <c r="BX17" s="52" t="s">
        <v>66</v>
      </c>
      <c r="BY17" s="83" t="s">
        <v>43</v>
      </c>
      <c r="BZ17" s="149">
        <f>(BZ24*BZ20*(BZ26/24)*BZ34)+(BZ23*BZ21*(BZ27/24)*BZ35)</f>
        <v>101.40625</v>
      </c>
      <c r="CA17" s="52" t="s">
        <v>426</v>
      </c>
      <c r="CN17" s="84" t="s">
        <v>16</v>
      </c>
      <c r="CO17" s="137">
        <f>(CO14*CO15)/(1-EXP(-CO15*CO14))</f>
        <v>1.0008022977791844</v>
      </c>
      <c r="CT17" s="83" t="s">
        <v>263</v>
      </c>
      <c r="CU17" s="153">
        <f>DJ2</f>
        <v>0.26489901956980033</v>
      </c>
      <c r="CV17" s="92" t="s">
        <v>10</v>
      </c>
      <c r="CW17" s="83" t="s">
        <v>256</v>
      </c>
      <c r="CX17" s="136">
        <f>B27</f>
        <v>125.5296</v>
      </c>
      <c r="CY17" s="83" t="s">
        <v>343</v>
      </c>
      <c r="CZ17" s="83" t="s">
        <v>511</v>
      </c>
      <c r="DA17" s="153">
        <f>DD2</f>
        <v>6.8823598235362937E-2</v>
      </c>
      <c r="DB17" s="83" t="s">
        <v>10</v>
      </c>
      <c r="DC17" s="93"/>
      <c r="DD17" s="136">
        <v>9.9999999999999995E-7</v>
      </c>
      <c r="DE17" s="88"/>
      <c r="DF17" s="92" t="s">
        <v>67</v>
      </c>
      <c r="DG17" s="142">
        <f>B194</f>
        <v>60</v>
      </c>
      <c r="DH17" s="83" t="s">
        <v>53</v>
      </c>
      <c r="DL17" s="92"/>
      <c r="DM17" s="83"/>
      <c r="DN17" s="83"/>
      <c r="DO17" s="92" t="s">
        <v>67</v>
      </c>
      <c r="DP17" s="142">
        <f>B194</f>
        <v>60</v>
      </c>
      <c r="DQ17" s="83" t="s">
        <v>53</v>
      </c>
      <c r="DR17" s="83" t="s">
        <v>475</v>
      </c>
      <c r="DS17" s="146">
        <f>B163</f>
        <v>0.15</v>
      </c>
      <c r="DU17" s="92"/>
      <c r="DV17" s="87"/>
      <c r="DW17" s="83"/>
      <c r="DX17" s="91" t="s">
        <v>231</v>
      </c>
      <c r="DY17" s="136">
        <f>B30</f>
        <v>432</v>
      </c>
      <c r="DZ17" s="52" t="s">
        <v>60</v>
      </c>
      <c r="EA17" s="92"/>
      <c r="EB17" s="83"/>
      <c r="EC17" s="83"/>
      <c r="ED17" s="92" t="s">
        <v>67</v>
      </c>
      <c r="EE17" s="142">
        <f>B194</f>
        <v>60</v>
      </c>
      <c r="EF17" s="83" t="s">
        <v>53</v>
      </c>
      <c r="EG17" s="83" t="s">
        <v>475</v>
      </c>
      <c r="EH17" s="146">
        <f>B163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1.0008022977791844</v>
      </c>
      <c r="EP17" s="92"/>
      <c r="EQ17" s="83"/>
      <c r="ER17" s="83"/>
      <c r="ES17" s="92" t="s">
        <v>67</v>
      </c>
      <c r="ET17" s="142">
        <f>B194</f>
        <v>60</v>
      </c>
      <c r="EU17" s="83" t="s">
        <v>53</v>
      </c>
      <c r="EV17" s="83" t="s">
        <v>475</v>
      </c>
      <c r="EW17" s="141">
        <f>B163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1.0008022977791844</v>
      </c>
      <c r="FE17" s="83"/>
      <c r="FF17" s="83"/>
      <c r="FG17" s="83"/>
      <c r="FH17" s="83" t="s">
        <v>67</v>
      </c>
      <c r="FI17" s="142">
        <f>B194</f>
        <v>60</v>
      </c>
      <c r="FJ17" s="83" t="s">
        <v>53</v>
      </c>
      <c r="FK17" s="83" t="s">
        <v>475</v>
      </c>
      <c r="FL17" s="141">
        <f>B163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B163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1.0008022977791844</v>
      </c>
      <c r="GI17" s="83"/>
      <c r="GJ17" s="83"/>
      <c r="GK17" s="83"/>
      <c r="GL17" s="83" t="s">
        <v>67</v>
      </c>
      <c r="GM17" s="142">
        <f>B194</f>
        <v>60</v>
      </c>
      <c r="GN17" s="83" t="s">
        <v>53</v>
      </c>
      <c r="GO17" s="83" t="s">
        <v>476</v>
      </c>
      <c r="GP17" s="141">
        <f>B164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1.0008022977791844</v>
      </c>
      <c r="GX17" s="83"/>
      <c r="GY17" s="83"/>
      <c r="GZ17" s="83"/>
      <c r="HA17" s="83" t="s">
        <v>67</v>
      </c>
      <c r="HB17" s="142">
        <f>B194</f>
        <v>60</v>
      </c>
      <c r="HC17" s="83" t="s">
        <v>53</v>
      </c>
      <c r="HD17" s="84"/>
      <c r="HE17" s="84"/>
    </row>
    <row r="18" spans="1:214" ht="19.5" thickTop="1" thickBot="1" x14ac:dyDescent="0.25">
      <c r="A18" s="83" t="s">
        <v>247</v>
      </c>
      <c r="B18" s="184">
        <v>0.36297000000000001</v>
      </c>
      <c r="C18" s="84" t="s">
        <v>259</v>
      </c>
      <c r="D18" s="83" t="s">
        <v>301</v>
      </c>
      <c r="E18" s="142">
        <f>B72</f>
        <v>2</v>
      </c>
      <c r="G18" s="83" t="s">
        <v>371</v>
      </c>
      <c r="H18" s="146">
        <f>B55</f>
        <v>1.5</v>
      </c>
      <c r="I18" s="52" t="s">
        <v>28</v>
      </c>
      <c r="J18" s="83" t="s">
        <v>264</v>
      </c>
      <c r="K18" s="154">
        <f>K5/(K9*(K25+K28)*K36)</f>
        <v>0.27529439294145175</v>
      </c>
      <c r="L18" s="92" t="s">
        <v>10</v>
      </c>
      <c r="V18" s="52" t="s">
        <v>261</v>
      </c>
      <c r="W18" s="144">
        <f>(W5*W7*W6)/((W12/24)*(1-EXP(-W7*W10))*W11*W13*W9*W10)</f>
        <v>2.1175749089302515E-3</v>
      </c>
      <c r="X18" s="52" t="s">
        <v>16</v>
      </c>
      <c r="Y18" s="52" t="s">
        <v>261</v>
      </c>
      <c r="Z18" s="144">
        <f>(Z5*Z7*Z6)/((Z12/24)*(1-EXP(-Z7*Z10))*Z11*Z13*Z9*Z10)</f>
        <v>2.1175749089302515E-3</v>
      </c>
      <c r="AA18" s="52" t="s">
        <v>16</v>
      </c>
      <c r="AB18" s="83" t="s">
        <v>412</v>
      </c>
      <c r="AC18" s="136">
        <f>B22</f>
        <v>3.7173200000000003E-2</v>
      </c>
      <c r="AD18" s="136">
        <f>B22</f>
        <v>3.7173200000000003E-2</v>
      </c>
      <c r="AE18" s="136">
        <f>B22</f>
        <v>3.7173200000000003E-2</v>
      </c>
      <c r="AF18" s="136">
        <f>B22</f>
        <v>3.7173200000000003E-2</v>
      </c>
      <c r="AG18" s="136">
        <f>B22</f>
        <v>3.7173200000000003E-2</v>
      </c>
      <c r="AH18" s="83" t="s">
        <v>351</v>
      </c>
      <c r="BS18" s="52" t="s">
        <v>261</v>
      </c>
      <c r="BT18" s="143">
        <f>(BT5)/(BT9*BT10)</f>
        <v>2.716843021616774E-2</v>
      </c>
      <c r="BU18" s="52" t="s">
        <v>15</v>
      </c>
      <c r="BV18" s="83" t="s">
        <v>433</v>
      </c>
      <c r="BW18" s="150">
        <f>B122</f>
        <v>55</v>
      </c>
      <c r="BX18" s="83" t="s">
        <v>24</v>
      </c>
      <c r="BY18" s="83" t="s">
        <v>441</v>
      </c>
      <c r="BZ18" s="146">
        <f>B107</f>
        <v>100</v>
      </c>
      <c r="CA18" s="84" t="s">
        <v>48</v>
      </c>
      <c r="CB18" s="274" t="s">
        <v>572</v>
      </c>
      <c r="CC18" s="270"/>
      <c r="CD18" s="270"/>
      <c r="CE18" s="271" t="s">
        <v>573</v>
      </c>
      <c r="CF18" s="270"/>
      <c r="CG18" s="273"/>
      <c r="CH18" s="83"/>
      <c r="CI18" s="83"/>
      <c r="CJ18" s="83"/>
      <c r="CT18" s="83" t="s">
        <v>264</v>
      </c>
      <c r="CU18" s="153">
        <f>DD2</f>
        <v>6.8823598235362937E-2</v>
      </c>
      <c r="CV18" s="92" t="s">
        <v>10</v>
      </c>
      <c r="CW18" s="83" t="s">
        <v>301</v>
      </c>
      <c r="CX18" s="142">
        <f>B176</f>
        <v>2</v>
      </c>
      <c r="CZ18" s="91" t="s">
        <v>272</v>
      </c>
      <c r="DA18" s="144">
        <f>EZ2</f>
        <v>114705.99705893821</v>
      </c>
      <c r="DB18" s="83" t="s">
        <v>10</v>
      </c>
      <c r="DC18" s="88"/>
      <c r="DD18" s="136">
        <v>1000</v>
      </c>
      <c r="DE18" s="92" t="s">
        <v>99</v>
      </c>
      <c r="DF18" s="92" t="s">
        <v>68</v>
      </c>
      <c r="DG18" s="142">
        <f>B195</f>
        <v>2</v>
      </c>
      <c r="DH18" s="83" t="s">
        <v>56</v>
      </c>
      <c r="DL18" s="92"/>
      <c r="DM18" s="83"/>
      <c r="DN18" s="83"/>
      <c r="DO18" s="92" t="s">
        <v>68</v>
      </c>
      <c r="DP18" s="142">
        <f>B195</f>
        <v>2</v>
      </c>
      <c r="DQ18" s="83" t="s">
        <v>56</v>
      </c>
      <c r="DR18" s="83" t="s">
        <v>476</v>
      </c>
      <c r="DS18" s="146">
        <f>B164</f>
        <v>0.85</v>
      </c>
      <c r="DU18" s="92"/>
      <c r="DV18" s="83"/>
      <c r="DW18" s="83"/>
      <c r="DX18" s="84" t="s">
        <v>16</v>
      </c>
      <c r="DY18" s="137">
        <f>(DY15*DY16)/(1-EXP(-DY16*DY15))</f>
        <v>1.0008022977791844</v>
      </c>
      <c r="EA18" s="92"/>
      <c r="EB18" s="83"/>
      <c r="EC18" s="83"/>
      <c r="ED18" s="92" t="s">
        <v>68</v>
      </c>
      <c r="EE18" s="142">
        <f>B195</f>
        <v>2</v>
      </c>
      <c r="EF18" s="83" t="s">
        <v>56</v>
      </c>
      <c r="EG18" s="83" t="s">
        <v>476</v>
      </c>
      <c r="EH18" s="146">
        <f>B164</f>
        <v>0.85</v>
      </c>
      <c r="EJ18" s="92"/>
      <c r="EK18" s="83"/>
      <c r="EL18" s="83"/>
      <c r="EP18" s="92"/>
      <c r="EQ18" s="83"/>
      <c r="ER18" s="83"/>
      <c r="ES18" s="92" t="s">
        <v>68</v>
      </c>
      <c r="ET18" s="142">
        <f>B195</f>
        <v>2</v>
      </c>
      <c r="EU18" s="83" t="s">
        <v>56</v>
      </c>
      <c r="EV18" s="83" t="s">
        <v>476</v>
      </c>
      <c r="EW18" s="141">
        <f>B164</f>
        <v>0.85</v>
      </c>
      <c r="EX18" s="92"/>
      <c r="EY18" s="83"/>
      <c r="EZ18" s="83"/>
      <c r="FA18" s="83"/>
      <c r="FB18" s="83"/>
      <c r="FC18" s="83"/>
      <c r="FD18" s="83"/>
      <c r="FE18" s="83"/>
      <c r="FF18" s="83"/>
      <c r="FG18" s="83"/>
      <c r="FH18" s="83" t="s">
        <v>68</v>
      </c>
      <c r="FI18" s="142">
        <f>B195</f>
        <v>2</v>
      </c>
      <c r="FJ18" s="83" t="s">
        <v>56</v>
      </c>
      <c r="FK18" s="83" t="s">
        <v>476</v>
      </c>
      <c r="FL18" s="141">
        <f>B164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B164</f>
        <v>0.85</v>
      </c>
      <c r="GB18" s="92"/>
      <c r="GC18" s="83"/>
      <c r="GD18" s="83"/>
      <c r="GE18" s="83"/>
      <c r="GF18" s="83"/>
      <c r="GG18" s="83"/>
      <c r="GH18" s="83"/>
      <c r="GI18" s="83"/>
      <c r="GJ18" s="83"/>
      <c r="GK18" s="83"/>
      <c r="GL18" s="83" t="s">
        <v>68</v>
      </c>
      <c r="GM18" s="142">
        <f>B195</f>
        <v>2</v>
      </c>
      <c r="GN18" s="83" t="s">
        <v>56</v>
      </c>
      <c r="GR18" s="83"/>
      <c r="GS18" s="83"/>
      <c r="GT18" s="83"/>
      <c r="GU18" s="83"/>
      <c r="GV18" s="83"/>
      <c r="GW18" s="83"/>
      <c r="GX18" s="83"/>
      <c r="GY18" s="83"/>
      <c r="GZ18" s="83"/>
      <c r="HA18" s="83" t="s">
        <v>68</v>
      </c>
      <c r="HB18" s="142">
        <f>B195</f>
        <v>2</v>
      </c>
      <c r="HC18" s="83" t="s">
        <v>56</v>
      </c>
    </row>
    <row r="19" spans="1:214" ht="19.5" thickTop="1" thickBot="1" x14ac:dyDescent="0.25">
      <c r="A19" s="83" t="s">
        <v>248</v>
      </c>
      <c r="B19" s="183">
        <v>8.8060000000000005E-4</v>
      </c>
      <c r="C19" s="84" t="s">
        <v>259</v>
      </c>
      <c r="D19" s="52" t="s">
        <v>261</v>
      </c>
      <c r="E19" s="143">
        <f>(E5)/((E15/E16)*E11*E12)</f>
        <v>2.0753661970683685E-3</v>
      </c>
      <c r="F19" s="52" t="s">
        <v>15</v>
      </c>
      <c r="G19" s="83" t="s">
        <v>366</v>
      </c>
      <c r="H19" s="146">
        <f>B50</f>
        <v>5</v>
      </c>
      <c r="I19" s="52" t="s">
        <v>407</v>
      </c>
      <c r="J19" s="83" t="s">
        <v>445</v>
      </c>
      <c r="K19" s="155">
        <f>K21*K31*K51+K22*K32*K52</f>
        <v>9225</v>
      </c>
      <c r="L19" s="83" t="s">
        <v>346</v>
      </c>
      <c r="V19" s="52" t="s">
        <v>271</v>
      </c>
      <c r="W19" s="145">
        <f>(W5*W7*W6)/((W12/24)*(1-EXP(-W7*W6))*W14*W9*(1/365))</f>
        <v>0.11174452085940724</v>
      </c>
      <c r="X19" s="52" t="s">
        <v>16</v>
      </c>
      <c r="Y19" s="52" t="s">
        <v>271</v>
      </c>
      <c r="Z19" s="145">
        <f>(Z5*Z7*Z6)/((Z12/24)*(1-EXP(-Z7*Z6))*Z14*Z9*(1/365))</f>
        <v>0.11174452085940724</v>
      </c>
      <c r="AA19" s="52" t="s">
        <v>16</v>
      </c>
      <c r="AB19" s="83" t="s">
        <v>247</v>
      </c>
      <c r="AC19" s="139">
        <f>B18</f>
        <v>0.36297000000000001</v>
      </c>
      <c r="AD19" s="139">
        <f>B18</f>
        <v>0.36297000000000001</v>
      </c>
      <c r="AE19" s="139">
        <f>B18</f>
        <v>0.36297000000000001</v>
      </c>
      <c r="AF19" s="139">
        <f>B18</f>
        <v>0.36297000000000001</v>
      </c>
      <c r="AG19" s="139">
        <f>B18</f>
        <v>0.36297000000000001</v>
      </c>
      <c r="AH19" s="84" t="s">
        <v>259</v>
      </c>
      <c r="BS19" s="52" t="s">
        <v>271</v>
      </c>
      <c r="BT19" s="144">
        <f>(BT5)/(BT16*BT8*(1/365)*BT15*(1/24)*BT17)</f>
        <v>0.1268806140326483</v>
      </c>
      <c r="BU19" s="52" t="s">
        <v>15</v>
      </c>
      <c r="BV19" s="83" t="s">
        <v>434</v>
      </c>
      <c r="BW19" s="150">
        <f>B123</f>
        <v>55</v>
      </c>
      <c r="BX19" s="83" t="s">
        <v>24</v>
      </c>
      <c r="BY19" s="83" t="s">
        <v>442</v>
      </c>
      <c r="BZ19" s="146">
        <f>B108</f>
        <v>50</v>
      </c>
      <c r="CA19" s="84" t="s">
        <v>48</v>
      </c>
      <c r="CB19" s="267" t="s">
        <v>537</v>
      </c>
      <c r="CC19" s="261">
        <f>(CC22*CC23*CC24)/((1-EXP(-CC24*CC23))*CC27*CC31*(CC26/365)*CC29*(CC30/24)*CC28)</f>
        <v>98491902.693421081</v>
      </c>
      <c r="CD19" s="278" t="s">
        <v>10</v>
      </c>
      <c r="CE19" s="258" t="s">
        <v>537</v>
      </c>
      <c r="CF19" s="261">
        <f>(CF22*CF23*CF24)/((1-EXP(-CF24*CF23))*CF27*CF31*(CF26/365)*CF29*(CF30/24)*CF28)</f>
        <v>9610981.396627631</v>
      </c>
      <c r="CG19" s="264" t="s">
        <v>10</v>
      </c>
      <c r="CK19" s="274" t="s">
        <v>576</v>
      </c>
      <c r="CL19" s="270"/>
      <c r="CM19" s="270"/>
      <c r="CN19" s="271" t="s">
        <v>576</v>
      </c>
      <c r="CO19" s="270"/>
      <c r="CP19" s="270"/>
      <c r="CQ19" s="271" t="s">
        <v>576</v>
      </c>
      <c r="CR19" s="270"/>
      <c r="CS19" s="273"/>
      <c r="CT19" s="91" t="s">
        <v>272</v>
      </c>
      <c r="CU19" s="144">
        <f>FC2</f>
        <v>637.72783566358589</v>
      </c>
      <c r="CV19" s="92" t="s">
        <v>10</v>
      </c>
      <c r="CW19" s="52" t="s">
        <v>261</v>
      </c>
      <c r="CX19" s="143">
        <f>(CX5)/((CX15/CX16)*CX11*CX12)</f>
        <v>1.9856206317897364E-3</v>
      </c>
      <c r="CY19" s="52" t="s">
        <v>15</v>
      </c>
      <c r="CZ19" s="91" t="s">
        <v>273</v>
      </c>
      <c r="DA19" s="144">
        <f>GS2</f>
        <v>71025.385175813135</v>
      </c>
      <c r="DB19" s="83" t="s">
        <v>10</v>
      </c>
      <c r="DC19" s="92" t="s">
        <v>72</v>
      </c>
      <c r="DD19" s="146">
        <f>B182</f>
        <v>1</v>
      </c>
      <c r="DE19" s="93"/>
      <c r="DF19" s="92" t="s">
        <v>70</v>
      </c>
      <c r="DG19" s="138">
        <f>B196</f>
        <v>2.6999999999999999E-5</v>
      </c>
      <c r="DH19" s="52" t="s">
        <v>64</v>
      </c>
      <c r="DL19" s="92"/>
      <c r="DO19" s="92" t="s">
        <v>70</v>
      </c>
      <c r="DP19" s="138">
        <f>B196</f>
        <v>2.6999999999999999E-5</v>
      </c>
      <c r="DQ19" s="52" t="s">
        <v>64</v>
      </c>
      <c r="DU19" s="92"/>
      <c r="EA19" s="92"/>
      <c r="EB19" s="84"/>
      <c r="EC19" s="84"/>
      <c r="ED19" s="92" t="s">
        <v>70</v>
      </c>
      <c r="EE19" s="163">
        <f>B196</f>
        <v>2.6999999999999999E-5</v>
      </c>
      <c r="EF19" s="84" t="s">
        <v>64</v>
      </c>
      <c r="EJ19" s="92"/>
      <c r="EP19" s="92"/>
      <c r="EQ19" s="84"/>
      <c r="ER19" s="84"/>
      <c r="ES19" s="92" t="s">
        <v>70</v>
      </c>
      <c r="ET19" s="163">
        <f>B196</f>
        <v>2.6999999999999999E-5</v>
      </c>
      <c r="EU19" s="84" t="s">
        <v>64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B196</f>
        <v>2.6999999999999999E-5</v>
      </c>
      <c r="FJ19" s="84" t="s">
        <v>64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B196</f>
        <v>2.6999999999999999E-5</v>
      </c>
      <c r="GN19" s="84" t="s">
        <v>64</v>
      </c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B196</f>
        <v>2.6999999999999999E-5</v>
      </c>
      <c r="HC19" s="84" t="s">
        <v>64</v>
      </c>
    </row>
    <row r="20" spans="1:214" ht="19.5" thickTop="1" thickBot="1" x14ac:dyDescent="0.25">
      <c r="A20" s="83" t="s">
        <v>249</v>
      </c>
      <c r="B20" s="183">
        <v>8.8060000000000005E-4</v>
      </c>
      <c r="C20" s="83" t="s">
        <v>259</v>
      </c>
      <c r="D20" s="52" t="s">
        <v>271</v>
      </c>
      <c r="E20" s="144">
        <f>(E5)/((E15/E16)*E8*E17*(1/365)*E18)</f>
        <v>9.6922691274939684E-3</v>
      </c>
      <c r="F20" s="52" t="s">
        <v>15</v>
      </c>
      <c r="G20" s="83" t="s">
        <v>367</v>
      </c>
      <c r="H20" s="146">
        <f>B51</f>
        <v>10</v>
      </c>
      <c r="I20" s="52" t="s">
        <v>407</v>
      </c>
      <c r="J20" s="83" t="s">
        <v>396</v>
      </c>
      <c r="K20" s="155">
        <f>(K31*K23*(K34/24)*K51)+(K32*K24*(K35/24)*K52)</f>
        <v>1327.5</v>
      </c>
      <c r="L20" s="52" t="s">
        <v>407</v>
      </c>
      <c r="M20" s="325" t="s">
        <v>566</v>
      </c>
      <c r="N20" s="326"/>
      <c r="O20" s="326"/>
      <c r="P20" s="327" t="s">
        <v>536</v>
      </c>
      <c r="Q20" s="326"/>
      <c r="R20" s="329"/>
      <c r="AB20" s="83" t="s">
        <v>83</v>
      </c>
      <c r="AC20" s="139">
        <f>B232</f>
        <v>5</v>
      </c>
      <c r="AD20" s="139">
        <f>B242</f>
        <v>5</v>
      </c>
      <c r="AE20" s="139">
        <f>B252</f>
        <v>5</v>
      </c>
      <c r="AF20" s="139">
        <f>B262</f>
        <v>5</v>
      </c>
      <c r="AG20" s="139">
        <f>B273</f>
        <v>5</v>
      </c>
      <c r="AH20" s="84" t="s">
        <v>194</v>
      </c>
      <c r="AI20" s="296" t="s">
        <v>558</v>
      </c>
      <c r="AJ20" s="294"/>
      <c r="AK20" s="297"/>
      <c r="AL20" s="293" t="s">
        <v>545</v>
      </c>
      <c r="AM20" s="294"/>
      <c r="AN20" s="295"/>
      <c r="AR20" s="296" t="s">
        <v>560</v>
      </c>
      <c r="AS20" s="294"/>
      <c r="AT20" s="297"/>
      <c r="AU20" s="293" t="s">
        <v>550</v>
      </c>
      <c r="AV20" s="294"/>
      <c r="AW20" s="295"/>
      <c r="BA20" s="296" t="s">
        <v>562</v>
      </c>
      <c r="BB20" s="294"/>
      <c r="BC20" s="297"/>
      <c r="BD20" s="293" t="s">
        <v>553</v>
      </c>
      <c r="BE20" s="294"/>
      <c r="BF20" s="295"/>
      <c r="BJ20" s="296" t="s">
        <v>563</v>
      </c>
      <c r="BK20" s="294"/>
      <c r="BL20" s="297"/>
      <c r="BM20" s="293" t="s">
        <v>556</v>
      </c>
      <c r="BN20" s="294"/>
      <c r="BO20" s="295"/>
      <c r="BS20" s="52" t="s">
        <v>261</v>
      </c>
      <c r="BT20" s="144">
        <f>(BT5*BT24*BT6)/((1-EXP(-BT6*BT24))*BT9*BT10)</f>
        <v>2.7190227387394093E-2</v>
      </c>
      <c r="BU20" s="52" t="s">
        <v>16</v>
      </c>
      <c r="BV20" s="52" t="s">
        <v>443</v>
      </c>
      <c r="BW20" s="138">
        <f>B119</f>
        <v>5</v>
      </c>
      <c r="BX20" s="52" t="s">
        <v>89</v>
      </c>
      <c r="BY20" s="83" t="s">
        <v>429</v>
      </c>
      <c r="BZ20" s="141">
        <f>B103</f>
        <v>5</v>
      </c>
      <c r="CA20" s="92" t="s">
        <v>407</v>
      </c>
      <c r="CB20" s="268"/>
      <c r="CC20" s="262"/>
      <c r="CD20" s="279"/>
      <c r="CE20" s="259"/>
      <c r="CF20" s="262"/>
      <c r="CG20" s="265"/>
      <c r="CK20" s="267" t="s">
        <v>530</v>
      </c>
      <c r="CL20" s="261">
        <f>CL23/(CL24*CL25*CL26)</f>
        <v>6.8823598235362935</v>
      </c>
      <c r="CM20" s="255" t="s">
        <v>10</v>
      </c>
      <c r="CN20" s="258" t="s">
        <v>7</v>
      </c>
      <c r="CO20" s="261">
        <f>(CL20/(CO23*((CO28*CO30*CO31*(CO24+CO25))+(CO29*CO30))))*CO34</f>
        <v>2297.7346595590693</v>
      </c>
      <c r="CP20" s="255" t="s">
        <v>10</v>
      </c>
      <c r="CQ20" s="258" t="s">
        <v>6</v>
      </c>
      <c r="CR20" s="261">
        <f>CL20/(CR23*CR24*(1/CR25))</f>
        <v>6882359.8235362936</v>
      </c>
      <c r="CS20" s="264" t="s">
        <v>10</v>
      </c>
      <c r="CT20" s="91" t="s">
        <v>273</v>
      </c>
      <c r="CU20" s="144">
        <f>GV2</f>
        <v>524.45616455474851</v>
      </c>
      <c r="CV20" s="92" t="s">
        <v>10</v>
      </c>
      <c r="CW20" s="52" t="s">
        <v>271</v>
      </c>
      <c r="CX20" s="144">
        <f>(CX5)/((CX15/CX16)*CX8*CX17*(1/365)*CX18)</f>
        <v>9.6922691274939684E-3</v>
      </c>
      <c r="CY20" s="52" t="s">
        <v>15</v>
      </c>
      <c r="CZ20" s="91" t="s">
        <v>274</v>
      </c>
      <c r="DA20" s="144">
        <f>EK2</f>
        <v>5.1942338290839958</v>
      </c>
      <c r="DB20" s="83" t="s">
        <v>10</v>
      </c>
      <c r="DC20" s="83" t="s">
        <v>475</v>
      </c>
      <c r="DD20" s="146">
        <f>B163</f>
        <v>0.15</v>
      </c>
      <c r="DF20" s="92" t="s">
        <v>71</v>
      </c>
      <c r="DG20" s="137">
        <f>0.693/DG23</f>
        <v>4.3949771689497717E-6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83" t="s">
        <v>250</v>
      </c>
      <c r="B21" s="183">
        <v>7.5480000000000002E-4</v>
      </c>
      <c r="C21" s="83" t="s">
        <v>259</v>
      </c>
      <c r="D21" s="52" t="s">
        <v>261</v>
      </c>
      <c r="E21" s="144">
        <f>(E5*E10*E6)/((1-EXP(-E6*E10))*E11*E12)</f>
        <v>2.077031258759271E-3</v>
      </c>
      <c r="F21" s="52" t="s">
        <v>16</v>
      </c>
      <c r="G21" s="83" t="s">
        <v>397</v>
      </c>
      <c r="H21" s="148">
        <f>(H29*H36*H32*H68)+(H30*H37*H33*H69)</f>
        <v>476.25</v>
      </c>
      <c r="I21" s="83" t="s">
        <v>356</v>
      </c>
      <c r="J21" s="83" t="s">
        <v>368</v>
      </c>
      <c r="K21" s="146">
        <f>B52</f>
        <v>100</v>
      </c>
      <c r="L21" s="84" t="s">
        <v>48</v>
      </c>
      <c r="M21" s="330" t="s">
        <v>537</v>
      </c>
      <c r="N21" s="333">
        <f>(N24*N25*N26)/((1-EXP(-N26*N25))*N34*N32*(N28/365)*(((N33/24)*N31)+((N35/24)*N30)))</f>
        <v>113.39665456886347</v>
      </c>
      <c r="O21" s="336" t="s">
        <v>76</v>
      </c>
      <c r="P21" s="339" t="s">
        <v>537</v>
      </c>
      <c r="Q21" s="333">
        <f>(Q24*Q25*Q26)/((1-EXP(-Q26*Q25))*Q34*Q32*(Q28/365)*(((Q33/24)*Q31)+((Q35/24)*Q30)))</f>
        <v>95.146146880647763</v>
      </c>
      <c r="R21" s="342" t="s">
        <v>10</v>
      </c>
      <c r="AB21" s="83" t="s">
        <v>85</v>
      </c>
      <c r="AC21" s="139">
        <f>B233</f>
        <v>5</v>
      </c>
      <c r="AD21" s="139">
        <f>B243</f>
        <v>5</v>
      </c>
      <c r="AE21" s="139">
        <f>B253</f>
        <v>5</v>
      </c>
      <c r="AF21" s="139">
        <f>B263</f>
        <v>5</v>
      </c>
      <c r="AG21" s="139">
        <f>B274</f>
        <v>5</v>
      </c>
      <c r="AH21" s="84" t="s">
        <v>194</v>
      </c>
      <c r="AI21" s="306" t="s">
        <v>537</v>
      </c>
      <c r="AJ21" s="303">
        <f>(AJ24*AJ25*AJ26)/((1-EXP(-AJ26*AJ25))*AJ34*(AJ28/365)*AJ29*(AJ35/24)*AJ30*AJ32)</f>
        <v>680.38206380615281</v>
      </c>
      <c r="AK21" s="290" t="s">
        <v>76</v>
      </c>
      <c r="AL21" s="287" t="s">
        <v>537</v>
      </c>
      <c r="AM21" s="303">
        <f>(AM24*AM25*AM26)/((1-EXP(-AM26*AM25))*AM34*(AM28/365)*AM29*(AM35/24)*AM30*AM32)</f>
        <v>570.89229495968129</v>
      </c>
      <c r="AN21" s="281" t="s">
        <v>10</v>
      </c>
      <c r="AR21" s="306" t="s">
        <v>537</v>
      </c>
      <c r="AS21" s="303">
        <f>(AS24*AS25*AS26)/((1-EXP(-AS26*AS25))*AS34*(AS28/365)*AS29*(AS33/24)*AS31*AS32)</f>
        <v>43336437.185105287</v>
      </c>
      <c r="AT21" s="290" t="s">
        <v>76</v>
      </c>
      <c r="AU21" s="287" t="s">
        <v>537</v>
      </c>
      <c r="AV21" s="303">
        <f>(AV24*AV25*AV26)/((1-EXP(-AV26*AV25))*AV34*(AV28/365)*AV29*(AV33/24)*AV31*AV32)</f>
        <v>4228831.8145161569</v>
      </c>
      <c r="AW21" s="281" t="s">
        <v>10</v>
      </c>
      <c r="BA21" s="306" t="s">
        <v>537</v>
      </c>
      <c r="BB21" s="303">
        <f>(BB24*BB25*BB26)/((1-EXP(-BB26*BB25))*BB34*(BB28/365)*(BB33/24)*BB31*BB32)</f>
        <v>43336437.185105287</v>
      </c>
      <c r="BC21" s="290" t="s">
        <v>76</v>
      </c>
      <c r="BD21" s="287" t="s">
        <v>537</v>
      </c>
      <c r="BE21" s="303">
        <f>(BE24*BE25*BE26)/((1-EXP(-BE26*BE25))*BE34*(BE28/365)*(BE33/24)*BE31*BE32)</f>
        <v>4228831.8145161569</v>
      </c>
      <c r="BF21" s="281" t="s">
        <v>10</v>
      </c>
      <c r="BJ21" s="306" t="s">
        <v>537</v>
      </c>
      <c r="BK21" s="284">
        <f>(BK24*BK25*BK26)/((1-EXP(-BK26*BK25))*BK35*(BK28/365)*(BK34/24)*BK32*BK33)</f>
        <v>72227395.308508798</v>
      </c>
      <c r="BL21" s="290" t="s">
        <v>76</v>
      </c>
      <c r="BM21" s="287" t="s">
        <v>537</v>
      </c>
      <c r="BN21" s="284">
        <f>(BN24*BN25*BN26)/((1-EXP(-BN26*BN25))*BN35*(BN28/365)*(BN34/24)*BN32*BN33)</f>
        <v>7048053.0241935961</v>
      </c>
      <c r="BO21" s="281" t="s">
        <v>10</v>
      </c>
      <c r="BS21" s="52" t="s">
        <v>271</v>
      </c>
      <c r="BT21" s="145">
        <f>(BT5*BT24*BT6)/((1-EXP(-BT6*BT24))*BT16*BT8*(1/365)*BT15*(1/24)*BT17)</f>
        <v>0.12698241006750821</v>
      </c>
      <c r="BU21" s="52" t="s">
        <v>16</v>
      </c>
      <c r="BV21" s="52" t="s">
        <v>444</v>
      </c>
      <c r="BW21" s="138">
        <f>B120</f>
        <v>5</v>
      </c>
      <c r="BX21" s="52" t="s">
        <v>89</v>
      </c>
      <c r="BY21" s="83" t="s">
        <v>430</v>
      </c>
      <c r="BZ21" s="141">
        <f>B104</f>
        <v>10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56"/>
      <c r="CN21" s="259"/>
      <c r="CO21" s="262"/>
      <c r="CP21" s="256"/>
      <c r="CQ21" s="259"/>
      <c r="CR21" s="262"/>
      <c r="CS21" s="265"/>
      <c r="CT21" s="91" t="s">
        <v>274</v>
      </c>
      <c r="CU21" s="144">
        <f>EN2</f>
        <v>80.027462225261289</v>
      </c>
      <c r="CV21" s="92" t="s">
        <v>10</v>
      </c>
      <c r="CW21" s="52" t="s">
        <v>261</v>
      </c>
      <c r="CX21" s="144">
        <f>(CX5*CX10*CX6)/((CX15/CX16)*(1-EXP(-CX6*CX9))*CX11*CX12)</f>
        <v>1.9872136908129241E-3</v>
      </c>
      <c r="CY21" s="52" t="s">
        <v>16</v>
      </c>
      <c r="CZ21" s="91" t="s">
        <v>509</v>
      </c>
      <c r="DA21" s="144">
        <f>DV2</f>
        <v>3669166.9866678999</v>
      </c>
      <c r="DB21" s="83" t="s">
        <v>10</v>
      </c>
      <c r="DC21" s="83" t="s">
        <v>476</v>
      </c>
      <c r="DD21" s="146">
        <f>B164</f>
        <v>0.85</v>
      </c>
      <c r="DF21" s="92" t="s">
        <v>73</v>
      </c>
      <c r="DG21" s="138">
        <f>B197</f>
        <v>1</v>
      </c>
      <c r="DH21" s="52" t="s">
        <v>41</v>
      </c>
      <c r="DL21" s="92"/>
      <c r="DO21" s="92" t="s">
        <v>73</v>
      </c>
      <c r="DP21" s="138">
        <f>B197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B197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B197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B197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B197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B197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83" t="s">
        <v>251</v>
      </c>
      <c r="B22" s="183">
        <v>3.7173200000000003E-2</v>
      </c>
      <c r="C22" s="83" t="s">
        <v>351</v>
      </c>
      <c r="D22" s="52" t="s">
        <v>271</v>
      </c>
      <c r="E22" s="145">
        <f>(E5*E10*E6)/((E15/E16)*E8*(1-EXP(-E6*E10))*E17*(1/365)*E18)</f>
        <v>9.7000452134902125E-3</v>
      </c>
      <c r="F22" s="52" t="s">
        <v>16</v>
      </c>
      <c r="G22" s="83" t="s">
        <v>398</v>
      </c>
      <c r="H22" s="149">
        <f>(H29*H23*H68)+(H30*H24*H69)</f>
        <v>8250</v>
      </c>
      <c r="I22" s="92" t="s">
        <v>347</v>
      </c>
      <c r="J22" s="83" t="s">
        <v>369</v>
      </c>
      <c r="K22" s="146">
        <f>B53</f>
        <v>50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B234</f>
        <v>0.4</v>
      </c>
      <c r="AD22" s="150">
        <f>B244</f>
        <v>0.4</v>
      </c>
      <c r="AE22" s="150">
        <f>B254</f>
        <v>0.4</v>
      </c>
      <c r="AF22" s="150">
        <f>B264</f>
        <v>0.4</v>
      </c>
      <c r="AG22" s="150">
        <f>B275</f>
        <v>0.4</v>
      </c>
      <c r="AI22" s="307"/>
      <c r="AJ22" s="304"/>
      <c r="AK22" s="291"/>
      <c r="AL22" s="288"/>
      <c r="AM22" s="304"/>
      <c r="AN22" s="282"/>
      <c r="AR22" s="307"/>
      <c r="AS22" s="304"/>
      <c r="AT22" s="291"/>
      <c r="AU22" s="288"/>
      <c r="AV22" s="304"/>
      <c r="AW22" s="282"/>
      <c r="BA22" s="307"/>
      <c r="BB22" s="304"/>
      <c r="BC22" s="291"/>
      <c r="BD22" s="288"/>
      <c r="BE22" s="304"/>
      <c r="BF22" s="282"/>
      <c r="BJ22" s="307"/>
      <c r="BK22" s="285"/>
      <c r="BL22" s="291"/>
      <c r="BM22" s="288"/>
      <c r="BN22" s="285"/>
      <c r="BO22" s="282"/>
      <c r="BS22" s="52" t="s">
        <v>433</v>
      </c>
      <c r="BT22" s="138">
        <f>B114</f>
        <v>55</v>
      </c>
      <c r="BU22" s="52" t="s">
        <v>24</v>
      </c>
      <c r="BV22" s="83" t="s">
        <v>90</v>
      </c>
      <c r="BW22" s="150">
        <f>B118</f>
        <v>5</v>
      </c>
      <c r="BX22" s="52" t="s">
        <v>194</v>
      </c>
      <c r="BY22" s="83" t="s">
        <v>140</v>
      </c>
      <c r="BZ22" s="150">
        <f>B113</f>
        <v>55</v>
      </c>
      <c r="CA22" s="83" t="s">
        <v>24</v>
      </c>
      <c r="CB22" s="52" t="s">
        <v>267</v>
      </c>
      <c r="CC22" s="136">
        <f>B17</f>
        <v>1</v>
      </c>
      <c r="CD22" s="52" t="s">
        <v>344</v>
      </c>
      <c r="CE22" s="52" t="s">
        <v>267</v>
      </c>
      <c r="CF22" s="136">
        <f>B17</f>
        <v>1</v>
      </c>
      <c r="CG22" s="52" t="s">
        <v>344</v>
      </c>
      <c r="CK22" s="269"/>
      <c r="CL22" s="263"/>
      <c r="CM22" s="257"/>
      <c r="CN22" s="260"/>
      <c r="CO22" s="263"/>
      <c r="CP22" s="257"/>
      <c r="CQ22" s="260"/>
      <c r="CR22" s="263"/>
      <c r="CS22" s="266"/>
      <c r="CT22" s="91" t="s">
        <v>275</v>
      </c>
      <c r="CU22" s="144">
        <f>DY2</f>
        <v>61699.841819247013</v>
      </c>
      <c r="CV22" s="92" t="s">
        <v>10</v>
      </c>
      <c r="CW22" s="52" t="s">
        <v>271</v>
      </c>
      <c r="CX22" s="145">
        <f>(CX5*CX10*CX6)/((CX15/CX16)*CX8*(1-EXP(-CX6*CX10))*CX17*(1/365)*CX18)</f>
        <v>9.7000452134902125E-3</v>
      </c>
      <c r="CY22" s="52" t="s">
        <v>16</v>
      </c>
      <c r="CZ22" s="91" t="s">
        <v>510</v>
      </c>
      <c r="DA22" s="144">
        <f>GD2</f>
        <v>57352.998529469107</v>
      </c>
      <c r="DB22" s="83" t="s">
        <v>10</v>
      </c>
      <c r="DF22" s="92" t="s">
        <v>74</v>
      </c>
      <c r="DG22" s="138">
        <f>B198</f>
        <v>14</v>
      </c>
      <c r="DH22" s="52" t="s">
        <v>75</v>
      </c>
      <c r="DL22" s="92"/>
      <c r="DO22" s="92" t="s">
        <v>74</v>
      </c>
      <c r="DP22" s="138">
        <f>B198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B198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B198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B198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B198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B198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252</v>
      </c>
      <c r="B23" s="183">
        <v>2.5484199999999999E-2</v>
      </c>
      <c r="C23" s="83" t="s">
        <v>352</v>
      </c>
      <c r="D23" s="52" t="s">
        <v>380</v>
      </c>
      <c r="E23" s="138">
        <f>B66</f>
        <v>150</v>
      </c>
      <c r="F23" s="52" t="s">
        <v>24</v>
      </c>
      <c r="G23" s="83" t="s">
        <v>399</v>
      </c>
      <c r="H23" s="146">
        <f>B147</f>
        <v>55</v>
      </c>
      <c r="I23" s="92" t="s">
        <v>221</v>
      </c>
      <c r="J23" s="83" t="s">
        <v>366</v>
      </c>
      <c r="K23" s="141">
        <f>B50</f>
        <v>5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308"/>
      <c r="AS23" s="305"/>
      <c r="AT23" s="292"/>
      <c r="AU23" s="289"/>
      <c r="AV23" s="305"/>
      <c r="AW23" s="283"/>
      <c r="BA23" s="308"/>
      <c r="BB23" s="305"/>
      <c r="BC23" s="292"/>
      <c r="BD23" s="289"/>
      <c r="BE23" s="305"/>
      <c r="BF23" s="283"/>
      <c r="BJ23" s="308"/>
      <c r="BK23" s="286"/>
      <c r="BL23" s="292"/>
      <c r="BM23" s="289"/>
      <c r="BN23" s="286"/>
      <c r="BO23" s="283"/>
      <c r="BS23" s="52" t="s">
        <v>434</v>
      </c>
      <c r="BT23" s="138">
        <f>B115</f>
        <v>55</v>
      </c>
      <c r="BU23" s="52" t="s">
        <v>24</v>
      </c>
      <c r="BV23" s="83" t="s">
        <v>435</v>
      </c>
      <c r="BW23" s="138">
        <f>B124</f>
        <v>5</v>
      </c>
      <c r="BX23" s="52" t="s">
        <v>80</v>
      </c>
      <c r="BY23" s="83" t="s">
        <v>434</v>
      </c>
      <c r="BZ23" s="150">
        <f>B115</f>
        <v>55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B17</f>
        <v>1</v>
      </c>
      <c r="CM23" s="52" t="s">
        <v>344</v>
      </c>
      <c r="CN23" s="52" t="s">
        <v>229</v>
      </c>
      <c r="CO23" s="136">
        <f>B41</f>
        <v>5.0000000000000001E-4</v>
      </c>
      <c r="CP23" s="52" t="s">
        <v>268</v>
      </c>
      <c r="CQ23" s="83" t="s">
        <v>229</v>
      </c>
      <c r="CR23" s="136">
        <f>CO23</f>
        <v>5.0000000000000001E-4</v>
      </c>
      <c r="CS23" s="52" t="s">
        <v>268</v>
      </c>
      <c r="CT23" s="91" t="s">
        <v>276</v>
      </c>
      <c r="CU23" s="144">
        <f>GG2</f>
        <v>318.86391783179295</v>
      </c>
      <c r="CV23" s="92" t="s">
        <v>10</v>
      </c>
      <c r="CW23" s="52" t="s">
        <v>456</v>
      </c>
      <c r="CX23" s="138">
        <f>B165</f>
        <v>150</v>
      </c>
      <c r="CY23" s="52" t="s">
        <v>24</v>
      </c>
      <c r="CZ23" s="91" t="s">
        <v>277</v>
      </c>
      <c r="DA23" s="145">
        <f>FO2</f>
        <v>0.57352998529469112</v>
      </c>
      <c r="DB23" s="83" t="s">
        <v>10</v>
      </c>
      <c r="DF23" s="83" t="s">
        <v>267</v>
      </c>
      <c r="DG23" s="136">
        <f>B34</f>
        <v>157680</v>
      </c>
      <c r="DH23" s="52" t="s">
        <v>222</v>
      </c>
      <c r="DO23" s="83" t="s">
        <v>19</v>
      </c>
      <c r="DP23" s="161">
        <f>DP25</f>
        <v>1.914E-5</v>
      </c>
      <c r="EA23" s="83"/>
      <c r="EB23" s="83"/>
      <c r="EC23" s="84"/>
      <c r="ED23" s="83" t="s">
        <v>19</v>
      </c>
      <c r="EE23" s="161">
        <f>EE25</f>
        <v>2.1999999999999999E-5</v>
      </c>
      <c r="EF23" s="84"/>
      <c r="EP23" s="83"/>
      <c r="EQ23" s="83"/>
      <c r="ER23" s="84"/>
      <c r="ES23" s="83" t="s">
        <v>19</v>
      </c>
      <c r="ET23" s="161">
        <f>ET25</f>
        <v>2.1999999999999999E-5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2.1999999999999999E-5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2.1999999999999999E-5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2.1999999999999999E-5</v>
      </c>
      <c r="HC23" s="84"/>
      <c r="HD23" s="67" t="s">
        <v>14</v>
      </c>
      <c r="HE23" s="126">
        <f>((HE25*HE42)*HE38*HE33*10^-3*HE32*HE27)/(HE31*HE41*(1-EXP(-HE27*HE32)))</f>
        <v>7.9710936770401475E-2</v>
      </c>
      <c r="HF23" s="220" t="s">
        <v>592</v>
      </c>
    </row>
    <row r="24" spans="1:214" ht="14.25" thickTop="1" thickBot="1" x14ac:dyDescent="0.25">
      <c r="A24" s="83" t="s">
        <v>253</v>
      </c>
      <c r="B24" s="183">
        <v>1.83064E-2</v>
      </c>
      <c r="C24" s="83" t="s">
        <v>351</v>
      </c>
      <c r="D24" s="52" t="s">
        <v>381</v>
      </c>
      <c r="E24" s="138">
        <f>B67</f>
        <v>150</v>
      </c>
      <c r="F24" s="52" t="s">
        <v>24</v>
      </c>
      <c r="G24" s="83" t="s">
        <v>310</v>
      </c>
      <c r="H24" s="146">
        <f>B58</f>
        <v>55</v>
      </c>
      <c r="I24" s="92" t="s">
        <v>221</v>
      </c>
      <c r="J24" s="83" t="s">
        <v>367</v>
      </c>
      <c r="K24" s="141">
        <f>B51</f>
        <v>10</v>
      </c>
      <c r="L24" s="52" t="s">
        <v>407</v>
      </c>
      <c r="M24" s="52" t="s">
        <v>267</v>
      </c>
      <c r="N24" s="136">
        <f>B17</f>
        <v>1</v>
      </c>
      <c r="O24" s="52" t="s">
        <v>344</v>
      </c>
      <c r="P24" s="52" t="s">
        <v>267</v>
      </c>
      <c r="Q24" s="136">
        <f>B17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1.6041666666666665E-3</v>
      </c>
      <c r="AD24" s="137">
        <f>0.693/AD25</f>
        <v>1.6041666666666665E-3</v>
      </c>
      <c r="AE24" s="137">
        <f>0.693/AE25</f>
        <v>1.6041666666666665E-3</v>
      </c>
      <c r="AF24" s="137">
        <f>0.693/AF25</f>
        <v>1.6041666666666665E-3</v>
      </c>
      <c r="AG24" s="137">
        <f>0.693/AG25</f>
        <v>1.6041666666666665E-3</v>
      </c>
      <c r="AI24" s="52" t="s">
        <v>267</v>
      </c>
      <c r="AJ24" s="136">
        <f>B17</f>
        <v>1</v>
      </c>
      <c r="AK24" s="52" t="s">
        <v>344</v>
      </c>
      <c r="AL24" s="52" t="s">
        <v>267</v>
      </c>
      <c r="AM24" s="136">
        <f>B17</f>
        <v>1</v>
      </c>
      <c r="AN24" s="52" t="s">
        <v>344</v>
      </c>
      <c r="AR24" s="52" t="s">
        <v>267</v>
      </c>
      <c r="AS24" s="136">
        <f>B17</f>
        <v>1</v>
      </c>
      <c r="AT24" s="52" t="s">
        <v>344</v>
      </c>
      <c r="AU24" s="52" t="s">
        <v>267</v>
      </c>
      <c r="AV24" s="136">
        <f>B17</f>
        <v>1</v>
      </c>
      <c r="AW24" s="52" t="s">
        <v>344</v>
      </c>
      <c r="BA24" s="52" t="s">
        <v>267</v>
      </c>
      <c r="BB24" s="136">
        <f>B17</f>
        <v>1</v>
      </c>
      <c r="BC24" s="52" t="s">
        <v>344</v>
      </c>
      <c r="BD24" s="52" t="s">
        <v>267</v>
      </c>
      <c r="BE24" s="136">
        <f>B17</f>
        <v>1</v>
      </c>
      <c r="BF24" s="52" t="s">
        <v>344</v>
      </c>
      <c r="BJ24" s="52" t="s">
        <v>267</v>
      </c>
      <c r="BK24" s="136">
        <f>B17</f>
        <v>1</v>
      </c>
      <c r="BL24" s="52" t="s">
        <v>344</v>
      </c>
      <c r="BM24" s="52" t="s">
        <v>267</v>
      </c>
      <c r="BN24" s="136">
        <f>B17</f>
        <v>1</v>
      </c>
      <c r="BO24" s="52" t="s">
        <v>344</v>
      </c>
      <c r="BS24" s="91" t="s">
        <v>95</v>
      </c>
      <c r="BT24" s="158">
        <f>B127</f>
        <v>1</v>
      </c>
      <c r="BU24" s="91" t="s">
        <v>60</v>
      </c>
      <c r="BV24" s="83" t="s">
        <v>436</v>
      </c>
      <c r="BW24" s="138">
        <f>B125</f>
        <v>5</v>
      </c>
      <c r="BX24" s="52" t="s">
        <v>80</v>
      </c>
      <c r="BY24" s="83" t="s">
        <v>433</v>
      </c>
      <c r="BZ24" s="150">
        <f>B114</f>
        <v>55</v>
      </c>
      <c r="CA24" s="83" t="s">
        <v>24</v>
      </c>
      <c r="CB24" s="83" t="s">
        <v>22</v>
      </c>
      <c r="CC24" s="137">
        <f>0.693/CC25</f>
        <v>1.6041666666666665E-3</v>
      </c>
      <c r="CE24" s="83" t="s">
        <v>22</v>
      </c>
      <c r="CF24" s="137">
        <f>0.693/CF25</f>
        <v>1.6041666666666665E-3</v>
      </c>
      <c r="CK24" s="52" t="s">
        <v>258</v>
      </c>
      <c r="CL24" s="136">
        <f>B29</f>
        <v>8.8060000000000005E-4</v>
      </c>
      <c r="CM24" s="91" t="s">
        <v>10</v>
      </c>
      <c r="CN24" s="52" t="s">
        <v>20</v>
      </c>
      <c r="CO24" s="139">
        <f>CO26</f>
        <v>2.1999999999999999E-5</v>
      </c>
      <c r="CQ24" s="84" t="s">
        <v>170</v>
      </c>
      <c r="CR24" s="162">
        <f>B139</f>
        <v>2</v>
      </c>
      <c r="CS24" s="52" t="s">
        <v>28</v>
      </c>
      <c r="CT24" s="91" t="s">
        <v>277</v>
      </c>
      <c r="CU24" s="145">
        <f>FR2</f>
        <v>2.295960508512755E-3</v>
      </c>
      <c r="CV24" s="92" t="s">
        <v>10</v>
      </c>
      <c r="CW24" s="52" t="s">
        <v>465</v>
      </c>
      <c r="CX24" s="138">
        <f>B166</f>
        <v>150</v>
      </c>
      <c r="CY24" s="52" t="s">
        <v>24</v>
      </c>
      <c r="CZ24" s="83" t="s">
        <v>45</v>
      </c>
      <c r="DA24" s="149">
        <f>(DA35*DA27*DA49)+(DA36*DA28*DA50)</f>
        <v>196.875</v>
      </c>
      <c r="DB24" s="52" t="s">
        <v>345</v>
      </c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128">
        <f>((HE26*HE42)*HE38*HE33*10^-3*HE32*HE27)/(HE31*HE41*(1-EXP(-HE27*HE32)))</f>
        <v>2.3933845556876165E-2</v>
      </c>
      <c r="HF24" s="221" t="s">
        <v>593</v>
      </c>
    </row>
    <row r="25" spans="1:214" ht="15" thickTop="1" x14ac:dyDescent="0.2">
      <c r="A25" s="83" t="s">
        <v>254</v>
      </c>
      <c r="B25" s="183">
        <v>3.4557999999999998E-2</v>
      </c>
      <c r="C25" s="83" t="s">
        <v>351</v>
      </c>
      <c r="D25" s="83" t="s">
        <v>376</v>
      </c>
      <c r="E25" s="146">
        <f>B61</f>
        <v>0.23</v>
      </c>
      <c r="G25" s="83" t="s">
        <v>400</v>
      </c>
      <c r="H25" s="149">
        <f>(H29*H26*H68)+(H30*H27*H69)</f>
        <v>8250</v>
      </c>
      <c r="I25" s="92" t="s">
        <v>347</v>
      </c>
      <c r="J25" s="83" t="s">
        <v>446</v>
      </c>
      <c r="K25" s="149">
        <f>(K31*K26*K51)+(K32*K27*K52)</f>
        <v>8250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2.0781928523760291E-3</v>
      </c>
      <c r="X25" s="62" t="s">
        <v>9</v>
      </c>
      <c r="Y25" s="202" t="s">
        <v>16</v>
      </c>
      <c r="Z25" s="187">
        <f>1/((1/Z41)+(1/Z40))</f>
        <v>2.0781928523760291E-3</v>
      </c>
      <c r="AA25" s="63" t="s">
        <v>9</v>
      </c>
      <c r="AB25" s="91" t="s">
        <v>231</v>
      </c>
      <c r="AC25" s="136">
        <f>B30</f>
        <v>432</v>
      </c>
      <c r="AD25" s="136">
        <f>B30</f>
        <v>432</v>
      </c>
      <c r="AE25" s="136">
        <f>B30</f>
        <v>432</v>
      </c>
      <c r="AF25" s="136">
        <f>B30</f>
        <v>432</v>
      </c>
      <c r="AG25" s="136">
        <f>B30</f>
        <v>432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B111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B118</f>
        <v>5</v>
      </c>
      <c r="CA25" s="94" t="s">
        <v>194</v>
      </c>
      <c r="CB25" s="91" t="s">
        <v>231</v>
      </c>
      <c r="CC25" s="136">
        <f>B30</f>
        <v>432</v>
      </c>
      <c r="CD25" s="52" t="s">
        <v>60</v>
      </c>
      <c r="CE25" s="91" t="s">
        <v>231</v>
      </c>
      <c r="CF25" s="136">
        <f>B30</f>
        <v>432</v>
      </c>
      <c r="CG25" s="52" t="s">
        <v>60</v>
      </c>
      <c r="CK25" s="52" t="s">
        <v>140</v>
      </c>
      <c r="CL25" s="138">
        <f>B113</f>
        <v>55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8625</v>
      </c>
      <c r="CV25" s="83" t="s">
        <v>346</v>
      </c>
      <c r="CW25" s="83" t="s">
        <v>475</v>
      </c>
      <c r="CX25" s="146">
        <f>B163</f>
        <v>0.15</v>
      </c>
      <c r="CZ25" s="83" t="s">
        <v>43</v>
      </c>
      <c r="DA25" s="140">
        <f>(DA35*DA29*(DA38/24)*DA49)+(DA36*DA30*(DA39/24)*DA50)</f>
        <v>1387.5</v>
      </c>
      <c r="DB25" s="83" t="s">
        <v>426</v>
      </c>
      <c r="DF25" s="52" t="s">
        <v>33</v>
      </c>
      <c r="DG25" s="136">
        <f>B44</f>
        <v>2.1999999999999999E-5</v>
      </c>
      <c r="DO25" s="83" t="s">
        <v>32</v>
      </c>
      <c r="DP25" s="136">
        <f>B43</f>
        <v>1.914E-5</v>
      </c>
      <c r="EA25" s="83"/>
      <c r="EC25" s="84"/>
      <c r="ED25" s="83" t="s">
        <v>33</v>
      </c>
      <c r="EE25" s="136">
        <f>B44</f>
        <v>2.1999999999999999E-5</v>
      </c>
      <c r="EF25" s="84"/>
      <c r="EP25" s="83"/>
      <c r="ER25" s="84"/>
      <c r="ES25" s="83" t="s">
        <v>33</v>
      </c>
      <c r="ET25" s="136">
        <f>B44</f>
        <v>2.1999999999999999E-5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B44</f>
        <v>2.1999999999999999E-5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B44</f>
        <v>2.1999999999999999E-5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B44</f>
        <v>2.1999999999999999E-5</v>
      </c>
      <c r="HC25" s="84"/>
      <c r="HD25" s="89" t="s">
        <v>21</v>
      </c>
      <c r="HE25" s="150">
        <f>B46</f>
        <v>15</v>
      </c>
      <c r="HF25" s="83" t="s">
        <v>11</v>
      </c>
    </row>
    <row r="26" spans="1:214" ht="13.5" thickBot="1" x14ac:dyDescent="0.25">
      <c r="A26" s="83" t="s">
        <v>255</v>
      </c>
      <c r="B26" s="183">
        <v>3.7173200000000003E-2</v>
      </c>
      <c r="C26" s="83" t="s">
        <v>351</v>
      </c>
      <c r="D26" s="83" t="s">
        <v>377</v>
      </c>
      <c r="E26" s="146">
        <f>B62</f>
        <v>0.77</v>
      </c>
      <c r="G26" s="83" t="s">
        <v>401</v>
      </c>
      <c r="H26" s="146">
        <f>B149</f>
        <v>55</v>
      </c>
      <c r="I26" s="92" t="s">
        <v>221</v>
      </c>
      <c r="J26" s="83" t="s">
        <v>399</v>
      </c>
      <c r="K26" s="146">
        <f>B57</f>
        <v>55</v>
      </c>
      <c r="L26" s="92" t="s">
        <v>221</v>
      </c>
      <c r="M26" s="83" t="s">
        <v>22</v>
      </c>
      <c r="N26" s="137">
        <f>0.693/N27</f>
        <v>1.6041666666666665E-3</v>
      </c>
      <c r="P26" s="83" t="s">
        <v>22</v>
      </c>
      <c r="Q26" s="137">
        <f>0.693/Q27</f>
        <v>1.6041666666666665E-3</v>
      </c>
      <c r="V26" s="201" t="s">
        <v>15</v>
      </c>
      <c r="W26" s="75">
        <f>1/((1/W38)+(1/W39))</f>
        <v>2.0765268594882449E-3</v>
      </c>
      <c r="X26" s="76" t="s">
        <v>9</v>
      </c>
      <c r="Y26" s="203" t="s">
        <v>15</v>
      </c>
      <c r="Z26" s="185">
        <f>1/((1/Z38)+(1/Z39))</f>
        <v>2.0765268594882449E-3</v>
      </c>
      <c r="AA26" s="77" t="s">
        <v>9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1.6041666666666665E-3</v>
      </c>
      <c r="AL26" s="83" t="s">
        <v>22</v>
      </c>
      <c r="AM26" s="137">
        <f>0.693/AM27</f>
        <v>1.6041666666666665E-3</v>
      </c>
      <c r="AR26" s="83" t="s">
        <v>22</v>
      </c>
      <c r="AS26" s="137">
        <f>0.693/AS27</f>
        <v>1.6041666666666665E-3</v>
      </c>
      <c r="AU26" s="83" t="s">
        <v>22</v>
      </c>
      <c r="AV26" s="137">
        <f>0.693/AV27</f>
        <v>1.6041666666666665E-3</v>
      </c>
      <c r="BA26" s="83" t="s">
        <v>22</v>
      </c>
      <c r="BB26" s="137">
        <f>0.693/BB27</f>
        <v>1.6041666666666665E-3</v>
      </c>
      <c r="BD26" s="83" t="s">
        <v>22</v>
      </c>
      <c r="BE26" s="137">
        <f>0.693/BE27</f>
        <v>1.6041666666666665E-3</v>
      </c>
      <c r="BJ26" s="83" t="s">
        <v>22</v>
      </c>
      <c r="BK26" s="137">
        <f>0.693/BK27</f>
        <v>1.6041666666666665E-3</v>
      </c>
      <c r="BM26" s="83" t="s">
        <v>22</v>
      </c>
      <c r="BN26" s="137">
        <f>0.693/BN27</f>
        <v>1.6041666666666665E-3</v>
      </c>
      <c r="BS26" s="91" t="s">
        <v>309</v>
      </c>
      <c r="BT26" s="177">
        <f>B112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B116</f>
        <v>5</v>
      </c>
      <c r="CA26" s="94" t="s">
        <v>194</v>
      </c>
      <c r="CB26" s="52" t="s">
        <v>140</v>
      </c>
      <c r="CC26" s="138">
        <f>B113</f>
        <v>55</v>
      </c>
      <c r="CD26" s="52" t="s">
        <v>24</v>
      </c>
      <c r="CE26" s="52" t="s">
        <v>140</v>
      </c>
      <c r="CF26" s="138">
        <f>B113</f>
        <v>55</v>
      </c>
      <c r="CG26" s="52" t="s">
        <v>24</v>
      </c>
      <c r="CK26" s="52" t="s">
        <v>160</v>
      </c>
      <c r="CL26" s="162">
        <f>B134</f>
        <v>3</v>
      </c>
      <c r="CM26" s="52" t="s">
        <v>221</v>
      </c>
      <c r="CN26" s="52" t="s">
        <v>33</v>
      </c>
      <c r="CO26" s="136">
        <f>B44</f>
        <v>2.1999999999999999E-5</v>
      </c>
      <c r="CT26" s="83" t="s">
        <v>506</v>
      </c>
      <c r="CU26" s="155">
        <f>((CU31*CU29*CU47)+(CU32*CU30*CU48))</f>
        <v>1387.5</v>
      </c>
      <c r="CV26" s="52" t="s">
        <v>426</v>
      </c>
      <c r="CW26" s="83" t="s">
        <v>476</v>
      </c>
      <c r="CX26" s="141">
        <f>B164</f>
        <v>0.85</v>
      </c>
      <c r="CY26" s="83"/>
      <c r="CZ26" s="83" t="s">
        <v>142</v>
      </c>
      <c r="DA26" s="149">
        <f>(DA35*DA40*DA42*DA49)+(DA36*DA41*DA43*DA50)</f>
        <v>570</v>
      </c>
      <c r="DB26" s="52" t="s">
        <v>356</v>
      </c>
      <c r="DO26" s="83" t="s">
        <v>393</v>
      </c>
      <c r="DP26" s="138">
        <f>B47</f>
        <v>0.26</v>
      </c>
      <c r="EA26" s="83"/>
      <c r="EB26" s="84"/>
      <c r="EC26" s="84"/>
      <c r="ED26" s="83" t="s">
        <v>392</v>
      </c>
      <c r="EE26" s="163">
        <f>B48</f>
        <v>0.25</v>
      </c>
      <c r="EF26" s="84"/>
      <c r="EP26" s="83"/>
      <c r="EQ26" s="84"/>
      <c r="ER26" s="84"/>
      <c r="ES26" s="83" t="s">
        <v>392</v>
      </c>
      <c r="ET26" s="163">
        <f>B48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B48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B48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B48</f>
        <v>0.25</v>
      </c>
      <c r="HC26" s="84"/>
      <c r="HD26" s="84" t="s">
        <v>265</v>
      </c>
      <c r="HE26" s="139">
        <f>H2</f>
        <v>4.5038698314037422</v>
      </c>
      <c r="HF26" s="83" t="s">
        <v>11</v>
      </c>
    </row>
    <row r="27" spans="1:214" ht="13.5" thickTop="1" x14ac:dyDescent="0.2">
      <c r="A27" s="83" t="s">
        <v>256</v>
      </c>
      <c r="B27" s="183">
        <v>125.5296</v>
      </c>
      <c r="C27" s="83" t="s">
        <v>351</v>
      </c>
      <c r="G27" s="83" t="s">
        <v>402</v>
      </c>
      <c r="H27" s="146">
        <f>B60</f>
        <v>55</v>
      </c>
      <c r="I27" s="92" t="s">
        <v>221</v>
      </c>
      <c r="J27" s="83" t="s">
        <v>310</v>
      </c>
      <c r="K27" s="146">
        <f>B58</f>
        <v>55</v>
      </c>
      <c r="L27" s="92" t="s">
        <v>221</v>
      </c>
      <c r="M27" s="91" t="s">
        <v>231</v>
      </c>
      <c r="N27" s="136">
        <f>B30</f>
        <v>432</v>
      </c>
      <c r="O27" s="52" t="s">
        <v>60</v>
      </c>
      <c r="P27" s="91" t="s">
        <v>231</v>
      </c>
      <c r="Q27" s="136">
        <f>B30</f>
        <v>432</v>
      </c>
      <c r="R27" s="52" t="s">
        <v>60</v>
      </c>
      <c r="V27" s="52" t="s">
        <v>267</v>
      </c>
      <c r="W27" s="136">
        <f>B17</f>
        <v>1</v>
      </c>
      <c r="X27" s="52" t="s">
        <v>344</v>
      </c>
      <c r="Y27" s="52" t="s">
        <v>267</v>
      </c>
      <c r="Z27" s="136">
        <f>B17</f>
        <v>1</v>
      </c>
      <c r="AA27" s="52" t="s">
        <v>344</v>
      </c>
      <c r="AB27" s="84" t="s">
        <v>16</v>
      </c>
      <c r="AC27" s="156">
        <f>(AC23*AC24)/(1-EXP(-AC24*AC23))</f>
        <v>1.0008022977791844</v>
      </c>
      <c r="AD27" s="156">
        <f>(AD23*AD24)/(1-EXP(-AD24*AD23))</f>
        <v>1.0008022977791844</v>
      </c>
      <c r="AE27" s="156">
        <f>(AE23*AE24)/(1-EXP(-AE24*AE23))</f>
        <v>1.0008022977791844</v>
      </c>
      <c r="AF27" s="156">
        <f>(AF23*AF24)/(1-EXP(-AF24*AF23))</f>
        <v>1.0008022977791844</v>
      </c>
      <c r="AG27" s="156">
        <f>(AG23*AG24)/(1-EXP(-AG24*AG23))</f>
        <v>1.0008022977791844</v>
      </c>
      <c r="AI27" s="91" t="s">
        <v>231</v>
      </c>
      <c r="AJ27" s="136">
        <f>B30</f>
        <v>432</v>
      </c>
      <c r="AK27" s="52" t="s">
        <v>60</v>
      </c>
      <c r="AL27" s="91" t="s">
        <v>231</v>
      </c>
      <c r="AM27" s="136">
        <f>B30</f>
        <v>432</v>
      </c>
      <c r="AN27" s="52" t="s">
        <v>60</v>
      </c>
      <c r="AR27" s="91" t="s">
        <v>231</v>
      </c>
      <c r="AS27" s="136">
        <f>B30</f>
        <v>432</v>
      </c>
      <c r="AT27" s="52" t="s">
        <v>60</v>
      </c>
      <c r="AU27" s="91" t="s">
        <v>231</v>
      </c>
      <c r="AV27" s="136">
        <f>B30</f>
        <v>432</v>
      </c>
      <c r="AW27" s="52" t="s">
        <v>60</v>
      </c>
      <c r="BA27" s="91" t="s">
        <v>231</v>
      </c>
      <c r="BB27" s="136">
        <f>B30</f>
        <v>432</v>
      </c>
      <c r="BC27" s="52" t="s">
        <v>60</v>
      </c>
      <c r="BD27" s="91" t="s">
        <v>231</v>
      </c>
      <c r="BE27" s="136">
        <f>B30</f>
        <v>432</v>
      </c>
      <c r="BF27" s="52" t="s">
        <v>60</v>
      </c>
      <c r="BJ27" s="91" t="s">
        <v>231</v>
      </c>
      <c r="BK27" s="136">
        <f>B30</f>
        <v>432</v>
      </c>
      <c r="BL27" s="52" t="s">
        <v>60</v>
      </c>
      <c r="BM27" s="91" t="s">
        <v>231</v>
      </c>
      <c r="BN27" s="136">
        <f>B30</f>
        <v>432</v>
      </c>
      <c r="BO27" s="52" t="s">
        <v>60</v>
      </c>
      <c r="BT27" s="90"/>
      <c r="BW27" s="138">
        <v>1000</v>
      </c>
      <c r="BX27" s="52" t="s">
        <v>218</v>
      </c>
      <c r="BY27" s="83" t="s">
        <v>90</v>
      </c>
      <c r="BZ27" s="150">
        <f>B117</f>
        <v>5</v>
      </c>
      <c r="CA27" s="52" t="s">
        <v>194</v>
      </c>
      <c r="CB27" s="52" t="s">
        <v>51</v>
      </c>
      <c r="CC27" s="138">
        <f>B127</f>
        <v>1</v>
      </c>
      <c r="CD27" s="52" t="s">
        <v>146</v>
      </c>
      <c r="CE27" s="52" t="s">
        <v>51</v>
      </c>
      <c r="CF27" s="138">
        <f>B127</f>
        <v>1</v>
      </c>
      <c r="CG27" s="52" t="s">
        <v>146</v>
      </c>
      <c r="CN27" s="52" t="s">
        <v>392</v>
      </c>
      <c r="CO27" s="162">
        <f>B48</f>
        <v>0.25</v>
      </c>
      <c r="CT27" s="83" t="s">
        <v>449</v>
      </c>
      <c r="CU27" s="146">
        <f>B141</f>
        <v>100</v>
      </c>
      <c r="CV27" s="84" t="s">
        <v>48</v>
      </c>
      <c r="CZ27" s="92" t="s">
        <v>451</v>
      </c>
      <c r="DA27" s="142">
        <f t="shared" ref="DA27:DA34" si="0">B143</f>
        <v>0.25</v>
      </c>
      <c r="DB27" s="83" t="s">
        <v>28</v>
      </c>
      <c r="DW27" s="88"/>
      <c r="DX27" s="88"/>
      <c r="DY27" s="88"/>
      <c r="DZ27" s="88"/>
      <c r="EA27" s="83"/>
      <c r="EB27" s="85"/>
      <c r="ED27" s="83" t="s">
        <v>517</v>
      </c>
      <c r="EE27" s="136">
        <f>B36</f>
        <v>4.2E-7</v>
      </c>
      <c r="EF27" s="52" t="s">
        <v>601</v>
      </c>
      <c r="EP27" s="83"/>
      <c r="EQ27" s="86"/>
      <c r="ES27" s="83" t="s">
        <v>236</v>
      </c>
      <c r="ET27" s="169">
        <f>B37</f>
        <v>5.0000000000000001E-4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B39</f>
        <v>3.0000000000000001E-3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B38</f>
        <v>6.0000000000000001E-3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B40</f>
        <v>1.7000000000000001E-4</v>
      </c>
      <c r="HC27" s="52" t="s">
        <v>388</v>
      </c>
      <c r="HD27" s="83" t="s">
        <v>22</v>
      </c>
      <c r="HE27" s="137">
        <f>0.693/HE29</f>
        <v>1.6041666666666665E-3</v>
      </c>
    </row>
    <row r="28" spans="1:214" x14ac:dyDescent="0.2">
      <c r="A28" s="91" t="s">
        <v>257</v>
      </c>
      <c r="B28" s="183">
        <v>0.28767199999999998</v>
      </c>
      <c r="C28" s="84" t="s">
        <v>259</v>
      </c>
      <c r="G28" s="83" t="s">
        <v>65</v>
      </c>
      <c r="H28" s="141">
        <f>B75</f>
        <v>0.5</v>
      </c>
      <c r="I28" s="52" t="s">
        <v>66</v>
      </c>
      <c r="J28" s="83" t="s">
        <v>447</v>
      </c>
      <c r="K28" s="149">
        <f>(K31*K29*K51)+(K32*K30*K52)</f>
        <v>8250</v>
      </c>
      <c r="L28" s="92" t="s">
        <v>347</v>
      </c>
      <c r="M28" s="52" t="s">
        <v>382</v>
      </c>
      <c r="N28" s="138">
        <f>B68</f>
        <v>150</v>
      </c>
      <c r="O28" s="52" t="s">
        <v>24</v>
      </c>
      <c r="P28" s="52" t="s">
        <v>382</v>
      </c>
      <c r="Q28" s="138">
        <f>B68</f>
        <v>150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B237</f>
        <v>125</v>
      </c>
      <c r="AK28" s="52" t="s">
        <v>24</v>
      </c>
      <c r="AL28" s="52" t="s">
        <v>35</v>
      </c>
      <c r="AM28" s="138">
        <f>B237</f>
        <v>125</v>
      </c>
      <c r="AN28" s="52" t="s">
        <v>24</v>
      </c>
      <c r="AR28" s="52" t="s">
        <v>423</v>
      </c>
      <c r="AS28" s="138">
        <f>B247</f>
        <v>125</v>
      </c>
      <c r="AT28" s="52" t="s">
        <v>24</v>
      </c>
      <c r="AU28" s="52" t="s">
        <v>423</v>
      </c>
      <c r="AV28" s="138">
        <f>B247</f>
        <v>125</v>
      </c>
      <c r="AW28" s="52" t="s">
        <v>24</v>
      </c>
      <c r="BA28" s="52" t="s">
        <v>316</v>
      </c>
      <c r="BB28" s="138">
        <f>B227</f>
        <v>125</v>
      </c>
      <c r="BC28" s="52" t="s">
        <v>24</v>
      </c>
      <c r="BD28" s="52" t="s">
        <v>316</v>
      </c>
      <c r="BE28" s="138">
        <f>B227</f>
        <v>125</v>
      </c>
      <c r="BF28" s="52" t="s">
        <v>24</v>
      </c>
      <c r="BJ28" s="52" t="s">
        <v>191</v>
      </c>
      <c r="BK28" s="138">
        <f>BK29*BK30</f>
        <v>75</v>
      </c>
      <c r="BL28" s="52" t="s">
        <v>24</v>
      </c>
      <c r="BM28" s="52" t="s">
        <v>191</v>
      </c>
      <c r="BN28" s="138">
        <f>BN29*BN30</f>
        <v>75</v>
      </c>
      <c r="BO28" s="52" t="s">
        <v>24</v>
      </c>
      <c r="BS28" s="96"/>
      <c r="BV28" s="83"/>
      <c r="BW28" s="146">
        <v>365</v>
      </c>
      <c r="BX28" s="84" t="s">
        <v>24</v>
      </c>
      <c r="BY28" s="83" t="s">
        <v>302</v>
      </c>
      <c r="BZ28" s="161">
        <f>B3</f>
        <v>2.41E-4</v>
      </c>
      <c r="CB28" s="52" t="s">
        <v>300</v>
      </c>
      <c r="CC28" s="136">
        <f>B12</f>
        <v>1.5699999999999999E-5</v>
      </c>
      <c r="CE28" s="52" t="s">
        <v>300</v>
      </c>
      <c r="CF28" s="136">
        <f>B8</f>
        <v>1.35E-4</v>
      </c>
      <c r="CN28" s="52" t="s">
        <v>165</v>
      </c>
      <c r="CO28" s="162">
        <f>B135</f>
        <v>2</v>
      </c>
      <c r="CP28" s="52" t="s">
        <v>246</v>
      </c>
      <c r="CT28" s="83" t="s">
        <v>458</v>
      </c>
      <c r="CU28" s="146">
        <f>B142</f>
        <v>50</v>
      </c>
      <c r="CV28" s="84" t="s">
        <v>48</v>
      </c>
      <c r="CZ28" s="92" t="s">
        <v>460</v>
      </c>
      <c r="DA28" s="142">
        <f t="shared" si="0"/>
        <v>1.5</v>
      </c>
      <c r="DB28" s="83" t="s">
        <v>28</v>
      </c>
      <c r="DW28" s="88"/>
      <c r="DX28" s="88"/>
      <c r="DY28" s="88"/>
      <c r="DZ28" s="88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D28" s="52" t="s">
        <v>16</v>
      </c>
      <c r="HE28" s="123">
        <f>1-EXP(-HE27*HE32)</f>
        <v>1.6028806790575612E-3</v>
      </c>
    </row>
    <row r="29" spans="1:214" ht="15.75" thickBot="1" x14ac:dyDescent="0.25">
      <c r="A29" s="83" t="s">
        <v>258</v>
      </c>
      <c r="B29" s="183">
        <v>8.8060000000000005E-4</v>
      </c>
      <c r="C29" s="92" t="s">
        <v>259</v>
      </c>
      <c r="G29" s="83" t="s">
        <v>380</v>
      </c>
      <c r="H29" s="150">
        <f>B66</f>
        <v>150</v>
      </c>
      <c r="I29" s="83" t="s">
        <v>24</v>
      </c>
      <c r="J29" s="83" t="s">
        <v>401</v>
      </c>
      <c r="K29" s="146">
        <f>B59</f>
        <v>55</v>
      </c>
      <c r="L29" s="92" t="s">
        <v>221</v>
      </c>
      <c r="M29" s="52" t="s">
        <v>379</v>
      </c>
      <c r="N29" s="138">
        <f>B65</f>
        <v>1</v>
      </c>
      <c r="O29" s="52" t="s">
        <v>146</v>
      </c>
      <c r="P29" s="52" t="s">
        <v>379</v>
      </c>
      <c r="Q29" s="138">
        <f>B65</f>
        <v>1</v>
      </c>
      <c r="R29" s="52" t="s">
        <v>146</v>
      </c>
      <c r="V29" s="83" t="s">
        <v>22</v>
      </c>
      <c r="W29" s="137">
        <f>0.693/W30</f>
        <v>1.6041666666666665E-3</v>
      </c>
      <c r="Y29" s="83" t="s">
        <v>22</v>
      </c>
      <c r="Z29" s="137">
        <f>0.693/Z30</f>
        <v>1.6041666666666665E-3</v>
      </c>
      <c r="AB29" s="83" t="s">
        <v>260</v>
      </c>
      <c r="AC29" s="143">
        <f>(AC5/(AC8*AC13*AC7*AC9*(1/AC6)))*AC27</f>
        <v>212.14675098657855</v>
      </c>
      <c r="AD29" s="143">
        <f>(AD5/(AD8*AD13*AD7*AD9*(1/AD6)))*AD27</f>
        <v>212.14675098657855</v>
      </c>
      <c r="AE29" s="143">
        <f>(AE5/(AE8*AE13*AE7*AE9*(1/AE6)))*AE27</f>
        <v>212.14675098657855</v>
      </c>
      <c r="AF29" s="143">
        <f>(AF5*AF23*AF24)/((1-EXP(-AF24*AF23))*AF8*AF7*AF9*AF13*(1/AF28))</f>
        <v>53.036687746644624</v>
      </c>
      <c r="AG29" s="143">
        <f>(AG5*AG23*AG24)/((1-EXP(-AG24*AG23))*AG8*AG7*AG9*AG13*(1/AG28))</f>
        <v>53.036687746644624</v>
      </c>
      <c r="AH29" s="83" t="s">
        <v>10</v>
      </c>
      <c r="AI29" s="52" t="s">
        <v>420</v>
      </c>
      <c r="AJ29" s="138">
        <f>B238</f>
        <v>1</v>
      </c>
      <c r="AK29" s="52" t="s">
        <v>146</v>
      </c>
      <c r="AL29" s="52" t="s">
        <v>420</v>
      </c>
      <c r="AM29" s="138">
        <f>B238</f>
        <v>1</v>
      </c>
      <c r="AN29" s="52" t="s">
        <v>146</v>
      </c>
      <c r="AR29" s="52" t="s">
        <v>424</v>
      </c>
      <c r="AS29" s="138">
        <f>B248</f>
        <v>1</v>
      </c>
      <c r="AT29" s="52" t="s">
        <v>146</v>
      </c>
      <c r="AU29" s="52" t="s">
        <v>424</v>
      </c>
      <c r="AV29" s="138">
        <f>B248</f>
        <v>1</v>
      </c>
      <c r="AW29" s="52" t="s">
        <v>146</v>
      </c>
      <c r="BA29" s="52" t="s">
        <v>422</v>
      </c>
      <c r="BB29" s="138">
        <f>B228</f>
        <v>1</v>
      </c>
      <c r="BC29" s="52" t="s">
        <v>146</v>
      </c>
      <c r="BD29" s="52" t="s">
        <v>422</v>
      </c>
      <c r="BE29" s="138">
        <f>B228</f>
        <v>1</v>
      </c>
      <c r="BF29" s="52" t="s">
        <v>146</v>
      </c>
      <c r="BJ29" s="52" t="s">
        <v>220</v>
      </c>
      <c r="BK29" s="138">
        <f>B266</f>
        <v>25</v>
      </c>
      <c r="BL29" s="52" t="s">
        <v>113</v>
      </c>
      <c r="BM29" s="52" t="s">
        <v>220</v>
      </c>
      <c r="BN29" s="138">
        <f>B266</f>
        <v>25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61">
        <f>B4</f>
        <v>0.753</v>
      </c>
      <c r="CB29" s="52" t="s">
        <v>411</v>
      </c>
      <c r="CC29" s="136">
        <f>B13</f>
        <v>0.80900000000000005</v>
      </c>
      <c r="CE29" s="52" t="s">
        <v>418</v>
      </c>
      <c r="CF29" s="136">
        <f>B9</f>
        <v>0.71099999999999997</v>
      </c>
      <c r="CN29" s="52" t="s">
        <v>166</v>
      </c>
      <c r="CO29" s="162">
        <f>B136</f>
        <v>2</v>
      </c>
      <c r="CP29" s="52" t="s">
        <v>246</v>
      </c>
      <c r="CT29" s="83" t="s">
        <v>450</v>
      </c>
      <c r="CU29" s="141">
        <f>B145</f>
        <v>5</v>
      </c>
      <c r="CV29" s="92" t="s">
        <v>407</v>
      </c>
      <c r="CZ29" s="92" t="s">
        <v>450</v>
      </c>
      <c r="DA29" s="142">
        <f t="shared" si="0"/>
        <v>5</v>
      </c>
      <c r="DB29" s="83" t="s">
        <v>143</v>
      </c>
      <c r="DW29" s="88"/>
      <c r="DX29" s="88"/>
      <c r="DY29" s="88"/>
      <c r="DZ29" s="8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B30</f>
        <v>432</v>
      </c>
      <c r="HF29" s="52" t="s">
        <v>60</v>
      </c>
    </row>
    <row r="30" spans="1:214" ht="19.5" thickTop="1" thickBot="1" x14ac:dyDescent="0.25">
      <c r="A30" s="91" t="s">
        <v>231</v>
      </c>
      <c r="B30" s="183">
        <v>432</v>
      </c>
      <c r="C30" s="52" t="s">
        <v>235</v>
      </c>
      <c r="D30" s="353" t="s">
        <v>528</v>
      </c>
      <c r="E30" s="354"/>
      <c r="F30" s="355"/>
      <c r="G30" s="83" t="s">
        <v>381</v>
      </c>
      <c r="H30" s="150">
        <f>B67</f>
        <v>150</v>
      </c>
      <c r="I30" s="83" t="s">
        <v>24</v>
      </c>
      <c r="J30" s="83" t="s">
        <v>402</v>
      </c>
      <c r="K30" s="146">
        <f>B60</f>
        <v>55</v>
      </c>
      <c r="L30" s="92" t="s">
        <v>221</v>
      </c>
      <c r="M30" s="52" t="s">
        <v>299</v>
      </c>
      <c r="N30" s="138">
        <f>B73</f>
        <v>1</v>
      </c>
      <c r="P30" s="52" t="s">
        <v>299</v>
      </c>
      <c r="Q30" s="138">
        <f>B73</f>
        <v>1</v>
      </c>
      <c r="V30" s="91" t="s">
        <v>231</v>
      </c>
      <c r="W30" s="136">
        <f>B30</f>
        <v>432</v>
      </c>
      <c r="X30" s="52" t="s">
        <v>60</v>
      </c>
      <c r="Y30" s="91" t="s">
        <v>231</v>
      </c>
      <c r="Z30" s="136">
        <f>B30</f>
        <v>432</v>
      </c>
      <c r="AA30" s="52" t="s">
        <v>60</v>
      </c>
      <c r="AB30" s="83" t="s">
        <v>261</v>
      </c>
      <c r="AC30" s="144">
        <f>(AC5/(AC19*AC15*AC7*AC9*(1/AC32)*((8/1)/(24/1))*AC28))*AC27</f>
        <v>1799.0710936556534</v>
      </c>
      <c r="AD30" s="144">
        <f>(AD5/(AD19*AD15*AD7*((8/1)/(24/1))*AD9*(1/AD32)*AD28))*AD27</f>
        <v>1799.0710936556534</v>
      </c>
      <c r="AE30" s="144">
        <f>(AE5/(AE19*AE15*AE7*((8/1)/(24/1))*AE9*(1/AE32)*AE28))*AE27</f>
        <v>1799.0710936556534</v>
      </c>
      <c r="AF30" s="144">
        <f>(AF5*AF23*AF24)/((1-EXP(-AF24*AF23))*AF19*AF7*AF9*(AF12/24)*AF15*(1/AF33)*AF28)</f>
        <v>1.643512160047673</v>
      </c>
      <c r="AG30" s="144">
        <f>(AG5*AG23*AG24)/((1-EXP(-AG24*AG23))*AG19*AG7*AG9*(AG12/24)*AG15*(1/AG34)*AG28)</f>
        <v>147.2933560810711</v>
      </c>
      <c r="AH30" s="83" t="s">
        <v>10</v>
      </c>
      <c r="AI30" s="52" t="s">
        <v>299</v>
      </c>
      <c r="AJ30" s="138">
        <f>B241</f>
        <v>1</v>
      </c>
      <c r="AL30" s="52" t="s">
        <v>299</v>
      </c>
      <c r="AM30" s="138">
        <f>B241</f>
        <v>1</v>
      </c>
      <c r="AR30" s="52" t="s">
        <v>299</v>
      </c>
      <c r="AS30" s="138">
        <f>B251</f>
        <v>1</v>
      </c>
      <c r="AV30" s="138"/>
      <c r="BA30" s="52" t="s">
        <v>299</v>
      </c>
      <c r="BB30" s="138">
        <f>B231</f>
        <v>1</v>
      </c>
      <c r="BD30" s="52" t="s">
        <v>299</v>
      </c>
      <c r="BE30" s="138">
        <f>B231</f>
        <v>1</v>
      </c>
      <c r="BJ30" s="52" t="s">
        <v>219</v>
      </c>
      <c r="BK30" s="138">
        <f>B265</f>
        <v>3</v>
      </c>
      <c r="BL30" s="52" t="s">
        <v>112</v>
      </c>
      <c r="BM30" s="52" t="s">
        <v>219</v>
      </c>
      <c r="BN30" s="138">
        <f>B265</f>
        <v>3</v>
      </c>
      <c r="BO30" s="52" t="s">
        <v>112</v>
      </c>
      <c r="BS30" s="91"/>
      <c r="BT30" s="97"/>
      <c r="BU30" s="91"/>
      <c r="BV30" s="91" t="s">
        <v>308</v>
      </c>
      <c r="BW30" s="146">
        <f>B111</f>
        <v>0.23</v>
      </c>
      <c r="BY30" s="94" t="s">
        <v>95</v>
      </c>
      <c r="BZ30" s="150">
        <f>B127</f>
        <v>1</v>
      </c>
      <c r="CA30" s="94" t="s">
        <v>60</v>
      </c>
      <c r="CB30" s="52" t="s">
        <v>90</v>
      </c>
      <c r="CC30" s="138">
        <f>B118</f>
        <v>5</v>
      </c>
      <c r="CD30" s="52" t="s">
        <v>194</v>
      </c>
      <c r="CE30" s="52" t="s">
        <v>90</v>
      </c>
      <c r="CF30" s="138">
        <f>B118</f>
        <v>5</v>
      </c>
      <c r="CG30" s="52" t="s">
        <v>194</v>
      </c>
      <c r="CM30" s="83"/>
      <c r="CN30" s="93" t="s">
        <v>167</v>
      </c>
      <c r="CO30" s="162">
        <f>B137</f>
        <v>2</v>
      </c>
      <c r="CP30" s="52" t="s">
        <v>41</v>
      </c>
      <c r="CQ30" s="88"/>
      <c r="CR30" s="83"/>
      <c r="CS30" s="83"/>
      <c r="CT30" s="83" t="s">
        <v>459</v>
      </c>
      <c r="CU30" s="141">
        <f>B146</f>
        <v>10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10</v>
      </c>
      <c r="DB30" s="83" t="s">
        <v>143</v>
      </c>
      <c r="DW30" s="88"/>
      <c r="DX30" s="88"/>
      <c r="DY30" s="88"/>
      <c r="DZ30" s="8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B93</f>
        <v>0.3</v>
      </c>
    </row>
    <row r="31" spans="1:214" x14ac:dyDescent="0.2">
      <c r="A31" s="91" t="s">
        <v>77</v>
      </c>
      <c r="B31" s="183">
        <f>PEF!D3</f>
        <v>1359344473.5814338</v>
      </c>
      <c r="C31" s="52" t="s">
        <v>524</v>
      </c>
      <c r="D31" s="323" t="s">
        <v>530</v>
      </c>
      <c r="E31" s="347">
        <f>E38</f>
        <v>0.21630273731114064</v>
      </c>
      <c r="F31" s="345" t="s">
        <v>10</v>
      </c>
      <c r="G31" s="83" t="s">
        <v>379</v>
      </c>
      <c r="H31" s="150">
        <f>B65</f>
        <v>1</v>
      </c>
      <c r="I31" s="84" t="s">
        <v>60</v>
      </c>
      <c r="J31" s="83" t="s">
        <v>380</v>
      </c>
      <c r="K31" s="150">
        <f>B66</f>
        <v>150</v>
      </c>
      <c r="L31" s="83" t="s">
        <v>24</v>
      </c>
      <c r="M31" s="52" t="s">
        <v>300</v>
      </c>
      <c r="N31" s="136">
        <f>B12</f>
        <v>1.5699999999999999E-5</v>
      </c>
      <c r="P31" s="52" t="s">
        <v>300</v>
      </c>
      <c r="Q31" s="136">
        <f>B8</f>
        <v>1.35E-4</v>
      </c>
      <c r="V31" s="52" t="s">
        <v>35</v>
      </c>
      <c r="W31" s="138">
        <f>B237</f>
        <v>125</v>
      </c>
      <c r="X31" s="52" t="s">
        <v>24</v>
      </c>
      <c r="Y31" s="52" t="s">
        <v>191</v>
      </c>
      <c r="Z31" s="138">
        <f>B257</f>
        <v>125</v>
      </c>
      <c r="AA31" s="52" t="s">
        <v>24</v>
      </c>
      <c r="AB31" s="83" t="s">
        <v>262</v>
      </c>
      <c r="AC31" s="145">
        <f>(AC5*AC23*AC24)/((1-EXP(-AC24*AC23))*AC18*AC7*(1/365)*AC12*(1/24)*AC14*AC17)</f>
        <v>1299602.1851265065</v>
      </c>
      <c r="AD31" s="145">
        <f>(AD5*AD23*AD24)/((1-EXP(-AD24*AD23))*AD18*AD7*(1/365)*AD12*(1/24)*AD16*AD17)</f>
        <v>313.20412661548812</v>
      </c>
      <c r="AE31" s="145">
        <f>(AE5*AE23*AE24)/((1-EXP(-AE24*AE23))*AE18*AE7*(1/365)*AE12*(1/24)*AE14*AE17)</f>
        <v>1299602.1851265065</v>
      </c>
      <c r="AF31" s="145">
        <f>(AF5*AF23*AF24)/((1-EXP(-AF24*AF23))*AF18*(AF11*AF10)*(1/365)*AF12*(1/24)*AF14*AF17)</f>
        <v>3465605.8270040178</v>
      </c>
      <c r="AG31" s="145">
        <f>(AG5*AG23*AG24)/((1-EXP(-AG24*AG23))*AG18*AG7*(1/365)*AG9*(AG12/24)*AG14*AG17)</f>
        <v>2079363.4962024104</v>
      </c>
      <c r="AH31" s="83" t="s">
        <v>10</v>
      </c>
      <c r="AI31" s="52" t="s">
        <v>300</v>
      </c>
      <c r="AJ31" s="136">
        <f>B12</f>
        <v>1.5699999999999999E-5</v>
      </c>
      <c r="AL31" s="52" t="s">
        <v>300</v>
      </c>
      <c r="AM31" s="136">
        <f>B8</f>
        <v>1.35E-4</v>
      </c>
      <c r="AR31" s="52" t="s">
        <v>300</v>
      </c>
      <c r="AS31" s="136">
        <f>B12</f>
        <v>1.5699999999999999E-5</v>
      </c>
      <c r="AU31" s="52" t="s">
        <v>300</v>
      </c>
      <c r="AV31" s="136">
        <f>B8</f>
        <v>1.35E-4</v>
      </c>
      <c r="BA31" s="52" t="s">
        <v>300</v>
      </c>
      <c r="BB31" s="136">
        <f>B12</f>
        <v>1.5699999999999999E-5</v>
      </c>
      <c r="BD31" s="52" t="s">
        <v>300</v>
      </c>
      <c r="BE31" s="136">
        <f>B8</f>
        <v>1.35E-4</v>
      </c>
      <c r="BJ31" s="52" t="s">
        <v>158</v>
      </c>
      <c r="BK31" s="138">
        <f>B258</f>
        <v>1</v>
      </c>
      <c r="BL31" s="52" t="s">
        <v>146</v>
      </c>
      <c r="BM31" s="52" t="s">
        <v>158</v>
      </c>
      <c r="BN31" s="138">
        <f>B258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B112</f>
        <v>0.77</v>
      </c>
      <c r="BZ31" s="150">
        <v>365</v>
      </c>
      <c r="CA31" s="52" t="s">
        <v>24</v>
      </c>
      <c r="CB31" s="52" t="s">
        <v>410</v>
      </c>
      <c r="CC31" s="139">
        <f>B23</f>
        <v>2.5484199999999999E-2</v>
      </c>
      <c r="CD31" s="84" t="s">
        <v>353</v>
      </c>
      <c r="CE31" s="52" t="s">
        <v>419</v>
      </c>
      <c r="CF31" s="139">
        <f>B25</f>
        <v>3.4557999999999998E-2</v>
      </c>
      <c r="CG31" s="84" t="s">
        <v>353</v>
      </c>
      <c r="CM31" s="83"/>
      <c r="CN31" s="83" t="s">
        <v>168</v>
      </c>
      <c r="CO31" s="162">
        <f>B138</f>
        <v>2</v>
      </c>
      <c r="CP31" s="52" t="s">
        <v>41</v>
      </c>
      <c r="CQ31" s="83"/>
      <c r="CR31" s="83"/>
      <c r="CS31" s="83"/>
      <c r="CT31" s="83" t="s">
        <v>456</v>
      </c>
      <c r="CU31" s="150">
        <f>B165</f>
        <v>150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55</v>
      </c>
      <c r="DB31" s="83" t="s">
        <v>221</v>
      </c>
      <c r="DW31" s="88"/>
      <c r="DX31" s="88"/>
      <c r="DY31" s="88"/>
      <c r="DZ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B94</f>
        <v>1.5</v>
      </c>
    </row>
    <row r="32" spans="1:214" ht="13.5" thickBot="1" x14ac:dyDescent="0.25">
      <c r="A32" s="91" t="s">
        <v>103</v>
      </c>
      <c r="B32" s="183">
        <f>PEF!G3</f>
        <v>776129.4078035407</v>
      </c>
      <c r="C32" s="52" t="s">
        <v>524</v>
      </c>
      <c r="D32" s="324"/>
      <c r="E32" s="348"/>
      <c r="F32" s="346"/>
      <c r="G32" s="52" t="s">
        <v>403</v>
      </c>
      <c r="H32" s="138">
        <f>B69</f>
        <v>0.25</v>
      </c>
      <c r="I32" s="52" t="s">
        <v>89</v>
      </c>
      <c r="J32" s="83" t="s">
        <v>381</v>
      </c>
      <c r="K32" s="150">
        <f>B67</f>
        <v>150</v>
      </c>
      <c r="L32" s="83" t="s">
        <v>24</v>
      </c>
      <c r="M32" s="52" t="s">
        <v>54</v>
      </c>
      <c r="N32" s="136">
        <f>B13</f>
        <v>0.80900000000000005</v>
      </c>
      <c r="P32" s="52" t="s">
        <v>54</v>
      </c>
      <c r="Q32" s="136">
        <f>B9</f>
        <v>0.71099999999999997</v>
      </c>
      <c r="V32" s="52" t="s">
        <v>420</v>
      </c>
      <c r="W32" s="138">
        <f>B238</f>
        <v>1</v>
      </c>
      <c r="X32" s="52" t="s">
        <v>146</v>
      </c>
      <c r="Y32" s="52" t="s">
        <v>158</v>
      </c>
      <c r="Z32" s="138">
        <f>B258</f>
        <v>1</v>
      </c>
      <c r="AA32" s="52" t="s">
        <v>146</v>
      </c>
      <c r="AB32" s="83" t="s">
        <v>77</v>
      </c>
      <c r="AC32" s="136">
        <f>B31</f>
        <v>1359344473.5814338</v>
      </c>
      <c r="AD32" s="136">
        <f>B31</f>
        <v>1359344473.5814338</v>
      </c>
      <c r="AE32" s="136">
        <f>B31</f>
        <v>1359344473.5814338</v>
      </c>
      <c r="AF32" s="136"/>
      <c r="AG32" s="136"/>
      <c r="AH32" s="104" t="s">
        <v>78</v>
      </c>
      <c r="AI32" s="52" t="s">
        <v>54</v>
      </c>
      <c r="AJ32" s="136">
        <f>B13</f>
        <v>0.80900000000000005</v>
      </c>
      <c r="AL32" s="52" t="s">
        <v>54</v>
      </c>
      <c r="AM32" s="136">
        <f>B9</f>
        <v>0.71099999999999997</v>
      </c>
      <c r="AR32" s="52" t="s">
        <v>54</v>
      </c>
      <c r="AS32" s="136">
        <f>B13</f>
        <v>0.80900000000000005</v>
      </c>
      <c r="AU32" s="52" t="s">
        <v>54</v>
      </c>
      <c r="AV32" s="136">
        <f>B9</f>
        <v>0.71099999999999997</v>
      </c>
      <c r="BA32" s="52" t="s">
        <v>54</v>
      </c>
      <c r="BB32" s="136">
        <f>B13</f>
        <v>0.80900000000000005</v>
      </c>
      <c r="BD32" s="52" t="s">
        <v>54</v>
      </c>
      <c r="BE32" s="136">
        <f>B9</f>
        <v>0.71099999999999997</v>
      </c>
      <c r="BJ32" s="52" t="s">
        <v>300</v>
      </c>
      <c r="BK32" s="136">
        <f>B12</f>
        <v>1.5699999999999999E-5</v>
      </c>
      <c r="BM32" s="52" t="s">
        <v>300</v>
      </c>
      <c r="BN32" s="136">
        <f>B8</f>
        <v>1.35E-4</v>
      </c>
      <c r="BS32" s="91"/>
      <c r="BT32" s="99"/>
      <c r="BU32" s="100"/>
      <c r="BW32" s="90"/>
      <c r="BZ32" s="138">
        <v>1000</v>
      </c>
      <c r="CA32" s="52" t="s">
        <v>99</v>
      </c>
      <c r="CM32" s="83"/>
      <c r="CN32" s="83" t="s">
        <v>22</v>
      </c>
      <c r="CO32" s="137">
        <f>0.693/CO33</f>
        <v>1.6041666666666665E-3</v>
      </c>
      <c r="CR32" s="83"/>
      <c r="CS32" s="83"/>
      <c r="CT32" s="83" t="s">
        <v>465</v>
      </c>
      <c r="CU32" s="150">
        <f>B166</f>
        <v>150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55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5" thickTop="1" x14ac:dyDescent="0.2">
      <c r="A33" s="91" t="s">
        <v>104</v>
      </c>
      <c r="B33" s="183">
        <f>PEF!J3</f>
        <v>69557565.807898715</v>
      </c>
      <c r="C33" s="52" t="s">
        <v>524</v>
      </c>
      <c r="D33" s="83" t="s">
        <v>267</v>
      </c>
      <c r="E33" s="136">
        <f>B17</f>
        <v>1</v>
      </c>
      <c r="F33" s="52" t="s">
        <v>344</v>
      </c>
      <c r="G33" s="52" t="s">
        <v>404</v>
      </c>
      <c r="H33" s="138">
        <f>B70</f>
        <v>0.75</v>
      </c>
      <c r="I33" s="52" t="s">
        <v>89</v>
      </c>
      <c r="J33" s="83" t="s">
        <v>379</v>
      </c>
      <c r="K33" s="141">
        <f>B65</f>
        <v>1</v>
      </c>
      <c r="L33" s="92" t="s">
        <v>60</v>
      </c>
      <c r="M33" s="52" t="s">
        <v>408</v>
      </c>
      <c r="N33" s="150">
        <f>B88</f>
        <v>5</v>
      </c>
      <c r="O33" s="52" t="s">
        <v>194</v>
      </c>
      <c r="P33" s="52" t="s">
        <v>408</v>
      </c>
      <c r="Q33" s="150">
        <f>B88</f>
        <v>5</v>
      </c>
      <c r="R33" s="52" t="s">
        <v>194</v>
      </c>
      <c r="V33" s="52" t="s">
        <v>247</v>
      </c>
      <c r="W33" s="139">
        <f>B18</f>
        <v>0.36297000000000001</v>
      </c>
      <c r="X33" s="84" t="s">
        <v>39</v>
      </c>
      <c r="Y33" s="52" t="s">
        <v>247</v>
      </c>
      <c r="Z33" s="139">
        <f>B18</f>
        <v>0.36297000000000001</v>
      </c>
      <c r="AA33" s="84" t="s">
        <v>39</v>
      </c>
      <c r="AB33" s="104" t="s">
        <v>103</v>
      </c>
      <c r="AC33" s="136"/>
      <c r="AD33" s="136"/>
      <c r="AE33" s="136"/>
      <c r="AF33" s="157">
        <f>B32</f>
        <v>776129.4078035407</v>
      </c>
      <c r="AG33" s="136"/>
      <c r="AH33" s="104" t="s">
        <v>78</v>
      </c>
      <c r="AI33" s="52" t="s">
        <v>57</v>
      </c>
      <c r="AJ33" s="136">
        <f>B242</f>
        <v>5</v>
      </c>
      <c r="AK33" s="52" t="s">
        <v>194</v>
      </c>
      <c r="AL33" s="52" t="s">
        <v>57</v>
      </c>
      <c r="AM33" s="136">
        <f>B242</f>
        <v>5</v>
      </c>
      <c r="AN33" s="52" t="s">
        <v>194</v>
      </c>
      <c r="AR33" s="52" t="s">
        <v>57</v>
      </c>
      <c r="AS33" s="136">
        <f>B252</f>
        <v>5</v>
      </c>
      <c r="AT33" s="52" t="s">
        <v>194</v>
      </c>
      <c r="AU33" s="52" t="s">
        <v>57</v>
      </c>
      <c r="AV33" s="136">
        <f>B252</f>
        <v>5</v>
      </c>
      <c r="AW33" s="52" t="s">
        <v>194</v>
      </c>
      <c r="BA33" s="52" t="s">
        <v>58</v>
      </c>
      <c r="BB33" s="136">
        <f>B232</f>
        <v>5</v>
      </c>
      <c r="BC33" s="52" t="s">
        <v>194</v>
      </c>
      <c r="BD33" s="52" t="s">
        <v>57</v>
      </c>
      <c r="BE33" s="136">
        <f>B232</f>
        <v>5</v>
      </c>
      <c r="BF33" s="52" t="s">
        <v>194</v>
      </c>
      <c r="BJ33" s="52" t="s">
        <v>411</v>
      </c>
      <c r="BK33" s="136">
        <f>B13</f>
        <v>0.80900000000000005</v>
      </c>
      <c r="BM33" s="52" t="s">
        <v>418</v>
      </c>
      <c r="BN33" s="136">
        <f>B9</f>
        <v>0.71099999999999997</v>
      </c>
      <c r="BS33" s="91"/>
      <c r="BT33" s="99"/>
      <c r="BU33" s="100"/>
      <c r="BW33" s="90"/>
      <c r="BZ33" s="146">
        <v>1000</v>
      </c>
      <c r="CA33" s="52" t="s">
        <v>23</v>
      </c>
      <c r="CM33" s="83"/>
      <c r="CN33" s="91" t="s">
        <v>231</v>
      </c>
      <c r="CO33" s="136">
        <f>B30</f>
        <v>432</v>
      </c>
      <c r="CP33" s="52" t="s">
        <v>60</v>
      </c>
      <c r="CR33" s="83"/>
      <c r="CS33" s="83"/>
      <c r="CT33" s="83" t="s">
        <v>363</v>
      </c>
      <c r="CU33" s="141">
        <f t="shared" ref="CU33:CU40" si="1">B168</f>
        <v>1</v>
      </c>
      <c r="CV33" s="92" t="s">
        <v>60</v>
      </c>
      <c r="CZ33" s="92" t="s">
        <v>513</v>
      </c>
      <c r="DA33" s="141">
        <f t="shared" si="0"/>
        <v>55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B92</f>
        <v>70</v>
      </c>
    </row>
    <row r="34" spans="1:214" x14ac:dyDescent="0.2">
      <c r="A34" s="91" t="s">
        <v>231</v>
      </c>
      <c r="B34" s="183">
        <f>B30*365</f>
        <v>157680</v>
      </c>
      <c r="C34" s="52" t="s">
        <v>222</v>
      </c>
      <c r="D34" s="83" t="s">
        <v>382</v>
      </c>
      <c r="E34" s="150">
        <f>B68</f>
        <v>150</v>
      </c>
      <c r="F34" s="83" t="s">
        <v>24</v>
      </c>
      <c r="G34" s="83" t="s">
        <v>383</v>
      </c>
      <c r="H34" s="150">
        <f>B71</f>
        <v>24</v>
      </c>
      <c r="I34" s="94" t="s">
        <v>194</v>
      </c>
      <c r="J34" s="83" t="s">
        <v>383</v>
      </c>
      <c r="K34" s="150">
        <f>B71</f>
        <v>24</v>
      </c>
      <c r="L34" s="94" t="s">
        <v>194</v>
      </c>
      <c r="M34" s="52" t="s">
        <v>410</v>
      </c>
      <c r="N34" s="139">
        <f>B23</f>
        <v>2.5484199999999999E-2</v>
      </c>
      <c r="O34" s="84" t="s">
        <v>354</v>
      </c>
      <c r="P34" s="52" t="s">
        <v>419</v>
      </c>
      <c r="Q34" s="139">
        <f>B25</f>
        <v>3.4557999999999998E-2</v>
      </c>
      <c r="R34" s="84" t="s">
        <v>353</v>
      </c>
      <c r="V34" s="52" t="s">
        <v>421</v>
      </c>
      <c r="W34" s="150">
        <f>B243</f>
        <v>5</v>
      </c>
      <c r="X34" s="84" t="s">
        <v>194</v>
      </c>
      <c r="Y34" s="52" t="s">
        <v>192</v>
      </c>
      <c r="Z34" s="150">
        <f>B262</f>
        <v>5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B33</f>
        <v>69557565.807898715</v>
      </c>
      <c r="AH34" s="104" t="s">
        <v>78</v>
      </c>
      <c r="AI34" s="52" t="s">
        <v>410</v>
      </c>
      <c r="AJ34" s="139">
        <f>B23</f>
        <v>2.5484199999999999E-2</v>
      </c>
      <c r="AK34" s="84" t="s">
        <v>353</v>
      </c>
      <c r="AL34" s="52" t="s">
        <v>419</v>
      </c>
      <c r="AM34" s="139">
        <f>B25</f>
        <v>3.4557999999999998E-2</v>
      </c>
      <c r="AN34" s="84" t="s">
        <v>353</v>
      </c>
      <c r="AR34" s="52" t="s">
        <v>410</v>
      </c>
      <c r="AS34" s="139">
        <f>B23</f>
        <v>2.5484199999999999E-2</v>
      </c>
      <c r="AT34" s="84" t="s">
        <v>353</v>
      </c>
      <c r="AU34" s="52" t="s">
        <v>419</v>
      </c>
      <c r="AV34" s="139">
        <f>B25</f>
        <v>3.4557999999999998E-2</v>
      </c>
      <c r="AW34" s="84" t="s">
        <v>353</v>
      </c>
      <c r="BA34" s="52" t="s">
        <v>410</v>
      </c>
      <c r="BB34" s="139">
        <f>B23</f>
        <v>2.5484199999999999E-2</v>
      </c>
      <c r="BC34" s="84" t="s">
        <v>353</v>
      </c>
      <c r="BD34" s="52" t="s">
        <v>419</v>
      </c>
      <c r="BE34" s="139">
        <f>B25</f>
        <v>3.4557999999999998E-2</v>
      </c>
      <c r="BF34" s="84" t="s">
        <v>353</v>
      </c>
      <c r="BJ34" s="52" t="s">
        <v>57</v>
      </c>
      <c r="BK34" s="136">
        <f>B262</f>
        <v>5</v>
      </c>
      <c r="BL34" s="52" t="s">
        <v>194</v>
      </c>
      <c r="BM34" s="52" t="s">
        <v>57</v>
      </c>
      <c r="BN34" s="136">
        <f>B262</f>
        <v>5</v>
      </c>
      <c r="BO34" s="52" t="s">
        <v>194</v>
      </c>
      <c r="BT34" s="102"/>
      <c r="BU34" s="91"/>
      <c r="BY34" s="91" t="s">
        <v>308</v>
      </c>
      <c r="BZ34" s="146">
        <f>B111</f>
        <v>0.23</v>
      </c>
      <c r="CM34" s="83"/>
      <c r="CN34" s="84" t="s">
        <v>16</v>
      </c>
      <c r="CO34" s="137">
        <f>(CO31*CO32)/(1-EXP(-CO32*CO31))</f>
        <v>1.00160502445007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55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B45</f>
        <v>4</v>
      </c>
    </row>
    <row r="35" spans="1:214" x14ac:dyDescent="0.2">
      <c r="A35" s="83" t="s">
        <v>105</v>
      </c>
      <c r="B35" s="182">
        <v>240</v>
      </c>
      <c r="C35" s="84" t="s">
        <v>18</v>
      </c>
      <c r="D35" s="83" t="s">
        <v>258</v>
      </c>
      <c r="E35" s="136">
        <f>B29</f>
        <v>8.8060000000000005E-4</v>
      </c>
      <c r="F35" s="83" t="s">
        <v>87</v>
      </c>
      <c r="G35" s="83" t="s">
        <v>384</v>
      </c>
      <c r="H35" s="150">
        <f>B71</f>
        <v>24</v>
      </c>
      <c r="I35" s="52" t="s">
        <v>194</v>
      </c>
      <c r="J35" s="83" t="s">
        <v>384</v>
      </c>
      <c r="K35" s="150">
        <f>B71</f>
        <v>24</v>
      </c>
      <c r="L35" s="52" t="s">
        <v>194</v>
      </c>
      <c r="M35" s="52" t="s">
        <v>409</v>
      </c>
      <c r="N35" s="150">
        <f>B89</f>
        <v>25</v>
      </c>
      <c r="O35" s="52" t="s">
        <v>194</v>
      </c>
      <c r="P35" s="52" t="s">
        <v>409</v>
      </c>
      <c r="Q35" s="150">
        <f>B89</f>
        <v>25</v>
      </c>
      <c r="R35" s="52" t="s">
        <v>194</v>
      </c>
      <c r="V35" s="52" t="s">
        <v>304</v>
      </c>
      <c r="W35" s="146">
        <f>B236</f>
        <v>50</v>
      </c>
      <c r="X35" s="84" t="s">
        <v>407</v>
      </c>
      <c r="Y35" s="52" t="s">
        <v>348</v>
      </c>
      <c r="Z35" s="146">
        <f>B256</f>
        <v>50</v>
      </c>
      <c r="AA35" s="84" t="s">
        <v>407</v>
      </c>
      <c r="AI35" s="52" t="s">
        <v>69</v>
      </c>
      <c r="AJ35" s="136">
        <f>B243</f>
        <v>5</v>
      </c>
      <c r="AK35" s="52" t="s">
        <v>194</v>
      </c>
      <c r="AL35" s="52" t="s">
        <v>69</v>
      </c>
      <c r="AM35" s="136">
        <f>B243</f>
        <v>5</v>
      </c>
      <c r="AN35" s="52" t="s">
        <v>194</v>
      </c>
      <c r="AR35" s="52" t="s">
        <v>69</v>
      </c>
      <c r="AS35" s="136">
        <f>B253</f>
        <v>5</v>
      </c>
      <c r="AT35" s="52" t="s">
        <v>194</v>
      </c>
      <c r="AU35" s="52" t="s">
        <v>69</v>
      </c>
      <c r="AV35" s="136">
        <f>B253</f>
        <v>5</v>
      </c>
      <c r="AW35" s="52" t="s">
        <v>194</v>
      </c>
      <c r="BA35" s="52" t="s">
        <v>69</v>
      </c>
      <c r="BB35" s="136">
        <f>B233</f>
        <v>5</v>
      </c>
      <c r="BC35" s="52" t="s">
        <v>194</v>
      </c>
      <c r="BD35" s="52" t="s">
        <v>69</v>
      </c>
      <c r="BE35" s="136">
        <f>B233</f>
        <v>5</v>
      </c>
      <c r="BF35" s="52" t="s">
        <v>194</v>
      </c>
      <c r="BJ35" s="52" t="s">
        <v>410</v>
      </c>
      <c r="BK35" s="139">
        <f>B23</f>
        <v>2.5484199999999999E-2</v>
      </c>
      <c r="BL35" s="84" t="s">
        <v>353</v>
      </c>
      <c r="BM35" s="52" t="s">
        <v>419</v>
      </c>
      <c r="BN35" s="139">
        <f>B25</f>
        <v>3.4557999999999998E-2</v>
      </c>
      <c r="BO35" s="84" t="s">
        <v>353</v>
      </c>
      <c r="BY35" s="91" t="s">
        <v>309</v>
      </c>
      <c r="BZ35" s="146">
        <f>B112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B165</f>
        <v>150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B75</f>
        <v>0.5</v>
      </c>
      <c r="HF35" s="52" t="s">
        <v>355</v>
      </c>
    </row>
    <row r="36" spans="1:214" x14ac:dyDescent="0.2">
      <c r="A36" s="83" t="s">
        <v>239</v>
      </c>
      <c r="B36" s="183">
        <v>4.2E-7</v>
      </c>
      <c r="C36" s="52" t="s">
        <v>601</v>
      </c>
      <c r="D36" s="83" t="s">
        <v>389</v>
      </c>
      <c r="E36" s="146">
        <f>B90</f>
        <v>1</v>
      </c>
      <c r="G36" s="83" t="s">
        <v>405</v>
      </c>
      <c r="H36" s="138">
        <f>B76</f>
        <v>5</v>
      </c>
      <c r="I36" s="52" t="s">
        <v>80</v>
      </c>
      <c r="J36" s="83" t="s">
        <v>390</v>
      </c>
      <c r="K36" s="141">
        <f>B78</f>
        <v>0.25</v>
      </c>
      <c r="M36" s="121"/>
      <c r="N36" s="121"/>
      <c r="O36" s="121"/>
      <c r="P36" s="121"/>
      <c r="Q36" s="121"/>
      <c r="R36" s="121"/>
      <c r="V36" s="83" t="s">
        <v>256</v>
      </c>
      <c r="W36" s="136">
        <f>B27</f>
        <v>125.5296</v>
      </c>
      <c r="X36" s="83" t="s">
        <v>343</v>
      </c>
      <c r="Y36" s="83" t="s">
        <v>256</v>
      </c>
      <c r="Z36" s="136">
        <f>B27</f>
        <v>125.5296</v>
      </c>
      <c r="AA36" s="83" t="s">
        <v>343</v>
      </c>
      <c r="AI36" s="83"/>
      <c r="AJ36" s="83"/>
      <c r="AK36" s="83"/>
      <c r="AL36" s="83"/>
      <c r="AM36" s="83"/>
      <c r="AN36" s="83"/>
      <c r="AR36" s="83"/>
      <c r="AS36" s="83"/>
      <c r="AT36" s="83"/>
      <c r="AU36" s="83"/>
      <c r="AV36" s="83"/>
      <c r="AW36" s="83"/>
      <c r="BA36" s="83"/>
      <c r="BB36" s="83"/>
      <c r="BC36" s="83"/>
      <c r="BD36" s="83"/>
      <c r="BE36" s="83"/>
      <c r="BF36" s="83"/>
      <c r="BS36" s="100"/>
      <c r="BT36" s="100"/>
      <c r="BU36" s="91"/>
      <c r="BZ36" s="90"/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B166</f>
        <v>150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B97</f>
        <v>5</v>
      </c>
      <c r="HF36" s="52" t="s">
        <v>94</v>
      </c>
    </row>
    <row r="37" spans="1:214" x14ac:dyDescent="0.2">
      <c r="A37" s="83" t="s">
        <v>236</v>
      </c>
      <c r="B37" s="183">
        <v>5.0000000000000001E-4</v>
      </c>
      <c r="C37" s="52" t="s">
        <v>388</v>
      </c>
      <c r="D37" s="83" t="s">
        <v>394</v>
      </c>
      <c r="E37" s="146">
        <f>B56</f>
        <v>35</v>
      </c>
      <c r="F37" s="52" t="s">
        <v>48</v>
      </c>
      <c r="G37" s="83" t="s">
        <v>406</v>
      </c>
      <c r="H37" s="138">
        <f>B77</f>
        <v>5</v>
      </c>
      <c r="I37" s="52" t="s">
        <v>80</v>
      </c>
      <c r="J37" s="83" t="s">
        <v>408</v>
      </c>
      <c r="K37" s="150">
        <f>B88</f>
        <v>5</v>
      </c>
      <c r="L37" s="84" t="s">
        <v>194</v>
      </c>
      <c r="V37" s="83" t="s">
        <v>301</v>
      </c>
      <c r="W37" s="142">
        <f>B240</f>
        <v>2</v>
      </c>
      <c r="Y37" s="83" t="s">
        <v>301</v>
      </c>
      <c r="Z37" s="142">
        <f>B260</f>
        <v>2</v>
      </c>
      <c r="BS37" s="91"/>
      <c r="BT37" s="91"/>
      <c r="BU37" s="91"/>
      <c r="BZ37" s="90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15</v>
      </c>
      <c r="CV37" s="84" t="s">
        <v>194</v>
      </c>
      <c r="CZ37" s="92" t="s">
        <v>363</v>
      </c>
      <c r="DA37" s="141">
        <f>B168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4.25" x14ac:dyDescent="0.2">
      <c r="A38" s="83" t="s">
        <v>237</v>
      </c>
      <c r="B38" s="183">
        <v>6.0000000000000001E-3</v>
      </c>
      <c r="C38" s="52" t="s">
        <v>388</v>
      </c>
      <c r="D38" s="83" t="s">
        <v>260</v>
      </c>
      <c r="E38" s="152">
        <f>E33/(E35*E34*E37*E36)</f>
        <v>0.21630273731114064</v>
      </c>
      <c r="F38" s="84" t="s">
        <v>10</v>
      </c>
      <c r="H38" s="138">
        <f>1/1000</f>
        <v>1E-3</v>
      </c>
      <c r="I38" s="52" t="s">
        <v>82</v>
      </c>
      <c r="J38" s="83" t="s">
        <v>409</v>
      </c>
      <c r="K38" s="150">
        <f>B89</f>
        <v>25</v>
      </c>
      <c r="L38" s="84" t="s">
        <v>194</v>
      </c>
      <c r="V38" s="52" t="s">
        <v>261</v>
      </c>
      <c r="W38" s="143">
        <f>(W27)/((W34/24)*W31*W32*W33*W35)</f>
        <v>2.1158773452351429E-3</v>
      </c>
      <c r="X38" s="52" t="s">
        <v>15</v>
      </c>
      <c r="Y38" s="52" t="s">
        <v>261</v>
      </c>
      <c r="Z38" s="143">
        <f>(Z27)/((Z34/24)*Z31*Z32*Z33*Z35)</f>
        <v>2.1158773452351429E-3</v>
      </c>
      <c r="AA38" s="52" t="s">
        <v>15</v>
      </c>
      <c r="AE38" s="352" t="s">
        <v>226</v>
      </c>
      <c r="AF38" s="352"/>
      <c r="AG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5</v>
      </c>
      <c r="CV38" s="84" t="s">
        <v>194</v>
      </c>
      <c r="CZ38" s="92" t="s">
        <v>364</v>
      </c>
      <c r="DA38" s="141">
        <f>B169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B98</f>
        <v>0.18</v>
      </c>
      <c r="HF38" s="52" t="s">
        <v>355</v>
      </c>
    </row>
    <row r="39" spans="1:214" x14ac:dyDescent="0.2">
      <c r="A39" s="83" t="s">
        <v>171</v>
      </c>
      <c r="B39" s="183">
        <v>3.0000000000000001E-3</v>
      </c>
      <c r="C39" s="52" t="s">
        <v>388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(W27)/((W34/24)*W31*W36*(1/365))</f>
        <v>0.1116549403487305</v>
      </c>
      <c r="X39" s="52" t="s">
        <v>15</v>
      </c>
      <c r="Y39" s="52" t="s">
        <v>271</v>
      </c>
      <c r="Z39" s="144">
        <f>(Z27)/((Z34/24)*Z31*Z36*(1/365))</f>
        <v>0.1116549403487305</v>
      </c>
      <c r="AA39" s="52" t="s">
        <v>15</v>
      </c>
      <c r="AE39" s="352"/>
      <c r="AF39" s="352"/>
      <c r="AG39" s="352"/>
      <c r="BK39" s="352" t="s">
        <v>230</v>
      </c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B170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B99</f>
        <v>55</v>
      </c>
      <c r="HF39" s="52" t="s">
        <v>97</v>
      </c>
    </row>
    <row r="40" spans="1:214" x14ac:dyDescent="0.2">
      <c r="A40" s="83" t="s">
        <v>238</v>
      </c>
      <c r="B40" s="183">
        <v>1.7000000000000001E-4</v>
      </c>
      <c r="C40" s="52" t="s">
        <v>388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(W27*W29*W28)/((W34/24)*(1-EXP(-W29*W32))*W33*W35*W31*W32)</f>
        <v>2.1175749089302515E-3</v>
      </c>
      <c r="X40" s="52" t="s">
        <v>16</v>
      </c>
      <c r="Y40" s="52" t="s">
        <v>261</v>
      </c>
      <c r="Z40" s="144">
        <f>(Z27*Z29*Z28)/((Z34/24)*(1-EXP(-Z29*Z32))*Z33*Z35*Z31*Z32)</f>
        <v>2.1175749089302515E-3</v>
      </c>
      <c r="AA40" s="52" t="s">
        <v>16</v>
      </c>
      <c r="AE40" s="352"/>
      <c r="AF40" s="352"/>
      <c r="AG40" s="352"/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1</v>
      </c>
      <c r="CZ40" s="92" t="s">
        <v>457</v>
      </c>
      <c r="DA40" s="141">
        <f>B177</f>
        <v>5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B100</f>
        <v>5</v>
      </c>
      <c r="HF40" s="52" t="s">
        <v>97</v>
      </c>
    </row>
    <row r="41" spans="1:214" x14ac:dyDescent="0.2">
      <c r="A41" s="52" t="s">
        <v>229</v>
      </c>
      <c r="B41" s="183">
        <v>5.0000000000000001E-4</v>
      </c>
      <c r="C41" s="52" t="s">
        <v>388</v>
      </c>
      <c r="G41" s="83" t="s">
        <v>390</v>
      </c>
      <c r="H41" s="141">
        <f>B78</f>
        <v>0.25</v>
      </c>
      <c r="I41" s="84"/>
      <c r="J41" s="83" t="s">
        <v>302</v>
      </c>
      <c r="K41" s="161">
        <f>B3</f>
        <v>2.41E-4</v>
      </c>
      <c r="V41" s="52" t="s">
        <v>271</v>
      </c>
      <c r="W41" s="145">
        <f>(W27*W29*W28)/((W34/24)*(1-EXP(-W29*W28))*W36*W31*(1/365))</f>
        <v>0.11174452085940724</v>
      </c>
      <c r="X41" s="52" t="s">
        <v>16</v>
      </c>
      <c r="Y41" s="52" t="s">
        <v>271</v>
      </c>
      <c r="Z41" s="145">
        <f>(Z27*Z29*Z28)/((Z34/24)*(1-EXP(-Z29*Z28))*Z36*Z31*(1/365))</f>
        <v>0.11174452085940724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61">
        <f>B3</f>
        <v>2.41E-4</v>
      </c>
      <c r="CZ41" s="92" t="s">
        <v>466</v>
      </c>
      <c r="DA41" s="141">
        <f>B178</f>
        <v>5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B101</f>
        <v>5</v>
      </c>
      <c r="HF41" s="52" t="s">
        <v>97</v>
      </c>
    </row>
    <row r="42" spans="1:214" ht="13.5" thickBot="1" x14ac:dyDescent="0.25">
      <c r="A42" s="83" t="s">
        <v>228</v>
      </c>
      <c r="B42" s="183">
        <v>6.0000000000000001E-3</v>
      </c>
      <c r="C42" s="52" t="s">
        <v>388</v>
      </c>
      <c r="G42" s="83"/>
      <c r="H42" s="146">
        <v>365</v>
      </c>
      <c r="I42" s="84" t="s">
        <v>24</v>
      </c>
      <c r="J42" s="83" t="s">
        <v>413</v>
      </c>
      <c r="K42" s="161">
        <f>B4</f>
        <v>0.753</v>
      </c>
      <c r="Y42" s="52" t="s">
        <v>220</v>
      </c>
      <c r="Z42" s="138">
        <f>B266</f>
        <v>25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61">
        <f>B4</f>
        <v>0.753</v>
      </c>
      <c r="CW42" s="84"/>
      <c r="CX42" s="84"/>
      <c r="CY42" s="84"/>
      <c r="CZ42" s="52" t="s">
        <v>477</v>
      </c>
      <c r="DA42" s="141">
        <f>B179</f>
        <v>0.25</v>
      </c>
      <c r="DB42" s="92" t="s">
        <v>358</v>
      </c>
      <c r="DW42" s="88"/>
      <c r="DX42" s="88"/>
      <c r="DY42" s="88"/>
      <c r="DZ42" s="88"/>
      <c r="HD42" s="52" t="s">
        <v>225</v>
      </c>
      <c r="HE42" s="138">
        <f>1+((HE35*HE36*HE37)/(HE38*HE39))</f>
        <v>3.1605966718331597</v>
      </c>
    </row>
    <row r="43" spans="1:214" ht="19.5" thickTop="1" thickBot="1" x14ac:dyDescent="0.25">
      <c r="A43" s="84" t="s">
        <v>32</v>
      </c>
      <c r="B43" s="183">
        <f>0.00001914</f>
        <v>1.914E-5</v>
      </c>
      <c r="D43" s="353" t="s">
        <v>529</v>
      </c>
      <c r="E43" s="354"/>
      <c r="F43" s="355"/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Y43" s="52" t="s">
        <v>219</v>
      </c>
      <c r="Z43" s="138">
        <f>B265</f>
        <v>3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B180</f>
        <v>0.85</v>
      </c>
      <c r="DB43" s="92" t="s">
        <v>358</v>
      </c>
      <c r="DW43" s="88"/>
      <c r="DX43" s="88"/>
      <c r="DY43" s="88"/>
      <c r="DZ43" s="88"/>
    </row>
    <row r="44" spans="1:214" x14ac:dyDescent="0.2">
      <c r="A44" s="52" t="s">
        <v>33</v>
      </c>
      <c r="B44" s="183">
        <v>2.1999999999999999E-5</v>
      </c>
      <c r="D44" s="323" t="s">
        <v>530</v>
      </c>
      <c r="E44" s="347">
        <f>E54</f>
        <v>0.90126140546308597</v>
      </c>
      <c r="F44" s="345" t="s">
        <v>11</v>
      </c>
      <c r="G44" s="52" t="s">
        <v>19</v>
      </c>
      <c r="H44" s="136">
        <f>H46</f>
        <v>1.914E-5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5.75" thickBot="1" x14ac:dyDescent="0.25">
      <c r="A45" s="83" t="s">
        <v>156</v>
      </c>
      <c r="B45" s="182">
        <v>4</v>
      </c>
      <c r="C45" s="83" t="s">
        <v>18</v>
      </c>
      <c r="D45" s="324"/>
      <c r="E45" s="348"/>
      <c r="F45" s="346"/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B181</f>
        <v>0.5</v>
      </c>
      <c r="DB45" s="92" t="s">
        <v>145</v>
      </c>
      <c r="DW45" s="88"/>
      <c r="DX45" s="88"/>
      <c r="DY45" s="88"/>
      <c r="DZ45" s="88"/>
    </row>
    <row r="46" spans="1:214" ht="13.5" thickTop="1" x14ac:dyDescent="0.2">
      <c r="A46" s="84" t="s">
        <v>21</v>
      </c>
      <c r="B46" s="181">
        <v>15</v>
      </c>
      <c r="C46" s="52" t="s">
        <v>11</v>
      </c>
      <c r="D46" s="83" t="s">
        <v>267</v>
      </c>
      <c r="E46" s="136">
        <f>B17</f>
        <v>1</v>
      </c>
      <c r="F46" s="52" t="s">
        <v>344</v>
      </c>
      <c r="G46" s="84" t="s">
        <v>32</v>
      </c>
      <c r="H46" s="139">
        <f>B43</f>
        <v>1.914E-5</v>
      </c>
      <c r="K46" s="146">
        <v>1000</v>
      </c>
      <c r="L46" s="52" t="s">
        <v>23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52" t="s">
        <v>393</v>
      </c>
      <c r="B47" s="131">
        <v>0.26</v>
      </c>
      <c r="D47" s="83" t="s">
        <v>382</v>
      </c>
      <c r="E47" s="150">
        <f>B68</f>
        <v>150</v>
      </c>
      <c r="F47" s="83" t="s">
        <v>24</v>
      </c>
      <c r="G47" s="83" t="s">
        <v>393</v>
      </c>
      <c r="H47" s="142">
        <f>B47</f>
        <v>0.26</v>
      </c>
      <c r="J47" s="52" t="s">
        <v>19</v>
      </c>
      <c r="K47" s="136">
        <f>K49</f>
        <v>1.914E-5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B163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52" t="s">
        <v>392</v>
      </c>
      <c r="B48" s="131">
        <v>0.25</v>
      </c>
      <c r="D48" s="83" t="s">
        <v>258</v>
      </c>
      <c r="E48" s="136">
        <f>B29</f>
        <v>8.8060000000000005E-4</v>
      </c>
      <c r="F48" s="83" t="s">
        <v>87</v>
      </c>
      <c r="G48" s="52" t="s">
        <v>17</v>
      </c>
      <c r="H48" s="137">
        <f>((H51*H52*H53)*((1-EXP(-H54*H55))))/(H56*H54)</f>
        <v>6.6877504027585484E-4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B164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381" t="s">
        <v>2</v>
      </c>
      <c r="B49" s="382"/>
      <c r="C49" s="383"/>
      <c r="D49" s="83" t="s">
        <v>379</v>
      </c>
      <c r="E49" s="146">
        <f>B65</f>
        <v>1</v>
      </c>
      <c r="F49" s="52" t="s">
        <v>60</v>
      </c>
      <c r="G49" s="52" t="s">
        <v>25</v>
      </c>
      <c r="H49" s="137">
        <f>(H51*H52*H57*((1-EXP(-H54*H55))))/(H56*H54)</f>
        <v>9.0847184154504852</v>
      </c>
      <c r="I49" s="52" t="s">
        <v>18</v>
      </c>
      <c r="J49" s="84" t="s">
        <v>32</v>
      </c>
      <c r="K49" s="139">
        <f>B43</f>
        <v>1.914E-5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Z49" s="83" t="s">
        <v>475</v>
      </c>
      <c r="DA49" s="146">
        <f>B163</f>
        <v>0.15</v>
      </c>
      <c r="DW49" s="88"/>
      <c r="DX49" s="88"/>
      <c r="DY49" s="88"/>
      <c r="DZ49" s="88"/>
    </row>
    <row r="50" spans="1:130" x14ac:dyDescent="0.2">
      <c r="A50" s="83" t="s">
        <v>366</v>
      </c>
      <c r="B50" s="130">
        <v>5</v>
      </c>
      <c r="C50" s="92" t="s">
        <v>407</v>
      </c>
      <c r="D50" s="83" t="s">
        <v>394</v>
      </c>
      <c r="E50" s="146">
        <f>B56</f>
        <v>35</v>
      </c>
      <c r="F50" s="52" t="s">
        <v>48</v>
      </c>
      <c r="G50" s="52" t="s">
        <v>31</v>
      </c>
      <c r="H50" s="137">
        <f>(H51*H52*H58*H64*((1-EXP(-H59*H60))))/(H61*H59)</f>
        <v>3.6421488784670224</v>
      </c>
      <c r="I50" s="52" t="s">
        <v>18</v>
      </c>
      <c r="J50" s="83" t="s">
        <v>393</v>
      </c>
      <c r="K50" s="142">
        <f>B47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Z50" s="83" t="s">
        <v>476</v>
      </c>
      <c r="DA50" s="146">
        <f>B164</f>
        <v>0.85</v>
      </c>
      <c r="DW50" s="88"/>
      <c r="DX50" s="88"/>
      <c r="DY50" s="88"/>
      <c r="DZ50" s="88"/>
    </row>
    <row r="51" spans="1:130" x14ac:dyDescent="0.2">
      <c r="A51" s="83" t="s">
        <v>367</v>
      </c>
      <c r="B51" s="130">
        <v>10</v>
      </c>
      <c r="C51" s="92" t="s">
        <v>407</v>
      </c>
      <c r="D51" s="83"/>
      <c r="E51" s="150">
        <v>1000</v>
      </c>
      <c r="F51" s="84" t="s">
        <v>99</v>
      </c>
      <c r="G51" s="83" t="s">
        <v>36</v>
      </c>
      <c r="H51" s="138">
        <f>B79</f>
        <v>3.62</v>
      </c>
      <c r="I51" s="52" t="s">
        <v>37</v>
      </c>
      <c r="J51" s="83" t="s">
        <v>376</v>
      </c>
      <c r="K51" s="146">
        <f>B61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DW51" s="88"/>
      <c r="DX51" s="88"/>
      <c r="DY51" s="88"/>
      <c r="DZ51" s="88"/>
    </row>
    <row r="52" spans="1:130" x14ac:dyDescent="0.2">
      <c r="A52" s="83" t="s">
        <v>368</v>
      </c>
      <c r="B52" s="130">
        <v>100</v>
      </c>
      <c r="C52" s="84" t="s">
        <v>48</v>
      </c>
      <c r="D52" s="83" t="s">
        <v>105</v>
      </c>
      <c r="E52" s="150">
        <f>B35</f>
        <v>240</v>
      </c>
      <c r="F52" s="84" t="s">
        <v>18</v>
      </c>
      <c r="G52" s="83" t="s">
        <v>40</v>
      </c>
      <c r="H52" s="138">
        <f>B80</f>
        <v>0.25</v>
      </c>
      <c r="I52" s="52" t="s">
        <v>41</v>
      </c>
      <c r="J52" s="83" t="s">
        <v>377</v>
      </c>
      <c r="K52" s="146">
        <f>B62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DW52" s="88"/>
      <c r="DX52" s="88"/>
      <c r="DY52" s="88"/>
      <c r="DZ52" s="88"/>
    </row>
    <row r="53" spans="1:130" x14ac:dyDescent="0.2">
      <c r="A53" s="83" t="s">
        <v>369</v>
      </c>
      <c r="B53" s="130">
        <v>50</v>
      </c>
      <c r="C53" s="84" t="s">
        <v>48</v>
      </c>
      <c r="D53" s="83" t="s">
        <v>107</v>
      </c>
      <c r="E53" s="138">
        <f>B74</f>
        <v>1</v>
      </c>
      <c r="F53" s="84" t="s">
        <v>108</v>
      </c>
      <c r="G53" s="92" t="s">
        <v>32</v>
      </c>
      <c r="H53" s="136">
        <f>B43</f>
        <v>1.914E-5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83" t="s">
        <v>370</v>
      </c>
      <c r="B54" s="130">
        <v>0.25</v>
      </c>
      <c r="C54" s="83" t="s">
        <v>28</v>
      </c>
      <c r="D54" s="83" t="s">
        <v>260</v>
      </c>
      <c r="E54" s="152">
        <f>E46/(E48*E47*E49*E50*E52*E53*(1/E51))</f>
        <v>0.90126140546308597</v>
      </c>
      <c r="F54" s="52" t="s">
        <v>11</v>
      </c>
      <c r="G54" s="92" t="s">
        <v>49</v>
      </c>
      <c r="H54" s="137">
        <f>H62+H63</f>
        <v>3.1394977168949772E-5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83" t="s">
        <v>371</v>
      </c>
      <c r="B55" s="130">
        <v>1.5</v>
      </c>
      <c r="C55" s="52" t="s">
        <v>28</v>
      </c>
      <c r="G55" s="92" t="s">
        <v>52</v>
      </c>
      <c r="H55" s="138">
        <f>B81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83" t="s">
        <v>310</v>
      </c>
      <c r="B56" s="130">
        <v>35</v>
      </c>
      <c r="C56" s="52" t="s">
        <v>48</v>
      </c>
      <c r="G56" s="92" t="s">
        <v>55</v>
      </c>
      <c r="H56" s="138">
        <f>B82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83" t="s">
        <v>372</v>
      </c>
      <c r="B57" s="130">
        <v>55</v>
      </c>
      <c r="C57" s="92" t="s">
        <v>221</v>
      </c>
      <c r="G57" s="92" t="s">
        <v>393</v>
      </c>
      <c r="H57" s="138">
        <f>B47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83" t="s">
        <v>373</v>
      </c>
      <c r="B58" s="130">
        <v>55</v>
      </c>
      <c r="C58" s="92" t="s">
        <v>221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83" t="s">
        <v>374</v>
      </c>
      <c r="B59" s="130">
        <v>55</v>
      </c>
      <c r="C59" s="92" t="s">
        <v>221</v>
      </c>
      <c r="G59" s="92" t="s">
        <v>63</v>
      </c>
      <c r="H59" s="151">
        <f>H63+(0.693/H65)</f>
        <v>4.9504394977168943E-2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83" t="s">
        <v>375</v>
      </c>
      <c r="B60" s="130">
        <v>55</v>
      </c>
      <c r="C60" s="92" t="s">
        <v>221</v>
      </c>
      <c r="G60" s="92" t="s">
        <v>67</v>
      </c>
      <c r="H60" s="142">
        <f>B83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83" t="s">
        <v>376</v>
      </c>
      <c r="B61" s="130">
        <v>0.23</v>
      </c>
      <c r="G61" s="92" t="s">
        <v>68</v>
      </c>
      <c r="H61" s="142">
        <f>B84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83" t="s">
        <v>377</v>
      </c>
      <c r="B62" s="130">
        <v>0.77</v>
      </c>
      <c r="G62" s="92" t="s">
        <v>70</v>
      </c>
      <c r="H62" s="138">
        <f>B85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378</v>
      </c>
      <c r="B63" s="131">
        <v>1</v>
      </c>
      <c r="C63" s="52" t="s">
        <v>60</v>
      </c>
      <c r="G63" s="92" t="s">
        <v>71</v>
      </c>
      <c r="H63" s="137">
        <f>0.693/H67</f>
        <v>4.3949771689497717E-6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52" t="s">
        <v>448</v>
      </c>
      <c r="B64" s="131">
        <v>1</v>
      </c>
      <c r="C64" s="52" t="s">
        <v>60</v>
      </c>
      <c r="G64" s="92" t="s">
        <v>73</v>
      </c>
      <c r="H64" s="138">
        <f>B86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379</v>
      </c>
      <c r="B65" s="131">
        <v>1</v>
      </c>
      <c r="C65" s="52" t="s">
        <v>60</v>
      </c>
      <c r="G65" s="92" t="s">
        <v>74</v>
      </c>
      <c r="H65" s="138">
        <f>B87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380</v>
      </c>
      <c r="B66" s="131">
        <v>150</v>
      </c>
      <c r="C66" s="83" t="s">
        <v>24</v>
      </c>
      <c r="G66" s="52" t="s">
        <v>33</v>
      </c>
      <c r="H66" s="136">
        <f>B44</f>
        <v>2.1999999999999999E-5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381</v>
      </c>
      <c r="B67" s="131">
        <v>150</v>
      </c>
      <c r="C67" s="83" t="s">
        <v>24</v>
      </c>
      <c r="G67" s="83" t="s">
        <v>234</v>
      </c>
      <c r="H67" s="136">
        <f>B34</f>
        <v>157680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382</v>
      </c>
      <c r="B68" s="131">
        <v>150</v>
      </c>
      <c r="C68" s="83" t="s">
        <v>24</v>
      </c>
      <c r="G68" s="83" t="s">
        <v>376</v>
      </c>
      <c r="H68" s="146">
        <f>B61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52" t="s">
        <v>403</v>
      </c>
      <c r="B69" s="131">
        <v>0.25</v>
      </c>
      <c r="C69" s="52" t="s">
        <v>89</v>
      </c>
      <c r="G69" s="83" t="s">
        <v>377</v>
      </c>
      <c r="H69" s="146">
        <f>B62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52" t="s">
        <v>404</v>
      </c>
      <c r="B70" s="131">
        <v>0.75</v>
      </c>
      <c r="C70" s="52" t="s">
        <v>89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52" t="s">
        <v>385</v>
      </c>
      <c r="B71" s="131">
        <v>24</v>
      </c>
      <c r="C71" s="52" t="s">
        <v>194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52" t="s">
        <v>318</v>
      </c>
      <c r="B72" s="131">
        <v>2</v>
      </c>
      <c r="AF72" s="109"/>
      <c r="AG72" s="106"/>
      <c r="AH72" s="106"/>
      <c r="AI72" s="106"/>
      <c r="AJ72" s="106"/>
      <c r="AK72" s="106"/>
    </row>
    <row r="73" spans="1:105" x14ac:dyDescent="0.2">
      <c r="A73" s="52" t="s">
        <v>303</v>
      </c>
      <c r="B73" s="131">
        <v>1</v>
      </c>
      <c r="AF73" s="109"/>
      <c r="AG73" s="106"/>
      <c r="AH73" s="106"/>
      <c r="AI73" s="106"/>
      <c r="AJ73" s="106"/>
      <c r="AK73" s="106"/>
    </row>
    <row r="74" spans="1:105" x14ac:dyDescent="0.2">
      <c r="A74" s="83" t="s">
        <v>107</v>
      </c>
      <c r="B74" s="131">
        <v>1</v>
      </c>
      <c r="C74" s="84" t="s">
        <v>108</v>
      </c>
      <c r="AF74" s="109"/>
      <c r="AG74" s="106"/>
      <c r="AH74" s="106"/>
      <c r="AI74" s="106"/>
      <c r="AJ74" s="106"/>
      <c r="AK74" s="106"/>
    </row>
    <row r="75" spans="1:105" x14ac:dyDescent="0.2">
      <c r="A75" s="52" t="s">
        <v>65</v>
      </c>
      <c r="B75" s="131">
        <v>0.5</v>
      </c>
      <c r="C75" s="52" t="s">
        <v>66</v>
      </c>
      <c r="AF75" s="108"/>
      <c r="AG75" s="106"/>
      <c r="AH75" s="106"/>
      <c r="AI75" s="106"/>
      <c r="AJ75" s="106"/>
      <c r="AK75" s="106"/>
    </row>
    <row r="76" spans="1:105" x14ac:dyDescent="0.2">
      <c r="A76" s="52" t="s">
        <v>79</v>
      </c>
      <c r="B76" s="131">
        <v>5</v>
      </c>
      <c r="C76" s="52" t="s">
        <v>80</v>
      </c>
      <c r="AF76" s="109"/>
      <c r="AG76" s="106"/>
      <c r="AH76" s="106"/>
      <c r="AI76" s="106"/>
      <c r="AJ76" s="106"/>
      <c r="AK76" s="106"/>
    </row>
    <row r="77" spans="1:105" x14ac:dyDescent="0.2">
      <c r="A77" s="52" t="s">
        <v>81</v>
      </c>
      <c r="B77" s="131">
        <v>5</v>
      </c>
      <c r="C77" s="52" t="s">
        <v>80</v>
      </c>
      <c r="AF77" s="109"/>
      <c r="AG77" s="106"/>
      <c r="AH77" s="106"/>
      <c r="AI77" s="106"/>
      <c r="AJ77" s="106"/>
      <c r="AK77" s="106"/>
    </row>
    <row r="78" spans="1:105" x14ac:dyDescent="0.2">
      <c r="A78" s="52" t="s">
        <v>390</v>
      </c>
      <c r="B78" s="131">
        <v>0.25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36</v>
      </c>
      <c r="B79" s="131">
        <v>3.62</v>
      </c>
      <c r="C79" s="52" t="s">
        <v>37</v>
      </c>
      <c r="AF79" s="109"/>
      <c r="AG79" s="106"/>
    </row>
    <row r="80" spans="1:105" x14ac:dyDescent="0.2">
      <c r="A80" s="83" t="s">
        <v>40</v>
      </c>
      <c r="B80" s="131">
        <v>0.25</v>
      </c>
      <c r="C80" s="52" t="s">
        <v>41</v>
      </c>
      <c r="AF80" s="109"/>
      <c r="AG80" s="106"/>
      <c r="AH80" s="106"/>
      <c r="AI80" s="106"/>
      <c r="AJ80" s="106"/>
      <c r="AK80" s="106"/>
    </row>
    <row r="81" spans="1:37" x14ac:dyDescent="0.2">
      <c r="A81" s="92" t="s">
        <v>52</v>
      </c>
      <c r="B81" s="131">
        <v>10950</v>
      </c>
      <c r="C81" s="52" t="s">
        <v>53</v>
      </c>
      <c r="AF81" s="109"/>
      <c r="AG81" s="106"/>
      <c r="AH81" s="106"/>
      <c r="AI81" s="106"/>
      <c r="AJ81" s="106"/>
      <c r="AK81" s="106"/>
    </row>
    <row r="82" spans="1:37" x14ac:dyDescent="0.2">
      <c r="A82" s="92" t="s">
        <v>55</v>
      </c>
      <c r="B82" s="131">
        <v>240</v>
      </c>
      <c r="C82" s="52" t="s">
        <v>56</v>
      </c>
      <c r="AF82" s="109"/>
      <c r="AG82" s="106"/>
      <c r="AH82" s="106"/>
      <c r="AI82" s="106"/>
      <c r="AJ82" s="106"/>
      <c r="AK82" s="106"/>
    </row>
    <row r="83" spans="1:37" x14ac:dyDescent="0.2">
      <c r="A83" s="92" t="s">
        <v>67</v>
      </c>
      <c r="B83" s="131">
        <v>60</v>
      </c>
      <c r="C83" s="83" t="s">
        <v>53</v>
      </c>
      <c r="AF83" s="109"/>
      <c r="AG83" s="106"/>
      <c r="AH83" s="106"/>
      <c r="AI83" s="106"/>
      <c r="AJ83" s="106"/>
      <c r="AK83" s="106"/>
    </row>
    <row r="84" spans="1:37" x14ac:dyDescent="0.2">
      <c r="A84" s="92" t="s">
        <v>68</v>
      </c>
      <c r="B84" s="131">
        <v>2</v>
      </c>
      <c r="C84" s="83" t="s">
        <v>56</v>
      </c>
      <c r="AF84" s="108"/>
      <c r="AG84" s="106"/>
    </row>
    <row r="85" spans="1:37" x14ac:dyDescent="0.2">
      <c r="A85" s="92" t="s">
        <v>70</v>
      </c>
      <c r="B85" s="131">
        <v>2.6999999999999999E-5</v>
      </c>
      <c r="C85" s="52" t="s">
        <v>64</v>
      </c>
      <c r="AF85" s="108"/>
      <c r="AG85" s="106"/>
      <c r="AH85" s="106"/>
      <c r="AI85" s="106"/>
      <c r="AJ85" s="106"/>
      <c r="AK85" s="106"/>
    </row>
    <row r="86" spans="1:37" x14ac:dyDescent="0.2">
      <c r="A86" s="92" t="s">
        <v>73</v>
      </c>
      <c r="B86" s="131">
        <v>1</v>
      </c>
      <c r="C86" s="52" t="s">
        <v>41</v>
      </c>
      <c r="AF86" s="108"/>
      <c r="AG86" s="106"/>
    </row>
    <row r="87" spans="1:37" x14ac:dyDescent="0.2">
      <c r="A87" s="92" t="s">
        <v>74</v>
      </c>
      <c r="B87" s="131">
        <v>14</v>
      </c>
      <c r="C87" s="52" t="s">
        <v>75</v>
      </c>
      <c r="AH87" s="108"/>
      <c r="AI87" s="108"/>
      <c r="AJ87" s="108"/>
      <c r="AK87" s="108"/>
    </row>
    <row r="88" spans="1:37" x14ac:dyDescent="0.2">
      <c r="A88" s="83" t="s">
        <v>408</v>
      </c>
      <c r="B88" s="130">
        <v>5</v>
      </c>
      <c r="C88" s="84" t="s">
        <v>194</v>
      </c>
    </row>
    <row r="89" spans="1:37" x14ac:dyDescent="0.2">
      <c r="A89" s="83" t="s">
        <v>409</v>
      </c>
      <c r="B89" s="130">
        <v>25</v>
      </c>
      <c r="C89" s="84" t="s">
        <v>194</v>
      </c>
    </row>
    <row r="90" spans="1:37" x14ac:dyDescent="0.2">
      <c r="A90" s="83" t="s">
        <v>389</v>
      </c>
      <c r="B90" s="130">
        <v>1</v>
      </c>
      <c r="C90" s="84"/>
    </row>
    <row r="91" spans="1:37" x14ac:dyDescent="0.2">
      <c r="A91" s="385" t="s">
        <v>387</v>
      </c>
      <c r="B91" s="385"/>
      <c r="C91" s="385"/>
    </row>
    <row r="92" spans="1:37" x14ac:dyDescent="0.2">
      <c r="A92" s="52" t="s">
        <v>34</v>
      </c>
      <c r="B92" s="131">
        <v>70</v>
      </c>
      <c r="C92" s="52" t="s">
        <v>60</v>
      </c>
    </row>
    <row r="93" spans="1:37" x14ac:dyDescent="0.2">
      <c r="A93" s="84" t="s">
        <v>38</v>
      </c>
      <c r="B93" s="131">
        <v>0.3</v>
      </c>
      <c r="C93" s="52" t="s">
        <v>391</v>
      </c>
    </row>
    <row r="94" spans="1:37" x14ac:dyDescent="0.2">
      <c r="A94" s="84" t="s">
        <v>42</v>
      </c>
      <c r="B94" s="130">
        <v>1.5</v>
      </c>
      <c r="C94" s="52" t="s">
        <v>286</v>
      </c>
    </row>
    <row r="95" spans="1:37" x14ac:dyDescent="0.2">
      <c r="A95" s="84" t="s">
        <v>47</v>
      </c>
      <c r="B95" s="131">
        <v>1</v>
      </c>
      <c r="C95" s="52" t="s">
        <v>60</v>
      </c>
    </row>
    <row r="96" spans="1:37" x14ac:dyDescent="0.2">
      <c r="A96" s="84" t="s">
        <v>225</v>
      </c>
      <c r="B96" s="130">
        <v>1</v>
      </c>
    </row>
    <row r="97" spans="1:3" x14ac:dyDescent="0.2">
      <c r="A97" s="52" t="s">
        <v>93</v>
      </c>
      <c r="B97" s="130">
        <v>5</v>
      </c>
      <c r="C97" s="52" t="s">
        <v>94</v>
      </c>
    </row>
    <row r="98" spans="1:3" x14ac:dyDescent="0.2">
      <c r="A98" s="52" t="s">
        <v>98</v>
      </c>
      <c r="B98" s="130">
        <v>0.18</v>
      </c>
      <c r="C98" s="52" t="s">
        <v>355</v>
      </c>
    </row>
    <row r="99" spans="1:3" x14ac:dyDescent="0.2">
      <c r="A99" s="52" t="s">
        <v>100</v>
      </c>
      <c r="B99" s="130">
        <v>55</v>
      </c>
      <c r="C99" s="52" t="s">
        <v>97</v>
      </c>
    </row>
    <row r="100" spans="1:3" x14ac:dyDescent="0.2">
      <c r="A100" s="52" t="s">
        <v>101</v>
      </c>
      <c r="B100" s="130">
        <v>5</v>
      </c>
      <c r="C100" s="52" t="s">
        <v>97</v>
      </c>
    </row>
    <row r="101" spans="1:3" x14ac:dyDescent="0.2">
      <c r="A101" s="52" t="s">
        <v>102</v>
      </c>
      <c r="B101" s="130">
        <v>5</v>
      </c>
      <c r="C101" s="52" t="s">
        <v>97</v>
      </c>
    </row>
    <row r="102" spans="1:3" x14ac:dyDescent="0.2">
      <c r="A102" s="384" t="s">
        <v>5</v>
      </c>
      <c r="B102" s="384"/>
      <c r="C102" s="384"/>
    </row>
    <row r="103" spans="1:3" x14ac:dyDescent="0.2">
      <c r="A103" s="83" t="s">
        <v>429</v>
      </c>
      <c r="B103" s="131">
        <v>5</v>
      </c>
      <c r="C103" s="92" t="s">
        <v>407</v>
      </c>
    </row>
    <row r="104" spans="1:3" x14ac:dyDescent="0.2">
      <c r="A104" s="83" t="s">
        <v>430</v>
      </c>
      <c r="B104" s="131">
        <v>10</v>
      </c>
      <c r="C104" s="92" t="s">
        <v>407</v>
      </c>
    </row>
    <row r="105" spans="1:3" x14ac:dyDescent="0.2">
      <c r="A105" s="83" t="s">
        <v>439</v>
      </c>
      <c r="B105" s="130">
        <v>2</v>
      </c>
      <c r="C105" s="83" t="s">
        <v>357</v>
      </c>
    </row>
    <row r="106" spans="1:3" x14ac:dyDescent="0.2">
      <c r="A106" s="83" t="s">
        <v>438</v>
      </c>
      <c r="B106" s="130">
        <v>2</v>
      </c>
      <c r="C106" s="83" t="s">
        <v>357</v>
      </c>
    </row>
    <row r="107" spans="1:3" x14ac:dyDescent="0.2">
      <c r="A107" s="83" t="s">
        <v>441</v>
      </c>
      <c r="B107" s="131">
        <v>100</v>
      </c>
      <c r="C107" s="84" t="s">
        <v>48</v>
      </c>
    </row>
    <row r="108" spans="1:3" x14ac:dyDescent="0.2">
      <c r="A108" s="83" t="s">
        <v>442</v>
      </c>
      <c r="B108" s="131">
        <v>50</v>
      </c>
      <c r="C108" s="84" t="s">
        <v>48</v>
      </c>
    </row>
    <row r="109" spans="1:3" x14ac:dyDescent="0.2">
      <c r="A109" s="52" t="s">
        <v>159</v>
      </c>
      <c r="B109" s="131">
        <v>3</v>
      </c>
      <c r="C109" s="52" t="s">
        <v>221</v>
      </c>
    </row>
    <row r="110" spans="1:3" x14ac:dyDescent="0.2">
      <c r="A110" s="52" t="s">
        <v>160</v>
      </c>
      <c r="B110" s="131">
        <v>3</v>
      </c>
      <c r="C110" s="52" t="s">
        <v>221</v>
      </c>
    </row>
    <row r="111" spans="1:3" x14ac:dyDescent="0.2">
      <c r="A111" s="83" t="s">
        <v>308</v>
      </c>
      <c r="B111" s="130">
        <v>0.23</v>
      </c>
    </row>
    <row r="112" spans="1:3" x14ac:dyDescent="0.2">
      <c r="A112" s="83" t="s">
        <v>309</v>
      </c>
      <c r="B112" s="130">
        <v>0.77</v>
      </c>
    </row>
    <row r="113" spans="1:3" x14ac:dyDescent="0.2">
      <c r="A113" s="52" t="s">
        <v>140</v>
      </c>
      <c r="B113" s="131">
        <v>55</v>
      </c>
      <c r="C113" s="52" t="s">
        <v>24</v>
      </c>
    </row>
    <row r="114" spans="1:3" x14ac:dyDescent="0.2">
      <c r="A114" s="52" t="s">
        <v>433</v>
      </c>
      <c r="B114" s="131">
        <v>55</v>
      </c>
      <c r="C114" s="52" t="s">
        <v>24</v>
      </c>
    </row>
    <row r="115" spans="1:3" x14ac:dyDescent="0.2">
      <c r="A115" s="52" t="s">
        <v>434</v>
      </c>
      <c r="B115" s="131">
        <v>55</v>
      </c>
      <c r="C115" s="52" t="s">
        <v>24</v>
      </c>
    </row>
    <row r="116" spans="1:3" x14ac:dyDescent="0.2">
      <c r="A116" s="52" t="s">
        <v>431</v>
      </c>
      <c r="B116" s="130">
        <v>5</v>
      </c>
      <c r="C116" s="52" t="s">
        <v>194</v>
      </c>
    </row>
    <row r="117" spans="1:3" x14ac:dyDescent="0.2">
      <c r="A117" s="52" t="s">
        <v>432</v>
      </c>
      <c r="B117" s="130">
        <v>5</v>
      </c>
      <c r="C117" s="52" t="s">
        <v>194</v>
      </c>
    </row>
    <row r="118" spans="1:3" x14ac:dyDescent="0.2">
      <c r="A118" s="52" t="s">
        <v>90</v>
      </c>
      <c r="B118" s="131">
        <v>5</v>
      </c>
      <c r="C118" s="52" t="s">
        <v>194</v>
      </c>
    </row>
    <row r="119" spans="1:3" x14ac:dyDescent="0.2">
      <c r="A119" s="52" t="s">
        <v>443</v>
      </c>
      <c r="B119" s="131">
        <v>5</v>
      </c>
      <c r="C119" s="52" t="s">
        <v>89</v>
      </c>
    </row>
    <row r="120" spans="1:3" x14ac:dyDescent="0.2">
      <c r="A120" s="52" t="s">
        <v>444</v>
      </c>
      <c r="B120" s="131">
        <v>5</v>
      </c>
      <c r="C120" s="52" t="s">
        <v>89</v>
      </c>
    </row>
    <row r="121" spans="1:3" x14ac:dyDescent="0.2">
      <c r="A121" s="83" t="s">
        <v>301</v>
      </c>
      <c r="B121" s="131">
        <v>2</v>
      </c>
    </row>
    <row r="122" spans="1:3" x14ac:dyDescent="0.2">
      <c r="A122" s="83" t="s">
        <v>433</v>
      </c>
      <c r="B122" s="130">
        <v>55</v>
      </c>
      <c r="C122" s="83" t="s">
        <v>24</v>
      </c>
    </row>
    <row r="123" spans="1:3" x14ac:dyDescent="0.2">
      <c r="A123" s="83" t="s">
        <v>434</v>
      </c>
      <c r="B123" s="130">
        <v>55</v>
      </c>
      <c r="C123" s="83" t="s">
        <v>24</v>
      </c>
    </row>
    <row r="124" spans="1:3" x14ac:dyDescent="0.2">
      <c r="A124" s="83" t="s">
        <v>435</v>
      </c>
      <c r="B124" s="131">
        <v>5</v>
      </c>
      <c r="C124" s="52" t="s">
        <v>80</v>
      </c>
    </row>
    <row r="125" spans="1:3" x14ac:dyDescent="0.2">
      <c r="A125" s="83" t="s">
        <v>436</v>
      </c>
      <c r="B125" s="131">
        <v>5</v>
      </c>
      <c r="C125" s="52" t="s">
        <v>80</v>
      </c>
    </row>
    <row r="126" spans="1:3" x14ac:dyDescent="0.2">
      <c r="A126" s="83" t="s">
        <v>65</v>
      </c>
      <c r="B126" s="130">
        <v>0.5</v>
      </c>
      <c r="C126" s="52" t="s">
        <v>66</v>
      </c>
    </row>
    <row r="127" spans="1:3" x14ac:dyDescent="0.2">
      <c r="A127" s="52" t="s">
        <v>51</v>
      </c>
      <c r="B127" s="131">
        <v>1</v>
      </c>
      <c r="C127" s="52" t="s">
        <v>60</v>
      </c>
    </row>
    <row r="128" spans="1:3" x14ac:dyDescent="0.2">
      <c r="A128" s="52" t="s">
        <v>159</v>
      </c>
      <c r="B128" s="130">
        <v>3</v>
      </c>
      <c r="C128" s="52" t="s">
        <v>221</v>
      </c>
    </row>
    <row r="129" spans="1:3" x14ac:dyDescent="0.2">
      <c r="A129" s="84" t="s">
        <v>164</v>
      </c>
      <c r="B129" s="130">
        <v>2</v>
      </c>
      <c r="C129" s="52" t="s">
        <v>246</v>
      </c>
    </row>
    <row r="130" spans="1:3" x14ac:dyDescent="0.2">
      <c r="A130" s="84" t="s">
        <v>161</v>
      </c>
      <c r="B130" s="130">
        <v>2</v>
      </c>
      <c r="C130" s="52" t="s">
        <v>246</v>
      </c>
    </row>
    <row r="131" spans="1:3" x14ac:dyDescent="0.2">
      <c r="A131" s="84" t="s">
        <v>162</v>
      </c>
      <c r="B131" s="130">
        <v>2</v>
      </c>
      <c r="C131" s="52" t="s">
        <v>41</v>
      </c>
    </row>
    <row r="132" spans="1:3" x14ac:dyDescent="0.2">
      <c r="A132" s="84" t="s">
        <v>163</v>
      </c>
      <c r="B132" s="130">
        <v>2</v>
      </c>
      <c r="C132" s="52" t="s">
        <v>41</v>
      </c>
    </row>
    <row r="133" spans="1:3" x14ac:dyDescent="0.2">
      <c r="A133" s="84" t="s">
        <v>169</v>
      </c>
      <c r="B133" s="130">
        <v>2</v>
      </c>
      <c r="C133" s="52" t="s">
        <v>28</v>
      </c>
    </row>
    <row r="134" spans="1:3" x14ac:dyDescent="0.2">
      <c r="A134" s="52" t="s">
        <v>160</v>
      </c>
      <c r="B134" s="130">
        <v>3</v>
      </c>
      <c r="C134" s="52" t="s">
        <v>221</v>
      </c>
    </row>
    <row r="135" spans="1:3" x14ac:dyDescent="0.2">
      <c r="A135" s="52" t="s">
        <v>165</v>
      </c>
      <c r="B135" s="130">
        <v>2</v>
      </c>
      <c r="C135" s="52" t="s">
        <v>246</v>
      </c>
    </row>
    <row r="136" spans="1:3" x14ac:dyDescent="0.2">
      <c r="A136" s="52" t="s">
        <v>166</v>
      </c>
      <c r="B136" s="130">
        <v>2</v>
      </c>
      <c r="C136" s="52" t="s">
        <v>246</v>
      </c>
    </row>
    <row r="137" spans="1:3" x14ac:dyDescent="0.2">
      <c r="A137" s="93" t="s">
        <v>167</v>
      </c>
      <c r="B137" s="130">
        <v>2</v>
      </c>
      <c r="C137" s="52" t="s">
        <v>41</v>
      </c>
    </row>
    <row r="138" spans="1:3" x14ac:dyDescent="0.2">
      <c r="A138" s="83" t="s">
        <v>168</v>
      </c>
      <c r="B138" s="130">
        <v>2</v>
      </c>
      <c r="C138" s="52" t="s">
        <v>41</v>
      </c>
    </row>
    <row r="139" spans="1:3" x14ac:dyDescent="0.2">
      <c r="A139" s="84" t="s">
        <v>170</v>
      </c>
      <c r="B139" s="130">
        <v>2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100</v>
      </c>
      <c r="C141" s="84" t="s">
        <v>48</v>
      </c>
    </row>
    <row r="142" spans="1:3" x14ac:dyDescent="0.2">
      <c r="A142" s="83" t="s">
        <v>458</v>
      </c>
      <c r="B142" s="130">
        <v>50</v>
      </c>
      <c r="C142" s="84" t="s">
        <v>48</v>
      </c>
    </row>
    <row r="143" spans="1:3" x14ac:dyDescent="0.2">
      <c r="A143" s="92" t="s">
        <v>451</v>
      </c>
      <c r="B143" s="131">
        <v>0.25</v>
      </c>
      <c r="C143" s="83" t="s">
        <v>28</v>
      </c>
    </row>
    <row r="144" spans="1:3" x14ac:dyDescent="0.2">
      <c r="A144" s="92" t="s">
        <v>460</v>
      </c>
      <c r="B144" s="131">
        <v>1.5</v>
      </c>
      <c r="C144" s="83" t="s">
        <v>28</v>
      </c>
    </row>
    <row r="145" spans="1:3" ht="15" x14ac:dyDescent="0.2">
      <c r="A145" s="92" t="s">
        <v>450</v>
      </c>
      <c r="B145" s="131">
        <v>5</v>
      </c>
      <c r="C145" s="83" t="s">
        <v>143</v>
      </c>
    </row>
    <row r="146" spans="1:3" ht="15" x14ac:dyDescent="0.2">
      <c r="A146" s="92" t="s">
        <v>459</v>
      </c>
      <c r="B146" s="131">
        <v>10</v>
      </c>
      <c r="C146" s="83" t="s">
        <v>143</v>
      </c>
    </row>
    <row r="147" spans="1:3" x14ac:dyDescent="0.2">
      <c r="A147" s="83" t="s">
        <v>467</v>
      </c>
      <c r="B147" s="130">
        <v>55</v>
      </c>
      <c r="C147" s="92" t="s">
        <v>221</v>
      </c>
    </row>
    <row r="148" spans="1:3" x14ac:dyDescent="0.2">
      <c r="A148" s="83" t="s">
        <v>468</v>
      </c>
      <c r="B148" s="130">
        <v>55</v>
      </c>
      <c r="C148" s="92" t="s">
        <v>221</v>
      </c>
    </row>
    <row r="149" spans="1:3" x14ac:dyDescent="0.2">
      <c r="A149" s="83" t="s">
        <v>469</v>
      </c>
      <c r="B149" s="130">
        <v>55</v>
      </c>
      <c r="C149" s="92" t="s">
        <v>221</v>
      </c>
    </row>
    <row r="150" spans="1:3" x14ac:dyDescent="0.2">
      <c r="A150" s="83" t="s">
        <v>470</v>
      </c>
      <c r="B150" s="130">
        <v>55</v>
      </c>
      <c r="C150" s="92" t="s">
        <v>221</v>
      </c>
    </row>
    <row r="151" spans="1:3" x14ac:dyDescent="0.2">
      <c r="A151" s="83" t="s">
        <v>452</v>
      </c>
      <c r="B151" s="130">
        <v>55</v>
      </c>
      <c r="C151" s="92" t="s">
        <v>221</v>
      </c>
    </row>
    <row r="152" spans="1:3" x14ac:dyDescent="0.2">
      <c r="A152" s="83" t="s">
        <v>461</v>
      </c>
      <c r="B152" s="130">
        <v>55</v>
      </c>
      <c r="C152" s="92" t="s">
        <v>221</v>
      </c>
    </row>
    <row r="153" spans="1:3" x14ac:dyDescent="0.2">
      <c r="A153" s="83" t="s">
        <v>453</v>
      </c>
      <c r="B153" s="130">
        <v>55</v>
      </c>
      <c r="C153" s="92" t="s">
        <v>221</v>
      </c>
    </row>
    <row r="154" spans="1:3" x14ac:dyDescent="0.2">
      <c r="A154" s="83" t="s">
        <v>462</v>
      </c>
      <c r="B154" s="130">
        <v>55</v>
      </c>
      <c r="C154" s="92" t="s">
        <v>221</v>
      </c>
    </row>
    <row r="155" spans="1:3" x14ac:dyDescent="0.2">
      <c r="A155" s="83" t="s">
        <v>454</v>
      </c>
      <c r="B155" s="130">
        <v>55</v>
      </c>
      <c r="C155" s="92" t="s">
        <v>221</v>
      </c>
    </row>
    <row r="156" spans="1:3" x14ac:dyDescent="0.2">
      <c r="A156" s="83" t="s">
        <v>463</v>
      </c>
      <c r="B156" s="130">
        <v>55</v>
      </c>
      <c r="C156" s="92" t="s">
        <v>221</v>
      </c>
    </row>
    <row r="157" spans="1:3" x14ac:dyDescent="0.2">
      <c r="A157" s="83" t="s">
        <v>471</v>
      </c>
      <c r="B157" s="130">
        <v>55</v>
      </c>
      <c r="C157" s="92" t="s">
        <v>221</v>
      </c>
    </row>
    <row r="158" spans="1:3" x14ac:dyDescent="0.2">
      <c r="A158" s="83" t="s">
        <v>472</v>
      </c>
      <c r="B158" s="130">
        <v>55</v>
      </c>
      <c r="C158" s="92" t="s">
        <v>221</v>
      </c>
    </row>
    <row r="159" spans="1:3" x14ac:dyDescent="0.2">
      <c r="A159" s="83" t="s">
        <v>473</v>
      </c>
      <c r="B159" s="130">
        <v>55</v>
      </c>
      <c r="C159" s="92" t="s">
        <v>221</v>
      </c>
    </row>
    <row r="160" spans="1:3" x14ac:dyDescent="0.2">
      <c r="A160" s="83" t="s">
        <v>474</v>
      </c>
      <c r="B160" s="130">
        <v>55</v>
      </c>
      <c r="C160" s="92" t="s">
        <v>221</v>
      </c>
    </row>
    <row r="161" spans="1:3" x14ac:dyDescent="0.2">
      <c r="A161" s="83" t="s">
        <v>455</v>
      </c>
      <c r="B161" s="130">
        <v>55</v>
      </c>
      <c r="C161" s="92" t="s">
        <v>221</v>
      </c>
    </row>
    <row r="162" spans="1:3" x14ac:dyDescent="0.2">
      <c r="A162" s="83" t="s">
        <v>464</v>
      </c>
      <c r="B162" s="130">
        <v>55</v>
      </c>
      <c r="C162" s="92" t="s">
        <v>221</v>
      </c>
    </row>
    <row r="163" spans="1:3" x14ac:dyDescent="0.2">
      <c r="A163" s="83" t="s">
        <v>475</v>
      </c>
      <c r="B163" s="130">
        <v>0.15</v>
      </c>
      <c r="C163" s="88"/>
    </row>
    <row r="164" spans="1:3" x14ac:dyDescent="0.2">
      <c r="A164" s="83" t="s">
        <v>476</v>
      </c>
      <c r="B164" s="130">
        <v>0.85</v>
      </c>
      <c r="C164" s="88"/>
    </row>
    <row r="165" spans="1:3" x14ac:dyDescent="0.2">
      <c r="A165" s="83" t="s">
        <v>456</v>
      </c>
      <c r="B165" s="130">
        <v>150</v>
      </c>
      <c r="C165" s="83" t="s">
        <v>24</v>
      </c>
    </row>
    <row r="166" spans="1:3" x14ac:dyDescent="0.2">
      <c r="A166" s="83" t="s">
        <v>465</v>
      </c>
      <c r="B166" s="130">
        <v>150</v>
      </c>
      <c r="C166" s="83" t="s">
        <v>24</v>
      </c>
    </row>
    <row r="167" spans="1:3" x14ac:dyDescent="0.2">
      <c r="A167" s="52" t="s">
        <v>362</v>
      </c>
      <c r="B167" s="131">
        <v>150</v>
      </c>
      <c r="C167" s="83" t="s">
        <v>24</v>
      </c>
    </row>
    <row r="168" spans="1:3" x14ac:dyDescent="0.2">
      <c r="A168" s="83" t="s">
        <v>363</v>
      </c>
      <c r="B168" s="130">
        <v>1</v>
      </c>
      <c r="C168" s="92" t="s">
        <v>60</v>
      </c>
    </row>
    <row r="169" spans="1:3" x14ac:dyDescent="0.2">
      <c r="A169" s="83" t="s">
        <v>364</v>
      </c>
      <c r="B169" s="130">
        <v>24</v>
      </c>
      <c r="C169" s="94" t="s">
        <v>194</v>
      </c>
    </row>
    <row r="170" spans="1:3" x14ac:dyDescent="0.2">
      <c r="A170" s="83" t="s">
        <v>365</v>
      </c>
      <c r="B170" s="130">
        <v>24</v>
      </c>
      <c r="C170" s="52" t="s">
        <v>194</v>
      </c>
    </row>
    <row r="171" spans="1:3" x14ac:dyDescent="0.2">
      <c r="A171" s="83" t="s">
        <v>361</v>
      </c>
      <c r="B171" s="130">
        <v>1</v>
      </c>
    </row>
    <row r="172" spans="1:3" x14ac:dyDescent="0.2">
      <c r="A172" s="83" t="s">
        <v>507</v>
      </c>
      <c r="B172" s="130">
        <v>15</v>
      </c>
      <c r="C172" s="84" t="s">
        <v>194</v>
      </c>
    </row>
    <row r="173" spans="1:3" x14ac:dyDescent="0.2">
      <c r="A173" s="83" t="s">
        <v>508</v>
      </c>
      <c r="B173" s="130">
        <v>5</v>
      </c>
      <c r="C173" s="84" t="s">
        <v>194</v>
      </c>
    </row>
    <row r="174" spans="1:3" x14ac:dyDescent="0.2">
      <c r="A174" s="83" t="s">
        <v>88</v>
      </c>
      <c r="B174" s="130">
        <v>0.4</v>
      </c>
    </row>
    <row r="175" spans="1:3" x14ac:dyDescent="0.2">
      <c r="A175" s="83" t="s">
        <v>303</v>
      </c>
      <c r="B175" s="130">
        <v>1</v>
      </c>
    </row>
    <row r="176" spans="1:3" x14ac:dyDescent="0.2">
      <c r="A176" s="83" t="s">
        <v>301</v>
      </c>
      <c r="B176" s="131">
        <v>2</v>
      </c>
    </row>
    <row r="177" spans="1:3" x14ac:dyDescent="0.2">
      <c r="A177" s="92" t="s">
        <v>457</v>
      </c>
      <c r="B177" s="130">
        <v>5</v>
      </c>
      <c r="C177" s="92" t="s">
        <v>144</v>
      </c>
    </row>
    <row r="178" spans="1:3" x14ac:dyDescent="0.2">
      <c r="A178" s="92" t="s">
        <v>466</v>
      </c>
      <c r="B178" s="130">
        <v>5</v>
      </c>
      <c r="C178" s="92" t="s">
        <v>144</v>
      </c>
    </row>
    <row r="179" spans="1:3" x14ac:dyDescent="0.2">
      <c r="A179" s="52" t="s">
        <v>477</v>
      </c>
      <c r="B179" s="130">
        <v>0.25</v>
      </c>
      <c r="C179" s="92" t="s">
        <v>358</v>
      </c>
    </row>
    <row r="180" spans="1:3" x14ac:dyDescent="0.2">
      <c r="A180" s="52" t="s">
        <v>478</v>
      </c>
      <c r="B180" s="130">
        <v>0.85</v>
      </c>
      <c r="C180" s="92" t="s">
        <v>358</v>
      </c>
    </row>
    <row r="181" spans="1:3" x14ac:dyDescent="0.2">
      <c r="A181" s="84" t="s">
        <v>65</v>
      </c>
      <c r="B181" s="130">
        <v>0.5</v>
      </c>
      <c r="C181" s="92" t="s">
        <v>600</v>
      </c>
    </row>
    <row r="182" spans="1:3" x14ac:dyDescent="0.2">
      <c r="A182" s="92" t="s">
        <v>361</v>
      </c>
      <c r="B182" s="130">
        <v>1</v>
      </c>
    </row>
    <row r="183" spans="1:3" x14ac:dyDescent="0.2">
      <c r="A183" s="92" t="s">
        <v>479</v>
      </c>
      <c r="B183" s="130">
        <v>1</v>
      </c>
    </row>
    <row r="184" spans="1:3" x14ac:dyDescent="0.2">
      <c r="A184" s="92" t="s">
        <v>480</v>
      </c>
      <c r="B184" s="130">
        <v>1</v>
      </c>
    </row>
    <row r="185" spans="1:3" x14ac:dyDescent="0.2">
      <c r="A185" s="92" t="s">
        <v>481</v>
      </c>
      <c r="B185" s="130">
        <v>1</v>
      </c>
    </row>
    <row r="186" spans="1:3" x14ac:dyDescent="0.2">
      <c r="A186" s="92" t="s">
        <v>482</v>
      </c>
      <c r="B186" s="130">
        <v>1</v>
      </c>
    </row>
    <row r="187" spans="1:3" x14ac:dyDescent="0.2">
      <c r="A187" s="92" t="s">
        <v>483</v>
      </c>
      <c r="B187" s="130">
        <v>1</v>
      </c>
    </row>
    <row r="188" spans="1:3" x14ac:dyDescent="0.2">
      <c r="A188" s="92" t="s">
        <v>484</v>
      </c>
      <c r="B188" s="131">
        <v>1</v>
      </c>
    </row>
    <row r="189" spans="1:3" x14ac:dyDescent="0.2">
      <c r="A189" s="83" t="s">
        <v>36</v>
      </c>
      <c r="B189" s="131">
        <v>3.62</v>
      </c>
      <c r="C189" s="52" t="s">
        <v>37</v>
      </c>
    </row>
    <row r="190" spans="1:3" x14ac:dyDescent="0.2">
      <c r="A190" s="83" t="s">
        <v>40</v>
      </c>
      <c r="B190" s="131">
        <v>0.25</v>
      </c>
      <c r="C190" s="52" t="s">
        <v>41</v>
      </c>
    </row>
    <row r="191" spans="1:3" x14ac:dyDescent="0.2">
      <c r="A191" s="92" t="s">
        <v>52</v>
      </c>
      <c r="B191" s="131">
        <v>10950</v>
      </c>
      <c r="C191" s="52" t="s">
        <v>53</v>
      </c>
    </row>
    <row r="192" spans="1:3" x14ac:dyDescent="0.2">
      <c r="A192" s="92" t="s">
        <v>55</v>
      </c>
      <c r="B192" s="131">
        <v>240</v>
      </c>
      <c r="C192" s="52" t="s">
        <v>56</v>
      </c>
    </row>
    <row r="193" spans="1:3" x14ac:dyDescent="0.2">
      <c r="A193" s="92" t="s">
        <v>61</v>
      </c>
      <c r="B193" s="131">
        <v>0.42</v>
      </c>
      <c r="C193" s="52" t="s">
        <v>41</v>
      </c>
    </row>
    <row r="194" spans="1:3" x14ac:dyDescent="0.2">
      <c r="A194" s="92" t="s">
        <v>67</v>
      </c>
      <c r="B194" s="131">
        <v>60</v>
      </c>
      <c r="C194" s="83" t="s">
        <v>53</v>
      </c>
    </row>
    <row r="195" spans="1:3" x14ac:dyDescent="0.2">
      <c r="A195" s="92" t="s">
        <v>68</v>
      </c>
      <c r="B195" s="131">
        <v>2</v>
      </c>
      <c r="C195" s="83" t="s">
        <v>56</v>
      </c>
    </row>
    <row r="196" spans="1:3" x14ac:dyDescent="0.2">
      <c r="A196" s="92" t="s">
        <v>70</v>
      </c>
      <c r="B196" s="131">
        <v>2.6999999999999999E-5</v>
      </c>
      <c r="C196" s="52" t="s">
        <v>64</v>
      </c>
    </row>
    <row r="197" spans="1:3" x14ac:dyDescent="0.2">
      <c r="A197" s="92" t="s">
        <v>73</v>
      </c>
      <c r="B197" s="131">
        <v>1</v>
      </c>
      <c r="C197" s="52" t="s">
        <v>41</v>
      </c>
    </row>
    <row r="198" spans="1:3" x14ac:dyDescent="0.2">
      <c r="A198" s="92" t="s">
        <v>74</v>
      </c>
      <c r="B198" s="131">
        <v>14</v>
      </c>
      <c r="C198" s="52" t="s">
        <v>75</v>
      </c>
    </row>
    <row r="199" spans="1:3" x14ac:dyDescent="0.2">
      <c r="A199" s="83" t="s">
        <v>27</v>
      </c>
      <c r="B199" s="131">
        <v>92</v>
      </c>
      <c r="C199" s="83" t="s">
        <v>28</v>
      </c>
    </row>
    <row r="200" spans="1:3" x14ac:dyDescent="0.2">
      <c r="A200" s="52" t="s">
        <v>285</v>
      </c>
      <c r="B200" s="130">
        <v>1.03</v>
      </c>
      <c r="C200" s="52" t="s">
        <v>286</v>
      </c>
    </row>
    <row r="201" spans="1:3" x14ac:dyDescent="0.2">
      <c r="A201" s="83" t="s">
        <v>498</v>
      </c>
      <c r="B201" s="131">
        <v>20.3</v>
      </c>
      <c r="C201" s="52" t="s">
        <v>246</v>
      </c>
    </row>
    <row r="202" spans="1:3" x14ac:dyDescent="0.2">
      <c r="A202" s="83" t="s">
        <v>499</v>
      </c>
      <c r="B202" s="131">
        <v>0.04</v>
      </c>
      <c r="C202" s="52" t="s">
        <v>246</v>
      </c>
    </row>
    <row r="203" spans="1:3" x14ac:dyDescent="0.2">
      <c r="A203" s="83" t="s">
        <v>500</v>
      </c>
      <c r="B203" s="131">
        <v>1</v>
      </c>
    </row>
    <row r="204" spans="1:3" x14ac:dyDescent="0.2">
      <c r="A204" s="83" t="s">
        <v>501</v>
      </c>
      <c r="B204" s="131">
        <v>1</v>
      </c>
    </row>
    <row r="205" spans="1:3" x14ac:dyDescent="0.2">
      <c r="A205" s="83" t="s">
        <v>29</v>
      </c>
      <c r="B205" s="131">
        <v>53</v>
      </c>
      <c r="C205" s="83" t="s">
        <v>28</v>
      </c>
    </row>
    <row r="206" spans="1:3" x14ac:dyDescent="0.2">
      <c r="A206" s="83" t="s">
        <v>494</v>
      </c>
      <c r="B206" s="131">
        <v>11.77</v>
      </c>
      <c r="C206" s="52" t="s">
        <v>246</v>
      </c>
    </row>
    <row r="207" spans="1:3" x14ac:dyDescent="0.2">
      <c r="A207" s="83" t="s">
        <v>495</v>
      </c>
      <c r="B207" s="131">
        <v>0.5</v>
      </c>
      <c r="C207" s="52" t="s">
        <v>246</v>
      </c>
    </row>
    <row r="208" spans="1:3" x14ac:dyDescent="0.2">
      <c r="A208" s="83" t="s">
        <v>496</v>
      </c>
      <c r="B208" s="131">
        <v>1</v>
      </c>
    </row>
    <row r="209" spans="1:3" x14ac:dyDescent="0.2">
      <c r="A209" s="83" t="s">
        <v>497</v>
      </c>
      <c r="B209" s="131">
        <v>1</v>
      </c>
    </row>
    <row r="210" spans="1:3" x14ac:dyDescent="0.2">
      <c r="A210" s="83" t="s">
        <v>148</v>
      </c>
      <c r="B210" s="130">
        <v>0.4</v>
      </c>
      <c r="C210" s="83" t="s">
        <v>28</v>
      </c>
    </row>
    <row r="211" spans="1:3" x14ac:dyDescent="0.2">
      <c r="A211" s="83" t="s">
        <v>152</v>
      </c>
      <c r="B211" s="131">
        <v>0.2</v>
      </c>
      <c r="C211" s="52" t="s">
        <v>246</v>
      </c>
    </row>
    <row r="212" spans="1:3" x14ac:dyDescent="0.2">
      <c r="A212" s="83" t="s">
        <v>151</v>
      </c>
      <c r="B212" s="131">
        <v>2.1999999999999999E-2</v>
      </c>
      <c r="C212" s="52" t="s">
        <v>246</v>
      </c>
    </row>
    <row r="213" spans="1:3" x14ac:dyDescent="0.2">
      <c r="A213" s="83" t="s">
        <v>153</v>
      </c>
      <c r="B213" s="130">
        <v>1</v>
      </c>
    </row>
    <row r="214" spans="1:3" x14ac:dyDescent="0.2">
      <c r="A214" s="83" t="s">
        <v>154</v>
      </c>
      <c r="B214" s="130">
        <v>1</v>
      </c>
    </row>
    <row r="215" spans="1:3" x14ac:dyDescent="0.2">
      <c r="A215" s="83" t="s">
        <v>485</v>
      </c>
      <c r="B215" s="130">
        <v>0.4</v>
      </c>
      <c r="C215" s="83" t="s">
        <v>28</v>
      </c>
    </row>
    <row r="216" spans="1:3" x14ac:dyDescent="0.2">
      <c r="A216" s="83" t="s">
        <v>486</v>
      </c>
      <c r="B216" s="131">
        <v>0.2</v>
      </c>
      <c r="C216" s="52" t="s">
        <v>246</v>
      </c>
    </row>
    <row r="217" spans="1:3" x14ac:dyDescent="0.2">
      <c r="A217" s="83" t="s">
        <v>487</v>
      </c>
      <c r="B217" s="131">
        <v>2.1999999999999999E-2</v>
      </c>
      <c r="C217" s="52" t="s">
        <v>246</v>
      </c>
    </row>
    <row r="218" spans="1:3" x14ac:dyDescent="0.2">
      <c r="A218" s="83" t="s">
        <v>488</v>
      </c>
      <c r="B218" s="131">
        <v>1</v>
      </c>
    </row>
    <row r="219" spans="1:3" x14ac:dyDescent="0.2">
      <c r="A219" s="83" t="s">
        <v>489</v>
      </c>
      <c r="B219" s="131">
        <v>1</v>
      </c>
    </row>
    <row r="220" spans="1:3" x14ac:dyDescent="0.2">
      <c r="A220" s="83" t="s">
        <v>150</v>
      </c>
      <c r="B220" s="131">
        <v>11.4</v>
      </c>
      <c r="C220" s="83" t="s">
        <v>28</v>
      </c>
    </row>
    <row r="221" spans="1:3" x14ac:dyDescent="0.2">
      <c r="A221" s="83" t="s">
        <v>490</v>
      </c>
      <c r="B221" s="131">
        <v>4.7</v>
      </c>
      <c r="C221" s="52" t="s">
        <v>246</v>
      </c>
    </row>
    <row r="222" spans="1:3" x14ac:dyDescent="0.2">
      <c r="A222" s="83" t="s">
        <v>491</v>
      </c>
      <c r="B222" s="131">
        <v>0.37</v>
      </c>
      <c r="C222" s="52" t="s">
        <v>246</v>
      </c>
    </row>
    <row r="223" spans="1:3" x14ac:dyDescent="0.2">
      <c r="A223" s="83" t="s">
        <v>492</v>
      </c>
      <c r="B223" s="131">
        <v>1</v>
      </c>
    </row>
    <row r="224" spans="1:3" x14ac:dyDescent="0.2">
      <c r="A224" s="83" t="s">
        <v>493</v>
      </c>
      <c r="B224" s="131">
        <v>1</v>
      </c>
    </row>
    <row r="225" spans="1:3" x14ac:dyDescent="0.2">
      <c r="A225" s="370" t="s">
        <v>311</v>
      </c>
      <c r="B225" s="370"/>
      <c r="C225" s="370"/>
    </row>
    <row r="226" spans="1:3" x14ac:dyDescent="0.2">
      <c r="A226" s="52" t="s">
        <v>504</v>
      </c>
      <c r="B226" s="130">
        <v>50</v>
      </c>
      <c r="C226" s="84" t="s">
        <v>407</v>
      </c>
    </row>
    <row r="227" spans="1:3" x14ac:dyDescent="0.2">
      <c r="A227" s="83" t="s">
        <v>316</v>
      </c>
      <c r="B227" s="130">
        <v>125</v>
      </c>
      <c r="C227" s="52" t="s">
        <v>24</v>
      </c>
    </row>
    <row r="228" spans="1:3" x14ac:dyDescent="0.2">
      <c r="A228" s="83" t="s">
        <v>422</v>
      </c>
      <c r="B228" s="131">
        <v>1</v>
      </c>
      <c r="C228" s="52" t="s">
        <v>60</v>
      </c>
    </row>
    <row r="229" spans="1:3" x14ac:dyDescent="0.2">
      <c r="A229" s="83" t="s">
        <v>317</v>
      </c>
      <c r="B229" s="130">
        <v>50</v>
      </c>
      <c r="C229" s="84" t="s">
        <v>48</v>
      </c>
    </row>
    <row r="230" spans="1:3" x14ac:dyDescent="0.2">
      <c r="A230" s="52" t="s">
        <v>318</v>
      </c>
      <c r="B230" s="131">
        <v>2</v>
      </c>
    </row>
    <row r="231" spans="1:3" x14ac:dyDescent="0.2">
      <c r="A231" s="83" t="s">
        <v>299</v>
      </c>
      <c r="B231" s="131">
        <v>1</v>
      </c>
    </row>
    <row r="232" spans="1:3" x14ac:dyDescent="0.2">
      <c r="A232" s="83" t="s">
        <v>83</v>
      </c>
      <c r="B232" s="130">
        <v>5</v>
      </c>
      <c r="C232" s="52" t="s">
        <v>194</v>
      </c>
    </row>
    <row r="233" spans="1:3" x14ac:dyDescent="0.2">
      <c r="A233" s="83" t="s">
        <v>85</v>
      </c>
      <c r="B233" s="130">
        <v>5</v>
      </c>
      <c r="C233" s="52" t="s">
        <v>194</v>
      </c>
    </row>
    <row r="234" spans="1:3" x14ac:dyDescent="0.2">
      <c r="A234" s="83" t="s">
        <v>88</v>
      </c>
      <c r="B234" s="130">
        <v>0.4</v>
      </c>
    </row>
    <row r="235" spans="1:3" x14ac:dyDescent="0.2">
      <c r="A235" s="370" t="s">
        <v>312</v>
      </c>
      <c r="B235" s="370"/>
      <c r="C235" s="370"/>
    </row>
    <row r="236" spans="1:3" x14ac:dyDescent="0.2">
      <c r="A236" s="52" t="s">
        <v>304</v>
      </c>
      <c r="B236" s="130">
        <v>50</v>
      </c>
      <c r="C236" s="84" t="s">
        <v>407</v>
      </c>
    </row>
    <row r="237" spans="1:3" x14ac:dyDescent="0.2">
      <c r="A237" s="83" t="s">
        <v>35</v>
      </c>
      <c r="B237" s="130">
        <v>125</v>
      </c>
      <c r="C237" s="52" t="s">
        <v>24</v>
      </c>
    </row>
    <row r="238" spans="1:3" x14ac:dyDescent="0.2">
      <c r="A238" s="83" t="s">
        <v>420</v>
      </c>
      <c r="B238" s="131">
        <v>1</v>
      </c>
      <c r="C238" s="52" t="s">
        <v>60</v>
      </c>
    </row>
    <row r="239" spans="1:3" x14ac:dyDescent="0.2">
      <c r="A239" s="83" t="s">
        <v>62</v>
      </c>
      <c r="B239" s="130">
        <v>50</v>
      </c>
      <c r="C239" s="84" t="s">
        <v>48</v>
      </c>
    </row>
    <row r="240" spans="1:3" x14ac:dyDescent="0.2">
      <c r="A240" s="52" t="s">
        <v>318</v>
      </c>
      <c r="B240" s="131">
        <v>2</v>
      </c>
    </row>
    <row r="241" spans="1:3" x14ac:dyDescent="0.2">
      <c r="A241" s="83" t="s">
        <v>299</v>
      </c>
      <c r="B241" s="131">
        <v>1</v>
      </c>
    </row>
    <row r="242" spans="1:3" x14ac:dyDescent="0.2">
      <c r="A242" s="83" t="s">
        <v>83</v>
      </c>
      <c r="B242" s="130">
        <v>5</v>
      </c>
      <c r="C242" s="52" t="s">
        <v>194</v>
      </c>
    </row>
    <row r="243" spans="1:3" x14ac:dyDescent="0.2">
      <c r="A243" s="83" t="s">
        <v>85</v>
      </c>
      <c r="B243" s="130">
        <v>5</v>
      </c>
      <c r="C243" s="52" t="s">
        <v>194</v>
      </c>
    </row>
    <row r="244" spans="1:3" x14ac:dyDescent="0.2">
      <c r="A244" s="83" t="s">
        <v>88</v>
      </c>
      <c r="B244" s="130">
        <v>0.4</v>
      </c>
    </row>
    <row r="245" spans="1:3" x14ac:dyDescent="0.2">
      <c r="A245" s="370" t="s">
        <v>313</v>
      </c>
      <c r="B245" s="370"/>
      <c r="C245" s="370"/>
    </row>
    <row r="246" spans="1:3" x14ac:dyDescent="0.2">
      <c r="A246" s="52" t="s">
        <v>50</v>
      </c>
      <c r="B246" s="130">
        <v>50</v>
      </c>
      <c r="C246" s="84" t="s">
        <v>407</v>
      </c>
    </row>
    <row r="247" spans="1:3" x14ac:dyDescent="0.2">
      <c r="A247" s="83" t="s">
        <v>423</v>
      </c>
      <c r="B247" s="130">
        <v>125</v>
      </c>
      <c r="C247" s="52" t="s">
        <v>24</v>
      </c>
    </row>
    <row r="248" spans="1:3" x14ac:dyDescent="0.2">
      <c r="A248" s="83" t="s">
        <v>424</v>
      </c>
      <c r="B248" s="131">
        <v>1</v>
      </c>
      <c r="C248" s="52" t="s">
        <v>60</v>
      </c>
    </row>
    <row r="249" spans="1:3" x14ac:dyDescent="0.2">
      <c r="A249" s="83" t="s">
        <v>503</v>
      </c>
      <c r="B249" s="130">
        <v>50</v>
      </c>
      <c r="C249" s="84" t="s">
        <v>48</v>
      </c>
    </row>
    <row r="250" spans="1:3" x14ac:dyDescent="0.2">
      <c r="A250" s="52" t="s">
        <v>318</v>
      </c>
      <c r="B250" s="131">
        <v>2</v>
      </c>
    </row>
    <row r="251" spans="1:3" x14ac:dyDescent="0.2">
      <c r="A251" s="83" t="s">
        <v>299</v>
      </c>
      <c r="B251" s="131">
        <v>1</v>
      </c>
    </row>
    <row r="252" spans="1:3" x14ac:dyDescent="0.2">
      <c r="A252" s="83" t="s">
        <v>83</v>
      </c>
      <c r="B252" s="130">
        <v>5</v>
      </c>
      <c r="C252" s="52" t="s">
        <v>194</v>
      </c>
    </row>
    <row r="253" spans="1:3" x14ac:dyDescent="0.2">
      <c r="A253" s="83" t="s">
        <v>85</v>
      </c>
      <c r="B253" s="130">
        <v>5</v>
      </c>
      <c r="C253" s="52" t="s">
        <v>194</v>
      </c>
    </row>
    <row r="254" spans="1:3" x14ac:dyDescent="0.2">
      <c r="A254" s="83" t="s">
        <v>88</v>
      </c>
      <c r="B254" s="130">
        <v>0.4</v>
      </c>
    </row>
    <row r="255" spans="1:3" x14ac:dyDescent="0.2">
      <c r="A255" s="370" t="s">
        <v>314</v>
      </c>
      <c r="B255" s="370"/>
      <c r="C255" s="370"/>
    </row>
    <row r="256" spans="1:3" x14ac:dyDescent="0.2">
      <c r="A256" s="52" t="s">
        <v>348</v>
      </c>
      <c r="B256" s="130">
        <v>50</v>
      </c>
      <c r="C256" s="84" t="s">
        <v>407</v>
      </c>
    </row>
    <row r="257" spans="1:3" x14ac:dyDescent="0.2">
      <c r="A257" s="83" t="s">
        <v>191</v>
      </c>
      <c r="B257" s="130">
        <v>125</v>
      </c>
      <c r="C257" s="52" t="s">
        <v>24</v>
      </c>
    </row>
    <row r="258" spans="1:3" x14ac:dyDescent="0.2">
      <c r="A258" s="83" t="s">
        <v>158</v>
      </c>
      <c r="B258" s="131">
        <v>1</v>
      </c>
      <c r="C258" s="52" t="s">
        <v>60</v>
      </c>
    </row>
    <row r="259" spans="1:3" x14ac:dyDescent="0.2">
      <c r="A259" s="83" t="s">
        <v>502</v>
      </c>
      <c r="B259" s="130">
        <v>200</v>
      </c>
      <c r="C259" s="84" t="s">
        <v>48</v>
      </c>
    </row>
    <row r="260" spans="1:3" x14ac:dyDescent="0.2">
      <c r="A260" s="52" t="s">
        <v>318</v>
      </c>
      <c r="B260" s="131">
        <v>2</v>
      </c>
    </row>
    <row r="261" spans="1:3" x14ac:dyDescent="0.2">
      <c r="A261" s="83" t="s">
        <v>299</v>
      </c>
      <c r="B261" s="131">
        <v>1</v>
      </c>
    </row>
    <row r="262" spans="1:3" x14ac:dyDescent="0.2">
      <c r="A262" s="83" t="s">
        <v>83</v>
      </c>
      <c r="B262" s="130">
        <v>5</v>
      </c>
      <c r="C262" s="52" t="s">
        <v>194</v>
      </c>
    </row>
    <row r="263" spans="1:3" x14ac:dyDescent="0.2">
      <c r="A263" s="83" t="s">
        <v>85</v>
      </c>
      <c r="B263" s="130">
        <v>5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83" t="s">
        <v>219</v>
      </c>
      <c r="B265" s="130">
        <v>3</v>
      </c>
      <c r="C265" s="52" t="s">
        <v>112</v>
      </c>
    </row>
    <row r="266" spans="1:3" x14ac:dyDescent="0.2">
      <c r="A266" s="83" t="s">
        <v>220</v>
      </c>
      <c r="B266" s="130">
        <v>25</v>
      </c>
      <c r="C266" s="52" t="s">
        <v>113</v>
      </c>
    </row>
    <row r="267" spans="1:3" x14ac:dyDescent="0.2">
      <c r="A267" s="370" t="s">
        <v>315</v>
      </c>
      <c r="B267" s="370"/>
      <c r="C267" s="370"/>
    </row>
    <row r="268" spans="1:3" x14ac:dyDescent="0.2">
      <c r="A268" s="52" t="s">
        <v>348</v>
      </c>
      <c r="B268" s="130">
        <v>50</v>
      </c>
      <c r="C268" s="84" t="s">
        <v>407</v>
      </c>
    </row>
    <row r="269" spans="1:3" x14ac:dyDescent="0.2">
      <c r="A269" s="83" t="s">
        <v>191</v>
      </c>
      <c r="B269" s="130">
        <v>125</v>
      </c>
      <c r="C269" s="52" t="s">
        <v>24</v>
      </c>
    </row>
    <row r="270" spans="1:3" x14ac:dyDescent="0.2">
      <c r="A270" s="83" t="s">
        <v>158</v>
      </c>
      <c r="B270" s="131">
        <v>1</v>
      </c>
      <c r="C270" s="52" t="s">
        <v>60</v>
      </c>
    </row>
    <row r="271" spans="1:3" x14ac:dyDescent="0.2">
      <c r="A271" s="83" t="s">
        <v>502</v>
      </c>
      <c r="B271" s="130">
        <v>200</v>
      </c>
      <c r="C271" s="84" t="s">
        <v>48</v>
      </c>
    </row>
    <row r="272" spans="1:3" x14ac:dyDescent="0.2">
      <c r="A272" s="83" t="s">
        <v>299</v>
      </c>
      <c r="B272" s="131">
        <v>1</v>
      </c>
    </row>
    <row r="273" spans="1:3" x14ac:dyDescent="0.2">
      <c r="A273" s="83" t="s">
        <v>83</v>
      </c>
      <c r="B273" s="130">
        <v>5</v>
      </c>
      <c r="C273" s="52" t="s">
        <v>194</v>
      </c>
    </row>
    <row r="274" spans="1:3" x14ac:dyDescent="0.2">
      <c r="A274" s="83" t="s">
        <v>85</v>
      </c>
      <c r="B274" s="130">
        <v>5</v>
      </c>
      <c r="C274" s="52" t="s">
        <v>194</v>
      </c>
    </row>
    <row r="275" spans="1:3" x14ac:dyDescent="0.2">
      <c r="A275" s="83" t="s">
        <v>88</v>
      </c>
      <c r="B275" s="130">
        <v>0.4</v>
      </c>
    </row>
    <row r="276" spans="1:3" x14ac:dyDescent="0.2">
      <c r="A276" s="83" t="s">
        <v>219</v>
      </c>
      <c r="B276" s="130">
        <v>3</v>
      </c>
      <c r="C276" s="52" t="s">
        <v>112</v>
      </c>
    </row>
    <row r="277" spans="1:3" x14ac:dyDescent="0.2">
      <c r="A277" s="83" t="s">
        <v>220</v>
      </c>
      <c r="B277" s="130">
        <v>25</v>
      </c>
      <c r="C277" s="52" t="s">
        <v>113</v>
      </c>
    </row>
  </sheetData>
  <mergeCells count="348">
    <mergeCell ref="I2:I4"/>
    <mergeCell ref="J2:J4"/>
    <mergeCell ref="K2:K4"/>
    <mergeCell ref="L2:L4"/>
    <mergeCell ref="A245:C245"/>
    <mergeCell ref="A255:C255"/>
    <mergeCell ref="A267:C267"/>
    <mergeCell ref="G2:G4"/>
    <mergeCell ref="H2:H4"/>
    <mergeCell ref="A2:C2"/>
    <mergeCell ref="A5:C5"/>
    <mergeCell ref="A49:C49"/>
    <mergeCell ref="A102:C102"/>
    <mergeCell ref="A140:C140"/>
    <mergeCell ref="A91:C91"/>
    <mergeCell ref="A225:C225"/>
    <mergeCell ref="A235:C235"/>
    <mergeCell ref="D44:D45"/>
    <mergeCell ref="E44:E45"/>
    <mergeCell ref="F44:F45"/>
    <mergeCell ref="HD21:HF21"/>
    <mergeCell ref="V23:X23"/>
    <mergeCell ref="Y23:AA23"/>
    <mergeCell ref="D30:F30"/>
    <mergeCell ref="D31:D32"/>
    <mergeCell ref="E31:E32"/>
    <mergeCell ref="F31:F32"/>
    <mergeCell ref="CR20:CR22"/>
    <mergeCell ref="CS20:CS22"/>
    <mergeCell ref="AI21:AI23"/>
    <mergeCell ref="AJ21:AJ23"/>
    <mergeCell ref="AK21:AK23"/>
    <mergeCell ref="AL21:AL23"/>
    <mergeCell ref="AM21:AM23"/>
    <mergeCell ref="AN21:AN23"/>
    <mergeCell ref="AR21:AR23"/>
    <mergeCell ref="AS21:AS23"/>
    <mergeCell ref="BA21:BA23"/>
    <mergeCell ref="BB21:BB23"/>
    <mergeCell ref="BA20:BC20"/>
    <mergeCell ref="BD20:BF20"/>
    <mergeCell ref="BJ20:BL20"/>
    <mergeCell ref="P21:P23"/>
    <mergeCell ref="Q21:Q23"/>
    <mergeCell ref="CC35:CG38"/>
    <mergeCell ref="AE38:AG40"/>
    <mergeCell ref="BK39:BO42"/>
    <mergeCell ref="D43:F43"/>
    <mergeCell ref="BM20:BO20"/>
    <mergeCell ref="CK20:CK22"/>
    <mergeCell ref="BC21:BC23"/>
    <mergeCell ref="BD21:BD23"/>
    <mergeCell ref="BE21:BE23"/>
    <mergeCell ref="BF21:BF23"/>
    <mergeCell ref="BJ21:BJ23"/>
    <mergeCell ref="BK21:BK23"/>
    <mergeCell ref="BL21:BL23"/>
    <mergeCell ref="BM21:BM23"/>
    <mergeCell ref="BN21:BN23"/>
    <mergeCell ref="BO21:BO23"/>
    <mergeCell ref="R21:R23"/>
    <mergeCell ref="AI20:AK20"/>
    <mergeCell ref="AL20:AN20"/>
    <mergeCell ref="AR20:AT20"/>
    <mergeCell ref="AU20:AW20"/>
    <mergeCell ref="M21:M23"/>
    <mergeCell ref="N21:N23"/>
    <mergeCell ref="O21:O23"/>
    <mergeCell ref="M20:O20"/>
    <mergeCell ref="P20:R20"/>
    <mergeCell ref="AT21:AT23"/>
    <mergeCell ref="AU21:AU23"/>
    <mergeCell ref="AV21:AV23"/>
    <mergeCell ref="AW21:AW23"/>
    <mergeCell ref="CK19:CM19"/>
    <mergeCell ref="CN19:CP19"/>
    <mergeCell ref="CQ19:CS19"/>
    <mergeCell ref="HB2:HB4"/>
    <mergeCell ref="HC2:HC4"/>
    <mergeCell ref="CB18:CD18"/>
    <mergeCell ref="CE18:CG18"/>
    <mergeCell ref="CB19:CB21"/>
    <mergeCell ref="CC19:CC21"/>
    <mergeCell ref="CD19:CD21"/>
    <mergeCell ref="CE19:CE21"/>
    <mergeCell ref="CF19:CF21"/>
    <mergeCell ref="CG19:CG21"/>
    <mergeCell ref="CL20:CL22"/>
    <mergeCell ref="CM20:CM22"/>
    <mergeCell ref="CN20:CN22"/>
    <mergeCell ref="CO20:CO22"/>
    <mergeCell ref="CP20:CP22"/>
    <mergeCell ref="CQ20:CQ22"/>
    <mergeCell ref="GW2:GW4"/>
    <mergeCell ref="GX2:GX4"/>
    <mergeCell ref="GY2:GY4"/>
    <mergeCell ref="GZ2:GZ4"/>
    <mergeCell ref="HA2:HA4"/>
    <mergeCell ref="GR2:GR4"/>
    <mergeCell ref="GS2:GS4"/>
    <mergeCell ref="GT2:GT4"/>
    <mergeCell ref="GU2:GU4"/>
    <mergeCell ref="GV2:GV4"/>
    <mergeCell ref="GM2:GM4"/>
    <mergeCell ref="GN2:GN4"/>
    <mergeCell ref="GO2:GO4"/>
    <mergeCell ref="GP2:GP4"/>
    <mergeCell ref="GQ2:GQ4"/>
    <mergeCell ref="GH2:GH4"/>
    <mergeCell ref="GI2:GI4"/>
    <mergeCell ref="GJ2:GJ4"/>
    <mergeCell ref="GK2:GK4"/>
    <mergeCell ref="GL2:GL4"/>
    <mergeCell ref="GC2:GC4"/>
    <mergeCell ref="GD2:GD4"/>
    <mergeCell ref="GE2:GE4"/>
    <mergeCell ref="GF2:GF4"/>
    <mergeCell ref="GG2:GG4"/>
    <mergeCell ref="FX2:FX4"/>
    <mergeCell ref="FY2:FY4"/>
    <mergeCell ref="FZ2:FZ4"/>
    <mergeCell ref="GA2:GA4"/>
    <mergeCell ref="GB2:GB4"/>
    <mergeCell ref="FS2:FS4"/>
    <mergeCell ref="FT2:FT4"/>
    <mergeCell ref="FU2:FU4"/>
    <mergeCell ref="FV2:FV4"/>
    <mergeCell ref="FW2:FW4"/>
    <mergeCell ref="FN2:FN4"/>
    <mergeCell ref="FO2:FO4"/>
    <mergeCell ref="FP2:FP4"/>
    <mergeCell ref="FQ2:FQ4"/>
    <mergeCell ref="FR2:FR4"/>
    <mergeCell ref="FI2:FI4"/>
    <mergeCell ref="FJ2:FJ4"/>
    <mergeCell ref="FK2:FK4"/>
    <mergeCell ref="FL2:FL4"/>
    <mergeCell ref="FM2:FM4"/>
    <mergeCell ref="FD2:FD4"/>
    <mergeCell ref="FE2:FE4"/>
    <mergeCell ref="FF2:FF4"/>
    <mergeCell ref="FG2:FG4"/>
    <mergeCell ref="FH2:FH4"/>
    <mergeCell ref="EY2:EY4"/>
    <mergeCell ref="EZ2:EZ4"/>
    <mergeCell ref="FA2:FA4"/>
    <mergeCell ref="FB2:FB4"/>
    <mergeCell ref="FC2:FC4"/>
    <mergeCell ref="ET2:ET4"/>
    <mergeCell ref="EU2:EU4"/>
    <mergeCell ref="EV2:EV4"/>
    <mergeCell ref="EW2:EW4"/>
    <mergeCell ref="EX2:EX4"/>
    <mergeCell ref="EO2:EO4"/>
    <mergeCell ref="EP2:EP4"/>
    <mergeCell ref="EQ2:EQ4"/>
    <mergeCell ref="ER2:ER4"/>
    <mergeCell ref="ES2:ES4"/>
    <mergeCell ref="EJ2:EJ4"/>
    <mergeCell ref="EK2:EK4"/>
    <mergeCell ref="EL2:EL4"/>
    <mergeCell ref="EM2:EM4"/>
    <mergeCell ref="EN2:EN4"/>
    <mergeCell ref="EE2:EE4"/>
    <mergeCell ref="EF2:EF4"/>
    <mergeCell ref="EG2:EG4"/>
    <mergeCell ref="EH2:EH4"/>
    <mergeCell ref="EI2:EI4"/>
    <mergeCell ref="DZ2:DZ4"/>
    <mergeCell ref="EA2:EA4"/>
    <mergeCell ref="EB2:EB4"/>
    <mergeCell ref="EC2:EC4"/>
    <mergeCell ref="ED2:ED4"/>
    <mergeCell ref="DU2:DU4"/>
    <mergeCell ref="DV2:DV4"/>
    <mergeCell ref="DW2:DW4"/>
    <mergeCell ref="DX2:DX4"/>
    <mergeCell ref="DY2:DY4"/>
    <mergeCell ref="DP2:DP4"/>
    <mergeCell ref="DQ2:DQ4"/>
    <mergeCell ref="DR2:DR4"/>
    <mergeCell ref="DS2:DS4"/>
    <mergeCell ref="DT2:DT4"/>
    <mergeCell ref="DK2:DK4"/>
    <mergeCell ref="DL2:DL4"/>
    <mergeCell ref="DM2:DM4"/>
    <mergeCell ref="DN2:DN4"/>
    <mergeCell ref="DO2:DO4"/>
    <mergeCell ref="DF2:DF4"/>
    <mergeCell ref="DG2:DG4"/>
    <mergeCell ref="DH2:DH4"/>
    <mergeCell ref="DI2:DI4"/>
    <mergeCell ref="DJ2:DJ4"/>
    <mergeCell ref="DA2:DA4"/>
    <mergeCell ref="DB2:DB4"/>
    <mergeCell ref="DC2:DC4"/>
    <mergeCell ref="DD2:DD4"/>
    <mergeCell ref="DE2:DE4"/>
    <mergeCell ref="CS2:CS4"/>
    <mergeCell ref="CT2:CT4"/>
    <mergeCell ref="CU2:CU4"/>
    <mergeCell ref="CV2:CV4"/>
    <mergeCell ref="CZ2:CZ4"/>
    <mergeCell ref="CN2:CN4"/>
    <mergeCell ref="CO2:CO4"/>
    <mergeCell ref="CP2:CP4"/>
    <mergeCell ref="CQ2:CQ4"/>
    <mergeCell ref="CR2:CR4"/>
    <mergeCell ref="CI2:CI4"/>
    <mergeCell ref="CJ2:CJ4"/>
    <mergeCell ref="CK2:CK4"/>
    <mergeCell ref="CL2:CL4"/>
    <mergeCell ref="CM2:CM4"/>
    <mergeCell ref="CD2:CD4"/>
    <mergeCell ref="CE2:CE4"/>
    <mergeCell ref="CF2:CF4"/>
    <mergeCell ref="CG2:CG4"/>
    <mergeCell ref="CH2:CH4"/>
    <mergeCell ref="BY2:BY4"/>
    <mergeCell ref="BZ2:BZ4"/>
    <mergeCell ref="CA2:CA4"/>
    <mergeCell ref="CB2:CB4"/>
    <mergeCell ref="CC2:CC4"/>
    <mergeCell ref="BQ2:BQ4"/>
    <mergeCell ref="BR2:BR4"/>
    <mergeCell ref="BV2:BV4"/>
    <mergeCell ref="BW2:BW4"/>
    <mergeCell ref="BX2:BX4"/>
    <mergeCell ref="BL2:BL4"/>
    <mergeCell ref="BM2:BM4"/>
    <mergeCell ref="BN2:BN4"/>
    <mergeCell ref="BO2:BO4"/>
    <mergeCell ref="BP2:BP4"/>
    <mergeCell ref="BG2:BG4"/>
    <mergeCell ref="BH2:BH4"/>
    <mergeCell ref="BI2:BI4"/>
    <mergeCell ref="BJ2:BJ4"/>
    <mergeCell ref="BK2:BK4"/>
    <mergeCell ref="BB2:BB4"/>
    <mergeCell ref="BC2:BC4"/>
    <mergeCell ref="BD2:BD4"/>
    <mergeCell ref="BE2:BE4"/>
    <mergeCell ref="BF2:BF4"/>
    <mergeCell ref="AW2:AW4"/>
    <mergeCell ref="AX2:AX4"/>
    <mergeCell ref="AY2:AY4"/>
    <mergeCell ref="AZ2:AZ4"/>
    <mergeCell ref="BA2:BA4"/>
    <mergeCell ref="HD1:HF1"/>
    <mergeCell ref="A14:C16"/>
    <mergeCell ref="M2:M4"/>
    <mergeCell ref="N2:N4"/>
    <mergeCell ref="O2:O4"/>
    <mergeCell ref="P2:P4"/>
    <mergeCell ref="Q2:Q4"/>
    <mergeCell ref="R2:R4"/>
    <mergeCell ref="S2:S4"/>
    <mergeCell ref="T2:T4"/>
    <mergeCell ref="U2:U4"/>
    <mergeCell ref="AC2:AC4"/>
    <mergeCell ref="AD2:AD4"/>
    <mergeCell ref="AE2:AE4"/>
    <mergeCell ref="AF2:AF4"/>
    <mergeCell ref="AG2:AG4"/>
    <mergeCell ref="GO1:GQ1"/>
    <mergeCell ref="GR1:GT1"/>
    <mergeCell ref="GU1:GW1"/>
    <mergeCell ref="AR2:AR4"/>
    <mergeCell ref="AS2:AS4"/>
    <mergeCell ref="AT2:AT4"/>
    <mergeCell ref="AU2:AU4"/>
    <mergeCell ref="AV2:AV4"/>
    <mergeCell ref="GX1:GZ1"/>
    <mergeCell ref="HA1:HC1"/>
    <mergeCell ref="FZ1:GB1"/>
    <mergeCell ref="GC1:GE1"/>
    <mergeCell ref="GF1:GH1"/>
    <mergeCell ref="GI1:GK1"/>
    <mergeCell ref="GL1:GN1"/>
    <mergeCell ref="FK1:FM1"/>
    <mergeCell ref="FN1:FP1"/>
    <mergeCell ref="FQ1:FS1"/>
    <mergeCell ref="FT1:FV1"/>
    <mergeCell ref="FW1:FX1"/>
    <mergeCell ref="EV1:EX1"/>
    <mergeCell ref="EY1:FA1"/>
    <mergeCell ref="FB1:FD1"/>
    <mergeCell ref="FE1:FG1"/>
    <mergeCell ref="FH1:FJ1"/>
    <mergeCell ref="EG1:EI1"/>
    <mergeCell ref="EJ1:EL1"/>
    <mergeCell ref="EM1:EO1"/>
    <mergeCell ref="EP1:ER1"/>
    <mergeCell ref="ES1:EU1"/>
    <mergeCell ref="DR1:DT1"/>
    <mergeCell ref="DU1:DW1"/>
    <mergeCell ref="DX1:DZ1"/>
    <mergeCell ref="EA1:EC1"/>
    <mergeCell ref="ED1:EF1"/>
    <mergeCell ref="DC1:DE1"/>
    <mergeCell ref="DF1:DH1"/>
    <mergeCell ref="DI1:DK1"/>
    <mergeCell ref="DL1:DN1"/>
    <mergeCell ref="DO1:DQ1"/>
    <mergeCell ref="CN1:CP1"/>
    <mergeCell ref="CQ1:CS1"/>
    <mergeCell ref="CT1:CV1"/>
    <mergeCell ref="CW1:CY1"/>
    <mergeCell ref="CZ1:DB1"/>
    <mergeCell ref="BY1:CA1"/>
    <mergeCell ref="CB1:CD1"/>
    <mergeCell ref="CE1:CG1"/>
    <mergeCell ref="CH1:CJ1"/>
    <mergeCell ref="CK1:CM1"/>
    <mergeCell ref="BJ1:BL1"/>
    <mergeCell ref="BM1:BO1"/>
    <mergeCell ref="BP1:BR1"/>
    <mergeCell ref="BS1:BU1"/>
    <mergeCell ref="BV1:BX1"/>
    <mergeCell ref="AU1:AW1"/>
    <mergeCell ref="AX1:AZ1"/>
    <mergeCell ref="BA1:BC1"/>
    <mergeCell ref="BD1:BF1"/>
    <mergeCell ref="BG1:BI1"/>
    <mergeCell ref="AI1:AK1"/>
    <mergeCell ref="AL1:AN1"/>
    <mergeCell ref="AO1:AQ1"/>
    <mergeCell ref="AR1:AT1"/>
    <mergeCell ref="A1:C1"/>
    <mergeCell ref="D1:F1"/>
    <mergeCell ref="G1:I1"/>
    <mergeCell ref="J1:L1"/>
    <mergeCell ref="M1:O1"/>
    <mergeCell ref="P1:R1"/>
    <mergeCell ref="S1:U1"/>
    <mergeCell ref="V1:X1"/>
    <mergeCell ref="Y1:AA1"/>
    <mergeCell ref="AB1:AB4"/>
    <mergeCell ref="AH2:AH4"/>
    <mergeCell ref="AI2:AI4"/>
    <mergeCell ref="AJ2:AJ4"/>
    <mergeCell ref="AK2:AK4"/>
    <mergeCell ref="AL2:AL4"/>
    <mergeCell ref="AM2:AM4"/>
    <mergeCell ref="AN2:AN4"/>
    <mergeCell ref="AO2:AO4"/>
    <mergeCell ref="AP2:AP4"/>
    <mergeCell ref="AQ2:AQ4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77"/>
  <sheetViews>
    <sheetView zoomScale="80" zoomScaleNormal="80" workbookViewId="0">
      <pane xSplit="3" topLeftCell="D1" activePane="topRight" state="frozen"/>
      <selection pane="topRight" activeCell="B21" sqref="B21"/>
    </sheetView>
  </sheetViews>
  <sheetFormatPr defaultColWidth="15" defaultRowHeight="12.75" x14ac:dyDescent="0.2"/>
  <cols>
    <col min="1" max="1" width="15" style="52" bestFit="1" customWidth="1"/>
    <col min="2" max="2" width="9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28515625" style="52" bestFit="1" customWidth="1"/>
    <col min="79" max="79" width="18.85546875" style="52" bestFit="1" customWidth="1"/>
    <col min="80" max="80" width="11" style="52" bestFit="1" customWidth="1"/>
    <col min="81" max="81" width="9.28515625" style="52" bestFit="1" customWidth="1"/>
    <col min="82" max="82" width="20.28515625" style="52" bestFit="1" customWidth="1"/>
    <col min="83" max="83" width="12.42578125" style="52" bestFit="1" customWidth="1"/>
    <col min="84" max="84" width="9.28515625" style="52" bestFit="1" customWidth="1"/>
    <col min="85" max="85" width="20.28515625" style="52" bestFit="1" customWidth="1"/>
    <col min="86" max="86" width="13.5703125" style="52" bestFit="1" customWidth="1"/>
    <col min="87" max="87" width="9.2851562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6.285156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9.28515625" style="52" bestFit="1" customWidth="1"/>
    <col min="142" max="142" width="7" style="52" bestFit="1" customWidth="1"/>
    <col min="143" max="143" width="12" style="52" bestFit="1" customWidth="1"/>
    <col min="144" max="144" width="9.28515625" style="52" bestFit="1" customWidth="1"/>
    <col min="145" max="145" width="7" style="52" bestFit="1" customWidth="1"/>
    <col min="146" max="146" width="12" style="52" bestFit="1" customWidth="1"/>
    <col min="147" max="147" width="9.28515625" style="52" bestFit="1" customWidth="1"/>
    <col min="148" max="148" width="7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7" style="52" bestFit="1" customWidth="1"/>
    <col min="158" max="158" width="12" style="52" bestFit="1" customWidth="1"/>
    <col min="159" max="159" width="9.28515625" style="52" bestFit="1" customWidth="1"/>
    <col min="160" max="160" width="7" style="52" bestFit="1" customWidth="1"/>
    <col min="161" max="161" width="12" style="52" bestFit="1" customWidth="1"/>
    <col min="162" max="162" width="9.28515625" style="52" bestFit="1" customWidth="1"/>
    <col min="163" max="163" width="7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6.285156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9.28515625" style="52" bestFit="1" customWidth="1"/>
    <col min="187" max="187" width="7" style="52" bestFit="1" customWidth="1"/>
    <col min="188" max="188" width="12" style="52" bestFit="1" customWidth="1"/>
    <col min="189" max="189" width="9.28515625" style="52" bestFit="1" customWidth="1"/>
    <col min="190" max="190" width="7" style="52" bestFit="1" customWidth="1"/>
    <col min="191" max="191" width="12" style="52" bestFit="1" customWidth="1"/>
    <col min="192" max="192" width="9.28515625" style="52" bestFit="1" customWidth="1"/>
    <col min="193" max="193" width="7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7" style="52" bestFit="1" customWidth="1"/>
    <col min="203" max="203" width="12" style="52" bestFit="1" customWidth="1"/>
    <col min="204" max="204" width="9.28515625" style="52" bestFit="1" customWidth="1"/>
    <col min="205" max="205" width="7" style="52" bestFit="1" customWidth="1"/>
    <col min="206" max="206" width="12" style="52" bestFit="1" customWidth="1"/>
    <col min="207" max="207" width="9.28515625" style="52" bestFit="1" customWidth="1"/>
    <col min="208" max="208" width="7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13" style="52" bestFit="1" customWidth="1"/>
    <col min="214" max="214" width="21.28515625" style="52" bestFit="1" customWidth="1"/>
    <col min="215" max="16384" width="15" style="52"/>
  </cols>
  <sheetData>
    <row r="1" spans="1:214" ht="21.75" customHeight="1" thickTop="1" thickBot="1" x14ac:dyDescent="0.25">
      <c r="A1" s="649" t="s">
        <v>8</v>
      </c>
      <c r="B1" s="650"/>
      <c r="C1" s="651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565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296" t="s">
        <v>557</v>
      </c>
      <c r="AJ1" s="294"/>
      <c r="AK1" s="297"/>
      <c r="AL1" s="293" t="s">
        <v>546</v>
      </c>
      <c r="AM1" s="294"/>
      <c r="AN1" s="297"/>
      <c r="AO1" s="293" t="s">
        <v>547</v>
      </c>
      <c r="AP1" s="294"/>
      <c r="AQ1" s="295"/>
      <c r="AR1" s="296" t="s">
        <v>559</v>
      </c>
      <c r="AS1" s="294"/>
      <c r="AT1" s="297"/>
      <c r="AU1" s="293" t="s">
        <v>548</v>
      </c>
      <c r="AV1" s="294"/>
      <c r="AW1" s="297"/>
      <c r="AX1" s="293" t="s">
        <v>549</v>
      </c>
      <c r="AY1" s="294"/>
      <c r="AZ1" s="295"/>
      <c r="BA1" s="296" t="s">
        <v>561</v>
      </c>
      <c r="BB1" s="294"/>
      <c r="BC1" s="297"/>
      <c r="BD1" s="293" t="s">
        <v>551</v>
      </c>
      <c r="BE1" s="294"/>
      <c r="BF1" s="297"/>
      <c r="BG1" s="293" t="s">
        <v>552</v>
      </c>
      <c r="BH1" s="294"/>
      <c r="BI1" s="295"/>
      <c r="BJ1" s="296" t="s">
        <v>564</v>
      </c>
      <c r="BK1" s="294"/>
      <c r="BL1" s="297"/>
      <c r="BM1" s="293" t="s">
        <v>554</v>
      </c>
      <c r="BN1" s="294"/>
      <c r="BO1" s="297"/>
      <c r="BP1" s="293" t="s">
        <v>555</v>
      </c>
      <c r="BQ1" s="294"/>
      <c r="BR1" s="295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274" t="s">
        <v>569</v>
      </c>
      <c r="CC1" s="270"/>
      <c r="CD1" s="270"/>
      <c r="CE1" s="271" t="s">
        <v>570</v>
      </c>
      <c r="CF1" s="270"/>
      <c r="CG1" s="272"/>
      <c r="CH1" s="270" t="s">
        <v>571</v>
      </c>
      <c r="CI1" s="270"/>
      <c r="CJ1" s="273"/>
      <c r="CK1" s="270" t="s">
        <v>575</v>
      </c>
      <c r="CL1" s="270"/>
      <c r="CM1" s="270"/>
      <c r="CN1" s="271" t="s">
        <v>575</v>
      </c>
      <c r="CO1" s="270"/>
      <c r="CP1" s="272"/>
      <c r="CQ1" s="270" t="s">
        <v>575</v>
      </c>
      <c r="CR1" s="270"/>
      <c r="CS1" s="273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4.25" customHeight="1" thickTop="1" thickBot="1" x14ac:dyDescent="0.25">
      <c r="A2" s="681" t="s">
        <v>240</v>
      </c>
      <c r="B2" s="682"/>
      <c r="C2" s="683"/>
      <c r="D2" s="193"/>
      <c r="E2" s="194"/>
      <c r="F2" s="194"/>
      <c r="G2" s="195"/>
      <c r="H2" s="196"/>
      <c r="I2" s="196"/>
      <c r="J2" s="197"/>
      <c r="K2" s="198"/>
      <c r="L2" s="199"/>
      <c r="M2" s="330" t="s">
        <v>537</v>
      </c>
      <c r="N2" s="333">
        <f>(N5*N6*N7)/((1-EXP(-N7*N6))*N15*N13*(N9/365)*(((N14/24)*N12)+((N16/24)*N11)))</f>
        <v>0.98026889993351174</v>
      </c>
      <c r="O2" s="336" t="s">
        <v>10</v>
      </c>
      <c r="P2" s="339" t="s">
        <v>537</v>
      </c>
      <c r="Q2" s="333">
        <f>(Q5*Q6*Q7)/((1-EXP(-Q7*Q6))*Q15*Q13*(Q9/365)*(((Q14/24)*Q12)+((Q16/24)*Q11)))</f>
        <v>5.6485611769215893</v>
      </c>
      <c r="R2" s="336" t="s">
        <v>10</v>
      </c>
      <c r="S2" s="339" t="s">
        <v>537</v>
      </c>
      <c r="T2" s="333">
        <f>(T5*T6*T7)/((1-EXP(-T7*T6))*T15*T13*(T9/365)*(((T14/24)*T12)+((T16/24)*T11)))</f>
        <v>1.114576396684319</v>
      </c>
      <c r="U2" s="342" t="s">
        <v>10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43.339126732427779</v>
      </c>
      <c r="AD2" s="315">
        <f>1/((1/AD29)+(1/AD30)+(1/AD31))</f>
        <v>3.734230184274463</v>
      </c>
      <c r="AE2" s="315">
        <f>1/((1/AE29)+(1/AE30)+(1/AE31))</f>
        <v>43.339126732427779</v>
      </c>
      <c r="AF2" s="315">
        <f>1/((1/AF29)+(1/AF30)+(1/AF31))</f>
        <v>99.647516795953266</v>
      </c>
      <c r="AG2" s="320">
        <f>1/((1/AG29)+(1/AG31)+(1/AG30))</f>
        <v>64.627894841263668</v>
      </c>
      <c r="AH2" s="318" t="s">
        <v>10</v>
      </c>
      <c r="AI2" s="306" t="s">
        <v>537</v>
      </c>
      <c r="AJ2" s="303">
        <f>(AJ5*AJ6*AJ7)/((1-EXP(-AJ7*AJ6))*AJ15*(AJ9/365)*AJ10*(AJ16/24)*AJ11*AJ13)</f>
        <v>5.9817184596622806</v>
      </c>
      <c r="AK2" s="290" t="s">
        <v>10</v>
      </c>
      <c r="AL2" s="287" t="s">
        <v>537</v>
      </c>
      <c r="AM2" s="303">
        <f>(AM5*AM6*AM7)/((1-EXP(-AM7*AM6))*AM15*(AM9/365)*AM10*(AM16/24)*AM11*AM13)</f>
        <v>34.18486630028238</v>
      </c>
      <c r="AN2" s="290" t="s">
        <v>10</v>
      </c>
      <c r="AO2" s="287" t="s">
        <v>537</v>
      </c>
      <c r="AP2" s="303">
        <f>(AP5*AP6*AP7)/((1-EXP(-AP7*AP6))*AP15*(AP9/365)*AP10*(AP16/24)*AP11*AP13)</f>
        <v>6.7842927774498474</v>
      </c>
      <c r="AQ2" s="281" t="s">
        <v>10</v>
      </c>
      <c r="AR2" s="306" t="s">
        <v>537</v>
      </c>
      <c r="AS2" s="303">
        <f>(AS5*AS6*AS7)/((1-EXP(-AS7*AS6))*AS15*(AS9/365)*AS10*(AS14/24)*AS12*AS13)</f>
        <v>70.290463685808234</v>
      </c>
      <c r="AT2" s="290" t="s">
        <v>10</v>
      </c>
      <c r="AU2" s="287" t="s">
        <v>537</v>
      </c>
      <c r="AV2" s="303">
        <f>(AV5*AV6*AV7)/((1-EXP(-AV7*AV6))*AV15*(AV9/365)*AV10*(AV14/24)*AV12*AV13)</f>
        <v>789.48882910582859</v>
      </c>
      <c r="AW2" s="290" t="s">
        <v>10</v>
      </c>
      <c r="AX2" s="287" t="s">
        <v>537</v>
      </c>
      <c r="AY2" s="303">
        <f>(AY5*AY6*AY7)/((1-EXP(-AY7*AY6))*AY15*(AY9/365)*AY10*(AY14/24)*AY12*AY13)</f>
        <v>93.705701345992381</v>
      </c>
      <c r="AZ2" s="281" t="s">
        <v>10</v>
      </c>
      <c r="BA2" s="306" t="s">
        <v>537</v>
      </c>
      <c r="BB2" s="303">
        <f>(BB5*BB6*BB7)/((1-EXP(-BB7*BB6))*BB15*(BB9/365)*(BB14/24)*BB12*BB13)</f>
        <v>70.290463685808234</v>
      </c>
      <c r="BC2" s="290" t="s">
        <v>10</v>
      </c>
      <c r="BD2" s="287" t="s">
        <v>537</v>
      </c>
      <c r="BE2" s="303">
        <f>(BE5*BE6*BE7)/((1-EXP(-BE7*BE6))*BE15*(BE9/365)*(BE14/24)*BE12*BE13)</f>
        <v>789.48882910582859</v>
      </c>
      <c r="BF2" s="290" t="s">
        <v>10</v>
      </c>
      <c r="BG2" s="287" t="s">
        <v>537</v>
      </c>
      <c r="BH2" s="303">
        <f>(BH5*BH6*BH7)/((1-EXP(-BH7*BH6))*BH15*(BH9/365)*(BH14/24)*BH12*BH13)</f>
        <v>93.705701345992381</v>
      </c>
      <c r="BI2" s="281" t="s">
        <v>10</v>
      </c>
      <c r="BJ2" s="306" t="s">
        <v>537</v>
      </c>
      <c r="BK2" s="284">
        <f>(BK5*BK6*BK7)/((1-EXP(-BK7*BK6))*BK16*(BK9/365)*(BK15/24)*BK13*BK14)</f>
        <v>117.15077280968038</v>
      </c>
      <c r="BL2" s="290" t="s">
        <v>10</v>
      </c>
      <c r="BM2" s="287" t="s">
        <v>537</v>
      </c>
      <c r="BN2" s="284">
        <f>(BN5*BN6*BN7)/((1-EXP(-BN7*BN6))*BN16*(BN9/365)*(BN15/24)*BN13*BN14)</f>
        <v>1315.8147151763812</v>
      </c>
      <c r="BO2" s="290" t="s">
        <v>10</v>
      </c>
      <c r="BP2" s="287" t="s">
        <v>537</v>
      </c>
      <c r="BQ2" s="284">
        <f>(BQ5*BQ6*BQ7)/((1-EXP(-BQ7*BQ6))*BQ16*(BQ9/365)*(BQ15/24)*BQ13*BQ14)</f>
        <v>156.17616890998727</v>
      </c>
      <c r="BR2" s="281" t="s">
        <v>10</v>
      </c>
      <c r="BS2" s="214"/>
      <c r="BT2" s="120"/>
      <c r="BU2" s="215"/>
      <c r="BV2" s="258" t="s">
        <v>531</v>
      </c>
      <c r="BW2" s="261">
        <f>1/((1/BW10)+(1/BW12))</f>
        <v>0.57122435509369551</v>
      </c>
      <c r="BX2" s="278" t="s">
        <v>11</v>
      </c>
      <c r="BY2" s="258" t="s">
        <v>531</v>
      </c>
      <c r="BZ2" s="261">
        <f>1/((1/BZ13)+(1/BZ14)+(1/BZ15))</f>
        <v>155.66697607359114</v>
      </c>
      <c r="CA2" s="264" t="s">
        <v>10</v>
      </c>
      <c r="CB2" s="267" t="s">
        <v>537</v>
      </c>
      <c r="CC2" s="261">
        <f>(CC5*CC6*CC7)/((1-EXP(-CC7*CC6))*CC14*(CC9/365)*CC12*(CC13/24)*CC11)</f>
        <v>159.75105383138234</v>
      </c>
      <c r="CD2" s="278" t="s">
        <v>10</v>
      </c>
      <c r="CE2" s="258" t="s">
        <v>537</v>
      </c>
      <c r="CF2" s="261">
        <f>(CF5*CF6*CF7)/((1-EXP(-CF7*CF6))*CF10*CF14*(CF9/365)*CF12*(CF13/24)*CF11)</f>
        <v>1794.2927934223378</v>
      </c>
      <c r="CG2" s="278" t="s">
        <v>10</v>
      </c>
      <c r="CH2" s="258" t="s">
        <v>537</v>
      </c>
      <c r="CI2" s="261">
        <f>(CI5*CI6*CI7)/((1-EXP(-CI7*CI6))*CI10*CI14*(CI9/365)*CI12*(CI13/24)*CI11)</f>
        <v>212.96750305907358</v>
      </c>
      <c r="CJ2" s="264" t="s">
        <v>10</v>
      </c>
      <c r="CK2" s="267" t="s">
        <v>530</v>
      </c>
      <c r="CL2" s="261">
        <f>CL5/(CL6*CL7*CL8)</f>
        <v>123.41029239336142</v>
      </c>
      <c r="CM2" s="255" t="s">
        <v>10</v>
      </c>
      <c r="CN2" s="258" t="s">
        <v>7</v>
      </c>
      <c r="CO2" s="261">
        <f>(CL2/(CO5*((CO10*CO12*CO13*(CO6+CO7))+(CO11*CO12))))*CO17</f>
        <v>7.4188901312815281</v>
      </c>
      <c r="CP2" s="278" t="s">
        <v>10</v>
      </c>
      <c r="CQ2" s="275" t="s">
        <v>6</v>
      </c>
      <c r="CR2" s="261">
        <f>CL2/(CR5*CR6*(1/CR7))</f>
        <v>22853.757850622482</v>
      </c>
      <c r="CS2" s="264" t="s">
        <v>10</v>
      </c>
      <c r="CT2" s="395" t="s">
        <v>531</v>
      </c>
      <c r="CU2" s="392">
        <f>1/((1/CU14)+(1/CU15)+(1/CU16)+(1/CU17))</f>
        <v>2.0801478185240594</v>
      </c>
      <c r="CV2" s="389" t="s">
        <v>10</v>
      </c>
      <c r="CW2" s="218"/>
      <c r="CX2" s="219"/>
      <c r="CY2" s="219"/>
      <c r="CZ2" s="407" t="s">
        <v>531</v>
      </c>
      <c r="DA2" s="404">
        <f>1/((1/DA13)+(1/DA15)+(1/DA16))</f>
        <v>1.4526082217260663</v>
      </c>
      <c r="DB2" s="401" t="s">
        <v>11</v>
      </c>
      <c r="DC2" s="442" t="s">
        <v>530</v>
      </c>
      <c r="DD2" s="439">
        <f>DD7</f>
        <v>1.2341029239336141</v>
      </c>
      <c r="DE2" s="436" t="s">
        <v>10</v>
      </c>
      <c r="DF2" s="433" t="s">
        <v>530</v>
      </c>
      <c r="DG2" s="424">
        <f>DD7/((1/DG24)*(DG5+DG6+DG7))</f>
        <v>110.87366793114637</v>
      </c>
      <c r="DH2" s="430" t="s">
        <v>11</v>
      </c>
      <c r="DI2" s="427" t="s">
        <v>530</v>
      </c>
      <c r="DJ2" s="424">
        <f>(DD7/(DJ5+DJ6))*DJ12</f>
        <v>4.3765807560563594</v>
      </c>
      <c r="DK2" s="430" t="s">
        <v>10</v>
      </c>
      <c r="DL2" s="427" t="s">
        <v>581</v>
      </c>
      <c r="DM2" s="424">
        <f>((DD7)/(DM5+DM6))*DJ12</f>
        <v>4.3765807560563594</v>
      </c>
      <c r="DN2" s="430" t="s">
        <v>10</v>
      </c>
      <c r="DO2" s="427" t="s">
        <v>582</v>
      </c>
      <c r="DP2" s="424">
        <f>-(DP5+DP6+DP7)/(DP23+DP24)</f>
        <v>-48.516527231988597</v>
      </c>
      <c r="DQ2" s="421" t="s">
        <v>18</v>
      </c>
      <c r="DR2" s="574" t="s">
        <v>530</v>
      </c>
      <c r="DS2" s="445">
        <f>DS7</f>
        <v>2.4682058478672282</v>
      </c>
      <c r="DT2" s="484" t="s">
        <v>10</v>
      </c>
      <c r="DU2" s="481" t="s">
        <v>530</v>
      </c>
      <c r="DV2" s="463">
        <f>(DS7*DV8)/(DV5*DV6*(1/1000))</f>
        <v>6007.2117752912209</v>
      </c>
      <c r="DW2" s="466" t="s">
        <v>11</v>
      </c>
      <c r="DX2" s="478" t="s">
        <v>530</v>
      </c>
      <c r="DY2" s="463">
        <f>(DS7*DY14)/(DY9*((DY10*DY12*DY13*(DY5+DY6))+(DY11*DY12)))*DY18</f>
        <v>92.193824327480755</v>
      </c>
      <c r="DZ2" s="466" t="s">
        <v>10</v>
      </c>
      <c r="EA2" s="478" t="s">
        <v>581</v>
      </c>
      <c r="EB2" s="463">
        <f>(DS7*DY14)/(EB9*((EB10*EB12*EB13*(EB5+EB6))+(EB11*EB12)))*DY18</f>
        <v>92.193824327480755</v>
      </c>
      <c r="EC2" s="466" t="s">
        <v>10</v>
      </c>
      <c r="ED2" s="478" t="s">
        <v>582</v>
      </c>
      <c r="EE2" s="463">
        <f>-EE15/((EE10*EE12*EE13*(EE5+EE6))+(EE11*EE12))</f>
        <v>-15.172254564045053</v>
      </c>
      <c r="EF2" s="460" t="s">
        <v>18</v>
      </c>
      <c r="EG2" s="475" t="s">
        <v>530</v>
      </c>
      <c r="EH2" s="469">
        <f>EH7</f>
        <v>2.4682058478672282</v>
      </c>
      <c r="EI2" s="457" t="s">
        <v>10</v>
      </c>
      <c r="EJ2" s="472" t="s">
        <v>530</v>
      </c>
      <c r="EK2" s="454">
        <f>EH7/(EK5*EK6)</f>
        <v>2.1168146208123741</v>
      </c>
      <c r="EL2" s="451" t="s">
        <v>11</v>
      </c>
      <c r="EM2" s="448" t="s">
        <v>530</v>
      </c>
      <c r="EN2" s="454">
        <f>(EH7/(EN9*((EN10*EN12*EN13*(EN5+EN6))+(EN11*EN12))))*EN17</f>
        <v>29.992028977132001</v>
      </c>
      <c r="EO2" s="451" t="s">
        <v>10</v>
      </c>
      <c r="EP2" s="448" t="s">
        <v>581</v>
      </c>
      <c r="EQ2" s="454">
        <f>(EH7/(EQ9*((EQ10*EQ12*EQ13*(EQ5+EQ6))+(EQ11*EQ12))))*EN17</f>
        <v>29.992028977132001</v>
      </c>
      <c r="ER2" s="451" t="s">
        <v>10</v>
      </c>
      <c r="ES2" s="448" t="s">
        <v>582</v>
      </c>
      <c r="ET2" s="454">
        <f>-ET15/((ET10*ET12*ET13*(ET5+ET6))+(ET11*ET12))</f>
        <v>-14.006971771987642</v>
      </c>
      <c r="EU2" s="499" t="s">
        <v>18</v>
      </c>
      <c r="EV2" s="496" t="s">
        <v>530</v>
      </c>
      <c r="EW2" s="493">
        <f>EW7</f>
        <v>2.4682058478672282</v>
      </c>
      <c r="EX2" s="490" t="s">
        <v>10</v>
      </c>
      <c r="EY2" s="487" t="s">
        <v>530</v>
      </c>
      <c r="EZ2" s="586">
        <f>EW7/(EZ5*EZ6*(1/EZ7))</f>
        <v>15426.286549170172</v>
      </c>
      <c r="FA2" s="592" t="s">
        <v>11</v>
      </c>
      <c r="FB2" s="589" t="s">
        <v>530</v>
      </c>
      <c r="FC2" s="586">
        <f>(EW7/(FC9*((FC10*FC12*FC13*(FC5+FC6))+(FC11*FC12))))*FC17</f>
        <v>80.227000581616636</v>
      </c>
      <c r="FD2" s="595" t="s">
        <v>10</v>
      </c>
      <c r="FE2" s="589" t="s">
        <v>581</v>
      </c>
      <c r="FF2" s="586">
        <f>(EW7/(FF9*(FF10*FF12*FF13*(FF5*FF6))+(FF11*FF12)))*FC17</f>
        <v>110.56971913639993</v>
      </c>
      <c r="FG2" s="592" t="s">
        <v>10</v>
      </c>
      <c r="FH2" s="589" t="s">
        <v>582</v>
      </c>
      <c r="FI2" s="586">
        <f>FI15/((FI10*FI12*FI13*(FI5+FI6))+(FI11*FI12))</f>
        <v>5.1413881748071981</v>
      </c>
      <c r="FJ2" s="583" t="s">
        <v>18</v>
      </c>
      <c r="FK2" s="580" t="s">
        <v>530</v>
      </c>
      <c r="FL2" s="577">
        <f>FL7</f>
        <v>2.4682058478672282</v>
      </c>
      <c r="FM2" s="571" t="s">
        <v>10</v>
      </c>
      <c r="FN2" s="568" t="s">
        <v>530</v>
      </c>
      <c r="FO2" s="505">
        <f>FL7/(FO5*(1/FO6))</f>
        <v>0.98728233914689123</v>
      </c>
      <c r="FP2" s="511" t="s">
        <v>11</v>
      </c>
      <c r="FQ2" s="508" t="s">
        <v>530</v>
      </c>
      <c r="FR2" s="505">
        <f>((FL7*FR6)/FR5)*FR10</f>
        <v>9.9866570323996415E-3</v>
      </c>
      <c r="FS2" s="511" t="s">
        <v>10</v>
      </c>
      <c r="FT2" s="508" t="s">
        <v>581</v>
      </c>
      <c r="FU2" s="505">
        <f>((FL7*FU6)/FU5)*FR10</f>
        <v>9.9866570323996415E-3</v>
      </c>
      <c r="FV2" s="511" t="s">
        <v>10</v>
      </c>
      <c r="FW2" s="508" t="s">
        <v>582</v>
      </c>
      <c r="FX2" s="505">
        <f>-FX5/FX6</f>
        <v>-0.01</v>
      </c>
      <c r="FY2" s="502" t="s">
        <v>18</v>
      </c>
      <c r="FZ2" s="556" t="s">
        <v>530</v>
      </c>
      <c r="GA2" s="553">
        <f>GA7</f>
        <v>2.4682058478672282</v>
      </c>
      <c r="GB2" s="550" t="s">
        <v>10</v>
      </c>
      <c r="GC2" s="559" t="s">
        <v>530</v>
      </c>
      <c r="GD2" s="538">
        <f>GA7/(GD5*GD6*(1/GD7))</f>
        <v>2285.3757850622483</v>
      </c>
      <c r="GE2" s="544" t="s">
        <v>11</v>
      </c>
      <c r="GF2" s="541" t="s">
        <v>530</v>
      </c>
      <c r="GG2" s="538">
        <f>(GA7/((GG9)*((GG10*GG12*GG13*(GG5+GG6))+(GG11*GG12))))*GG17</f>
        <v>11.885481567646911</v>
      </c>
      <c r="GH2" s="544" t="s">
        <v>10</v>
      </c>
      <c r="GI2" s="541" t="s">
        <v>581</v>
      </c>
      <c r="GJ2" s="538">
        <f>(GA7/((GJ9)*((GJ10*GJ12*GJ13*(GJ5+GJ6))+(GJ11*GJ12))))*GG17</f>
        <v>11.885481567646911</v>
      </c>
      <c r="GK2" s="544" t="s">
        <v>10</v>
      </c>
      <c r="GL2" s="541" t="s">
        <v>582</v>
      </c>
      <c r="GM2" s="538">
        <f>GM15/((GM10*GM12*GM13*(GM5+GM6))+(GM11*GM12))</f>
        <v>5.1413881748071981</v>
      </c>
      <c r="GN2" s="535" t="s">
        <v>18</v>
      </c>
      <c r="GO2" s="532" t="s">
        <v>530</v>
      </c>
      <c r="GP2" s="529">
        <f>GP7</f>
        <v>2.4682058478672282</v>
      </c>
      <c r="GQ2" s="526" t="s">
        <v>10</v>
      </c>
      <c r="GR2" s="523" t="s">
        <v>530</v>
      </c>
      <c r="GS2" s="517">
        <f>GP7/(GS5*GS6*(1/GS7))</f>
        <v>1082.5464245031701</v>
      </c>
      <c r="GT2" s="514" t="s">
        <v>11</v>
      </c>
      <c r="GU2" s="520" t="s">
        <v>530</v>
      </c>
      <c r="GV2" s="517">
        <f>(GP7/((GV9)*((GV10*GV12*GV13*(GV5+GV6))+(GV11*GV12))))*GV17</f>
        <v>7.4248030039252662</v>
      </c>
      <c r="GW2" s="514" t="s">
        <v>10</v>
      </c>
      <c r="GX2" s="520" t="s">
        <v>581</v>
      </c>
      <c r="GY2" s="517">
        <f>(GP7/((GY9*((GY10*GY12*GY13*(GY5+GY6))+(GY11*GY12)))))*GV17</f>
        <v>7.4248030039252662</v>
      </c>
      <c r="GZ2" s="514" t="s">
        <v>10</v>
      </c>
      <c r="HA2" s="520" t="s">
        <v>582</v>
      </c>
      <c r="HB2" s="517">
        <f>GP7/((HB10*HB12*HB13*(HB5+HB6))+(HB11*HB12))</f>
        <v>1.468034168718984</v>
      </c>
      <c r="HC2" s="547" t="s">
        <v>18</v>
      </c>
      <c r="HD2" s="54"/>
      <c r="HE2" s="55"/>
      <c r="HF2" s="56"/>
    </row>
    <row r="3" spans="1:214" ht="13.5" customHeight="1" thickTop="1" x14ac:dyDescent="0.2">
      <c r="A3" s="114" t="s">
        <v>302</v>
      </c>
      <c r="B3" s="228">
        <v>8.5099999999999995E-2</v>
      </c>
      <c r="C3" s="115"/>
      <c r="D3" s="189" t="s">
        <v>15</v>
      </c>
      <c r="E3" s="134">
        <f>1/((1/E19)+(1/E20))</f>
        <v>2.5540644661366729E-4</v>
      </c>
      <c r="F3" s="58" t="s">
        <v>9</v>
      </c>
      <c r="G3" s="191" t="s">
        <v>531</v>
      </c>
      <c r="H3" s="57">
        <f>1/((1/H10)+(1/H12)+(1/H13))</f>
        <v>1.7520408602487061</v>
      </c>
      <c r="I3" s="59" t="s">
        <v>11</v>
      </c>
      <c r="J3" s="192" t="s">
        <v>531</v>
      </c>
      <c r="K3" s="57">
        <f>1/((1/K14)+(1/K15)+(1/K16)+(1/K17))</f>
        <v>2.1014374424276165</v>
      </c>
      <c r="L3" s="60" t="s">
        <v>10</v>
      </c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2.9746052993849911E-3</v>
      </c>
      <c r="X3" s="62" t="s">
        <v>9</v>
      </c>
      <c r="Y3" s="202" t="s">
        <v>16</v>
      </c>
      <c r="Z3" s="187">
        <f>1/((1/Z18)+(1/Z19))</f>
        <v>2.9746052993849911E-3</v>
      </c>
      <c r="AA3" s="63" t="s">
        <v>9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307"/>
      <c r="AS3" s="304"/>
      <c r="AT3" s="291"/>
      <c r="AU3" s="288"/>
      <c r="AV3" s="304"/>
      <c r="AW3" s="291"/>
      <c r="AX3" s="288"/>
      <c r="AY3" s="304"/>
      <c r="AZ3" s="282"/>
      <c r="BA3" s="307"/>
      <c r="BB3" s="304"/>
      <c r="BC3" s="291"/>
      <c r="BD3" s="288"/>
      <c r="BE3" s="304"/>
      <c r="BF3" s="291"/>
      <c r="BG3" s="288"/>
      <c r="BH3" s="304"/>
      <c r="BI3" s="282"/>
      <c r="BJ3" s="307"/>
      <c r="BK3" s="285"/>
      <c r="BL3" s="291"/>
      <c r="BM3" s="288"/>
      <c r="BN3" s="285"/>
      <c r="BO3" s="291"/>
      <c r="BP3" s="288"/>
      <c r="BQ3" s="285"/>
      <c r="BR3" s="282"/>
      <c r="BS3" s="212" t="s">
        <v>15</v>
      </c>
      <c r="BT3" s="64">
        <f>1/((1/BT18)+(1/BT19))</f>
        <v>3.343502573851645E-3</v>
      </c>
      <c r="BU3" s="53" t="s">
        <v>9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56"/>
      <c r="CN3" s="259"/>
      <c r="CO3" s="262"/>
      <c r="CP3" s="279"/>
      <c r="CQ3" s="276"/>
      <c r="CR3" s="262"/>
      <c r="CS3" s="265"/>
      <c r="CT3" s="396"/>
      <c r="CU3" s="393"/>
      <c r="CV3" s="390"/>
      <c r="CW3" s="216" t="s">
        <v>15</v>
      </c>
      <c r="CX3" s="65">
        <f>1/((1/CX19)+(1/CX20))</f>
        <v>2.5540584318586016E-4</v>
      </c>
      <c r="CY3" s="66" t="s">
        <v>9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126">
        <f>(HE5*HE14)*(10^-3)*(HE13+(HE10/HE11))*((HE12*HE7)/HE8)</f>
        <v>2.0635211973607621</v>
      </c>
      <c r="HF3" s="220" t="s">
        <v>592</v>
      </c>
    </row>
    <row r="4" spans="1:214" ht="13.5" customHeight="1" thickBot="1" x14ac:dyDescent="0.25">
      <c r="A4" s="118" t="s">
        <v>54</v>
      </c>
      <c r="B4" s="230">
        <v>0.74199999999999999</v>
      </c>
      <c r="C4" s="119"/>
      <c r="D4" s="190" t="s">
        <v>16</v>
      </c>
      <c r="E4" s="135">
        <f>1/((1/E21)+(1/E22))</f>
        <v>2.5835128261269223E-4</v>
      </c>
      <c r="F4" s="68" t="s">
        <v>9</v>
      </c>
      <c r="G4" s="69"/>
      <c r="H4" s="70"/>
      <c r="I4" s="71"/>
      <c r="J4" s="72"/>
      <c r="K4" s="73"/>
      <c r="L4" s="74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2.9406990432211634E-3</v>
      </c>
      <c r="X4" s="76" t="s">
        <v>9</v>
      </c>
      <c r="Y4" s="203" t="s">
        <v>15</v>
      </c>
      <c r="Z4" s="186">
        <f>1/((1/Z16)+(1/Z17))</f>
        <v>2.9406990432211634E-3</v>
      </c>
      <c r="AA4" s="77" t="s">
        <v>9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308"/>
      <c r="AS4" s="305"/>
      <c r="AT4" s="292"/>
      <c r="AU4" s="289"/>
      <c r="AV4" s="305"/>
      <c r="AW4" s="292"/>
      <c r="AX4" s="289"/>
      <c r="AY4" s="305"/>
      <c r="AZ4" s="283"/>
      <c r="BA4" s="308"/>
      <c r="BB4" s="305"/>
      <c r="BC4" s="292"/>
      <c r="BD4" s="289"/>
      <c r="BE4" s="305"/>
      <c r="BF4" s="292"/>
      <c r="BG4" s="289"/>
      <c r="BH4" s="305"/>
      <c r="BI4" s="283"/>
      <c r="BJ4" s="308"/>
      <c r="BK4" s="286"/>
      <c r="BL4" s="292"/>
      <c r="BM4" s="289"/>
      <c r="BN4" s="286"/>
      <c r="BO4" s="292"/>
      <c r="BP4" s="289"/>
      <c r="BQ4" s="286"/>
      <c r="BR4" s="283"/>
      <c r="BS4" s="213" t="s">
        <v>16</v>
      </c>
      <c r="BT4" s="78">
        <f>1/((1/BT20)+(1/BT21))</f>
        <v>3.3820531542025174E-3</v>
      </c>
      <c r="BU4" s="79" t="s">
        <v>9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57"/>
      <c r="CN4" s="260"/>
      <c r="CO4" s="263"/>
      <c r="CP4" s="280"/>
      <c r="CQ4" s="277"/>
      <c r="CR4" s="263"/>
      <c r="CS4" s="266"/>
      <c r="CT4" s="397"/>
      <c r="CU4" s="394"/>
      <c r="CV4" s="391"/>
      <c r="CW4" s="217" t="s">
        <v>16</v>
      </c>
      <c r="CX4" s="80">
        <f>1/((1/CX21)+(1/CX22))</f>
        <v>2.5835067222736326E-4</v>
      </c>
      <c r="CY4" s="81" t="s">
        <v>9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127">
        <f>(HE6*HE14)*10^-3*(HE13+(HE10/HE11))*((HE12*HE7)/(HE8))</f>
        <v>1.8076867268826943E-2</v>
      </c>
      <c r="HF4" s="221" t="s">
        <v>593</v>
      </c>
    </row>
    <row r="5" spans="1:214" ht="14.25" thickTop="1" thickBot="1" x14ac:dyDescent="0.25">
      <c r="A5" s="681" t="s">
        <v>241</v>
      </c>
      <c r="B5" s="682"/>
      <c r="C5" s="683"/>
      <c r="D5" s="52" t="s">
        <v>267</v>
      </c>
      <c r="E5" s="136">
        <f>B17</f>
        <v>1</v>
      </c>
      <c r="F5" s="52" t="s">
        <v>344</v>
      </c>
      <c r="G5" s="83" t="s">
        <v>267</v>
      </c>
      <c r="H5" s="136">
        <f>B17</f>
        <v>1</v>
      </c>
      <c r="I5" s="52" t="s">
        <v>344</v>
      </c>
      <c r="J5" s="83" t="s">
        <v>267</v>
      </c>
      <c r="K5" s="136">
        <f>B17</f>
        <v>1</v>
      </c>
      <c r="L5" s="52" t="s">
        <v>344</v>
      </c>
      <c r="M5" s="52" t="s">
        <v>267</v>
      </c>
      <c r="N5" s="136">
        <f>B17</f>
        <v>1</v>
      </c>
      <c r="O5" s="52" t="s">
        <v>344</v>
      </c>
      <c r="P5" s="52" t="s">
        <v>267</v>
      </c>
      <c r="Q5" s="136">
        <f>B17</f>
        <v>1</v>
      </c>
      <c r="R5" s="52" t="s">
        <v>344</v>
      </c>
      <c r="S5" s="52" t="s">
        <v>267</v>
      </c>
      <c r="T5" s="136">
        <f>B17</f>
        <v>1</v>
      </c>
      <c r="U5" s="52" t="s">
        <v>344</v>
      </c>
      <c r="V5" s="52" t="s">
        <v>267</v>
      </c>
      <c r="W5" s="136">
        <f>B17</f>
        <v>1</v>
      </c>
      <c r="X5" s="52" t="s">
        <v>344</v>
      </c>
      <c r="Y5" s="52" t="s">
        <v>267</v>
      </c>
      <c r="Z5" s="136">
        <f>B17</f>
        <v>1</v>
      </c>
      <c r="AA5" s="52" t="s">
        <v>344</v>
      </c>
      <c r="AB5" s="83" t="s">
        <v>267</v>
      </c>
      <c r="AC5" s="136">
        <f>B17</f>
        <v>1</v>
      </c>
      <c r="AD5" s="136">
        <f>B17</f>
        <v>1</v>
      </c>
      <c r="AE5" s="136">
        <f>B17</f>
        <v>1</v>
      </c>
      <c r="AF5" s="136">
        <f>B17</f>
        <v>1</v>
      </c>
      <c r="AG5" s="136">
        <f>B17</f>
        <v>1</v>
      </c>
      <c r="AH5" s="52" t="s">
        <v>344</v>
      </c>
      <c r="AI5" s="52" t="s">
        <v>267</v>
      </c>
      <c r="AJ5" s="136">
        <f>B17</f>
        <v>1</v>
      </c>
      <c r="AK5" s="52" t="s">
        <v>344</v>
      </c>
      <c r="AL5" s="52" t="s">
        <v>267</v>
      </c>
      <c r="AM5" s="136">
        <f>B17</f>
        <v>1</v>
      </c>
      <c r="AN5" s="52" t="s">
        <v>344</v>
      </c>
      <c r="AO5" s="52" t="s">
        <v>267</v>
      </c>
      <c r="AP5" s="136">
        <f>B17</f>
        <v>1</v>
      </c>
      <c r="AQ5" s="52" t="s">
        <v>344</v>
      </c>
      <c r="AR5" s="52" t="s">
        <v>267</v>
      </c>
      <c r="AS5" s="136">
        <f>B17</f>
        <v>1</v>
      </c>
      <c r="AT5" s="52" t="s">
        <v>344</v>
      </c>
      <c r="AU5" s="52" t="s">
        <v>267</v>
      </c>
      <c r="AV5" s="136">
        <f>B17</f>
        <v>1</v>
      </c>
      <c r="AW5" s="52" t="s">
        <v>344</v>
      </c>
      <c r="AX5" s="52" t="s">
        <v>267</v>
      </c>
      <c r="AY5" s="136">
        <f>B17</f>
        <v>1</v>
      </c>
      <c r="AZ5" s="52" t="s">
        <v>344</v>
      </c>
      <c r="BA5" s="52" t="s">
        <v>267</v>
      </c>
      <c r="BB5" s="136">
        <f>B17</f>
        <v>1</v>
      </c>
      <c r="BC5" s="52" t="s">
        <v>344</v>
      </c>
      <c r="BD5" s="52" t="s">
        <v>267</v>
      </c>
      <c r="BE5" s="136">
        <f>B17</f>
        <v>1</v>
      </c>
      <c r="BF5" s="52" t="s">
        <v>344</v>
      </c>
      <c r="BG5" s="52" t="s">
        <v>267</v>
      </c>
      <c r="BH5" s="136">
        <f>B17</f>
        <v>1</v>
      </c>
      <c r="BI5" s="52" t="s">
        <v>344</v>
      </c>
      <c r="BJ5" s="52" t="s">
        <v>267</v>
      </c>
      <c r="BK5" s="136">
        <f>B17</f>
        <v>1</v>
      </c>
      <c r="BL5" s="52" t="s">
        <v>344</v>
      </c>
      <c r="BM5" s="52" t="s">
        <v>267</v>
      </c>
      <c r="BN5" s="136">
        <f>B17</f>
        <v>1</v>
      </c>
      <c r="BO5" s="52" t="s">
        <v>344</v>
      </c>
      <c r="BP5" s="52" t="s">
        <v>267</v>
      </c>
      <c r="BQ5" s="136">
        <f>B17</f>
        <v>1</v>
      </c>
      <c r="BR5" s="52" t="s">
        <v>344</v>
      </c>
      <c r="BS5" s="52" t="s">
        <v>267</v>
      </c>
      <c r="BT5" s="136">
        <f>B17</f>
        <v>1</v>
      </c>
      <c r="BU5" s="52" t="s">
        <v>344</v>
      </c>
      <c r="BV5" s="83" t="s">
        <v>267</v>
      </c>
      <c r="BW5" s="136">
        <f>B17</f>
        <v>1</v>
      </c>
      <c r="BX5" s="52" t="s">
        <v>344</v>
      </c>
      <c r="BY5" s="83" t="s">
        <v>267</v>
      </c>
      <c r="BZ5" s="136">
        <f>B17</f>
        <v>1</v>
      </c>
      <c r="CA5" s="52" t="s">
        <v>344</v>
      </c>
      <c r="CB5" s="52" t="s">
        <v>267</v>
      </c>
      <c r="CC5" s="136">
        <f>B17</f>
        <v>1</v>
      </c>
      <c r="CD5" s="52" t="s">
        <v>344</v>
      </c>
      <c r="CE5" s="52" t="s">
        <v>267</v>
      </c>
      <c r="CF5" s="136">
        <f>B17</f>
        <v>1</v>
      </c>
      <c r="CG5" s="52" t="s">
        <v>344</v>
      </c>
      <c r="CH5" s="52" t="s">
        <v>267</v>
      </c>
      <c r="CI5" s="136">
        <f>B17</f>
        <v>1</v>
      </c>
      <c r="CJ5" s="52" t="s">
        <v>344</v>
      </c>
      <c r="CK5" s="52" t="s">
        <v>267</v>
      </c>
      <c r="CL5" s="136">
        <f>B17</f>
        <v>1</v>
      </c>
      <c r="CM5" s="52" t="s">
        <v>344</v>
      </c>
      <c r="CN5" s="83" t="s">
        <v>228</v>
      </c>
      <c r="CO5" s="136">
        <f>B42</f>
        <v>2.7</v>
      </c>
      <c r="CP5" s="52" t="s">
        <v>268</v>
      </c>
      <c r="CQ5" s="83" t="s">
        <v>228</v>
      </c>
      <c r="CR5" s="136">
        <f>CO5</f>
        <v>2.7</v>
      </c>
      <c r="CS5" s="52" t="s">
        <v>268</v>
      </c>
      <c r="CT5" s="83" t="s">
        <v>267</v>
      </c>
      <c r="CU5" s="136">
        <f>B17</f>
        <v>1</v>
      </c>
      <c r="CV5" s="52" t="s">
        <v>344</v>
      </c>
      <c r="CW5" s="52" t="s">
        <v>267</v>
      </c>
      <c r="CX5" s="136">
        <f>B17</f>
        <v>1</v>
      </c>
      <c r="CY5" s="52" t="s">
        <v>344</v>
      </c>
      <c r="CZ5" s="83" t="s">
        <v>267</v>
      </c>
      <c r="DA5" s="136">
        <f>B17</f>
        <v>1</v>
      </c>
      <c r="DB5" s="52" t="s">
        <v>344</v>
      </c>
      <c r="DC5" s="83" t="s">
        <v>267</v>
      </c>
      <c r="DD5" s="136">
        <f>B17</f>
        <v>1</v>
      </c>
      <c r="DE5" s="52" t="s">
        <v>344</v>
      </c>
      <c r="DF5" s="52" t="s">
        <v>17</v>
      </c>
      <c r="DG5" s="137">
        <f>(DG8*DG9*DG10*((1-EXP(-DG11*DG12))))/(DG13*DG11)</f>
        <v>0.66271991443607436</v>
      </c>
      <c r="DH5" s="52" t="s">
        <v>18</v>
      </c>
      <c r="DI5" s="83" t="s">
        <v>19</v>
      </c>
      <c r="DJ5" s="161">
        <f>DJ7</f>
        <v>2.5229999999999999E-2</v>
      </c>
      <c r="DK5" s="83"/>
      <c r="DL5" s="83" t="s">
        <v>19</v>
      </c>
      <c r="DM5" s="161">
        <f>DM7</f>
        <v>2.5229999999999999E-2</v>
      </c>
      <c r="DO5" s="52" t="s">
        <v>17</v>
      </c>
      <c r="DP5" s="137">
        <f>(DP8*DP9*DP10*((1-EXP(-DP11*DP12))))/(DP13*DP11)</f>
        <v>0.90188194353411644</v>
      </c>
      <c r="DQ5" s="52" t="s">
        <v>18</v>
      </c>
      <c r="DR5" s="83" t="s">
        <v>267</v>
      </c>
      <c r="DS5" s="136">
        <f>B17</f>
        <v>1</v>
      </c>
      <c r="DT5" s="52" t="s">
        <v>344</v>
      </c>
      <c r="DU5" s="83" t="s">
        <v>239</v>
      </c>
      <c r="DV5" s="169">
        <f>B36</f>
        <v>4.5999999999999999E-3</v>
      </c>
      <c r="DW5" s="52" t="s">
        <v>601</v>
      </c>
      <c r="DX5" s="83" t="s">
        <v>20</v>
      </c>
      <c r="DY5" s="161">
        <f>DY7</f>
        <v>2.9000000000000001E-2</v>
      </c>
      <c r="DZ5" s="83"/>
      <c r="EA5" s="83" t="s">
        <v>20</v>
      </c>
      <c r="EB5" s="161">
        <f>EB7</f>
        <v>2.9000000000000001E-2</v>
      </c>
      <c r="EC5" s="84"/>
      <c r="ED5" s="83" t="s">
        <v>20</v>
      </c>
      <c r="EE5" s="161">
        <f>EE7</f>
        <v>2.9000000000000001E-2</v>
      </c>
      <c r="EF5" s="84"/>
      <c r="EG5" s="83" t="s">
        <v>267</v>
      </c>
      <c r="EH5" s="136">
        <f>B17</f>
        <v>1</v>
      </c>
      <c r="EI5" s="52" t="s">
        <v>344</v>
      </c>
      <c r="EJ5" s="83" t="s">
        <v>236</v>
      </c>
      <c r="EK5" s="169">
        <f>B37</f>
        <v>2.1999999999999999E-2</v>
      </c>
      <c r="EL5" s="52" t="s">
        <v>388</v>
      </c>
      <c r="EM5" s="83" t="s">
        <v>20</v>
      </c>
      <c r="EN5" s="161">
        <f>EN7</f>
        <v>2.9000000000000001E-2</v>
      </c>
      <c r="EO5" s="83"/>
      <c r="EP5" s="83" t="s">
        <v>20</v>
      </c>
      <c r="EQ5" s="161">
        <f>EQ7</f>
        <v>2.9000000000000001E-2</v>
      </c>
      <c r="ER5" s="84"/>
      <c r="ES5" s="83" t="s">
        <v>20</v>
      </c>
      <c r="ET5" s="161">
        <f>ET7</f>
        <v>2.9000000000000001E-2</v>
      </c>
      <c r="EU5" s="84"/>
      <c r="EV5" s="83" t="s">
        <v>267</v>
      </c>
      <c r="EW5" s="136">
        <f>B17</f>
        <v>1</v>
      </c>
      <c r="EX5" s="52" t="s">
        <v>344</v>
      </c>
      <c r="EY5" s="83" t="s">
        <v>171</v>
      </c>
      <c r="EZ5" s="169">
        <f>B39</f>
        <v>0.4</v>
      </c>
      <c r="FA5" s="52" t="s">
        <v>388</v>
      </c>
      <c r="FB5" s="83" t="s">
        <v>20</v>
      </c>
      <c r="FC5" s="161">
        <f>FC7</f>
        <v>2.9000000000000001E-2</v>
      </c>
      <c r="FD5" s="83"/>
      <c r="FE5" s="83" t="s">
        <v>20</v>
      </c>
      <c r="FF5" s="161">
        <f>FF7</f>
        <v>2.9000000000000001E-2</v>
      </c>
      <c r="FG5" s="83"/>
      <c r="FH5" s="83" t="s">
        <v>20</v>
      </c>
      <c r="FI5" s="161">
        <f>FI7</f>
        <v>2.9000000000000001E-2</v>
      </c>
      <c r="FJ5" s="84"/>
      <c r="FK5" s="83" t="s">
        <v>267</v>
      </c>
      <c r="FL5" s="136">
        <f>B17</f>
        <v>1</v>
      </c>
      <c r="FM5" s="52" t="s">
        <v>344</v>
      </c>
      <c r="FN5" s="83" t="s">
        <v>105</v>
      </c>
      <c r="FO5" s="161">
        <f>B35</f>
        <v>2500</v>
      </c>
      <c r="FP5" s="83" t="s">
        <v>18</v>
      </c>
      <c r="FQ5" s="83" t="s">
        <v>105</v>
      </c>
      <c r="FR5" s="161">
        <f>B35</f>
        <v>2500</v>
      </c>
      <c r="FS5" s="83" t="s">
        <v>18</v>
      </c>
      <c r="FT5" s="83" t="s">
        <v>105</v>
      </c>
      <c r="FU5" s="161">
        <f>B35</f>
        <v>2500</v>
      </c>
      <c r="FV5" s="83" t="s">
        <v>18</v>
      </c>
      <c r="FW5" s="83" t="s">
        <v>156</v>
      </c>
      <c r="FX5" s="161">
        <f>B45</f>
        <v>10</v>
      </c>
      <c r="FY5" s="88" t="s">
        <v>18</v>
      </c>
      <c r="FZ5" s="83" t="s">
        <v>267</v>
      </c>
      <c r="GA5" s="136">
        <f>B17</f>
        <v>1</v>
      </c>
      <c r="GB5" s="52" t="s">
        <v>344</v>
      </c>
      <c r="GC5" s="83" t="s">
        <v>237</v>
      </c>
      <c r="GD5" s="169">
        <f>B38</f>
        <v>2.7</v>
      </c>
      <c r="GE5" s="52" t="s">
        <v>388</v>
      </c>
      <c r="GF5" s="83" t="s">
        <v>20</v>
      </c>
      <c r="GG5" s="161">
        <f>GG7</f>
        <v>2.9000000000000001E-2</v>
      </c>
      <c r="GH5" s="83"/>
      <c r="GI5" s="83" t="s">
        <v>20</v>
      </c>
      <c r="GJ5" s="161">
        <f>GJ7</f>
        <v>2.9000000000000001E-2</v>
      </c>
      <c r="GK5" s="83"/>
      <c r="GL5" s="83" t="s">
        <v>20</v>
      </c>
      <c r="GM5" s="161">
        <f>GM7</f>
        <v>2.9000000000000001E-2</v>
      </c>
      <c r="GN5" s="84"/>
      <c r="GO5" s="83" t="s">
        <v>267</v>
      </c>
      <c r="GP5" s="136">
        <f>B17</f>
        <v>1</v>
      </c>
      <c r="GQ5" s="52" t="s">
        <v>344</v>
      </c>
      <c r="GR5" s="83" t="s">
        <v>238</v>
      </c>
      <c r="GS5" s="169">
        <f>B40</f>
        <v>0.2</v>
      </c>
      <c r="GT5" s="52" t="s">
        <v>388</v>
      </c>
      <c r="GU5" s="83" t="s">
        <v>20</v>
      </c>
      <c r="GV5" s="161">
        <f>GV7</f>
        <v>2.9000000000000001E-2</v>
      </c>
      <c r="GW5" s="83"/>
      <c r="GX5" s="83" t="s">
        <v>20</v>
      </c>
      <c r="GY5" s="161">
        <f>GY7</f>
        <v>2.9000000000000001E-2</v>
      </c>
      <c r="GZ5" s="83"/>
      <c r="HA5" s="83" t="s">
        <v>20</v>
      </c>
      <c r="HB5" s="161">
        <f>HB7</f>
        <v>2.9000000000000001E-2</v>
      </c>
      <c r="HC5" s="84"/>
      <c r="HD5" s="89" t="s">
        <v>21</v>
      </c>
      <c r="HE5" s="175">
        <f>B46</f>
        <v>200</v>
      </c>
      <c r="HF5" s="83" t="s">
        <v>11</v>
      </c>
    </row>
    <row r="6" spans="1:214" ht="13.5" thickTop="1" x14ac:dyDescent="0.2">
      <c r="A6" s="114" t="s">
        <v>339</v>
      </c>
      <c r="B6" s="228">
        <v>4.3299999999999998E-2</v>
      </c>
      <c r="C6" s="115"/>
      <c r="D6" s="83" t="s">
        <v>22</v>
      </c>
      <c r="E6" s="137">
        <f>0.693/E7</f>
        <v>2.2972045705420805E-2</v>
      </c>
      <c r="G6" s="83" t="s">
        <v>248</v>
      </c>
      <c r="H6" s="136">
        <f>B19</f>
        <v>4.9109405245458101E-5</v>
      </c>
      <c r="I6" s="83" t="s">
        <v>259</v>
      </c>
      <c r="J6" s="83" t="s">
        <v>249</v>
      </c>
      <c r="K6" s="136">
        <f>B20</f>
        <v>4.9109405245458101E-5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2.2972045705420805E-2</v>
      </c>
      <c r="BV6" s="83" t="s">
        <v>248</v>
      </c>
      <c r="BW6" s="136">
        <f>B19</f>
        <v>4.9109405245458101E-5</v>
      </c>
      <c r="BX6" s="83" t="s">
        <v>259</v>
      </c>
      <c r="BY6" s="83" t="s">
        <v>249</v>
      </c>
      <c r="BZ6" s="136">
        <f>B20</f>
        <v>4.9109405245458101E-5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B29</f>
        <v>4.9109405245458101E-5</v>
      </c>
      <c r="CM6" s="91" t="s">
        <v>10</v>
      </c>
      <c r="CN6" s="84" t="s">
        <v>20</v>
      </c>
      <c r="CO6" s="139">
        <f>CO8</f>
        <v>2.9000000000000001E-2</v>
      </c>
      <c r="CQ6" s="84" t="s">
        <v>169</v>
      </c>
      <c r="CR6" s="162">
        <f>B133</f>
        <v>2</v>
      </c>
      <c r="CS6" s="52" t="s">
        <v>28</v>
      </c>
      <c r="CT6" s="83" t="s">
        <v>249</v>
      </c>
      <c r="CU6" s="136">
        <f>B20</f>
        <v>4.9109405245458101E-5</v>
      </c>
      <c r="CV6" s="83" t="s">
        <v>259</v>
      </c>
      <c r="CW6" s="83" t="s">
        <v>22</v>
      </c>
      <c r="CX6" s="137">
        <f>0.693/CX7</f>
        <v>2.2972045705420805E-2</v>
      </c>
      <c r="CZ6" s="83" t="s">
        <v>248</v>
      </c>
      <c r="DA6" s="136">
        <f>B19</f>
        <v>4.9109405245458101E-5</v>
      </c>
      <c r="DB6" s="83" t="s">
        <v>259</v>
      </c>
      <c r="DC6" s="83" t="s">
        <v>258</v>
      </c>
      <c r="DD6" s="136">
        <f>B29</f>
        <v>4.9109405245458101E-5</v>
      </c>
      <c r="DE6" s="92" t="s">
        <v>259</v>
      </c>
      <c r="DF6" s="52" t="s">
        <v>25</v>
      </c>
      <c r="DG6" s="137">
        <f>(DG8*DG9*DG14*((1-EXP(-DG11*DG12))))/(DG13*DG11)</f>
        <v>6.8294561138874093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B29</f>
        <v>4.9109405245458101E-5</v>
      </c>
      <c r="DT6" s="83" t="s">
        <v>259</v>
      </c>
      <c r="DU6" s="83" t="s">
        <v>27</v>
      </c>
      <c r="DV6" s="142">
        <f>B199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B29</f>
        <v>4.9109405245458101E-5</v>
      </c>
      <c r="EI6" s="83" t="s">
        <v>259</v>
      </c>
      <c r="EJ6" s="83" t="s">
        <v>29</v>
      </c>
      <c r="EK6" s="142">
        <f>B205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B29</f>
        <v>4.9109405245458101E-5</v>
      </c>
      <c r="EX6" s="83" t="s">
        <v>259</v>
      </c>
      <c r="EY6" s="83" t="s">
        <v>148</v>
      </c>
      <c r="EZ6" s="164">
        <f>B210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B29</f>
        <v>4.9109405245458101E-5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B45</f>
        <v>10</v>
      </c>
      <c r="FS6" s="83" t="s">
        <v>18</v>
      </c>
      <c r="FT6" s="83" t="s">
        <v>156</v>
      </c>
      <c r="FU6" s="161">
        <f>B45</f>
        <v>10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B29</f>
        <v>4.9109405245458101E-5</v>
      </c>
      <c r="GB6" s="83" t="s">
        <v>259</v>
      </c>
      <c r="GC6" s="83" t="s">
        <v>485</v>
      </c>
      <c r="GD6" s="164">
        <f>B215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B29</f>
        <v>4.9109405245458101E-5</v>
      </c>
      <c r="GQ6" s="83" t="s">
        <v>259</v>
      </c>
      <c r="GR6" s="83" t="s">
        <v>150</v>
      </c>
      <c r="GS6" s="142">
        <f>B220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H3</f>
        <v>1.7520408602487061</v>
      </c>
      <c r="HF6" s="83" t="s">
        <v>11</v>
      </c>
    </row>
    <row r="7" spans="1:214" x14ac:dyDescent="0.2">
      <c r="A7" s="116" t="s">
        <v>242</v>
      </c>
      <c r="B7" s="229">
        <v>0.65300000000000002</v>
      </c>
      <c r="C7" s="117"/>
      <c r="D7" s="91" t="s">
        <v>231</v>
      </c>
      <c r="E7" s="136">
        <f>B30</f>
        <v>30.167100000000001</v>
      </c>
      <c r="F7" s="52" t="s">
        <v>60</v>
      </c>
      <c r="G7" s="83" t="s">
        <v>247</v>
      </c>
      <c r="H7" s="139">
        <f>B18</f>
        <v>1.5417408700798101E-4</v>
      </c>
      <c r="I7" s="84" t="s">
        <v>259</v>
      </c>
      <c r="J7" s="83" t="s">
        <v>247</v>
      </c>
      <c r="K7" s="136">
        <f>B18</f>
        <v>1.5417408700798101E-4</v>
      </c>
      <c r="L7" s="84" t="s">
        <v>259</v>
      </c>
      <c r="M7" s="83" t="s">
        <v>22</v>
      </c>
      <c r="N7" s="137">
        <f>0.693/N8</f>
        <v>2.2972045705420805E-2</v>
      </c>
      <c r="P7" s="83" t="s">
        <v>22</v>
      </c>
      <c r="Q7" s="137">
        <f>0.693/Q8</f>
        <v>2.2972045705420805E-2</v>
      </c>
      <c r="S7" s="83" t="s">
        <v>22</v>
      </c>
      <c r="T7" s="137">
        <f>0.693/T8</f>
        <v>2.2972045705420805E-2</v>
      </c>
      <c r="V7" s="83" t="s">
        <v>22</v>
      </c>
      <c r="W7" s="137">
        <f>0.693/W8</f>
        <v>2.2972045705420805E-2</v>
      </c>
      <c r="Y7" s="83" t="s">
        <v>22</v>
      </c>
      <c r="Z7" s="137">
        <f>0.693/Z8</f>
        <v>2.2972045705420805E-2</v>
      </c>
      <c r="AB7" s="83" t="s">
        <v>425</v>
      </c>
      <c r="AC7" s="150">
        <f>B227</f>
        <v>125</v>
      </c>
      <c r="AD7" s="150">
        <f>B237</f>
        <v>125</v>
      </c>
      <c r="AE7" s="150">
        <f>B247</f>
        <v>125</v>
      </c>
      <c r="AF7" s="150">
        <f>B257</f>
        <v>125</v>
      </c>
      <c r="AG7" s="150">
        <f>B269</f>
        <v>125</v>
      </c>
      <c r="AH7" s="83" t="s">
        <v>24</v>
      </c>
      <c r="AI7" s="83" t="s">
        <v>22</v>
      </c>
      <c r="AJ7" s="137">
        <f>0.693/AJ8</f>
        <v>2.2972045705420805E-2</v>
      </c>
      <c r="AL7" s="83" t="s">
        <v>22</v>
      </c>
      <c r="AM7" s="137">
        <f>0.693/AM8</f>
        <v>2.2972045705420805E-2</v>
      </c>
      <c r="AO7" s="83" t="s">
        <v>22</v>
      </c>
      <c r="AP7" s="137">
        <f>0.693/AP8</f>
        <v>2.2972045705420805E-2</v>
      </c>
      <c r="AR7" s="83" t="s">
        <v>22</v>
      </c>
      <c r="AS7" s="137">
        <f>0.693/AS8</f>
        <v>2.2972045705420805E-2</v>
      </c>
      <c r="AU7" s="83" t="s">
        <v>22</v>
      </c>
      <c r="AV7" s="137">
        <f>0.693/AV8</f>
        <v>2.2972045705420805E-2</v>
      </c>
      <c r="AX7" s="83" t="s">
        <v>22</v>
      </c>
      <c r="AY7" s="137">
        <f>0.693/AY8</f>
        <v>2.2972045705420805E-2</v>
      </c>
      <c r="BA7" s="83" t="s">
        <v>22</v>
      </c>
      <c r="BB7" s="137">
        <f>0.693/BB8</f>
        <v>2.2972045705420805E-2</v>
      </c>
      <c r="BD7" s="83" t="s">
        <v>22</v>
      </c>
      <c r="BE7" s="137">
        <f>0.693/BE8</f>
        <v>2.2972045705420805E-2</v>
      </c>
      <c r="BG7" s="83" t="s">
        <v>22</v>
      </c>
      <c r="BH7" s="137">
        <f>0.693/BH8</f>
        <v>2.2972045705420805E-2</v>
      </c>
      <c r="BJ7" s="83" t="s">
        <v>22</v>
      </c>
      <c r="BK7" s="137">
        <f>0.693/BK8</f>
        <v>2.2972045705420805E-2</v>
      </c>
      <c r="BM7" s="83" t="s">
        <v>22</v>
      </c>
      <c r="BN7" s="137">
        <f>0.693/BN8</f>
        <v>2.2972045705420805E-2</v>
      </c>
      <c r="BP7" s="83" t="s">
        <v>22</v>
      </c>
      <c r="BQ7" s="137">
        <f>0.693/BQ8</f>
        <v>2.2972045705420805E-2</v>
      </c>
      <c r="BS7" s="91" t="s">
        <v>231</v>
      </c>
      <c r="BT7" s="136">
        <f>B30</f>
        <v>30.167100000000001</v>
      </c>
      <c r="BU7" s="52" t="s">
        <v>60</v>
      </c>
      <c r="BV7" s="83" t="s">
        <v>247</v>
      </c>
      <c r="BW7" s="139">
        <f>B18</f>
        <v>1.5417408700798101E-4</v>
      </c>
      <c r="BX7" s="84" t="s">
        <v>259</v>
      </c>
      <c r="BY7" s="83" t="s">
        <v>247</v>
      </c>
      <c r="BZ7" s="139">
        <f>B18</f>
        <v>1.5417408700798101E-4</v>
      </c>
      <c r="CA7" s="84" t="s">
        <v>259</v>
      </c>
      <c r="CB7" s="83" t="s">
        <v>22</v>
      </c>
      <c r="CC7" s="137">
        <f>0.693/CC8</f>
        <v>2.2972045705420805E-2</v>
      </c>
      <c r="CE7" s="83" t="s">
        <v>22</v>
      </c>
      <c r="CF7" s="137">
        <f>0.693/CF8</f>
        <v>2.2972045705420805E-2</v>
      </c>
      <c r="CH7" s="83" t="s">
        <v>22</v>
      </c>
      <c r="CI7" s="137">
        <f>0.693/CI8</f>
        <v>2.2972045705420805E-2</v>
      </c>
      <c r="CK7" s="52" t="s">
        <v>140</v>
      </c>
      <c r="CL7" s="138">
        <f>B113</f>
        <v>55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B18</f>
        <v>1.5417408700798101E-4</v>
      </c>
      <c r="CV7" s="84" t="s">
        <v>259</v>
      </c>
      <c r="CW7" s="91" t="s">
        <v>231</v>
      </c>
      <c r="CX7" s="136">
        <f>B30</f>
        <v>30.167100000000001</v>
      </c>
      <c r="CY7" s="52" t="s">
        <v>60</v>
      </c>
      <c r="CZ7" s="84" t="s">
        <v>247</v>
      </c>
      <c r="DA7" s="139">
        <f>B18</f>
        <v>1.5417408700798101E-4</v>
      </c>
      <c r="DB7" s="84" t="s">
        <v>259</v>
      </c>
      <c r="DC7" s="83" t="s">
        <v>260</v>
      </c>
      <c r="DD7" s="166">
        <f>(DD5)/(DD6*(DD8+DD11)*DD19)</f>
        <v>1.2341029239336141</v>
      </c>
      <c r="DE7" s="92" t="s">
        <v>10</v>
      </c>
      <c r="DF7" s="52" t="s">
        <v>31</v>
      </c>
      <c r="DG7" s="137">
        <f>(DG8*DG9*DG15*DG21*((1-EXP(-DG16*DG17))))/(DG18*DG16)</f>
        <v>3.6385364930662121</v>
      </c>
      <c r="DH7" s="52" t="s">
        <v>18</v>
      </c>
      <c r="DI7" s="83" t="s">
        <v>32</v>
      </c>
      <c r="DJ7" s="136">
        <f>B43</f>
        <v>2.5229999999999999E-2</v>
      </c>
      <c r="DL7" s="83" t="s">
        <v>32</v>
      </c>
      <c r="DM7" s="136">
        <f>B43</f>
        <v>2.5229999999999999E-2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DS5/(DS6*DS8*DS15)</f>
        <v>2.4682058478672282</v>
      </c>
      <c r="DT7" s="52" t="s">
        <v>10</v>
      </c>
      <c r="DV7" s="138"/>
      <c r="DX7" s="83" t="s">
        <v>33</v>
      </c>
      <c r="DY7" s="136">
        <f>B44</f>
        <v>2.9000000000000001E-2</v>
      </c>
      <c r="EA7" s="83" t="s">
        <v>33</v>
      </c>
      <c r="EB7" s="136">
        <f>B44</f>
        <v>2.9000000000000001E-2</v>
      </c>
      <c r="EC7" s="84"/>
      <c r="ED7" s="83" t="s">
        <v>33</v>
      </c>
      <c r="EE7" s="136">
        <f>B44</f>
        <v>2.9000000000000001E-2</v>
      </c>
      <c r="EF7" s="84"/>
      <c r="EG7" s="83" t="s">
        <v>260</v>
      </c>
      <c r="EH7" s="168">
        <f>EH5/(EH6*EH8*EH15)</f>
        <v>2.4682058478672282</v>
      </c>
      <c r="EI7" s="52" t="s">
        <v>10</v>
      </c>
      <c r="EM7" s="83" t="s">
        <v>33</v>
      </c>
      <c r="EN7" s="136">
        <f>B44</f>
        <v>2.9000000000000001E-2</v>
      </c>
      <c r="EP7" s="83" t="s">
        <v>33</v>
      </c>
      <c r="EQ7" s="136">
        <f>B44</f>
        <v>2.9000000000000001E-2</v>
      </c>
      <c r="ER7" s="84"/>
      <c r="ES7" s="83" t="s">
        <v>33</v>
      </c>
      <c r="ET7" s="136">
        <f>B44</f>
        <v>2.9000000000000001E-2</v>
      </c>
      <c r="EU7" s="84"/>
      <c r="EV7" s="83" t="s">
        <v>260</v>
      </c>
      <c r="EW7" s="168">
        <f>EW5/(EW6*EW8*EW15)</f>
        <v>2.4682058478672282</v>
      </c>
      <c r="EX7" s="52" t="s">
        <v>10</v>
      </c>
      <c r="EY7" s="83"/>
      <c r="EZ7" s="142">
        <v>1000</v>
      </c>
      <c r="FA7" s="83" t="s">
        <v>132</v>
      </c>
      <c r="FB7" s="83" t="s">
        <v>33</v>
      </c>
      <c r="FC7" s="161">
        <f>B44</f>
        <v>2.9000000000000001E-2</v>
      </c>
      <c r="FD7" s="83"/>
      <c r="FE7" s="83" t="s">
        <v>33</v>
      </c>
      <c r="FF7" s="161">
        <f>B44</f>
        <v>2.9000000000000001E-2</v>
      </c>
      <c r="FG7" s="83"/>
      <c r="FH7" s="83" t="s">
        <v>33</v>
      </c>
      <c r="FI7" s="161">
        <f>B44</f>
        <v>2.9000000000000001E-2</v>
      </c>
      <c r="FJ7" s="84"/>
      <c r="FK7" s="83" t="s">
        <v>260</v>
      </c>
      <c r="FL7" s="168">
        <f>FL5/(FL6*FL8*FL15)</f>
        <v>2.4682058478672282</v>
      </c>
      <c r="FM7" s="52" t="s">
        <v>10</v>
      </c>
      <c r="FN7" s="83"/>
      <c r="FQ7" s="52" t="s">
        <v>350</v>
      </c>
      <c r="FR7" s="164">
        <f>B168</f>
        <v>1</v>
      </c>
      <c r="FT7" s="83"/>
      <c r="FU7" s="83"/>
      <c r="FV7" s="83"/>
      <c r="FZ7" s="83" t="s">
        <v>260</v>
      </c>
      <c r="GA7" s="168">
        <f>GA5/(GA6*GA8*GA15)</f>
        <v>2.4682058478672282</v>
      </c>
      <c r="GB7" s="52" t="s">
        <v>10</v>
      </c>
      <c r="GC7" s="83"/>
      <c r="GD7" s="142">
        <v>1000</v>
      </c>
      <c r="GE7" s="83" t="s">
        <v>132</v>
      </c>
      <c r="GF7" s="83" t="s">
        <v>33</v>
      </c>
      <c r="GG7" s="161">
        <f>B44</f>
        <v>2.9000000000000001E-2</v>
      </c>
      <c r="GH7" s="83"/>
      <c r="GI7" s="83" t="s">
        <v>33</v>
      </c>
      <c r="GJ7" s="161">
        <f>B44</f>
        <v>2.9000000000000001E-2</v>
      </c>
      <c r="GK7" s="83"/>
      <c r="GL7" s="83" t="s">
        <v>33</v>
      </c>
      <c r="GM7" s="161">
        <f>B44</f>
        <v>2.9000000000000001E-2</v>
      </c>
      <c r="GN7" s="84"/>
      <c r="GO7" s="83" t="s">
        <v>260</v>
      </c>
      <c r="GP7" s="168">
        <f>GP5/(GP6*GP8*GP14)</f>
        <v>2.4682058478672282</v>
      </c>
      <c r="GQ7" s="52" t="s">
        <v>10</v>
      </c>
      <c r="GR7" s="88"/>
      <c r="GS7" s="142">
        <v>1000</v>
      </c>
      <c r="GT7" s="83" t="s">
        <v>132</v>
      </c>
      <c r="GU7" s="83" t="s">
        <v>33</v>
      </c>
      <c r="GV7" s="161">
        <f>B44</f>
        <v>2.9000000000000001E-2</v>
      </c>
      <c r="GW7" s="83"/>
      <c r="GX7" s="83" t="s">
        <v>33</v>
      </c>
      <c r="GY7" s="161">
        <f>B44</f>
        <v>2.9000000000000001E-2</v>
      </c>
      <c r="GZ7" s="83"/>
      <c r="HA7" s="83" t="s">
        <v>33</v>
      </c>
      <c r="HB7" s="161">
        <f>B44</f>
        <v>2.9000000000000001E-2</v>
      </c>
      <c r="HC7" s="84"/>
      <c r="HD7" s="83" t="s">
        <v>22</v>
      </c>
      <c r="HE7" s="137">
        <f>0.693/HE9</f>
        <v>2.2972045705420805E-2</v>
      </c>
    </row>
    <row r="8" spans="1:214" x14ac:dyDescent="0.2">
      <c r="A8" s="116" t="s">
        <v>340</v>
      </c>
      <c r="B8" s="229">
        <v>5.0099999999999999E-2</v>
      </c>
      <c r="C8" s="117"/>
      <c r="D8" s="52" t="s">
        <v>382</v>
      </c>
      <c r="E8" s="138">
        <f>B68</f>
        <v>150</v>
      </c>
      <c r="F8" s="52" t="s">
        <v>24</v>
      </c>
      <c r="G8" s="91" t="s">
        <v>257</v>
      </c>
      <c r="H8" s="136">
        <f>B28</f>
        <v>10.292680000000001</v>
      </c>
      <c r="I8" s="84" t="s">
        <v>259</v>
      </c>
      <c r="J8" s="83" t="s">
        <v>269</v>
      </c>
      <c r="K8" s="136">
        <f>B22</f>
        <v>3.19428</v>
      </c>
      <c r="L8" s="83" t="s">
        <v>351</v>
      </c>
      <c r="M8" s="91" t="s">
        <v>231</v>
      </c>
      <c r="N8" s="136">
        <f>B30</f>
        <v>30.167100000000001</v>
      </c>
      <c r="O8" s="52" t="s">
        <v>60</v>
      </c>
      <c r="P8" s="91" t="s">
        <v>231</v>
      </c>
      <c r="Q8" s="136">
        <f>B30</f>
        <v>30.167100000000001</v>
      </c>
      <c r="R8" s="52" t="s">
        <v>60</v>
      </c>
      <c r="S8" s="91" t="s">
        <v>231</v>
      </c>
      <c r="T8" s="136">
        <f>B30</f>
        <v>30.167100000000001</v>
      </c>
      <c r="U8" s="52" t="s">
        <v>60</v>
      </c>
      <c r="V8" s="91" t="s">
        <v>231</v>
      </c>
      <c r="W8" s="136">
        <f>B30</f>
        <v>30.167100000000001</v>
      </c>
      <c r="X8" s="52" t="s">
        <v>60</v>
      </c>
      <c r="Y8" s="91" t="s">
        <v>231</v>
      </c>
      <c r="Z8" s="136">
        <f>B30</f>
        <v>30.167100000000001</v>
      </c>
      <c r="AA8" s="52" t="s">
        <v>60</v>
      </c>
      <c r="AB8" s="83" t="s">
        <v>249</v>
      </c>
      <c r="AC8" s="136">
        <f>B21</f>
        <v>5.0319999999999999E-5</v>
      </c>
      <c r="AD8" s="136">
        <f>B21</f>
        <v>5.0319999999999999E-5</v>
      </c>
      <c r="AE8" s="136">
        <f>B21</f>
        <v>5.0319999999999999E-5</v>
      </c>
      <c r="AF8" s="136">
        <f>B21</f>
        <v>5.0319999999999999E-5</v>
      </c>
      <c r="AG8" s="136">
        <f>B21</f>
        <v>5.0319999999999999E-5</v>
      </c>
      <c r="AH8" s="83" t="s">
        <v>259</v>
      </c>
      <c r="AI8" s="91" t="s">
        <v>231</v>
      </c>
      <c r="AJ8" s="136">
        <f>B30</f>
        <v>30.167100000000001</v>
      </c>
      <c r="AK8" s="52" t="s">
        <v>60</v>
      </c>
      <c r="AL8" s="91" t="s">
        <v>231</v>
      </c>
      <c r="AM8" s="136">
        <f>B30</f>
        <v>30.167100000000001</v>
      </c>
      <c r="AN8" s="52" t="s">
        <v>60</v>
      </c>
      <c r="AO8" s="91" t="s">
        <v>231</v>
      </c>
      <c r="AP8" s="136">
        <f>B30</f>
        <v>30.167100000000001</v>
      </c>
      <c r="AQ8" s="52" t="s">
        <v>60</v>
      </c>
      <c r="AR8" s="91" t="s">
        <v>231</v>
      </c>
      <c r="AS8" s="136">
        <f>B30</f>
        <v>30.167100000000001</v>
      </c>
      <c r="AT8" s="52" t="s">
        <v>60</v>
      </c>
      <c r="AU8" s="91" t="s">
        <v>231</v>
      </c>
      <c r="AV8" s="136">
        <f>B30</f>
        <v>30.167100000000001</v>
      </c>
      <c r="AW8" s="52" t="s">
        <v>60</v>
      </c>
      <c r="AX8" s="91" t="s">
        <v>231</v>
      </c>
      <c r="AY8" s="136">
        <f>B30</f>
        <v>30.167100000000001</v>
      </c>
      <c r="AZ8" s="52" t="s">
        <v>60</v>
      </c>
      <c r="BA8" s="91" t="s">
        <v>231</v>
      </c>
      <c r="BB8" s="136">
        <f>B30</f>
        <v>30.167100000000001</v>
      </c>
      <c r="BC8" s="52" t="s">
        <v>60</v>
      </c>
      <c r="BD8" s="91" t="s">
        <v>231</v>
      </c>
      <c r="BE8" s="136">
        <f>B30</f>
        <v>30.167100000000001</v>
      </c>
      <c r="BF8" s="52" t="s">
        <v>60</v>
      </c>
      <c r="BG8" s="91" t="s">
        <v>231</v>
      </c>
      <c r="BH8" s="136">
        <f>B30</f>
        <v>30.167100000000001</v>
      </c>
      <c r="BI8" s="52" t="s">
        <v>60</v>
      </c>
      <c r="BJ8" s="91" t="s">
        <v>231</v>
      </c>
      <c r="BK8" s="136">
        <f>B30</f>
        <v>30.167100000000001</v>
      </c>
      <c r="BL8" s="52" t="s">
        <v>60</v>
      </c>
      <c r="BM8" s="91" t="s">
        <v>231</v>
      </c>
      <c r="BN8" s="136">
        <f>B30</f>
        <v>30.167100000000001</v>
      </c>
      <c r="BO8" s="52" t="s">
        <v>60</v>
      </c>
      <c r="BP8" s="91" t="s">
        <v>231</v>
      </c>
      <c r="BQ8" s="136">
        <f>B30</f>
        <v>30.167100000000001</v>
      </c>
      <c r="BR8" s="52" t="s">
        <v>60</v>
      </c>
      <c r="BS8" s="52" t="s">
        <v>140</v>
      </c>
      <c r="BT8" s="138">
        <f>B113</f>
        <v>55</v>
      </c>
      <c r="BU8" s="52" t="s">
        <v>24</v>
      </c>
      <c r="BV8" s="91" t="s">
        <v>257</v>
      </c>
      <c r="BW8" s="136">
        <f>B28</f>
        <v>10.292680000000001</v>
      </c>
      <c r="BX8" s="84" t="s">
        <v>259</v>
      </c>
      <c r="BY8" s="83" t="s">
        <v>269</v>
      </c>
      <c r="BZ8" s="136">
        <f>B22</f>
        <v>3.19428</v>
      </c>
      <c r="CA8" s="83" t="s">
        <v>351</v>
      </c>
      <c r="CB8" s="91" t="s">
        <v>231</v>
      </c>
      <c r="CC8" s="136">
        <f>B30</f>
        <v>30.167100000000001</v>
      </c>
      <c r="CD8" s="52" t="s">
        <v>60</v>
      </c>
      <c r="CE8" s="91" t="s">
        <v>231</v>
      </c>
      <c r="CF8" s="136">
        <f>B30</f>
        <v>30.167100000000001</v>
      </c>
      <c r="CG8" s="52" t="s">
        <v>60</v>
      </c>
      <c r="CH8" s="91" t="s">
        <v>231</v>
      </c>
      <c r="CI8" s="136">
        <f>B30</f>
        <v>30.167100000000001</v>
      </c>
      <c r="CJ8" s="52" t="s">
        <v>60</v>
      </c>
      <c r="CK8" s="52" t="s">
        <v>159</v>
      </c>
      <c r="CL8" s="162">
        <f>B128</f>
        <v>3</v>
      </c>
      <c r="CM8" s="52" t="s">
        <v>221</v>
      </c>
      <c r="CN8" s="84" t="s">
        <v>33</v>
      </c>
      <c r="CO8" s="136">
        <f>B44</f>
        <v>2.9000000000000001E-2</v>
      </c>
      <c r="CT8" s="83" t="s">
        <v>269</v>
      </c>
      <c r="CU8" s="136">
        <f>B22</f>
        <v>3.19428</v>
      </c>
      <c r="CV8" s="83" t="s">
        <v>351</v>
      </c>
      <c r="CW8" s="52" t="s">
        <v>362</v>
      </c>
      <c r="CX8" s="138">
        <f>B167</f>
        <v>150</v>
      </c>
      <c r="CY8" s="52" t="s">
        <v>24</v>
      </c>
      <c r="CZ8" s="83" t="s">
        <v>270</v>
      </c>
      <c r="DA8" s="165">
        <f>B28</f>
        <v>10.292680000000001</v>
      </c>
      <c r="DB8" s="83" t="s">
        <v>259</v>
      </c>
      <c r="DC8" s="83" t="s">
        <v>516</v>
      </c>
      <c r="DD8" s="149">
        <f>(DD9*DD15*DD20)+(DD10*DD14*DD21)</f>
        <v>8250</v>
      </c>
      <c r="DE8" s="92" t="s">
        <v>347</v>
      </c>
      <c r="DF8" s="83" t="s">
        <v>36</v>
      </c>
      <c r="DG8" s="138">
        <f>B189</f>
        <v>3.62</v>
      </c>
      <c r="DH8" s="52" t="s">
        <v>37</v>
      </c>
      <c r="DI8" s="83" t="s">
        <v>393</v>
      </c>
      <c r="DJ8" s="138">
        <f>B47</f>
        <v>0.26</v>
      </c>
      <c r="DL8" s="83" t="s">
        <v>393</v>
      </c>
      <c r="DM8" s="138">
        <f>B47</f>
        <v>0.26</v>
      </c>
      <c r="DO8" s="83" t="s">
        <v>36</v>
      </c>
      <c r="DP8" s="138">
        <f>B189</f>
        <v>3.62</v>
      </c>
      <c r="DQ8" s="52" t="s">
        <v>37</v>
      </c>
      <c r="DR8" s="83" t="s">
        <v>147</v>
      </c>
      <c r="DS8" s="149">
        <f>(DS11*DS9*DS17)+(DS12*DS10*DS18)</f>
        <v>8250</v>
      </c>
      <c r="DT8" s="92" t="s">
        <v>347</v>
      </c>
      <c r="DU8" s="52" t="s">
        <v>518</v>
      </c>
      <c r="DV8" s="146">
        <f>B200</f>
        <v>1.03</v>
      </c>
      <c r="DW8" s="52" t="s">
        <v>286</v>
      </c>
      <c r="DX8" s="83" t="s">
        <v>392</v>
      </c>
      <c r="DY8" s="138">
        <f>B48</f>
        <v>0.25</v>
      </c>
      <c r="EA8" s="83" t="s">
        <v>392</v>
      </c>
      <c r="EB8" s="138">
        <f>B48</f>
        <v>0.25</v>
      </c>
      <c r="EC8" s="84"/>
      <c r="ED8" s="83" t="s">
        <v>392</v>
      </c>
      <c r="EE8" s="138">
        <f>B48</f>
        <v>0.25</v>
      </c>
      <c r="EF8" s="84"/>
      <c r="EG8" s="83" t="s">
        <v>519</v>
      </c>
      <c r="EH8" s="149">
        <f>(EH11*EH9*EH17)+(EH12*EH10*EH18)</f>
        <v>8250</v>
      </c>
      <c r="EI8" s="92" t="s">
        <v>347</v>
      </c>
      <c r="EJ8" s="83"/>
      <c r="EM8" s="83" t="s">
        <v>392</v>
      </c>
      <c r="EN8" s="138">
        <f>B48</f>
        <v>0.25</v>
      </c>
      <c r="EP8" s="83" t="s">
        <v>392</v>
      </c>
      <c r="EQ8" s="138">
        <f>B48</f>
        <v>0.25</v>
      </c>
      <c r="ER8" s="84"/>
      <c r="ES8" s="83" t="s">
        <v>392</v>
      </c>
      <c r="ET8" s="138">
        <f>B48</f>
        <v>0.25</v>
      </c>
      <c r="EU8" s="84"/>
      <c r="EV8" s="83" t="s">
        <v>520</v>
      </c>
      <c r="EW8" s="149">
        <f>(EW11*EW9*EW17)+(EW12*EW10*EW18)</f>
        <v>8250</v>
      </c>
      <c r="EX8" s="92" t="s">
        <v>347</v>
      </c>
      <c r="EY8" s="83"/>
      <c r="EZ8" s="83"/>
      <c r="FA8" s="83"/>
      <c r="FB8" s="83" t="s">
        <v>392</v>
      </c>
      <c r="FC8" s="142">
        <f>B48</f>
        <v>0.25</v>
      </c>
      <c r="FD8" s="83"/>
      <c r="FE8" s="83" t="s">
        <v>392</v>
      </c>
      <c r="FF8" s="142">
        <f>B48</f>
        <v>0.25</v>
      </c>
      <c r="FG8" s="83"/>
      <c r="FH8" s="83" t="s">
        <v>392</v>
      </c>
      <c r="FI8" s="142">
        <f>B48</f>
        <v>0.25</v>
      </c>
      <c r="FJ8" s="84"/>
      <c r="FK8" s="83" t="s">
        <v>521</v>
      </c>
      <c r="FL8" s="173">
        <f>(FL9*FL11*FL17)+(FL10*FL12*FL18)</f>
        <v>8250</v>
      </c>
      <c r="FM8" s="92" t="s">
        <v>347</v>
      </c>
      <c r="FN8" s="83"/>
      <c r="FO8" s="83"/>
      <c r="FP8" s="83"/>
      <c r="FQ8" s="83" t="s">
        <v>22</v>
      </c>
      <c r="FR8" s="137">
        <f>0.693/FR9</f>
        <v>2.2972045705420805E-2</v>
      </c>
      <c r="FT8" s="83"/>
      <c r="FU8" s="83"/>
      <c r="FV8" s="83"/>
      <c r="FZ8" s="83" t="s">
        <v>522</v>
      </c>
      <c r="GA8" s="173">
        <f>(GA11*GA9*GA17)+(GA10*GA12*GA18)</f>
        <v>8250</v>
      </c>
      <c r="GB8" s="92" t="s">
        <v>347</v>
      </c>
      <c r="GC8" s="83"/>
      <c r="GD8" s="83"/>
      <c r="GE8" s="83"/>
      <c r="GF8" s="83" t="s">
        <v>392</v>
      </c>
      <c r="GG8" s="142">
        <f>B48</f>
        <v>0.25</v>
      </c>
      <c r="GH8" s="83"/>
      <c r="GI8" s="83" t="s">
        <v>392</v>
      </c>
      <c r="GJ8" s="142">
        <f>B48</f>
        <v>0.25</v>
      </c>
      <c r="GK8" s="83"/>
      <c r="GL8" s="83" t="s">
        <v>392</v>
      </c>
      <c r="GM8" s="142">
        <f>B48</f>
        <v>0.25</v>
      </c>
      <c r="GN8" s="84"/>
      <c r="GO8" s="83" t="s">
        <v>523</v>
      </c>
      <c r="GP8" s="149">
        <f>(GP9*GP11*GP16)+(GP10*GP12*GP17)</f>
        <v>8250</v>
      </c>
      <c r="GQ8" s="92" t="s">
        <v>347</v>
      </c>
      <c r="GR8" s="83"/>
      <c r="GS8" s="83"/>
      <c r="GT8" s="83"/>
      <c r="GU8" s="83" t="s">
        <v>392</v>
      </c>
      <c r="GV8" s="142">
        <f>B48</f>
        <v>0.25</v>
      </c>
      <c r="GW8" s="83"/>
      <c r="GX8" s="83" t="s">
        <v>392</v>
      </c>
      <c r="GY8" s="142">
        <f>B48</f>
        <v>0.25</v>
      </c>
      <c r="GZ8" s="83"/>
      <c r="HA8" s="83" t="s">
        <v>392</v>
      </c>
      <c r="HB8" s="142">
        <f>B48</f>
        <v>0.25</v>
      </c>
      <c r="HC8" s="84"/>
      <c r="HD8" s="52" t="s">
        <v>16</v>
      </c>
      <c r="HE8" s="123">
        <f>1-EXP(-HE7*HE12)</f>
        <v>2.2710197161529555E-2</v>
      </c>
    </row>
    <row r="9" spans="1:214" x14ac:dyDescent="0.2">
      <c r="A9" s="116" t="s">
        <v>243</v>
      </c>
      <c r="B9" s="229">
        <v>0.72599999999999998</v>
      </c>
      <c r="C9" s="117"/>
      <c r="D9" s="52" t="s">
        <v>379</v>
      </c>
      <c r="E9" s="138">
        <f>B65</f>
        <v>1</v>
      </c>
      <c r="F9" s="52" t="s">
        <v>146</v>
      </c>
      <c r="G9" s="83" t="s">
        <v>258</v>
      </c>
      <c r="H9" s="136">
        <f>B29</f>
        <v>4.9109405245458101E-5</v>
      </c>
      <c r="I9" s="92" t="s">
        <v>259</v>
      </c>
      <c r="J9" s="83" t="s">
        <v>258</v>
      </c>
      <c r="K9" s="136">
        <f>B29</f>
        <v>4.9109405245458101E-5</v>
      </c>
      <c r="L9" s="92" t="s">
        <v>259</v>
      </c>
      <c r="M9" s="52" t="s">
        <v>382</v>
      </c>
      <c r="N9" s="138">
        <f>B68</f>
        <v>150</v>
      </c>
      <c r="O9" s="52" t="s">
        <v>24</v>
      </c>
      <c r="P9" s="52" t="s">
        <v>382</v>
      </c>
      <c r="Q9" s="138">
        <f>B68</f>
        <v>150</v>
      </c>
      <c r="R9" s="52" t="s">
        <v>24</v>
      </c>
      <c r="S9" s="52" t="s">
        <v>382</v>
      </c>
      <c r="T9" s="138">
        <f>B68</f>
        <v>150</v>
      </c>
      <c r="U9" s="52" t="s">
        <v>24</v>
      </c>
      <c r="V9" s="52" t="s">
        <v>423</v>
      </c>
      <c r="W9" s="138">
        <f>B247</f>
        <v>125</v>
      </c>
      <c r="X9" s="52" t="s">
        <v>24</v>
      </c>
      <c r="Y9" s="52" t="s">
        <v>316</v>
      </c>
      <c r="Z9" s="138">
        <f>B227</f>
        <v>125</v>
      </c>
      <c r="AA9" s="52" t="s">
        <v>24</v>
      </c>
      <c r="AB9" s="83" t="s">
        <v>34</v>
      </c>
      <c r="AC9" s="146">
        <f>B228</f>
        <v>1</v>
      </c>
      <c r="AD9" s="146">
        <f>B238</f>
        <v>1</v>
      </c>
      <c r="AE9" s="146">
        <f>B248</f>
        <v>1</v>
      </c>
      <c r="AF9" s="146">
        <f>B258</f>
        <v>1</v>
      </c>
      <c r="AG9" s="146">
        <f>B270</f>
        <v>1</v>
      </c>
      <c r="AH9" s="83" t="s">
        <v>60</v>
      </c>
      <c r="AI9" s="52" t="s">
        <v>35</v>
      </c>
      <c r="AJ9" s="138">
        <f>B237</f>
        <v>125</v>
      </c>
      <c r="AK9" s="52" t="s">
        <v>24</v>
      </c>
      <c r="AL9" s="52" t="s">
        <v>35</v>
      </c>
      <c r="AM9" s="138">
        <f>B237</f>
        <v>125</v>
      </c>
      <c r="AN9" s="52" t="s">
        <v>24</v>
      </c>
      <c r="AO9" s="52" t="s">
        <v>35</v>
      </c>
      <c r="AP9" s="138">
        <f>B237</f>
        <v>125</v>
      </c>
      <c r="AQ9" s="52" t="s">
        <v>24</v>
      </c>
      <c r="AR9" s="52" t="s">
        <v>423</v>
      </c>
      <c r="AS9" s="138">
        <f>B247</f>
        <v>125</v>
      </c>
      <c r="AT9" s="52" t="s">
        <v>24</v>
      </c>
      <c r="AU9" s="52" t="s">
        <v>423</v>
      </c>
      <c r="AV9" s="138">
        <f>B247</f>
        <v>125</v>
      </c>
      <c r="AW9" s="52" t="s">
        <v>24</v>
      </c>
      <c r="AX9" s="52" t="s">
        <v>423</v>
      </c>
      <c r="AY9" s="138">
        <f>B247</f>
        <v>125</v>
      </c>
      <c r="AZ9" s="52" t="s">
        <v>24</v>
      </c>
      <c r="BA9" s="52" t="s">
        <v>316</v>
      </c>
      <c r="BB9" s="138">
        <f>B227</f>
        <v>125</v>
      </c>
      <c r="BC9" s="52" t="s">
        <v>24</v>
      </c>
      <c r="BD9" s="52" t="s">
        <v>316</v>
      </c>
      <c r="BE9" s="138">
        <f>B227</f>
        <v>125</v>
      </c>
      <c r="BF9" s="52" t="s">
        <v>24</v>
      </c>
      <c r="BG9" s="52" t="s">
        <v>316</v>
      </c>
      <c r="BH9" s="138">
        <f>B227</f>
        <v>125</v>
      </c>
      <c r="BI9" s="52" t="s">
        <v>24</v>
      </c>
      <c r="BJ9" s="52" t="s">
        <v>191</v>
      </c>
      <c r="BK9" s="138">
        <f>BK10*BK11</f>
        <v>75</v>
      </c>
      <c r="BL9" s="52" t="s">
        <v>24</v>
      </c>
      <c r="BM9" s="52" t="s">
        <v>191</v>
      </c>
      <c r="BN9" s="138">
        <f>BN10*BN11</f>
        <v>75</v>
      </c>
      <c r="BO9" s="52" t="s">
        <v>24</v>
      </c>
      <c r="BP9" s="52" t="s">
        <v>191</v>
      </c>
      <c r="BQ9" s="138">
        <f>BQ10*BQ11</f>
        <v>75</v>
      </c>
      <c r="BR9" s="52" t="s">
        <v>24</v>
      </c>
      <c r="BS9" s="52" t="s">
        <v>247</v>
      </c>
      <c r="BT9" s="139">
        <f>E11</f>
        <v>1.5417408700798101E-4</v>
      </c>
      <c r="BU9" s="84" t="s">
        <v>259</v>
      </c>
      <c r="BV9" s="83" t="s">
        <v>258</v>
      </c>
      <c r="BW9" s="136">
        <f>B29</f>
        <v>4.9109405245458101E-5</v>
      </c>
      <c r="BX9" s="92" t="s">
        <v>259</v>
      </c>
      <c r="BY9" s="83" t="s">
        <v>77</v>
      </c>
      <c r="BZ9" s="136">
        <f>B31</f>
        <v>1359344473.5814338</v>
      </c>
      <c r="CA9" s="83" t="s">
        <v>78</v>
      </c>
      <c r="CB9" s="52" t="s">
        <v>140</v>
      </c>
      <c r="CC9" s="138">
        <f>B113</f>
        <v>55</v>
      </c>
      <c r="CD9" s="52" t="s">
        <v>24</v>
      </c>
      <c r="CE9" s="52" t="s">
        <v>140</v>
      </c>
      <c r="CF9" s="138">
        <f>B113</f>
        <v>55</v>
      </c>
      <c r="CG9" s="52" t="s">
        <v>24</v>
      </c>
      <c r="CH9" s="52" t="s">
        <v>140</v>
      </c>
      <c r="CI9" s="138">
        <f>B113</f>
        <v>55</v>
      </c>
      <c r="CJ9" s="52" t="s">
        <v>24</v>
      </c>
      <c r="CN9" s="84" t="s">
        <v>392</v>
      </c>
      <c r="CO9" s="162">
        <f>B48</f>
        <v>0.25</v>
      </c>
      <c r="CT9" s="83" t="s">
        <v>258</v>
      </c>
      <c r="CU9" s="136">
        <f>B29</f>
        <v>4.9109405245458101E-5</v>
      </c>
      <c r="CV9" s="92" t="s">
        <v>259</v>
      </c>
      <c r="CW9" s="52" t="s">
        <v>363</v>
      </c>
      <c r="CX9" s="138">
        <f>B168</f>
        <v>1</v>
      </c>
      <c r="CY9" s="52" t="s">
        <v>146</v>
      </c>
      <c r="CZ9" s="83" t="s">
        <v>258</v>
      </c>
      <c r="DA9" s="136">
        <f>B29</f>
        <v>4.9109405245458101E-5</v>
      </c>
      <c r="DB9" s="84" t="s">
        <v>259</v>
      </c>
      <c r="DC9" s="83" t="s">
        <v>513</v>
      </c>
      <c r="DD9" s="146">
        <f>B149</f>
        <v>55</v>
      </c>
      <c r="DE9" s="92" t="s">
        <v>221</v>
      </c>
      <c r="DF9" s="83" t="s">
        <v>40</v>
      </c>
      <c r="DG9" s="138">
        <f>B190</f>
        <v>0.25</v>
      </c>
      <c r="DH9" s="52" t="s">
        <v>41</v>
      </c>
      <c r="DI9" s="52" t="s">
        <v>350</v>
      </c>
      <c r="DJ9" s="164">
        <f>B168</f>
        <v>1</v>
      </c>
      <c r="DL9" s="83"/>
      <c r="DO9" s="83" t="s">
        <v>40</v>
      </c>
      <c r="DP9" s="138">
        <f>B190</f>
        <v>0.25</v>
      </c>
      <c r="DQ9" s="52" t="s">
        <v>41</v>
      </c>
      <c r="DR9" s="83" t="s">
        <v>452</v>
      </c>
      <c r="DS9" s="146">
        <f>B151</f>
        <v>55</v>
      </c>
      <c r="DT9" s="92" t="s">
        <v>221</v>
      </c>
      <c r="DU9" s="83"/>
      <c r="DX9" s="83" t="s">
        <v>517</v>
      </c>
      <c r="DY9" s="136">
        <f>B36</f>
        <v>4.5999999999999999E-3</v>
      </c>
      <c r="DZ9" s="52" t="s">
        <v>601</v>
      </c>
      <c r="EA9" s="83" t="s">
        <v>517</v>
      </c>
      <c r="EB9" s="136">
        <f>B36</f>
        <v>4.5999999999999999E-3</v>
      </c>
      <c r="EC9" s="52" t="s">
        <v>601</v>
      </c>
      <c r="ED9" s="83" t="s">
        <v>517</v>
      </c>
      <c r="EE9" s="136">
        <f>B36</f>
        <v>4.5999999999999999E-3</v>
      </c>
      <c r="EF9" s="52" t="s">
        <v>601</v>
      </c>
      <c r="EG9" s="83" t="s">
        <v>453</v>
      </c>
      <c r="EH9" s="170">
        <f>B153</f>
        <v>55</v>
      </c>
      <c r="EI9" s="92" t="s">
        <v>221</v>
      </c>
      <c r="EJ9" s="83"/>
      <c r="EM9" s="83" t="s">
        <v>236</v>
      </c>
      <c r="EN9" s="136">
        <f>B37</f>
        <v>2.1999999999999999E-2</v>
      </c>
      <c r="EO9" s="52" t="s">
        <v>388</v>
      </c>
      <c r="EP9" s="83" t="s">
        <v>236</v>
      </c>
      <c r="EQ9" s="169">
        <f>B37</f>
        <v>2.1999999999999999E-2</v>
      </c>
      <c r="ER9" s="52" t="s">
        <v>388</v>
      </c>
      <c r="ES9" s="83" t="s">
        <v>236</v>
      </c>
      <c r="ET9" s="169">
        <f>B37</f>
        <v>2.1999999999999999E-2</v>
      </c>
      <c r="EU9" s="52" t="s">
        <v>388</v>
      </c>
      <c r="EV9" s="83" t="s">
        <v>454</v>
      </c>
      <c r="EW9" s="171">
        <f>B155</f>
        <v>55</v>
      </c>
      <c r="EX9" s="92" t="s">
        <v>221</v>
      </c>
      <c r="EY9" s="83"/>
      <c r="EZ9" s="83"/>
      <c r="FA9" s="83"/>
      <c r="FB9" s="83" t="s">
        <v>171</v>
      </c>
      <c r="FC9" s="169">
        <f>B39</f>
        <v>0.4</v>
      </c>
      <c r="FD9" s="52" t="s">
        <v>388</v>
      </c>
      <c r="FE9" s="83" t="s">
        <v>171</v>
      </c>
      <c r="FF9" s="169">
        <f>B39</f>
        <v>0.4</v>
      </c>
      <c r="FG9" s="52" t="s">
        <v>388</v>
      </c>
      <c r="FH9" s="83" t="s">
        <v>171</v>
      </c>
      <c r="FI9" s="169">
        <f>B39</f>
        <v>0.4</v>
      </c>
      <c r="FJ9" s="52" t="s">
        <v>388</v>
      </c>
      <c r="FK9" s="83" t="s">
        <v>471</v>
      </c>
      <c r="FL9" s="150">
        <f>B157</f>
        <v>55</v>
      </c>
      <c r="FM9" s="92" t="s">
        <v>221</v>
      </c>
      <c r="FN9" s="83"/>
      <c r="FO9" s="83"/>
      <c r="FP9" s="83"/>
      <c r="FQ9" s="91" t="s">
        <v>231</v>
      </c>
      <c r="FR9" s="136">
        <f>B30</f>
        <v>30.167100000000001</v>
      </c>
      <c r="FS9" s="52" t="s">
        <v>60</v>
      </c>
      <c r="FT9" s="83"/>
      <c r="FU9" s="93"/>
      <c r="FV9" s="83"/>
      <c r="FW9" s="83"/>
      <c r="FX9" s="93"/>
      <c r="FY9" s="83"/>
      <c r="FZ9" s="83" t="s">
        <v>473</v>
      </c>
      <c r="GA9" s="174">
        <f>B159</f>
        <v>55</v>
      </c>
      <c r="GB9" s="92" t="s">
        <v>221</v>
      </c>
      <c r="GC9" s="83"/>
      <c r="GD9" s="83"/>
      <c r="GE9" s="83"/>
      <c r="GF9" s="83" t="s">
        <v>237</v>
      </c>
      <c r="GG9" s="169">
        <f>B38</f>
        <v>2.7</v>
      </c>
      <c r="GH9" s="52" t="s">
        <v>388</v>
      </c>
      <c r="GI9" s="83" t="s">
        <v>237</v>
      </c>
      <c r="GJ9" s="169">
        <f>B38</f>
        <v>2.7</v>
      </c>
      <c r="GK9" s="52" t="s">
        <v>388</v>
      </c>
      <c r="GL9" s="83" t="s">
        <v>237</v>
      </c>
      <c r="GM9" s="169">
        <f>B38</f>
        <v>2.7</v>
      </c>
      <c r="GN9" s="52" t="s">
        <v>388</v>
      </c>
      <c r="GO9" s="83" t="s">
        <v>455</v>
      </c>
      <c r="GP9" s="150">
        <f>B161</f>
        <v>55</v>
      </c>
      <c r="GQ9" s="92" t="s">
        <v>221</v>
      </c>
      <c r="GR9" s="83"/>
      <c r="GS9" s="83"/>
      <c r="GT9" s="83"/>
      <c r="GU9" s="83" t="s">
        <v>238</v>
      </c>
      <c r="GV9" s="169">
        <f>B40</f>
        <v>0.2</v>
      </c>
      <c r="GW9" s="52" t="s">
        <v>388</v>
      </c>
      <c r="GX9" s="83" t="s">
        <v>238</v>
      </c>
      <c r="GY9" s="169">
        <f>B40</f>
        <v>0.2</v>
      </c>
      <c r="GZ9" s="52" t="s">
        <v>388</v>
      </c>
      <c r="HA9" s="83" t="s">
        <v>238</v>
      </c>
      <c r="HB9" s="169">
        <f>B40</f>
        <v>0.2</v>
      </c>
      <c r="HC9" s="52" t="s">
        <v>388</v>
      </c>
      <c r="HD9" s="91" t="s">
        <v>231</v>
      </c>
      <c r="HE9" s="136">
        <f>B30</f>
        <v>30.167100000000001</v>
      </c>
      <c r="HF9" s="52" t="s">
        <v>60</v>
      </c>
    </row>
    <row r="10" spans="1:214" x14ac:dyDescent="0.2">
      <c r="A10" s="116" t="s">
        <v>341</v>
      </c>
      <c r="B10" s="229">
        <v>7.2400000000000006E-2</v>
      </c>
      <c r="C10" s="117"/>
      <c r="D10" s="52" t="s">
        <v>92</v>
      </c>
      <c r="E10" s="138">
        <f>E9</f>
        <v>1</v>
      </c>
      <c r="G10" s="83" t="s">
        <v>260</v>
      </c>
      <c r="H10" s="143">
        <f>H5/(H6*H15)</f>
        <v>111.95985289294643</v>
      </c>
      <c r="I10" s="92" t="s">
        <v>11</v>
      </c>
      <c r="J10" s="83" t="s">
        <v>77</v>
      </c>
      <c r="K10" s="136">
        <f>B31</f>
        <v>1359344473.5814338</v>
      </c>
      <c r="L10" s="83" t="s">
        <v>78</v>
      </c>
      <c r="M10" s="52" t="s">
        <v>379</v>
      </c>
      <c r="N10" s="138">
        <f>B65</f>
        <v>1</v>
      </c>
      <c r="O10" s="52" t="s">
        <v>146</v>
      </c>
      <c r="P10" s="52" t="s">
        <v>379</v>
      </c>
      <c r="Q10" s="138">
        <f>B65</f>
        <v>1</v>
      </c>
      <c r="R10" s="52" t="s">
        <v>146</v>
      </c>
      <c r="S10" s="52" t="s">
        <v>379</v>
      </c>
      <c r="T10" s="138">
        <f>B65</f>
        <v>1</v>
      </c>
      <c r="U10" s="52" t="s">
        <v>146</v>
      </c>
      <c r="V10" s="52" t="s">
        <v>424</v>
      </c>
      <c r="W10" s="138">
        <f>B248</f>
        <v>1</v>
      </c>
      <c r="X10" s="52" t="s">
        <v>146</v>
      </c>
      <c r="Y10" s="52" t="s">
        <v>422</v>
      </c>
      <c r="Z10" s="138">
        <f>B228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B265</f>
        <v>3</v>
      </c>
      <c r="AG10" s="146">
        <f>B276</f>
        <v>3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B238</f>
        <v>1</v>
      </c>
      <c r="AN10" s="52" t="s">
        <v>146</v>
      </c>
      <c r="AO10" s="52" t="s">
        <v>420</v>
      </c>
      <c r="AP10" s="138">
        <f>B238</f>
        <v>1</v>
      </c>
      <c r="AQ10" s="52" t="s">
        <v>146</v>
      </c>
      <c r="AR10" s="52" t="s">
        <v>424</v>
      </c>
      <c r="AS10" s="138">
        <f>B248</f>
        <v>1</v>
      </c>
      <c r="AT10" s="52" t="s">
        <v>146</v>
      </c>
      <c r="AU10" s="52" t="s">
        <v>424</v>
      </c>
      <c r="AV10" s="138">
        <f>B248</f>
        <v>1</v>
      </c>
      <c r="AW10" s="52" t="s">
        <v>146</v>
      </c>
      <c r="AX10" s="52" t="s">
        <v>424</v>
      </c>
      <c r="AY10" s="138">
        <f>B248</f>
        <v>1</v>
      </c>
      <c r="AZ10" s="52" t="s">
        <v>146</v>
      </c>
      <c r="BA10" s="52" t="s">
        <v>422</v>
      </c>
      <c r="BB10" s="138">
        <f>B228</f>
        <v>1</v>
      </c>
      <c r="BC10" s="52" t="s">
        <v>146</v>
      </c>
      <c r="BD10" s="52" t="s">
        <v>422</v>
      </c>
      <c r="BE10" s="138">
        <f>B228</f>
        <v>1</v>
      </c>
      <c r="BF10" s="52" t="s">
        <v>146</v>
      </c>
      <c r="BG10" s="52" t="s">
        <v>422</v>
      </c>
      <c r="BH10" s="138">
        <f>B228</f>
        <v>1</v>
      </c>
      <c r="BI10" s="52" t="s">
        <v>146</v>
      </c>
      <c r="BJ10" s="52" t="s">
        <v>220</v>
      </c>
      <c r="BK10" s="138">
        <f>B266</f>
        <v>25</v>
      </c>
      <c r="BL10" s="52" t="s">
        <v>113</v>
      </c>
      <c r="BM10" s="52" t="s">
        <v>220</v>
      </c>
      <c r="BN10" s="138">
        <f>B266</f>
        <v>25</v>
      </c>
      <c r="BO10" s="52" t="s">
        <v>113</v>
      </c>
      <c r="BP10" s="52" t="s">
        <v>220</v>
      </c>
      <c r="BQ10" s="138">
        <f>B266</f>
        <v>25</v>
      </c>
      <c r="BR10" s="52" t="s">
        <v>113</v>
      </c>
      <c r="BS10" s="83" t="s">
        <v>428</v>
      </c>
      <c r="BT10" s="149">
        <f>(BT22*BT13*(1/24)*BT11*BT25)+(BT23*BT14*(1/24)*BT12*BT26)</f>
        <v>101.40624999999999</v>
      </c>
      <c r="BU10" s="52" t="s">
        <v>426</v>
      </c>
      <c r="BV10" s="83" t="s">
        <v>260</v>
      </c>
      <c r="BW10" s="143">
        <f>BW5/(BW6*BW13)</f>
        <v>7.4046175436016846</v>
      </c>
      <c r="BX10" s="92" t="s">
        <v>11</v>
      </c>
      <c r="BY10" s="84" t="s">
        <v>16</v>
      </c>
      <c r="BZ10" s="137">
        <f>(BZ30*BZ11)/(1-EXP(-BZ11*BZ30))</f>
        <v>1.0115299987062558</v>
      </c>
      <c r="CB10" s="52" t="s">
        <v>51</v>
      </c>
      <c r="CC10" s="138">
        <f>B127</f>
        <v>1</v>
      </c>
      <c r="CD10" s="52" t="s">
        <v>146</v>
      </c>
      <c r="CE10" s="52" t="s">
        <v>51</v>
      </c>
      <c r="CF10" s="138">
        <f>B127</f>
        <v>1</v>
      </c>
      <c r="CG10" s="52" t="s">
        <v>146</v>
      </c>
      <c r="CH10" s="52" t="s">
        <v>51</v>
      </c>
      <c r="CI10" s="138">
        <f>B127</f>
        <v>1</v>
      </c>
      <c r="CJ10" s="52" t="s">
        <v>146</v>
      </c>
      <c r="CN10" s="84" t="s">
        <v>164</v>
      </c>
      <c r="CO10" s="162">
        <f>B129</f>
        <v>2</v>
      </c>
      <c r="CP10" s="52" t="s">
        <v>246</v>
      </c>
      <c r="CT10" s="83" t="s">
        <v>77</v>
      </c>
      <c r="CU10" s="136">
        <f>B31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1.0115299987062558</v>
      </c>
      <c r="DC10" s="83" t="s">
        <v>514</v>
      </c>
      <c r="DD10" s="146">
        <f>B150</f>
        <v>55</v>
      </c>
      <c r="DE10" s="92" t="s">
        <v>221</v>
      </c>
      <c r="DF10" s="92" t="s">
        <v>32</v>
      </c>
      <c r="DG10" s="136">
        <f>B43</f>
        <v>2.5229999999999999E-2</v>
      </c>
      <c r="DI10" s="83" t="s">
        <v>22</v>
      </c>
      <c r="DJ10" s="137">
        <f>0.693/DJ11</f>
        <v>2.2972045705420805E-2</v>
      </c>
      <c r="DL10" s="92"/>
      <c r="DO10" s="92" t="s">
        <v>32</v>
      </c>
      <c r="DP10" s="136">
        <f>B43</f>
        <v>2.5229999999999999E-2</v>
      </c>
      <c r="DR10" s="83" t="s">
        <v>461</v>
      </c>
      <c r="DS10" s="146">
        <f>B152</f>
        <v>55</v>
      </c>
      <c r="DT10" s="92" t="s">
        <v>221</v>
      </c>
      <c r="DU10" s="92"/>
      <c r="DX10" s="83" t="s">
        <v>498</v>
      </c>
      <c r="DY10" s="138">
        <f>B201</f>
        <v>20.3</v>
      </c>
      <c r="DZ10" s="52" t="s">
        <v>246</v>
      </c>
      <c r="EA10" s="83" t="s">
        <v>498</v>
      </c>
      <c r="EB10" s="138">
        <f>B201</f>
        <v>20.3</v>
      </c>
      <c r="EC10" s="52" t="s">
        <v>246</v>
      </c>
      <c r="ED10" s="83" t="s">
        <v>498</v>
      </c>
      <c r="EE10" s="138">
        <f>B201</f>
        <v>20.3</v>
      </c>
      <c r="EF10" s="52" t="s">
        <v>246</v>
      </c>
      <c r="EG10" s="83" t="s">
        <v>462</v>
      </c>
      <c r="EH10" s="170">
        <f>B154</f>
        <v>55</v>
      </c>
      <c r="EI10" s="92" t="s">
        <v>221</v>
      </c>
      <c r="EJ10" s="92"/>
      <c r="EM10" s="83" t="s">
        <v>494</v>
      </c>
      <c r="EN10" s="138">
        <f>B206</f>
        <v>11.77</v>
      </c>
      <c r="EO10" s="52" t="s">
        <v>246</v>
      </c>
      <c r="EP10" s="83" t="s">
        <v>494</v>
      </c>
      <c r="EQ10" s="138">
        <f>B206</f>
        <v>11.77</v>
      </c>
      <c r="ER10" s="52" t="s">
        <v>246</v>
      </c>
      <c r="ES10" s="83" t="s">
        <v>494</v>
      </c>
      <c r="ET10" s="138">
        <f>B206</f>
        <v>11.77</v>
      </c>
      <c r="EU10" s="52" t="s">
        <v>246</v>
      </c>
      <c r="EV10" s="83" t="s">
        <v>463</v>
      </c>
      <c r="EW10" s="170">
        <f>B156</f>
        <v>55</v>
      </c>
      <c r="EX10" s="92" t="s">
        <v>221</v>
      </c>
      <c r="EY10" s="83"/>
      <c r="EZ10" s="83"/>
      <c r="FA10" s="83"/>
      <c r="FB10" s="83" t="s">
        <v>152</v>
      </c>
      <c r="FC10" s="142">
        <f>B211</f>
        <v>0.2</v>
      </c>
      <c r="FD10" s="52" t="s">
        <v>246</v>
      </c>
      <c r="FE10" s="83" t="s">
        <v>152</v>
      </c>
      <c r="FF10" s="142">
        <f>B211</f>
        <v>0.2</v>
      </c>
      <c r="FG10" s="52" t="s">
        <v>246</v>
      </c>
      <c r="FH10" s="83" t="s">
        <v>152</v>
      </c>
      <c r="FI10" s="142">
        <f>B211</f>
        <v>0.2</v>
      </c>
      <c r="FJ10" s="52" t="s">
        <v>246</v>
      </c>
      <c r="FK10" s="83" t="s">
        <v>472</v>
      </c>
      <c r="FL10" s="150">
        <f>B158</f>
        <v>55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1.0115299987062558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B160</f>
        <v>55</v>
      </c>
      <c r="GB10" s="92" t="s">
        <v>221</v>
      </c>
      <c r="GC10" s="83"/>
      <c r="GD10" s="83"/>
      <c r="GE10" s="83"/>
      <c r="GF10" s="83" t="s">
        <v>486</v>
      </c>
      <c r="GG10" s="142">
        <f>B216</f>
        <v>0.2</v>
      </c>
      <c r="GH10" s="52" t="s">
        <v>246</v>
      </c>
      <c r="GI10" s="83" t="s">
        <v>486</v>
      </c>
      <c r="GJ10" s="142">
        <f>B216</f>
        <v>0.2</v>
      </c>
      <c r="GK10" s="52" t="s">
        <v>246</v>
      </c>
      <c r="GL10" s="83" t="s">
        <v>486</v>
      </c>
      <c r="GM10" s="142">
        <f>B216</f>
        <v>0.2</v>
      </c>
      <c r="GN10" s="52" t="s">
        <v>246</v>
      </c>
      <c r="GO10" s="83" t="s">
        <v>464</v>
      </c>
      <c r="GP10" s="150">
        <f>B162</f>
        <v>55</v>
      </c>
      <c r="GQ10" s="92" t="s">
        <v>221</v>
      </c>
      <c r="GR10" s="83"/>
      <c r="GS10" s="83"/>
      <c r="GT10" s="83"/>
      <c r="GU10" s="83" t="s">
        <v>490</v>
      </c>
      <c r="GV10" s="142">
        <f>B221</f>
        <v>4.7</v>
      </c>
      <c r="GW10" s="52" t="s">
        <v>246</v>
      </c>
      <c r="GX10" s="83" t="s">
        <v>490</v>
      </c>
      <c r="GY10" s="142">
        <f>B221</f>
        <v>4.7</v>
      </c>
      <c r="GZ10" s="52" t="s">
        <v>246</v>
      </c>
      <c r="HA10" s="83" t="s">
        <v>490</v>
      </c>
      <c r="HB10" s="142">
        <f>B221</f>
        <v>4.7</v>
      </c>
      <c r="HC10" s="52" t="s">
        <v>246</v>
      </c>
      <c r="HD10" s="84" t="s">
        <v>38</v>
      </c>
      <c r="HE10" s="163">
        <f>B93</f>
        <v>0.3</v>
      </c>
    </row>
    <row r="11" spans="1:214" x14ac:dyDescent="0.2">
      <c r="A11" s="116" t="s">
        <v>244</v>
      </c>
      <c r="B11" s="229">
        <v>0.73599999999999999</v>
      </c>
      <c r="C11" s="117"/>
      <c r="D11" s="52" t="s">
        <v>247</v>
      </c>
      <c r="E11" s="139">
        <f>B18</f>
        <v>1.5417408700798101E-4</v>
      </c>
      <c r="F11" s="84" t="s">
        <v>259</v>
      </c>
      <c r="G11" s="83" t="s">
        <v>261</v>
      </c>
      <c r="H11" s="144">
        <f>H5/(H7*H16*H28)</f>
        <v>9.7720140027281044</v>
      </c>
      <c r="I11" s="92" t="s">
        <v>11</v>
      </c>
      <c r="J11" s="84" t="s">
        <v>16</v>
      </c>
      <c r="K11" s="137">
        <f>(K43*K12)/(1-EXP(-K12*K43))</f>
        <v>1.0115299987062558</v>
      </c>
      <c r="M11" s="52" t="s">
        <v>299</v>
      </c>
      <c r="N11" s="138">
        <f>B73</f>
        <v>1</v>
      </c>
      <c r="P11" s="52" t="s">
        <v>299</v>
      </c>
      <c r="Q11" s="138">
        <f>B73</f>
        <v>1</v>
      </c>
      <c r="S11" s="52" t="s">
        <v>299</v>
      </c>
      <c r="T11" s="138">
        <f>B73</f>
        <v>1</v>
      </c>
      <c r="V11" s="52" t="s">
        <v>247</v>
      </c>
      <c r="W11" s="139">
        <f>B18</f>
        <v>1.5417408700798101E-4</v>
      </c>
      <c r="X11" s="84" t="s">
        <v>39</v>
      </c>
      <c r="Y11" s="52" t="s">
        <v>247</v>
      </c>
      <c r="Z11" s="139">
        <f>B18</f>
        <v>1.5417408700798101E-4</v>
      </c>
      <c r="AA11" s="84" t="s">
        <v>39</v>
      </c>
      <c r="AB11" s="83" t="s">
        <v>220</v>
      </c>
      <c r="AC11" s="146"/>
      <c r="AD11" s="146"/>
      <c r="AE11" s="146"/>
      <c r="AF11" s="146">
        <f>B266</f>
        <v>25</v>
      </c>
      <c r="AG11" s="146">
        <f>B277</f>
        <v>25</v>
      </c>
      <c r="AH11" s="83" t="s">
        <v>113</v>
      </c>
      <c r="AI11" s="52" t="s">
        <v>299</v>
      </c>
      <c r="AJ11" s="138">
        <f>B241</f>
        <v>1</v>
      </c>
      <c r="AL11" s="52" t="s">
        <v>299</v>
      </c>
      <c r="AM11" s="138">
        <f>B241</f>
        <v>1</v>
      </c>
      <c r="AO11" s="52" t="s">
        <v>299</v>
      </c>
      <c r="AP11" s="138">
        <f>B241</f>
        <v>1</v>
      </c>
      <c r="AR11" s="52" t="s">
        <v>299</v>
      </c>
      <c r="AS11" s="138">
        <f>B251</f>
        <v>1</v>
      </c>
      <c r="AU11" s="52" t="s">
        <v>299</v>
      </c>
      <c r="AV11" s="138">
        <f>B251</f>
        <v>1</v>
      </c>
      <c r="AX11" s="52" t="s">
        <v>299</v>
      </c>
      <c r="AY11" s="138">
        <f>B251</f>
        <v>1</v>
      </c>
      <c r="BA11" s="52" t="s">
        <v>299</v>
      </c>
      <c r="BB11" s="138">
        <f>B231</f>
        <v>1</v>
      </c>
      <c r="BD11" s="52" t="s">
        <v>299</v>
      </c>
      <c r="BE11" s="138">
        <f>B231</f>
        <v>1</v>
      </c>
      <c r="BG11" s="52" t="s">
        <v>299</v>
      </c>
      <c r="BH11" s="138">
        <f>B231</f>
        <v>1</v>
      </c>
      <c r="BJ11" s="52" t="s">
        <v>219</v>
      </c>
      <c r="BK11" s="138">
        <f>B265</f>
        <v>3</v>
      </c>
      <c r="BL11" s="52" t="s">
        <v>112</v>
      </c>
      <c r="BM11" s="52" t="s">
        <v>219</v>
      </c>
      <c r="BN11" s="138">
        <f>B265</f>
        <v>3</v>
      </c>
      <c r="BO11" s="52" t="s">
        <v>112</v>
      </c>
      <c r="BP11" s="52" t="s">
        <v>219</v>
      </c>
      <c r="BQ11" s="138">
        <f>B265</f>
        <v>3</v>
      </c>
      <c r="BR11" s="52" t="s">
        <v>112</v>
      </c>
      <c r="BS11" s="83" t="s">
        <v>429</v>
      </c>
      <c r="BT11" s="141">
        <f>B103</f>
        <v>5</v>
      </c>
      <c r="BU11" s="92" t="s">
        <v>407</v>
      </c>
      <c r="BV11" s="83" t="s">
        <v>261</v>
      </c>
      <c r="BW11" s="159"/>
      <c r="BX11" s="92" t="s">
        <v>11</v>
      </c>
      <c r="BY11" s="83" t="s">
        <v>22</v>
      </c>
      <c r="BZ11" s="137">
        <f>0.693/BZ12</f>
        <v>2.2972045705420805E-2</v>
      </c>
      <c r="CB11" s="52" t="s">
        <v>300</v>
      </c>
      <c r="CC11" s="136">
        <f>B3</f>
        <v>8.5099999999999995E-2</v>
      </c>
      <c r="CE11" s="52" t="s">
        <v>300</v>
      </c>
      <c r="CF11" s="136">
        <f>B6</f>
        <v>4.3299999999999998E-2</v>
      </c>
      <c r="CH11" s="52" t="s">
        <v>300</v>
      </c>
      <c r="CI11" s="136">
        <f>B10</f>
        <v>7.2400000000000006E-2</v>
      </c>
      <c r="CN11" s="84" t="s">
        <v>161</v>
      </c>
      <c r="CO11" s="162">
        <f>B130</f>
        <v>2</v>
      </c>
      <c r="CP11" s="52" t="s">
        <v>246</v>
      </c>
      <c r="CT11" s="84" t="s">
        <v>16</v>
      </c>
      <c r="CU11" s="137">
        <f>(CU43*CU12)/(1-EXP(-CU12*CU43))</f>
        <v>1.0115299987062558</v>
      </c>
      <c r="CW11" s="52" t="s">
        <v>247</v>
      </c>
      <c r="CX11" s="139">
        <f>B18</f>
        <v>1.5417408700798101E-4</v>
      </c>
      <c r="CY11" s="84" t="s">
        <v>259</v>
      </c>
      <c r="CZ11" s="83" t="s">
        <v>22</v>
      </c>
      <c r="DA11" s="137">
        <f>0.693/DA12</f>
        <v>2.2972045705420805E-2</v>
      </c>
      <c r="DC11" s="83" t="s">
        <v>515</v>
      </c>
      <c r="DD11" s="149">
        <f>(DD12*DD15*DD20)+(DD13*DD14*DD21)</f>
        <v>8250</v>
      </c>
      <c r="DE11" s="92" t="s">
        <v>347</v>
      </c>
      <c r="DF11" s="92" t="s">
        <v>49</v>
      </c>
      <c r="DG11" s="137">
        <f>DG19+DG20</f>
        <v>8.993711152170084E-5</v>
      </c>
      <c r="DI11" s="91" t="s">
        <v>231</v>
      </c>
      <c r="DJ11" s="136">
        <f>B30</f>
        <v>30.167100000000001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B166</f>
        <v>150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B166</f>
        <v>150</v>
      </c>
      <c r="EI11" s="83" t="s">
        <v>24</v>
      </c>
      <c r="EJ11" s="92"/>
      <c r="EM11" s="83" t="s">
        <v>495</v>
      </c>
      <c r="EN11" s="138">
        <f>B207</f>
        <v>0.5</v>
      </c>
      <c r="EO11" s="52" t="s">
        <v>246</v>
      </c>
      <c r="EP11" s="83" t="s">
        <v>495</v>
      </c>
      <c r="EQ11" s="138">
        <f>B207</f>
        <v>0.5</v>
      </c>
      <c r="ER11" s="52" t="s">
        <v>246</v>
      </c>
      <c r="ES11" s="83" t="s">
        <v>495</v>
      </c>
      <c r="ET11" s="138">
        <f>B207</f>
        <v>0.5</v>
      </c>
      <c r="EU11" s="52" t="s">
        <v>246</v>
      </c>
      <c r="EV11" s="83" t="s">
        <v>456</v>
      </c>
      <c r="EW11" s="150">
        <f>B166</f>
        <v>150</v>
      </c>
      <c r="EX11" s="83" t="s">
        <v>24</v>
      </c>
      <c r="EY11" s="83"/>
      <c r="EZ11" s="83"/>
      <c r="FA11" s="83"/>
      <c r="FB11" s="83" t="s">
        <v>151</v>
      </c>
      <c r="FC11" s="142">
        <f>B212</f>
        <v>2.1999999999999999E-2</v>
      </c>
      <c r="FD11" s="52" t="s">
        <v>246</v>
      </c>
      <c r="FE11" s="83" t="s">
        <v>151</v>
      </c>
      <c r="FF11" s="142">
        <f>B212</f>
        <v>2.1999999999999999E-2</v>
      </c>
      <c r="FG11" s="52" t="s">
        <v>246</v>
      </c>
      <c r="FH11" s="83" t="s">
        <v>151</v>
      </c>
      <c r="FI11" s="142">
        <f>B212</f>
        <v>2.1999999999999999E-2</v>
      </c>
      <c r="FJ11" s="52" t="s">
        <v>246</v>
      </c>
      <c r="FK11" s="83" t="s">
        <v>456</v>
      </c>
      <c r="FL11" s="150">
        <f>B166</f>
        <v>150</v>
      </c>
      <c r="FM11" s="83" t="s">
        <v>24</v>
      </c>
      <c r="FN11" s="83"/>
      <c r="FO11" s="83"/>
      <c r="FP11" s="83"/>
      <c r="FQ11" s="88"/>
      <c r="FR11" s="86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B166</f>
        <v>150</v>
      </c>
      <c r="GB11" s="83" t="s">
        <v>24</v>
      </c>
      <c r="GC11" s="83"/>
      <c r="GD11" s="83"/>
      <c r="GE11" s="83"/>
      <c r="GF11" s="83" t="s">
        <v>487</v>
      </c>
      <c r="GG11" s="142">
        <f>B217</f>
        <v>2.1999999999999999E-2</v>
      </c>
      <c r="GH11" s="52" t="s">
        <v>246</v>
      </c>
      <c r="GI11" s="83" t="s">
        <v>487</v>
      </c>
      <c r="GJ11" s="142">
        <f>B217</f>
        <v>2.1999999999999999E-2</v>
      </c>
      <c r="GK11" s="52" t="s">
        <v>246</v>
      </c>
      <c r="GL11" s="83" t="s">
        <v>487</v>
      </c>
      <c r="GM11" s="142">
        <f>B217</f>
        <v>2.1999999999999999E-2</v>
      </c>
      <c r="GN11" s="52" t="s">
        <v>246</v>
      </c>
      <c r="GO11" s="83" t="s">
        <v>456</v>
      </c>
      <c r="GP11" s="150">
        <f>B166</f>
        <v>150</v>
      </c>
      <c r="GQ11" s="83" t="s">
        <v>24</v>
      </c>
      <c r="GR11" s="83"/>
      <c r="GS11" s="83"/>
      <c r="GT11" s="83"/>
      <c r="GU11" s="83" t="s">
        <v>491</v>
      </c>
      <c r="GV11" s="142">
        <f>B222</f>
        <v>0.37</v>
      </c>
      <c r="GW11" s="52" t="s">
        <v>246</v>
      </c>
      <c r="GX11" s="83" t="s">
        <v>491</v>
      </c>
      <c r="GY11" s="142">
        <f>B222</f>
        <v>0.37</v>
      </c>
      <c r="GZ11" s="52" t="s">
        <v>246</v>
      </c>
      <c r="HA11" s="83" t="s">
        <v>491</v>
      </c>
      <c r="HB11" s="142">
        <f>B222</f>
        <v>0.37</v>
      </c>
      <c r="HC11" s="52" t="s">
        <v>246</v>
      </c>
      <c r="HD11" s="84" t="s">
        <v>42</v>
      </c>
      <c r="HE11" s="150">
        <f>B94</f>
        <v>1.5</v>
      </c>
    </row>
    <row r="12" spans="1:214" x14ac:dyDescent="0.2">
      <c r="A12" s="116" t="s">
        <v>342</v>
      </c>
      <c r="B12" s="229">
        <v>2.6599999999999999E-2</v>
      </c>
      <c r="C12" s="117"/>
      <c r="D12" s="83" t="s">
        <v>43</v>
      </c>
      <c r="E12" s="140">
        <f>((E15/E16)*E23*E13*E25)+((E15/E16)*E24*E14*E26)</f>
        <v>1327.5</v>
      </c>
      <c r="F12" s="52" t="s">
        <v>426</v>
      </c>
      <c r="G12" s="83" t="s">
        <v>266</v>
      </c>
      <c r="H12" s="144">
        <f>H5/(H8*(1/H43)*H21)</f>
        <v>1.7870662244820177</v>
      </c>
      <c r="I12" s="92" t="s">
        <v>11</v>
      </c>
      <c r="J12" s="83" t="s">
        <v>22</v>
      </c>
      <c r="K12" s="137">
        <f>0.693/K13</f>
        <v>2.2972045705420805E-2</v>
      </c>
      <c r="M12" s="52" t="s">
        <v>300</v>
      </c>
      <c r="N12" s="136">
        <f>B3</f>
        <v>8.5099999999999995E-2</v>
      </c>
      <c r="P12" s="52" t="s">
        <v>300</v>
      </c>
      <c r="Q12" s="136">
        <f>B6</f>
        <v>4.3299999999999998E-2</v>
      </c>
      <c r="S12" s="52" t="s">
        <v>300</v>
      </c>
      <c r="T12" s="136">
        <f>B10</f>
        <v>7.2400000000000006E-2</v>
      </c>
      <c r="V12" s="52" t="s">
        <v>44</v>
      </c>
      <c r="W12" s="150">
        <f>B252</f>
        <v>5</v>
      </c>
      <c r="X12" s="84" t="s">
        <v>194</v>
      </c>
      <c r="Y12" s="52" t="s">
        <v>44</v>
      </c>
      <c r="Z12" s="150">
        <f>B233</f>
        <v>5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B262</f>
        <v>5</v>
      </c>
      <c r="AG12" s="150">
        <f>B273</f>
        <v>5</v>
      </c>
      <c r="AH12" s="83" t="s">
        <v>194</v>
      </c>
      <c r="AI12" s="52" t="s">
        <v>300</v>
      </c>
      <c r="AJ12" s="136">
        <f>B3</f>
        <v>8.5099999999999995E-2</v>
      </c>
      <c r="AL12" s="52" t="s">
        <v>300</v>
      </c>
      <c r="AM12" s="136">
        <f>B6</f>
        <v>4.3299999999999998E-2</v>
      </c>
      <c r="AO12" s="52" t="s">
        <v>300</v>
      </c>
      <c r="AP12" s="136">
        <f>B10</f>
        <v>7.2400000000000006E-2</v>
      </c>
      <c r="AR12" s="52" t="s">
        <v>300</v>
      </c>
      <c r="AS12" s="136">
        <f>B3</f>
        <v>8.5099999999999995E-2</v>
      </c>
      <c r="AU12" s="52" t="s">
        <v>300</v>
      </c>
      <c r="AV12" s="136">
        <f>B6</f>
        <v>4.3299999999999998E-2</v>
      </c>
      <c r="AX12" s="52" t="s">
        <v>300</v>
      </c>
      <c r="AY12" s="136">
        <f>B10</f>
        <v>7.2400000000000006E-2</v>
      </c>
      <c r="BA12" s="52" t="s">
        <v>300</v>
      </c>
      <c r="BB12" s="136">
        <f>B3</f>
        <v>8.5099999999999995E-2</v>
      </c>
      <c r="BD12" s="52" t="s">
        <v>300</v>
      </c>
      <c r="BE12" s="136">
        <f>B6</f>
        <v>4.3299999999999998E-2</v>
      </c>
      <c r="BG12" s="52" t="s">
        <v>300</v>
      </c>
      <c r="BH12" s="136">
        <f>B10</f>
        <v>7.2400000000000006E-2</v>
      </c>
      <c r="BJ12" s="52" t="s">
        <v>158</v>
      </c>
      <c r="BK12" s="138">
        <f>B258</f>
        <v>1</v>
      </c>
      <c r="BL12" s="52" t="s">
        <v>146</v>
      </c>
      <c r="BM12" s="52" t="s">
        <v>158</v>
      </c>
      <c r="BN12" s="138">
        <f>B258</f>
        <v>1</v>
      </c>
      <c r="BO12" s="52" t="s">
        <v>146</v>
      </c>
      <c r="BP12" s="52" t="s">
        <v>158</v>
      </c>
      <c r="BQ12" s="138">
        <f>B258</f>
        <v>1</v>
      </c>
      <c r="BR12" s="52" t="s">
        <v>146</v>
      </c>
      <c r="BS12" s="83" t="s">
        <v>430</v>
      </c>
      <c r="BT12" s="141">
        <f>B104</f>
        <v>10</v>
      </c>
      <c r="BU12" s="92" t="s">
        <v>407</v>
      </c>
      <c r="BV12" s="83" t="s">
        <v>266</v>
      </c>
      <c r="BW12" s="145">
        <f>BW5/(BW8*(1/BW29)*BW16)</f>
        <v>0.61897475593422613</v>
      </c>
      <c r="BX12" s="92" t="s">
        <v>11</v>
      </c>
      <c r="BY12" s="91" t="s">
        <v>231</v>
      </c>
      <c r="BZ12" s="136">
        <f>B30</f>
        <v>30.167100000000001</v>
      </c>
      <c r="CA12" s="52" t="s">
        <v>60</v>
      </c>
      <c r="CB12" s="52" t="s">
        <v>413</v>
      </c>
      <c r="CC12" s="136">
        <f>B4</f>
        <v>0.74199999999999999</v>
      </c>
      <c r="CE12" s="52" t="s">
        <v>414</v>
      </c>
      <c r="CF12" s="136">
        <f>B7</f>
        <v>0.65300000000000002</v>
      </c>
      <c r="CH12" s="52" t="s">
        <v>416</v>
      </c>
      <c r="CI12" s="136">
        <f>B11</f>
        <v>0.73599999999999999</v>
      </c>
      <c r="CN12" s="84" t="s">
        <v>162</v>
      </c>
      <c r="CO12" s="162">
        <f>B131</f>
        <v>2</v>
      </c>
      <c r="CP12" s="52" t="s">
        <v>41</v>
      </c>
      <c r="CT12" s="83" t="s">
        <v>22</v>
      </c>
      <c r="CU12" s="137">
        <f>0.693/CU13</f>
        <v>2.2972045705420805E-2</v>
      </c>
      <c r="CW12" s="83" t="s">
        <v>506</v>
      </c>
      <c r="CX12" s="140">
        <f>((CX16/24)*CX23*CX13*CX25)+((CX15/24)*CX24*CX14*CX26)</f>
        <v>1387.5</v>
      </c>
      <c r="CY12" s="52" t="s">
        <v>426</v>
      </c>
      <c r="CZ12" s="91" t="s">
        <v>231</v>
      </c>
      <c r="DA12" s="136">
        <f>B30</f>
        <v>30.167100000000001</v>
      </c>
      <c r="DB12" s="52" t="s">
        <v>60</v>
      </c>
      <c r="DC12" s="83" t="s">
        <v>467</v>
      </c>
      <c r="DD12" s="146">
        <f>B147</f>
        <v>55</v>
      </c>
      <c r="DE12" s="92" t="s">
        <v>221</v>
      </c>
      <c r="DF12" s="92" t="s">
        <v>52</v>
      </c>
      <c r="DG12" s="138">
        <f>B191</f>
        <v>10950</v>
      </c>
      <c r="DH12" s="52" t="s">
        <v>53</v>
      </c>
      <c r="DI12" s="84" t="s">
        <v>16</v>
      </c>
      <c r="DJ12" s="137">
        <f>(DJ9*DJ10)/(1-EXP(-DJ10*DJ9))</f>
        <v>1.0115299987062558</v>
      </c>
      <c r="DL12" s="92"/>
      <c r="DO12" s="92" t="s">
        <v>52</v>
      </c>
      <c r="DP12" s="138">
        <f>B191</f>
        <v>10950</v>
      </c>
      <c r="DQ12" s="52" t="s">
        <v>53</v>
      </c>
      <c r="DR12" s="83" t="s">
        <v>465</v>
      </c>
      <c r="DS12" s="150">
        <f>B166</f>
        <v>150</v>
      </c>
      <c r="DT12" s="83" t="s">
        <v>24</v>
      </c>
      <c r="DU12" s="92"/>
      <c r="DX12" s="83" t="s">
        <v>500</v>
      </c>
      <c r="DY12" s="138">
        <f>B203</f>
        <v>1</v>
      </c>
      <c r="EA12" s="83" t="s">
        <v>500</v>
      </c>
      <c r="EB12" s="138">
        <f>B203</f>
        <v>1</v>
      </c>
      <c r="EC12" s="84"/>
      <c r="ED12" s="83" t="s">
        <v>500</v>
      </c>
      <c r="EE12" s="138">
        <f>B203</f>
        <v>1</v>
      </c>
      <c r="EF12" s="84"/>
      <c r="EG12" s="83" t="s">
        <v>465</v>
      </c>
      <c r="EH12" s="150">
        <f>B166</f>
        <v>150</v>
      </c>
      <c r="EI12" s="83" t="s">
        <v>24</v>
      </c>
      <c r="EJ12" s="92"/>
      <c r="EM12" s="83" t="s">
        <v>496</v>
      </c>
      <c r="EN12" s="138">
        <f>B208</f>
        <v>1</v>
      </c>
      <c r="EP12" s="83" t="s">
        <v>496</v>
      </c>
      <c r="EQ12" s="138">
        <f>B208</f>
        <v>1</v>
      </c>
      <c r="ER12" s="84"/>
      <c r="ES12" s="83" t="s">
        <v>496</v>
      </c>
      <c r="ET12" s="138">
        <f>B208</f>
        <v>1</v>
      </c>
      <c r="EU12" s="84"/>
      <c r="EV12" s="83" t="s">
        <v>465</v>
      </c>
      <c r="EW12" s="150">
        <f>B166</f>
        <v>150</v>
      </c>
      <c r="EX12" s="83" t="s">
        <v>24</v>
      </c>
      <c r="EY12" s="83"/>
      <c r="EZ12" s="83"/>
      <c r="FA12" s="83"/>
      <c r="FB12" s="83" t="s">
        <v>153</v>
      </c>
      <c r="FC12" s="164">
        <f>B213</f>
        <v>1</v>
      </c>
      <c r="FD12" s="83"/>
      <c r="FE12" s="83" t="s">
        <v>153</v>
      </c>
      <c r="FF12" s="164">
        <f>B213</f>
        <v>1</v>
      </c>
      <c r="FG12" s="83"/>
      <c r="FH12" s="83" t="s">
        <v>153</v>
      </c>
      <c r="FI12" s="164">
        <f>B213</f>
        <v>1</v>
      </c>
      <c r="FJ12" s="84"/>
      <c r="FK12" s="83" t="s">
        <v>465</v>
      </c>
      <c r="FL12" s="150">
        <f>B166</f>
        <v>150</v>
      </c>
      <c r="FM12" s="83" t="s">
        <v>24</v>
      </c>
      <c r="FN12" s="83"/>
      <c r="FO12" s="83"/>
      <c r="FP12" s="83"/>
      <c r="FQ12" s="88"/>
      <c r="FR12" s="88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B166</f>
        <v>150</v>
      </c>
      <c r="GB12" s="83" t="s">
        <v>24</v>
      </c>
      <c r="GC12" s="83"/>
      <c r="GD12" s="83"/>
      <c r="GE12" s="83"/>
      <c r="GF12" s="83" t="s">
        <v>488</v>
      </c>
      <c r="GG12" s="142">
        <f>B218</f>
        <v>1</v>
      </c>
      <c r="GH12" s="83"/>
      <c r="GI12" s="83" t="s">
        <v>488</v>
      </c>
      <c r="GJ12" s="142">
        <f>B218</f>
        <v>1</v>
      </c>
      <c r="GK12" s="83"/>
      <c r="GL12" s="83" t="s">
        <v>488</v>
      </c>
      <c r="GM12" s="142">
        <f>B218</f>
        <v>1</v>
      </c>
      <c r="GN12" s="84"/>
      <c r="GO12" s="83" t="s">
        <v>465</v>
      </c>
      <c r="GP12" s="150">
        <f>B166</f>
        <v>150</v>
      </c>
      <c r="GQ12" s="83" t="s">
        <v>24</v>
      </c>
      <c r="GR12" s="83"/>
      <c r="GS12" s="83"/>
      <c r="GT12" s="83"/>
      <c r="GU12" s="83" t="s">
        <v>492</v>
      </c>
      <c r="GV12" s="142">
        <f>B223</f>
        <v>1</v>
      </c>
      <c r="GW12" s="83"/>
      <c r="GX12" s="83" t="s">
        <v>492</v>
      </c>
      <c r="GY12" s="142">
        <f>B223</f>
        <v>1</v>
      </c>
      <c r="GZ12" s="83"/>
      <c r="HA12" s="83" t="s">
        <v>492</v>
      </c>
      <c r="HB12" s="142">
        <f>B223</f>
        <v>1</v>
      </c>
      <c r="HC12" s="84"/>
      <c r="HD12" s="84" t="s">
        <v>47</v>
      </c>
      <c r="HE12" s="163">
        <v>1</v>
      </c>
    </row>
    <row r="13" spans="1:214" ht="13.5" thickBot="1" x14ac:dyDescent="0.25">
      <c r="A13" s="118" t="s">
        <v>245</v>
      </c>
      <c r="B13" s="230">
        <v>0.46500000000000002</v>
      </c>
      <c r="C13" s="119"/>
      <c r="D13" s="83" t="s">
        <v>366</v>
      </c>
      <c r="E13" s="141">
        <f>B50</f>
        <v>5</v>
      </c>
      <c r="F13" s="92" t="s">
        <v>407</v>
      </c>
      <c r="G13" s="83" t="s">
        <v>263</v>
      </c>
      <c r="H13" s="144">
        <f>H14/((1/H40)*(H48+H49+H50))</f>
        <v>443.49467172458549</v>
      </c>
      <c r="I13" s="92" t="s">
        <v>11</v>
      </c>
      <c r="J13" s="91" t="s">
        <v>231</v>
      </c>
      <c r="K13" s="136">
        <f>B30</f>
        <v>30.167100000000001</v>
      </c>
      <c r="L13" s="52" t="s">
        <v>60</v>
      </c>
      <c r="M13" s="52" t="s">
        <v>54</v>
      </c>
      <c r="N13" s="136">
        <f>B4</f>
        <v>0.74199999999999999</v>
      </c>
      <c r="P13" s="52" t="s">
        <v>54</v>
      </c>
      <c r="Q13" s="136">
        <f>B7</f>
        <v>0.65300000000000002</v>
      </c>
      <c r="S13" s="52" t="s">
        <v>54</v>
      </c>
      <c r="T13" s="136">
        <f>B11</f>
        <v>0.73599999999999999</v>
      </c>
      <c r="V13" s="52" t="s">
        <v>50</v>
      </c>
      <c r="W13" s="146">
        <f>B246</f>
        <v>50</v>
      </c>
      <c r="X13" s="84" t="s">
        <v>407</v>
      </c>
      <c r="Y13" s="52" t="s">
        <v>50</v>
      </c>
      <c r="Z13" s="146">
        <f>B226</f>
        <v>50</v>
      </c>
      <c r="AA13" s="84" t="s">
        <v>407</v>
      </c>
      <c r="AB13" s="83" t="s">
        <v>349</v>
      </c>
      <c r="AC13" s="146">
        <f>B229</f>
        <v>50</v>
      </c>
      <c r="AD13" s="146">
        <f>B239</f>
        <v>50</v>
      </c>
      <c r="AE13" s="146">
        <f>B249</f>
        <v>50</v>
      </c>
      <c r="AF13" s="146">
        <f>B259</f>
        <v>200</v>
      </c>
      <c r="AG13" s="146">
        <f>B271</f>
        <v>200</v>
      </c>
      <c r="AH13" s="52" t="s">
        <v>48</v>
      </c>
      <c r="AI13" s="52" t="s">
        <v>54</v>
      </c>
      <c r="AJ13" s="136">
        <f>B4</f>
        <v>0.74199999999999999</v>
      </c>
      <c r="AL13" s="52" t="s">
        <v>54</v>
      </c>
      <c r="AM13" s="136">
        <f>B7</f>
        <v>0.65300000000000002</v>
      </c>
      <c r="AO13" s="52" t="s">
        <v>54</v>
      </c>
      <c r="AP13" s="136">
        <f>B11</f>
        <v>0.73599999999999999</v>
      </c>
      <c r="AR13" s="52" t="s">
        <v>54</v>
      </c>
      <c r="AS13" s="136">
        <f>B4</f>
        <v>0.74199999999999999</v>
      </c>
      <c r="AU13" s="52" t="s">
        <v>54</v>
      </c>
      <c r="AV13" s="136">
        <f>B7</f>
        <v>0.65300000000000002</v>
      </c>
      <c r="AX13" s="52" t="s">
        <v>54</v>
      </c>
      <c r="AY13" s="136">
        <f>B11</f>
        <v>0.73599999999999999</v>
      </c>
      <c r="BA13" s="52" t="s">
        <v>54</v>
      </c>
      <c r="BB13" s="136">
        <f>B4</f>
        <v>0.74199999999999999</v>
      </c>
      <c r="BD13" s="52" t="s">
        <v>54</v>
      </c>
      <c r="BE13" s="136">
        <f>B7</f>
        <v>0.65300000000000002</v>
      </c>
      <c r="BG13" s="52" t="s">
        <v>54</v>
      </c>
      <c r="BH13" s="136">
        <f>B11</f>
        <v>0.73599999999999999</v>
      </c>
      <c r="BJ13" s="52" t="s">
        <v>300</v>
      </c>
      <c r="BK13" s="136">
        <f>B3</f>
        <v>8.5099999999999995E-2</v>
      </c>
      <c r="BM13" s="52" t="s">
        <v>300</v>
      </c>
      <c r="BN13" s="136">
        <f>B6</f>
        <v>4.3299999999999998E-2</v>
      </c>
      <c r="BP13" s="52" t="s">
        <v>300</v>
      </c>
      <c r="BQ13" s="136">
        <f>B10</f>
        <v>7.2400000000000006E-2</v>
      </c>
      <c r="BS13" s="52" t="s">
        <v>431</v>
      </c>
      <c r="BT13" s="141">
        <f>B116</f>
        <v>5</v>
      </c>
      <c r="BU13" s="52" t="s">
        <v>194</v>
      </c>
      <c r="BV13" s="83" t="s">
        <v>440</v>
      </c>
      <c r="BW13" s="160">
        <f>((BW18*BW20*BW23*BW14*BW30)+(BW19*BW21*BW24*BW15*BW31))</f>
        <v>2750</v>
      </c>
      <c r="BX13" s="83" t="s">
        <v>345</v>
      </c>
      <c r="BY13" s="83" t="s">
        <v>260</v>
      </c>
      <c r="BZ13" s="143">
        <f>(BZ5/(BZ6*BZ16*(1/BZ33)))*BZ10</f>
        <v>6089.4250197558786</v>
      </c>
      <c r="CA13" s="92" t="s">
        <v>10</v>
      </c>
      <c r="CB13" s="52" t="s">
        <v>90</v>
      </c>
      <c r="CC13" s="138">
        <f>B118</f>
        <v>5</v>
      </c>
      <c r="CD13" s="52" t="s">
        <v>194</v>
      </c>
      <c r="CE13" s="52" t="s">
        <v>90</v>
      </c>
      <c r="CF13" s="138">
        <f>B118</f>
        <v>5</v>
      </c>
      <c r="CG13" s="52" t="s">
        <v>194</v>
      </c>
      <c r="CH13" s="52" t="s">
        <v>90</v>
      </c>
      <c r="CI13" s="138">
        <f>B118</f>
        <v>5</v>
      </c>
      <c r="CJ13" s="52" t="s">
        <v>194</v>
      </c>
      <c r="CN13" s="84" t="s">
        <v>163</v>
      </c>
      <c r="CO13" s="162">
        <f>B132</f>
        <v>2</v>
      </c>
      <c r="CP13" s="52" t="s">
        <v>41</v>
      </c>
      <c r="CT13" s="91" t="s">
        <v>231</v>
      </c>
      <c r="CU13" s="136">
        <f>B30</f>
        <v>30.167100000000001</v>
      </c>
      <c r="CV13" s="52" t="s">
        <v>60</v>
      </c>
      <c r="CW13" s="83" t="s">
        <v>450</v>
      </c>
      <c r="CX13" s="141">
        <f>B145</f>
        <v>5</v>
      </c>
      <c r="CY13" s="92" t="s">
        <v>407</v>
      </c>
      <c r="CZ13" s="83" t="s">
        <v>260</v>
      </c>
      <c r="DA13" s="143">
        <f>DA5/(DA6*DA24)</f>
        <v>103.42957838681718</v>
      </c>
      <c r="DB13" s="83" t="s">
        <v>11</v>
      </c>
      <c r="DC13" s="83" t="s">
        <v>468</v>
      </c>
      <c r="DD13" s="146">
        <f>B148</f>
        <v>55</v>
      </c>
      <c r="DE13" s="92" t="s">
        <v>221</v>
      </c>
      <c r="DF13" s="92" t="s">
        <v>55</v>
      </c>
      <c r="DG13" s="138">
        <f>B192</f>
        <v>240</v>
      </c>
      <c r="DH13" s="52" t="s">
        <v>56</v>
      </c>
      <c r="DL13" s="92"/>
      <c r="DO13" s="92" t="s">
        <v>55</v>
      </c>
      <c r="DP13" s="138">
        <f>B192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B204</f>
        <v>1</v>
      </c>
      <c r="EA13" s="83" t="s">
        <v>501</v>
      </c>
      <c r="EB13" s="138">
        <f>B204</f>
        <v>1</v>
      </c>
      <c r="EC13" s="84"/>
      <c r="ED13" s="83" t="s">
        <v>501</v>
      </c>
      <c r="EE13" s="138">
        <f>B204</f>
        <v>1</v>
      </c>
      <c r="EF13" s="84"/>
      <c r="EG13" s="83" t="s">
        <v>363</v>
      </c>
      <c r="EH13" s="150">
        <f>B168</f>
        <v>1</v>
      </c>
      <c r="EI13" s="84" t="s">
        <v>60</v>
      </c>
      <c r="EJ13" s="92"/>
      <c r="EM13" s="83" t="s">
        <v>497</v>
      </c>
      <c r="EN13" s="138">
        <f>B209</f>
        <v>1</v>
      </c>
      <c r="EP13" s="83" t="s">
        <v>497</v>
      </c>
      <c r="EQ13" s="138">
        <f>B209</f>
        <v>1</v>
      </c>
      <c r="ER13" s="84"/>
      <c r="ES13" s="83" t="s">
        <v>497</v>
      </c>
      <c r="ET13" s="138">
        <f>B209</f>
        <v>1</v>
      </c>
      <c r="EU13" s="84"/>
      <c r="EV13" s="83" t="s">
        <v>363</v>
      </c>
      <c r="EW13" s="150">
        <f>B168</f>
        <v>1</v>
      </c>
      <c r="EX13" s="84" t="s">
        <v>60</v>
      </c>
      <c r="EY13" s="83"/>
      <c r="EZ13" s="83"/>
      <c r="FA13" s="83"/>
      <c r="FB13" s="83" t="s">
        <v>154</v>
      </c>
      <c r="FC13" s="164">
        <f>B214</f>
        <v>1</v>
      </c>
      <c r="FD13" s="83"/>
      <c r="FE13" s="83" t="s">
        <v>154</v>
      </c>
      <c r="FF13" s="164">
        <f>B214</f>
        <v>1</v>
      </c>
      <c r="FG13" s="83"/>
      <c r="FH13" s="83" t="s">
        <v>154</v>
      </c>
      <c r="FI13" s="164">
        <f>B214</f>
        <v>1</v>
      </c>
      <c r="FJ13" s="84"/>
      <c r="FK13" s="83" t="s">
        <v>363</v>
      </c>
      <c r="FL13" s="141">
        <f>B168</f>
        <v>1</v>
      </c>
      <c r="FM13" s="92" t="s">
        <v>60</v>
      </c>
      <c r="FN13" s="83"/>
      <c r="FO13" s="83"/>
      <c r="FP13" s="83"/>
      <c r="FQ13" s="88"/>
      <c r="FR13" s="88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B168</f>
        <v>1</v>
      </c>
      <c r="GB13" s="92" t="s">
        <v>60</v>
      </c>
      <c r="GC13" s="83"/>
      <c r="GD13" s="83"/>
      <c r="GE13" s="83"/>
      <c r="GF13" s="83" t="s">
        <v>489</v>
      </c>
      <c r="GG13" s="142">
        <f>B219</f>
        <v>1</v>
      </c>
      <c r="GH13" s="83"/>
      <c r="GI13" s="83" t="s">
        <v>489</v>
      </c>
      <c r="GJ13" s="142">
        <f>B219</f>
        <v>1</v>
      </c>
      <c r="GK13" s="83"/>
      <c r="GL13" s="83" t="s">
        <v>489</v>
      </c>
      <c r="GM13" s="142">
        <f>B219</f>
        <v>1</v>
      </c>
      <c r="GN13" s="84"/>
      <c r="GO13" s="83" t="s">
        <v>363</v>
      </c>
      <c r="GP13" s="141">
        <f>B168</f>
        <v>1</v>
      </c>
      <c r="GQ13" s="92" t="s">
        <v>60</v>
      </c>
      <c r="GR13" s="83"/>
      <c r="GS13" s="83"/>
      <c r="GT13" s="83"/>
      <c r="GU13" s="83" t="s">
        <v>493</v>
      </c>
      <c r="GV13" s="142">
        <f>B224</f>
        <v>1</v>
      </c>
      <c r="GW13" s="83"/>
      <c r="GX13" s="83" t="s">
        <v>493</v>
      </c>
      <c r="GY13" s="142">
        <f>B224</f>
        <v>1</v>
      </c>
      <c r="GZ13" s="83"/>
      <c r="HA13" s="83" t="s">
        <v>493</v>
      </c>
      <c r="HB13" s="142">
        <f>B224</f>
        <v>1</v>
      </c>
      <c r="HC13" s="84"/>
      <c r="HD13" s="84" t="s">
        <v>59</v>
      </c>
      <c r="HE13" s="150">
        <f>B45</f>
        <v>10</v>
      </c>
    </row>
    <row r="14" spans="1:214" ht="13.5" thickTop="1" x14ac:dyDescent="0.2">
      <c r="A14" s="375" t="s">
        <v>233</v>
      </c>
      <c r="B14" s="376"/>
      <c r="C14" s="377"/>
      <c r="D14" s="83" t="s">
        <v>367</v>
      </c>
      <c r="E14" s="141">
        <f>B51</f>
        <v>10</v>
      </c>
      <c r="F14" s="92" t="s">
        <v>407</v>
      </c>
      <c r="G14" s="83" t="s">
        <v>264</v>
      </c>
      <c r="H14" s="145">
        <f>H5/(H9*(H22+H25)*H41)</f>
        <v>4.9364116957344564</v>
      </c>
      <c r="I14" s="92" t="s">
        <v>10</v>
      </c>
      <c r="J14" s="83" t="s">
        <v>260</v>
      </c>
      <c r="K14" s="143">
        <f>(K5/(K6*K19*(1/K46)))*K11</f>
        <v>2232.7891739104884</v>
      </c>
      <c r="L14" s="92" t="s">
        <v>10</v>
      </c>
      <c r="M14" s="52" t="s">
        <v>408</v>
      </c>
      <c r="N14" s="150">
        <f>B88</f>
        <v>5</v>
      </c>
      <c r="O14" s="52" t="s">
        <v>194</v>
      </c>
      <c r="P14" s="52" t="s">
        <v>408</v>
      </c>
      <c r="Q14" s="150">
        <f>B88</f>
        <v>5</v>
      </c>
      <c r="R14" s="52" t="s">
        <v>194</v>
      </c>
      <c r="S14" s="52" t="s">
        <v>408</v>
      </c>
      <c r="T14" s="150">
        <f>B88</f>
        <v>5</v>
      </c>
      <c r="U14" s="52" t="s">
        <v>194</v>
      </c>
      <c r="V14" s="83" t="s">
        <v>256</v>
      </c>
      <c r="W14" s="136">
        <f>B27</f>
        <v>4763.3999999999996</v>
      </c>
      <c r="X14" s="83" t="s">
        <v>343</v>
      </c>
      <c r="Y14" s="83" t="s">
        <v>256</v>
      </c>
      <c r="Z14" s="136">
        <f>B27</f>
        <v>4763.3999999999996</v>
      </c>
      <c r="AA14" s="83" t="s">
        <v>343</v>
      </c>
      <c r="AB14" s="83" t="s">
        <v>300</v>
      </c>
      <c r="AC14" s="161">
        <f>B3</f>
        <v>8.5099999999999995E-2</v>
      </c>
      <c r="AD14" s="161">
        <f>B3</f>
        <v>8.5099999999999995E-2</v>
      </c>
      <c r="AE14" s="161">
        <f>B3</f>
        <v>8.5099999999999995E-2</v>
      </c>
      <c r="AF14" s="161">
        <f>B3</f>
        <v>8.5099999999999995E-2</v>
      </c>
      <c r="AG14" s="161">
        <f>B3</f>
        <v>8.5099999999999995E-2</v>
      </c>
      <c r="AH14" s="92"/>
      <c r="AI14" s="52" t="s">
        <v>57</v>
      </c>
      <c r="AJ14" s="136">
        <f>B242</f>
        <v>5</v>
      </c>
      <c r="AK14" s="52" t="s">
        <v>194</v>
      </c>
      <c r="AL14" s="52" t="s">
        <v>57</v>
      </c>
      <c r="AM14" s="136">
        <f>B242</f>
        <v>5</v>
      </c>
      <c r="AN14" s="52" t="s">
        <v>194</v>
      </c>
      <c r="AO14" s="52" t="s">
        <v>57</v>
      </c>
      <c r="AP14" s="136">
        <f>B242</f>
        <v>5</v>
      </c>
      <c r="AQ14" s="52" t="s">
        <v>194</v>
      </c>
      <c r="AR14" s="52" t="s">
        <v>57</v>
      </c>
      <c r="AS14" s="136">
        <f>B252</f>
        <v>5</v>
      </c>
      <c r="AT14" s="52" t="s">
        <v>194</v>
      </c>
      <c r="AU14" s="52" t="s">
        <v>57</v>
      </c>
      <c r="AV14" s="136">
        <f>B252</f>
        <v>5</v>
      </c>
      <c r="AW14" s="52" t="s">
        <v>194</v>
      </c>
      <c r="AX14" s="52" t="s">
        <v>57</v>
      </c>
      <c r="AY14" s="136">
        <f>B252</f>
        <v>5</v>
      </c>
      <c r="AZ14" s="52" t="s">
        <v>194</v>
      </c>
      <c r="BA14" s="52" t="s">
        <v>57</v>
      </c>
      <c r="BB14" s="136">
        <f>B232</f>
        <v>5</v>
      </c>
      <c r="BC14" s="52" t="s">
        <v>194</v>
      </c>
      <c r="BD14" s="52" t="s">
        <v>57</v>
      </c>
      <c r="BE14" s="136">
        <f>B232</f>
        <v>5</v>
      </c>
      <c r="BF14" s="52" t="s">
        <v>194</v>
      </c>
      <c r="BG14" s="52" t="s">
        <v>58</v>
      </c>
      <c r="BH14" s="136">
        <f>B232</f>
        <v>5</v>
      </c>
      <c r="BI14" s="52" t="s">
        <v>194</v>
      </c>
      <c r="BJ14" s="52" t="s">
        <v>413</v>
      </c>
      <c r="BK14" s="136">
        <f>B4</f>
        <v>0.74199999999999999</v>
      </c>
      <c r="BM14" s="52" t="s">
        <v>414</v>
      </c>
      <c r="BN14" s="136">
        <f>B7</f>
        <v>0.65300000000000002</v>
      </c>
      <c r="BP14" s="52" t="s">
        <v>416</v>
      </c>
      <c r="BQ14" s="136">
        <f>B11</f>
        <v>0.73599999999999999</v>
      </c>
      <c r="BS14" s="52" t="s">
        <v>432</v>
      </c>
      <c r="BT14" s="141">
        <f>B117</f>
        <v>5</v>
      </c>
      <c r="BU14" s="52" t="s">
        <v>194</v>
      </c>
      <c r="BV14" s="83" t="s">
        <v>439</v>
      </c>
      <c r="BW14" s="146">
        <f>B105</f>
        <v>2</v>
      </c>
      <c r="BX14" s="83" t="s">
        <v>357</v>
      </c>
      <c r="BY14" s="83" t="s">
        <v>261</v>
      </c>
      <c r="BZ14" s="144">
        <f>(BZ5/(BZ7*BZ17*(1/BZ9)*BZ32))*BZ10</f>
        <v>87949259.02688396</v>
      </c>
      <c r="CA14" s="92" t="s">
        <v>10</v>
      </c>
      <c r="CB14" s="52" t="s">
        <v>412</v>
      </c>
      <c r="CC14" s="139">
        <f>B22</f>
        <v>3.19428</v>
      </c>
      <c r="CD14" s="84" t="s">
        <v>353</v>
      </c>
      <c r="CE14" s="52" t="s">
        <v>415</v>
      </c>
      <c r="CF14" s="139">
        <f>B24</f>
        <v>0.63512000000000002</v>
      </c>
      <c r="CG14" s="84" t="s">
        <v>353</v>
      </c>
      <c r="CH14" s="52" t="s">
        <v>417</v>
      </c>
      <c r="CI14" s="139">
        <f>B26</f>
        <v>2.8393600000000001</v>
      </c>
      <c r="CJ14" s="84" t="s">
        <v>353</v>
      </c>
      <c r="CK14" s="84"/>
      <c r="CL14" s="84"/>
      <c r="CM14" s="84"/>
      <c r="CN14" s="52" t="s">
        <v>95</v>
      </c>
      <c r="CO14" s="164">
        <f>B127</f>
        <v>1</v>
      </c>
      <c r="CQ14" s="84"/>
      <c r="CR14" s="84"/>
      <c r="CS14" s="84"/>
      <c r="CT14" s="83" t="s">
        <v>260</v>
      </c>
      <c r="CU14" s="143">
        <f>(CU5/(CU6*CU25*(1/CU46)))*CU11</f>
        <v>2388.1136381825231</v>
      </c>
      <c r="CV14" s="92" t="s">
        <v>10</v>
      </c>
      <c r="CW14" s="83" t="s">
        <v>459</v>
      </c>
      <c r="CX14" s="141">
        <f>B146</f>
        <v>10</v>
      </c>
      <c r="CY14" s="92" t="s">
        <v>407</v>
      </c>
      <c r="CZ14" s="83" t="s">
        <v>261</v>
      </c>
      <c r="DA14" s="144">
        <f>DA5/(DA7*DA25*DA45)</f>
        <v>9.349440424231755</v>
      </c>
      <c r="DB14" s="83" t="s">
        <v>11</v>
      </c>
      <c r="DC14" s="83" t="s">
        <v>465</v>
      </c>
      <c r="DD14" s="146">
        <f>B166</f>
        <v>150</v>
      </c>
      <c r="DE14" s="83" t="s">
        <v>24</v>
      </c>
      <c r="DF14" s="92" t="s">
        <v>393</v>
      </c>
      <c r="DG14" s="138">
        <f>B47</f>
        <v>0.26</v>
      </c>
      <c r="DL14" s="92"/>
      <c r="DO14" s="92" t="s">
        <v>393</v>
      </c>
      <c r="DP14" s="138">
        <f>B47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B200</f>
        <v>1.03</v>
      </c>
      <c r="DZ14" s="52" t="s">
        <v>286</v>
      </c>
      <c r="EA14" s="52" t="s">
        <v>518</v>
      </c>
      <c r="EB14" s="146">
        <f>B200</f>
        <v>1.03</v>
      </c>
      <c r="EC14" s="52" t="s">
        <v>286</v>
      </c>
      <c r="ED14" s="92" t="s">
        <v>392</v>
      </c>
      <c r="EE14" s="163">
        <f>B48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B168</f>
        <v>1</v>
      </c>
      <c r="EP14" s="92"/>
      <c r="EQ14" s="84"/>
      <c r="ER14" s="84"/>
      <c r="ES14" s="92" t="s">
        <v>392</v>
      </c>
      <c r="ET14" s="163">
        <f>B48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B168</f>
        <v>1</v>
      </c>
      <c r="FE14" s="83"/>
      <c r="FF14" s="83"/>
      <c r="FG14" s="83"/>
      <c r="FH14" s="83" t="s">
        <v>392</v>
      </c>
      <c r="FI14" s="142">
        <f>B48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88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B168</f>
        <v>1</v>
      </c>
      <c r="GI14" s="83"/>
      <c r="GJ14" s="83"/>
      <c r="GK14" s="83"/>
      <c r="GL14" s="83" t="s">
        <v>392</v>
      </c>
      <c r="GM14" s="142">
        <f>B48</f>
        <v>0.25</v>
      </c>
      <c r="GN14" s="84"/>
      <c r="GO14" s="92" t="s">
        <v>484</v>
      </c>
      <c r="GP14" s="146">
        <f>B188</f>
        <v>1</v>
      </c>
      <c r="GR14" s="83"/>
      <c r="GS14" s="83"/>
      <c r="GT14" s="83"/>
      <c r="GU14" s="52" t="s">
        <v>350</v>
      </c>
      <c r="GV14" s="164">
        <f>B168</f>
        <v>1</v>
      </c>
      <c r="GX14" s="83"/>
      <c r="GY14" s="83"/>
      <c r="GZ14" s="83"/>
      <c r="HA14" s="83" t="s">
        <v>392</v>
      </c>
      <c r="HB14" s="142">
        <f>B48</f>
        <v>0.25</v>
      </c>
      <c r="HC14" s="84"/>
      <c r="HD14" s="52" t="s">
        <v>225</v>
      </c>
      <c r="HE14" s="138">
        <v>1</v>
      </c>
    </row>
    <row r="15" spans="1:214" x14ac:dyDescent="0.2">
      <c r="A15" s="375"/>
      <c r="B15" s="376"/>
      <c r="C15" s="377"/>
      <c r="D15" s="52" t="s">
        <v>384</v>
      </c>
      <c r="E15" s="138">
        <f>B71</f>
        <v>24</v>
      </c>
      <c r="F15" s="52" t="s">
        <v>194</v>
      </c>
      <c r="G15" s="83" t="s">
        <v>395</v>
      </c>
      <c r="H15" s="147">
        <f>(H29*H17*H68)+(H30*H18*H69)</f>
        <v>181.875</v>
      </c>
      <c r="I15" s="83" t="s">
        <v>345</v>
      </c>
      <c r="J15" s="83" t="s">
        <v>261</v>
      </c>
      <c r="K15" s="144">
        <f>(K5/(K7*K20*(1/K10)*K45))*K11</f>
        <v>6718346.1756647462</v>
      </c>
      <c r="L15" s="92" t="s">
        <v>10</v>
      </c>
      <c r="M15" s="52" t="s">
        <v>412</v>
      </c>
      <c r="N15" s="139">
        <f>B22</f>
        <v>3.19428</v>
      </c>
      <c r="O15" s="84" t="s">
        <v>353</v>
      </c>
      <c r="P15" s="52" t="s">
        <v>415</v>
      </c>
      <c r="Q15" s="139">
        <f>B24</f>
        <v>0.63512000000000002</v>
      </c>
      <c r="R15" s="84" t="s">
        <v>353</v>
      </c>
      <c r="S15" s="52" t="s">
        <v>417</v>
      </c>
      <c r="T15" s="139">
        <f>B26</f>
        <v>2.8393600000000001</v>
      </c>
      <c r="U15" s="84" t="s">
        <v>353</v>
      </c>
      <c r="V15" s="83" t="s">
        <v>301</v>
      </c>
      <c r="W15" s="142">
        <f>B250</f>
        <v>2</v>
      </c>
      <c r="Y15" s="83" t="s">
        <v>301</v>
      </c>
      <c r="Z15" s="142">
        <f>B230</f>
        <v>2</v>
      </c>
      <c r="AB15" s="83" t="s">
        <v>232</v>
      </c>
      <c r="AC15" s="141">
        <f>B226</f>
        <v>50</v>
      </c>
      <c r="AD15" s="141">
        <f>B236</f>
        <v>50</v>
      </c>
      <c r="AE15" s="141">
        <f>B246</f>
        <v>50</v>
      </c>
      <c r="AF15" s="141">
        <f>B256</f>
        <v>50</v>
      </c>
      <c r="AG15" s="141">
        <f>B268</f>
        <v>50</v>
      </c>
      <c r="AH15" s="92" t="s">
        <v>407</v>
      </c>
      <c r="AI15" s="52" t="s">
        <v>412</v>
      </c>
      <c r="AJ15" s="139">
        <f>B22</f>
        <v>3.19428</v>
      </c>
      <c r="AK15" s="84" t="s">
        <v>353</v>
      </c>
      <c r="AL15" s="52" t="s">
        <v>415</v>
      </c>
      <c r="AM15" s="139">
        <f>B24</f>
        <v>0.63512000000000002</v>
      </c>
      <c r="AN15" s="84" t="s">
        <v>353</v>
      </c>
      <c r="AO15" s="52" t="s">
        <v>417</v>
      </c>
      <c r="AP15" s="139">
        <f>B26</f>
        <v>2.8393600000000001</v>
      </c>
      <c r="AQ15" s="84" t="s">
        <v>353</v>
      </c>
      <c r="AR15" s="52" t="s">
        <v>412</v>
      </c>
      <c r="AS15" s="139">
        <f>B22</f>
        <v>3.19428</v>
      </c>
      <c r="AT15" s="84" t="s">
        <v>353</v>
      </c>
      <c r="AU15" s="52" t="s">
        <v>415</v>
      </c>
      <c r="AV15" s="139">
        <f>B24</f>
        <v>0.63512000000000002</v>
      </c>
      <c r="AW15" s="84" t="s">
        <v>353</v>
      </c>
      <c r="AX15" s="52" t="s">
        <v>417</v>
      </c>
      <c r="AY15" s="139">
        <f>B26</f>
        <v>2.8393600000000001</v>
      </c>
      <c r="AZ15" s="84" t="s">
        <v>353</v>
      </c>
      <c r="BA15" s="52" t="s">
        <v>412</v>
      </c>
      <c r="BB15" s="139">
        <f>B22</f>
        <v>3.19428</v>
      </c>
      <c r="BC15" s="84" t="s">
        <v>353</v>
      </c>
      <c r="BD15" s="52" t="s">
        <v>415</v>
      </c>
      <c r="BE15" s="139">
        <f>B24</f>
        <v>0.63512000000000002</v>
      </c>
      <c r="BF15" s="84" t="s">
        <v>353</v>
      </c>
      <c r="BG15" s="52" t="s">
        <v>417</v>
      </c>
      <c r="BH15" s="139">
        <f>B26</f>
        <v>2.8393600000000001</v>
      </c>
      <c r="BI15" s="84" t="s">
        <v>353</v>
      </c>
      <c r="BJ15" s="52" t="s">
        <v>57</v>
      </c>
      <c r="BK15" s="136">
        <f>B262</f>
        <v>5</v>
      </c>
      <c r="BL15" s="52" t="s">
        <v>194</v>
      </c>
      <c r="BM15" s="52" t="s">
        <v>57</v>
      </c>
      <c r="BN15" s="136">
        <f>B262</f>
        <v>5</v>
      </c>
      <c r="BO15" s="52" t="s">
        <v>194</v>
      </c>
      <c r="BP15" s="52" t="s">
        <v>57</v>
      </c>
      <c r="BQ15" s="136">
        <f>B262</f>
        <v>5</v>
      </c>
      <c r="BR15" s="52" t="s">
        <v>194</v>
      </c>
      <c r="BS15" s="52" t="s">
        <v>90</v>
      </c>
      <c r="BT15" s="138">
        <f>B118</f>
        <v>5</v>
      </c>
      <c r="BU15" s="52" t="s">
        <v>194</v>
      </c>
      <c r="BV15" s="83" t="s">
        <v>438</v>
      </c>
      <c r="BW15" s="146">
        <f>B106</f>
        <v>2</v>
      </c>
      <c r="BX15" s="83" t="s">
        <v>357</v>
      </c>
      <c r="BY15" s="83" t="s">
        <v>262</v>
      </c>
      <c r="BZ15" s="145">
        <f>((BZ5)/(BZ8*BZ22*(1/BZ31)*BZ25*(1/24)*BZ28*BZ29))*BZ10</f>
        <v>159.75105383138236</v>
      </c>
      <c r="CA15" s="92" t="s">
        <v>10</v>
      </c>
      <c r="CN15" s="83" t="s">
        <v>22</v>
      </c>
      <c r="CO15" s="137">
        <f>0.693/CO16</f>
        <v>2.2972045705420805E-2</v>
      </c>
      <c r="CT15" s="83" t="s">
        <v>261</v>
      </c>
      <c r="CU15" s="144">
        <f>(CU5/(CU7*CU26*(1/CU10)*CU45))*CU11</f>
        <v>6427823.0977981631</v>
      </c>
      <c r="CV15" s="92" t="s">
        <v>10</v>
      </c>
      <c r="CW15" s="52" t="s">
        <v>365</v>
      </c>
      <c r="CX15" s="138">
        <f>B170</f>
        <v>24</v>
      </c>
      <c r="CY15" s="52" t="s">
        <v>194</v>
      </c>
      <c r="CZ15" s="83" t="s">
        <v>266</v>
      </c>
      <c r="DA15" s="153">
        <f>DA5/(DA8*DA26*(DA46/DA47))</f>
        <v>1.4931408586132648</v>
      </c>
      <c r="DB15" s="83" t="s">
        <v>11</v>
      </c>
      <c r="DC15" s="83" t="s">
        <v>456</v>
      </c>
      <c r="DD15" s="146">
        <f>B165</f>
        <v>150</v>
      </c>
      <c r="DE15" s="83" t="s">
        <v>24</v>
      </c>
      <c r="DF15" s="92" t="s">
        <v>61</v>
      </c>
      <c r="DG15" s="138">
        <f>B193</f>
        <v>0.42</v>
      </c>
      <c r="DH15" s="52" t="s">
        <v>41</v>
      </c>
      <c r="DL15" s="92"/>
      <c r="DO15" s="92" t="s">
        <v>61</v>
      </c>
      <c r="DP15" s="138">
        <f>B193</f>
        <v>0.42</v>
      </c>
      <c r="DQ15" s="52" t="s">
        <v>41</v>
      </c>
      <c r="DR15" s="92" t="s">
        <v>479</v>
      </c>
      <c r="DS15" s="146">
        <f>B183</f>
        <v>1</v>
      </c>
      <c r="DU15" s="92"/>
      <c r="DX15" s="52" t="s">
        <v>350</v>
      </c>
      <c r="DY15" s="164">
        <f>B168</f>
        <v>1</v>
      </c>
      <c r="EA15" s="92"/>
      <c r="EB15" s="84"/>
      <c r="EC15" s="84"/>
      <c r="ED15" s="83" t="s">
        <v>27</v>
      </c>
      <c r="EE15" s="142">
        <f>B199</f>
        <v>92</v>
      </c>
      <c r="EF15" s="83" t="s">
        <v>28</v>
      </c>
      <c r="EG15" s="92" t="s">
        <v>480</v>
      </c>
      <c r="EH15" s="146">
        <f>B184</f>
        <v>1</v>
      </c>
      <c r="EJ15" s="92"/>
      <c r="EM15" s="83" t="s">
        <v>22</v>
      </c>
      <c r="EN15" s="137">
        <f>0.693/EN16</f>
        <v>2.2972045705420805E-2</v>
      </c>
      <c r="EP15" s="92"/>
      <c r="EQ15" s="84"/>
      <c r="ER15" s="84"/>
      <c r="ES15" s="83" t="s">
        <v>29</v>
      </c>
      <c r="ET15" s="142">
        <f>B205</f>
        <v>53</v>
      </c>
      <c r="EU15" s="83" t="s">
        <v>28</v>
      </c>
      <c r="EV15" s="92" t="s">
        <v>481</v>
      </c>
      <c r="EW15" s="146">
        <f>B185</f>
        <v>1</v>
      </c>
      <c r="EY15" s="83"/>
      <c r="EZ15" s="83"/>
      <c r="FA15" s="83"/>
      <c r="FB15" s="83" t="s">
        <v>22</v>
      </c>
      <c r="FC15" s="137">
        <f>0.693/FC16</f>
        <v>2.2972045705420805E-2</v>
      </c>
      <c r="FE15" s="83"/>
      <c r="FF15" s="83"/>
      <c r="FG15" s="83"/>
      <c r="FH15" s="83" t="s">
        <v>148</v>
      </c>
      <c r="FI15" s="164">
        <f>B210</f>
        <v>0.4</v>
      </c>
      <c r="FJ15" s="83" t="s">
        <v>28</v>
      </c>
      <c r="FK15" s="92" t="s">
        <v>482</v>
      </c>
      <c r="FL15" s="146">
        <f>B186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B187</f>
        <v>1</v>
      </c>
      <c r="GC15" s="83"/>
      <c r="GD15" s="83"/>
      <c r="GE15" s="83"/>
      <c r="GF15" s="83" t="s">
        <v>22</v>
      </c>
      <c r="GG15" s="137">
        <f>0.693/GG16</f>
        <v>2.2972045705420805E-2</v>
      </c>
      <c r="GI15" s="83"/>
      <c r="GJ15" s="83"/>
      <c r="GK15" s="83"/>
      <c r="GL15" s="83" t="s">
        <v>149</v>
      </c>
      <c r="GM15" s="164">
        <f>B215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2.2972045705420805E-2</v>
      </c>
      <c r="GX15" s="83"/>
      <c r="GY15" s="83"/>
      <c r="GZ15" s="83"/>
      <c r="HA15" s="83" t="s">
        <v>150</v>
      </c>
      <c r="HB15" s="142">
        <f>B220</f>
        <v>11.4</v>
      </c>
      <c r="HC15" s="83" t="s">
        <v>28</v>
      </c>
      <c r="HD15" s="84"/>
    </row>
    <row r="16" spans="1:214" s="83" customFormat="1" ht="13.5" thickBot="1" x14ac:dyDescent="0.25">
      <c r="A16" s="378"/>
      <c r="B16" s="379"/>
      <c r="C16" s="380"/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1327.5</v>
      </c>
      <c r="I16" s="83" t="s">
        <v>426</v>
      </c>
      <c r="J16" s="83" t="s">
        <v>262</v>
      </c>
      <c r="K16" s="144">
        <f>(K5/(K8*K42*((K37*K41*(1/K35))+(K38*K40*(1/K35)))*K32*(1/K44)*K33))*K11</f>
        <v>2.3906601040966384</v>
      </c>
      <c r="L16" s="92" t="s">
        <v>10</v>
      </c>
      <c r="M16" s="52" t="s">
        <v>409</v>
      </c>
      <c r="N16" s="150">
        <f>B89</f>
        <v>25</v>
      </c>
      <c r="O16" s="52" t="s">
        <v>194</v>
      </c>
      <c r="P16" s="52" t="s">
        <v>409</v>
      </c>
      <c r="Q16" s="150">
        <f>B89</f>
        <v>25</v>
      </c>
      <c r="R16" s="52" t="s">
        <v>194</v>
      </c>
      <c r="S16" s="52" t="s">
        <v>409</v>
      </c>
      <c r="T16" s="150">
        <f>B89</f>
        <v>25</v>
      </c>
      <c r="U16" s="52" t="s">
        <v>194</v>
      </c>
      <c r="V16" s="52" t="s">
        <v>261</v>
      </c>
      <c r="W16" s="143">
        <f>(W5)/((W12/24)*W9*W10*W11*W13)</f>
        <v>4.9813818580306783</v>
      </c>
      <c r="X16" s="52" t="s">
        <v>15</v>
      </c>
      <c r="Y16" s="52" t="s">
        <v>261</v>
      </c>
      <c r="Z16" s="143">
        <f>(Z5)/((Z12/24)*Z9*Z10*Z11*Z13)</f>
        <v>4.9813818580306783</v>
      </c>
      <c r="AA16" s="52" t="s">
        <v>15</v>
      </c>
      <c r="AB16" s="83" t="s">
        <v>299</v>
      </c>
      <c r="AC16" s="141">
        <f>B231</f>
        <v>1</v>
      </c>
      <c r="AD16" s="141">
        <f>B241</f>
        <v>1</v>
      </c>
      <c r="AE16" s="141">
        <f>B251</f>
        <v>1</v>
      </c>
      <c r="AF16" s="141">
        <f>B261</f>
        <v>1</v>
      </c>
      <c r="AG16" s="141">
        <f>B272</f>
        <v>1</v>
      </c>
      <c r="AH16" s="92"/>
      <c r="AI16" s="52" t="s">
        <v>69</v>
      </c>
      <c r="AJ16" s="136">
        <f>B243</f>
        <v>5</v>
      </c>
      <c r="AK16" s="52" t="s">
        <v>194</v>
      </c>
      <c r="AL16" s="52" t="s">
        <v>69</v>
      </c>
      <c r="AM16" s="136">
        <f>B243</f>
        <v>5</v>
      </c>
      <c r="AN16" s="52" t="s">
        <v>194</v>
      </c>
      <c r="AO16" s="52" t="s">
        <v>69</v>
      </c>
      <c r="AP16" s="136">
        <f>B243</f>
        <v>5</v>
      </c>
      <c r="AQ16" s="52" t="s">
        <v>194</v>
      </c>
      <c r="AR16" s="52" t="s">
        <v>69</v>
      </c>
      <c r="AS16" s="136">
        <f>B253</f>
        <v>5</v>
      </c>
      <c r="AT16" s="52" t="s">
        <v>194</v>
      </c>
      <c r="AU16" s="52" t="s">
        <v>69</v>
      </c>
      <c r="AV16" s="136">
        <f>B253</f>
        <v>5</v>
      </c>
      <c r="AW16" s="52" t="s">
        <v>194</v>
      </c>
      <c r="AX16" s="52" t="s">
        <v>69</v>
      </c>
      <c r="AY16" s="136">
        <f>B253</f>
        <v>5</v>
      </c>
      <c r="AZ16" s="52" t="s">
        <v>194</v>
      </c>
      <c r="BA16" s="52" t="s">
        <v>69</v>
      </c>
      <c r="BB16" s="136">
        <f>B233</f>
        <v>5</v>
      </c>
      <c r="BC16" s="52" t="s">
        <v>194</v>
      </c>
      <c r="BD16" s="52" t="s">
        <v>69</v>
      </c>
      <c r="BE16" s="136">
        <f>B233</f>
        <v>5</v>
      </c>
      <c r="BF16" s="52" t="s">
        <v>194</v>
      </c>
      <c r="BG16" s="52" t="s">
        <v>69</v>
      </c>
      <c r="BH16" s="136">
        <f>B233</f>
        <v>5</v>
      </c>
      <c r="BI16" s="52" t="s">
        <v>194</v>
      </c>
      <c r="BJ16" s="52" t="s">
        <v>412</v>
      </c>
      <c r="BK16" s="139">
        <f>B22</f>
        <v>3.19428</v>
      </c>
      <c r="BL16" s="84" t="s">
        <v>353</v>
      </c>
      <c r="BM16" s="52" t="s">
        <v>415</v>
      </c>
      <c r="BN16" s="139">
        <f>B24</f>
        <v>0.63512000000000002</v>
      </c>
      <c r="BO16" s="84" t="s">
        <v>353</v>
      </c>
      <c r="BP16" s="52" t="s">
        <v>417</v>
      </c>
      <c r="BQ16" s="139">
        <f>B26</f>
        <v>2.8393600000000001</v>
      </c>
      <c r="BR16" s="84" t="s">
        <v>353</v>
      </c>
      <c r="BS16" s="83" t="s">
        <v>256</v>
      </c>
      <c r="BT16" s="136">
        <f>E17</f>
        <v>4763.3999999999996</v>
      </c>
      <c r="BU16" s="83" t="s">
        <v>343</v>
      </c>
      <c r="BV16" s="83" t="s">
        <v>437</v>
      </c>
      <c r="BW16" s="140">
        <f>((BW18*BW20*BW23*BW30)+(BW19*BW21*BW24*BW31))</f>
        <v>1375</v>
      </c>
      <c r="BX16" s="83" t="s">
        <v>356</v>
      </c>
      <c r="BY16" s="83" t="s">
        <v>46</v>
      </c>
      <c r="BZ16" s="149">
        <f>(BZ18*BZ22*BZ34)+(BZ19*BZ23*BZ35)</f>
        <v>3382.5</v>
      </c>
      <c r="CA16" s="83" t="s">
        <v>346</v>
      </c>
      <c r="CN16" s="91" t="s">
        <v>231</v>
      </c>
      <c r="CO16" s="136">
        <f>B30</f>
        <v>30.167100000000001</v>
      </c>
      <c r="CP16" s="52" t="s">
        <v>60</v>
      </c>
      <c r="CT16" s="83" t="s">
        <v>262</v>
      </c>
      <c r="CU16" s="144">
        <f>(CU5/(CU8*CU42*((CU37*CU41*(1/24))+(CU38*CU40*(1/24)))*CU32*(1/CU44)))*CU11</f>
        <v>3.9709753708690356</v>
      </c>
      <c r="CV16" s="92" t="s">
        <v>10</v>
      </c>
      <c r="CW16" s="52" t="s">
        <v>364</v>
      </c>
      <c r="CX16" s="138">
        <f>B169</f>
        <v>24</v>
      </c>
      <c r="CY16" s="52" t="s">
        <v>194</v>
      </c>
      <c r="CZ16" s="83" t="s">
        <v>512</v>
      </c>
      <c r="DA16" s="153">
        <f>DG2</f>
        <v>110.87366793114637</v>
      </c>
      <c r="DB16" s="83" t="s">
        <v>11</v>
      </c>
      <c r="DC16" s="83" t="s">
        <v>363</v>
      </c>
      <c r="DD16" s="146">
        <f>B168</f>
        <v>1</v>
      </c>
      <c r="DE16" s="83" t="s">
        <v>60</v>
      </c>
      <c r="DF16" s="92" t="s">
        <v>63</v>
      </c>
      <c r="DG16" s="151">
        <f>DG20+(0.693/DG22)</f>
        <v>4.9562937111521696E-2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2.2972045705420805E-2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B30</f>
        <v>30.167100000000001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B30</f>
        <v>30.167100000000001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B30</f>
        <v>30.167100000000001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B163</f>
        <v>0.15</v>
      </c>
      <c r="GQ16" s="52"/>
      <c r="GU16" s="91" t="s">
        <v>231</v>
      </c>
      <c r="GV16" s="136">
        <f>B30</f>
        <v>30.167100000000001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</row>
    <row r="17" spans="1:214" ht="14.25" thickTop="1" thickBot="1" x14ac:dyDescent="0.25">
      <c r="A17" s="52" t="s">
        <v>267</v>
      </c>
      <c r="B17" s="129">
        <v>1</v>
      </c>
      <c r="C17" s="52" t="s">
        <v>344</v>
      </c>
      <c r="D17" s="83" t="s">
        <v>256</v>
      </c>
      <c r="E17" s="136">
        <f>B27</f>
        <v>4763.3999999999996</v>
      </c>
      <c r="F17" s="83" t="s">
        <v>343</v>
      </c>
      <c r="G17" s="83" t="s">
        <v>370</v>
      </c>
      <c r="H17" s="146">
        <f>B54</f>
        <v>0.25</v>
      </c>
      <c r="I17" s="52" t="s">
        <v>28</v>
      </c>
      <c r="J17" s="83" t="s">
        <v>263</v>
      </c>
      <c r="K17" s="153">
        <f>(K18/(K47+K48))*K11</f>
        <v>17.506323024225438</v>
      </c>
      <c r="L17" s="92" t="s">
        <v>10</v>
      </c>
      <c r="M17" s="83"/>
      <c r="N17" s="83"/>
      <c r="O17" s="83"/>
      <c r="P17" s="83"/>
      <c r="Q17" s="83"/>
      <c r="R17" s="83"/>
      <c r="S17" s="83"/>
      <c r="T17" s="83"/>
      <c r="U17" s="83"/>
      <c r="V17" s="52" t="s">
        <v>271</v>
      </c>
      <c r="W17" s="144">
        <f>(W5)/((W12/24)*W9*W14*(1/365))</f>
        <v>2.9424360750724271E-3</v>
      </c>
      <c r="X17" s="52" t="s">
        <v>15</v>
      </c>
      <c r="Y17" s="52" t="s">
        <v>271</v>
      </c>
      <c r="Z17" s="144">
        <f>(Z5)/((Z12/24)*Z9*Z14*(1/365))</f>
        <v>2.9424360750724271E-3</v>
      </c>
      <c r="AA17" s="52" t="s">
        <v>15</v>
      </c>
      <c r="AB17" s="83" t="s">
        <v>413</v>
      </c>
      <c r="AC17" s="161">
        <f>B4</f>
        <v>0.74199999999999999</v>
      </c>
      <c r="AD17" s="161">
        <f>B4</f>
        <v>0.74199999999999999</v>
      </c>
      <c r="AE17" s="161">
        <f>B4</f>
        <v>0.74199999999999999</v>
      </c>
      <c r="AF17" s="161">
        <f>B4</f>
        <v>0.74199999999999999</v>
      </c>
      <c r="AG17" s="161">
        <f>B4</f>
        <v>0.74199999999999999</v>
      </c>
      <c r="AH17" s="92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K17" s="83"/>
      <c r="BL17" s="83"/>
      <c r="BM17" s="83"/>
      <c r="BN17" s="83"/>
      <c r="BO17" s="83"/>
      <c r="BP17" s="83"/>
      <c r="BQ17" s="83"/>
      <c r="BR17" s="83"/>
      <c r="BS17" s="83" t="s">
        <v>301</v>
      </c>
      <c r="BT17" s="142">
        <f>B121</f>
        <v>2</v>
      </c>
      <c r="BV17" s="83" t="s">
        <v>65</v>
      </c>
      <c r="BW17" s="141">
        <f>B126</f>
        <v>0.5</v>
      </c>
      <c r="BX17" s="52" t="s">
        <v>66</v>
      </c>
      <c r="BY17" s="83" t="s">
        <v>43</v>
      </c>
      <c r="BZ17" s="149">
        <f>(BZ24*BZ20*(BZ26/24)*BZ34)+(BZ23*BZ21*(BZ27/24)*BZ35)</f>
        <v>101.40625</v>
      </c>
      <c r="CA17" s="52" t="s">
        <v>426</v>
      </c>
      <c r="CN17" s="84" t="s">
        <v>16</v>
      </c>
      <c r="CO17" s="137">
        <f>(CO14*CO15)/(1-EXP(-CO15*CO14))</f>
        <v>1.0115299987062558</v>
      </c>
      <c r="CT17" s="83" t="s">
        <v>263</v>
      </c>
      <c r="CU17" s="153">
        <f>DJ2</f>
        <v>4.3765807560563594</v>
      </c>
      <c r="CV17" s="92" t="s">
        <v>10</v>
      </c>
      <c r="CW17" s="83" t="s">
        <v>256</v>
      </c>
      <c r="CX17" s="136">
        <f>B27</f>
        <v>4763.3999999999996</v>
      </c>
      <c r="CY17" s="83" t="s">
        <v>343</v>
      </c>
      <c r="CZ17" s="83" t="s">
        <v>511</v>
      </c>
      <c r="DA17" s="153">
        <f>DD2</f>
        <v>1.2341029239336141</v>
      </c>
      <c r="DB17" s="83" t="s">
        <v>10</v>
      </c>
      <c r="DC17" s="93"/>
      <c r="DD17" s="136">
        <v>9.9999999999999995E-7</v>
      </c>
      <c r="DE17" s="88"/>
      <c r="DF17" s="92" t="s">
        <v>67</v>
      </c>
      <c r="DG17" s="142">
        <f>B194</f>
        <v>60</v>
      </c>
      <c r="DH17" s="83" t="s">
        <v>53</v>
      </c>
      <c r="DL17" s="92"/>
      <c r="DM17" s="83"/>
      <c r="DN17" s="83"/>
      <c r="DO17" s="92" t="s">
        <v>67</v>
      </c>
      <c r="DP17" s="142">
        <f>B194</f>
        <v>60</v>
      </c>
      <c r="DQ17" s="83" t="s">
        <v>53</v>
      </c>
      <c r="DR17" s="83" t="s">
        <v>475</v>
      </c>
      <c r="DS17" s="146">
        <f>B163</f>
        <v>0.15</v>
      </c>
      <c r="DU17" s="92"/>
      <c r="DV17" s="87"/>
      <c r="DW17" s="83"/>
      <c r="DX17" s="91" t="s">
        <v>231</v>
      </c>
      <c r="DY17" s="136">
        <f>B30</f>
        <v>30.167100000000001</v>
      </c>
      <c r="DZ17" s="52" t="s">
        <v>60</v>
      </c>
      <c r="EA17" s="92"/>
      <c r="EB17" s="83"/>
      <c r="EC17" s="83"/>
      <c r="ED17" s="92" t="s">
        <v>67</v>
      </c>
      <c r="EE17" s="142">
        <f>B194</f>
        <v>60</v>
      </c>
      <c r="EF17" s="83" t="s">
        <v>53</v>
      </c>
      <c r="EG17" s="83" t="s">
        <v>475</v>
      </c>
      <c r="EH17" s="146">
        <f>B163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1.0115299987062558</v>
      </c>
      <c r="EP17" s="92"/>
      <c r="EQ17" s="83"/>
      <c r="ER17" s="83"/>
      <c r="ES17" s="92" t="s">
        <v>67</v>
      </c>
      <c r="ET17" s="142">
        <f>B194</f>
        <v>60</v>
      </c>
      <c r="EU17" s="83" t="s">
        <v>53</v>
      </c>
      <c r="EV17" s="83" t="s">
        <v>475</v>
      </c>
      <c r="EW17" s="141">
        <f>B163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1.0115299987062558</v>
      </c>
      <c r="FE17" s="83"/>
      <c r="FF17" s="83"/>
      <c r="FG17" s="83"/>
      <c r="FH17" s="83" t="s">
        <v>67</v>
      </c>
      <c r="FI17" s="142">
        <f>B194</f>
        <v>60</v>
      </c>
      <c r="FJ17" s="83" t="s">
        <v>53</v>
      </c>
      <c r="FK17" s="83" t="s">
        <v>475</v>
      </c>
      <c r="FL17" s="141">
        <f>B163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B163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1.0115299987062558</v>
      </c>
      <c r="GI17" s="83"/>
      <c r="GJ17" s="83"/>
      <c r="GK17" s="83"/>
      <c r="GL17" s="83" t="s">
        <v>67</v>
      </c>
      <c r="GM17" s="142">
        <f>B194</f>
        <v>60</v>
      </c>
      <c r="GN17" s="83" t="s">
        <v>53</v>
      </c>
      <c r="GO17" s="83" t="s">
        <v>476</v>
      </c>
      <c r="GP17" s="141">
        <f>B164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1.0115299987062558</v>
      </c>
      <c r="GX17" s="83"/>
      <c r="GY17" s="83"/>
      <c r="GZ17" s="83"/>
      <c r="HA17" s="83" t="s">
        <v>67</v>
      </c>
      <c r="HB17" s="142">
        <f>B194</f>
        <v>60</v>
      </c>
      <c r="HC17" s="83" t="s">
        <v>53</v>
      </c>
      <c r="HD17" s="84"/>
      <c r="HE17" s="84"/>
    </row>
    <row r="18" spans="1:214" ht="19.5" thickTop="1" thickBot="1" x14ac:dyDescent="0.25">
      <c r="A18" s="83" t="s">
        <v>247</v>
      </c>
      <c r="B18" s="180">
        <v>1.5417408700798101E-4</v>
      </c>
      <c r="C18" s="84" t="s">
        <v>259</v>
      </c>
      <c r="D18" s="83" t="s">
        <v>301</v>
      </c>
      <c r="E18" s="142">
        <f>B72</f>
        <v>2</v>
      </c>
      <c r="G18" s="83" t="s">
        <v>371</v>
      </c>
      <c r="H18" s="146">
        <f>B55</f>
        <v>1.5</v>
      </c>
      <c r="I18" s="52" t="s">
        <v>28</v>
      </c>
      <c r="J18" s="83" t="s">
        <v>264</v>
      </c>
      <c r="K18" s="154">
        <f>K5/(K9*(K25+K28)*K36)</f>
        <v>4.9364116957344564</v>
      </c>
      <c r="L18" s="92" t="s">
        <v>10</v>
      </c>
      <c r="V18" s="52" t="s">
        <v>261</v>
      </c>
      <c r="W18" s="144">
        <f>(W5*W7*W6)/((W12/24)*(1-EXP(-W7*W10))*W11*W13*W9*W10)</f>
        <v>5.0388171844091376</v>
      </c>
      <c r="X18" s="52" t="s">
        <v>16</v>
      </c>
      <c r="Y18" s="52" t="s">
        <v>261</v>
      </c>
      <c r="Z18" s="144">
        <f>(Z5*Z7*Z6)/((Z12/24)*(1-EXP(-Z7*Z10))*Z11*Z13*Z9*Z10)</f>
        <v>5.0388171844091376</v>
      </c>
      <c r="AA18" s="52" t="s">
        <v>16</v>
      </c>
      <c r="AB18" s="83" t="s">
        <v>412</v>
      </c>
      <c r="AC18" s="136">
        <f>B22</f>
        <v>3.19428</v>
      </c>
      <c r="AD18" s="136">
        <f>B22</f>
        <v>3.19428</v>
      </c>
      <c r="AE18" s="136">
        <f>B22</f>
        <v>3.19428</v>
      </c>
      <c r="AF18" s="136">
        <f>B22</f>
        <v>3.19428</v>
      </c>
      <c r="AG18" s="136">
        <f>B22</f>
        <v>3.19428</v>
      </c>
      <c r="AH18" s="83" t="s">
        <v>351</v>
      </c>
      <c r="BS18" s="52" t="s">
        <v>261</v>
      </c>
      <c r="BT18" s="143">
        <f>(BT5)/(BT9*BT10)</f>
        <v>63.962273472402153</v>
      </c>
      <c r="BU18" s="52" t="s">
        <v>15</v>
      </c>
      <c r="BV18" s="83" t="s">
        <v>433</v>
      </c>
      <c r="BW18" s="150">
        <f>B122</f>
        <v>55</v>
      </c>
      <c r="BX18" s="83" t="s">
        <v>24</v>
      </c>
      <c r="BY18" s="83" t="s">
        <v>441</v>
      </c>
      <c r="BZ18" s="146">
        <f>B107</f>
        <v>100</v>
      </c>
      <c r="CA18" s="84" t="s">
        <v>48</v>
      </c>
      <c r="CB18" s="274" t="s">
        <v>572</v>
      </c>
      <c r="CC18" s="270"/>
      <c r="CD18" s="270"/>
      <c r="CE18" s="271" t="s">
        <v>573</v>
      </c>
      <c r="CF18" s="270"/>
      <c r="CG18" s="273"/>
      <c r="CH18" s="83"/>
      <c r="CI18" s="83"/>
      <c r="CJ18" s="83"/>
      <c r="CT18" s="83" t="s">
        <v>264</v>
      </c>
      <c r="CU18" s="153">
        <f>DD2</f>
        <v>1.2341029239336141</v>
      </c>
      <c r="CV18" s="92" t="s">
        <v>10</v>
      </c>
      <c r="CW18" s="83" t="s">
        <v>301</v>
      </c>
      <c r="CX18" s="142">
        <f>B176</f>
        <v>2</v>
      </c>
      <c r="CZ18" s="91" t="s">
        <v>272</v>
      </c>
      <c r="DA18" s="144">
        <f>EZ2</f>
        <v>15426.286549170172</v>
      </c>
      <c r="DB18" s="83" t="s">
        <v>10</v>
      </c>
      <c r="DC18" s="88"/>
      <c r="DD18" s="136">
        <v>1000</v>
      </c>
      <c r="DE18" s="92" t="s">
        <v>99</v>
      </c>
      <c r="DF18" s="92" t="s">
        <v>68</v>
      </c>
      <c r="DG18" s="142">
        <f>B195</f>
        <v>2</v>
      </c>
      <c r="DH18" s="83" t="s">
        <v>56</v>
      </c>
      <c r="DL18" s="92"/>
      <c r="DM18" s="83"/>
      <c r="DN18" s="83"/>
      <c r="DO18" s="92" t="s">
        <v>68</v>
      </c>
      <c r="DP18" s="142">
        <f>B195</f>
        <v>2</v>
      </c>
      <c r="DQ18" s="83" t="s">
        <v>56</v>
      </c>
      <c r="DR18" s="83" t="s">
        <v>476</v>
      </c>
      <c r="DS18" s="146">
        <f>B164</f>
        <v>0.85</v>
      </c>
      <c r="DU18" s="92"/>
      <c r="DV18" s="83"/>
      <c r="DW18" s="83"/>
      <c r="DX18" s="84" t="s">
        <v>16</v>
      </c>
      <c r="DY18" s="137">
        <f>(DY15*DY16)/(1-EXP(-DY16*DY15))</f>
        <v>1.0115299987062558</v>
      </c>
      <c r="EA18" s="92"/>
      <c r="EB18" s="83"/>
      <c r="EC18" s="83"/>
      <c r="ED18" s="92" t="s">
        <v>68</v>
      </c>
      <c r="EE18" s="142">
        <f>B195</f>
        <v>2</v>
      </c>
      <c r="EF18" s="83" t="s">
        <v>56</v>
      </c>
      <c r="EG18" s="83" t="s">
        <v>476</v>
      </c>
      <c r="EH18" s="146">
        <f>B164</f>
        <v>0.85</v>
      </c>
      <c r="EJ18" s="92"/>
      <c r="EK18" s="83"/>
      <c r="EL18" s="83"/>
      <c r="EP18" s="92"/>
      <c r="EQ18" s="83"/>
      <c r="ER18" s="83"/>
      <c r="ES18" s="92" t="s">
        <v>68</v>
      </c>
      <c r="ET18" s="142">
        <f>B195</f>
        <v>2</v>
      </c>
      <c r="EU18" s="83" t="s">
        <v>56</v>
      </c>
      <c r="EV18" s="83" t="s">
        <v>476</v>
      </c>
      <c r="EW18" s="141">
        <f>B164</f>
        <v>0.85</v>
      </c>
      <c r="EX18" s="92"/>
      <c r="EY18" s="83"/>
      <c r="EZ18" s="83"/>
      <c r="FA18" s="83"/>
      <c r="FB18" s="83"/>
      <c r="FC18" s="83"/>
      <c r="FD18" s="83"/>
      <c r="FE18" s="83"/>
      <c r="FF18" s="83"/>
      <c r="FG18" s="83"/>
      <c r="FH18" s="83" t="s">
        <v>68</v>
      </c>
      <c r="FI18" s="142">
        <f>B195</f>
        <v>2</v>
      </c>
      <c r="FJ18" s="83" t="s">
        <v>56</v>
      </c>
      <c r="FK18" s="83" t="s">
        <v>476</v>
      </c>
      <c r="FL18" s="141">
        <f>B164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B164</f>
        <v>0.85</v>
      </c>
      <c r="GB18" s="92"/>
      <c r="GC18" s="83"/>
      <c r="GD18" s="83"/>
      <c r="GE18" s="83"/>
      <c r="GF18" s="83"/>
      <c r="GG18" s="83"/>
      <c r="GH18" s="83"/>
      <c r="GI18" s="83"/>
      <c r="GJ18" s="83"/>
      <c r="GK18" s="83"/>
      <c r="GL18" s="83" t="s">
        <v>68</v>
      </c>
      <c r="GM18" s="142">
        <f>B195</f>
        <v>2</v>
      </c>
      <c r="GN18" s="83" t="s">
        <v>56</v>
      </c>
      <c r="GR18" s="83"/>
      <c r="GS18" s="83"/>
      <c r="GT18" s="83"/>
      <c r="GU18" s="83"/>
      <c r="GV18" s="83"/>
      <c r="GW18" s="83"/>
      <c r="GX18" s="83"/>
      <c r="GY18" s="83"/>
      <c r="GZ18" s="83"/>
      <c r="HA18" s="83" t="s">
        <v>68</v>
      </c>
      <c r="HB18" s="142">
        <f>B195</f>
        <v>2</v>
      </c>
      <c r="HC18" s="83" t="s">
        <v>56</v>
      </c>
    </row>
    <row r="19" spans="1:214" ht="19.5" thickTop="1" thickBot="1" x14ac:dyDescent="0.25">
      <c r="A19" s="83" t="s">
        <v>248</v>
      </c>
      <c r="B19" s="183">
        <v>4.9109405245458101E-5</v>
      </c>
      <c r="C19" s="84" t="s">
        <v>259</v>
      </c>
      <c r="D19" s="52" t="s">
        <v>261</v>
      </c>
      <c r="E19" s="143">
        <f>(E5)/((E15/E16)*E11*E12)</f>
        <v>4.8860070013640522</v>
      </c>
      <c r="F19" s="52" t="s">
        <v>15</v>
      </c>
      <c r="G19" s="83" t="s">
        <v>366</v>
      </c>
      <c r="H19" s="146">
        <f>B50</f>
        <v>5</v>
      </c>
      <c r="I19" s="52" t="s">
        <v>407</v>
      </c>
      <c r="J19" s="83" t="s">
        <v>445</v>
      </c>
      <c r="K19" s="155">
        <f>K21*K31*K51+K22*K32*K52</f>
        <v>9225</v>
      </c>
      <c r="L19" s="83" t="s">
        <v>346</v>
      </c>
      <c r="V19" s="52" t="s">
        <v>271</v>
      </c>
      <c r="W19" s="145">
        <f>(W5*W7*W6)/((W12/24)*(1-EXP(-W7*W6))*W14*W9*(1/365))</f>
        <v>2.9763623592112525E-3</v>
      </c>
      <c r="X19" s="52" t="s">
        <v>16</v>
      </c>
      <c r="Y19" s="52" t="s">
        <v>271</v>
      </c>
      <c r="Z19" s="145">
        <f>(Z5*Z7*Z6)/((Z12/24)*(1-EXP(-Z7*Z6))*Z14*Z9*(1/365))</f>
        <v>2.9763623592112525E-3</v>
      </c>
      <c r="AA19" s="52" t="s">
        <v>16</v>
      </c>
      <c r="AB19" s="83" t="s">
        <v>247</v>
      </c>
      <c r="AC19" s="139">
        <f>B18</f>
        <v>1.5417408700798101E-4</v>
      </c>
      <c r="AD19" s="139">
        <f>B18</f>
        <v>1.5417408700798101E-4</v>
      </c>
      <c r="AE19" s="139">
        <f>B18</f>
        <v>1.5417408700798101E-4</v>
      </c>
      <c r="AF19" s="139">
        <f>B18</f>
        <v>1.5417408700798101E-4</v>
      </c>
      <c r="AG19" s="139">
        <f>B18</f>
        <v>1.5417408700798101E-4</v>
      </c>
      <c r="AH19" s="84" t="s">
        <v>259</v>
      </c>
      <c r="BS19" s="52" t="s">
        <v>271</v>
      </c>
      <c r="BT19" s="144">
        <f>(BT5)/(BT16*BT8*(1/365)*BT15*(1/24)*BT17)</f>
        <v>3.3436773580368499E-3</v>
      </c>
      <c r="BU19" s="52" t="s">
        <v>15</v>
      </c>
      <c r="BV19" s="83" t="s">
        <v>434</v>
      </c>
      <c r="BW19" s="150">
        <f>B123</f>
        <v>55</v>
      </c>
      <c r="BX19" s="83" t="s">
        <v>24</v>
      </c>
      <c r="BY19" s="83" t="s">
        <v>442</v>
      </c>
      <c r="BZ19" s="146">
        <f>B108</f>
        <v>50</v>
      </c>
      <c r="CA19" s="84" t="s">
        <v>48</v>
      </c>
      <c r="CB19" s="267" t="s">
        <v>537</v>
      </c>
      <c r="CC19" s="261">
        <f>(CC22*CC23*CC24)/((1-EXP(-CC24*CC23))*CC27*CC31*(CC26/365)*CC29*(CC30/24)*CC28)</f>
        <v>4066.4975992193481</v>
      </c>
      <c r="CD19" s="278" t="s">
        <v>10</v>
      </c>
      <c r="CE19" s="258" t="s">
        <v>537</v>
      </c>
      <c r="CF19" s="261">
        <f>(CF22*CF23*CF24)/((1-EXP(-CF24*CF23))*CF27*CF31*(CF26/365)*CF29*(CF30/24)*CF28)</f>
        <v>487.40066868408354</v>
      </c>
      <c r="CG19" s="264" t="s">
        <v>10</v>
      </c>
      <c r="CK19" s="274" t="s">
        <v>576</v>
      </c>
      <c r="CL19" s="270"/>
      <c r="CM19" s="270"/>
      <c r="CN19" s="271" t="s">
        <v>576</v>
      </c>
      <c r="CO19" s="270"/>
      <c r="CP19" s="270"/>
      <c r="CQ19" s="271" t="s">
        <v>576</v>
      </c>
      <c r="CR19" s="270"/>
      <c r="CS19" s="273"/>
      <c r="CT19" s="91" t="s">
        <v>272</v>
      </c>
      <c r="CU19" s="144">
        <f>FC2</f>
        <v>80.227000581616636</v>
      </c>
      <c r="CV19" s="92" t="s">
        <v>10</v>
      </c>
      <c r="CW19" s="52" t="s">
        <v>261</v>
      </c>
      <c r="CX19" s="143">
        <f>(CX5)/((CX15/CX16)*CX11*CX12)</f>
        <v>4.6747202121158775</v>
      </c>
      <c r="CY19" s="52" t="s">
        <v>15</v>
      </c>
      <c r="CZ19" s="91" t="s">
        <v>273</v>
      </c>
      <c r="DA19" s="144">
        <f>GS2</f>
        <v>1082.5464245031701</v>
      </c>
      <c r="DB19" s="83" t="s">
        <v>10</v>
      </c>
      <c r="DC19" s="92" t="s">
        <v>72</v>
      </c>
      <c r="DD19" s="146">
        <f>B182</f>
        <v>1</v>
      </c>
      <c r="DE19" s="93"/>
      <c r="DF19" s="92" t="s">
        <v>70</v>
      </c>
      <c r="DG19" s="138">
        <f>B196</f>
        <v>2.6999999999999999E-5</v>
      </c>
      <c r="DH19" s="52" t="s">
        <v>64</v>
      </c>
      <c r="DL19" s="92"/>
      <c r="DO19" s="92" t="s">
        <v>70</v>
      </c>
      <c r="DP19" s="138">
        <f>B196</f>
        <v>2.6999999999999999E-5</v>
      </c>
      <c r="DQ19" s="52" t="s">
        <v>64</v>
      </c>
      <c r="DU19" s="92"/>
      <c r="EA19" s="92"/>
      <c r="EB19" s="84"/>
      <c r="EC19" s="84"/>
      <c r="ED19" s="92" t="s">
        <v>70</v>
      </c>
      <c r="EE19" s="163">
        <f>B196</f>
        <v>2.6999999999999999E-5</v>
      </c>
      <c r="EF19" s="84" t="s">
        <v>64</v>
      </c>
      <c r="EJ19" s="92"/>
      <c r="EP19" s="92"/>
      <c r="EQ19" s="84"/>
      <c r="ER19" s="84"/>
      <c r="ES19" s="92" t="s">
        <v>70</v>
      </c>
      <c r="ET19" s="163">
        <f>B196</f>
        <v>2.6999999999999999E-5</v>
      </c>
      <c r="EU19" s="84" t="s">
        <v>64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B196</f>
        <v>2.6999999999999999E-5</v>
      </c>
      <c r="FJ19" s="84" t="s">
        <v>64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B196</f>
        <v>2.6999999999999999E-5</v>
      </c>
      <c r="GN19" s="84" t="s">
        <v>64</v>
      </c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B196</f>
        <v>2.6999999999999999E-5</v>
      </c>
      <c r="HC19" s="84" t="s">
        <v>64</v>
      </c>
    </row>
    <row r="20" spans="1:214" ht="19.5" thickTop="1" thickBot="1" x14ac:dyDescent="0.25">
      <c r="A20" s="83" t="s">
        <v>249</v>
      </c>
      <c r="B20" s="183">
        <v>4.9109405245458101E-5</v>
      </c>
      <c r="C20" s="83" t="s">
        <v>259</v>
      </c>
      <c r="D20" s="52" t="s">
        <v>271</v>
      </c>
      <c r="E20" s="144">
        <f>(E5)/((E15/E16)*E8*E17*(1/365)*E18)</f>
        <v>2.5541979818337042E-4</v>
      </c>
      <c r="F20" s="52" t="s">
        <v>15</v>
      </c>
      <c r="G20" s="83" t="s">
        <v>367</v>
      </c>
      <c r="H20" s="146">
        <f>B51</f>
        <v>10</v>
      </c>
      <c r="I20" s="52" t="s">
        <v>407</v>
      </c>
      <c r="J20" s="83" t="s">
        <v>396</v>
      </c>
      <c r="K20" s="155">
        <f>(K31*K23*(K34/24)*K51)+(K32*K24*(K35/24)*K52)</f>
        <v>1327.5</v>
      </c>
      <c r="L20" s="52" t="s">
        <v>407</v>
      </c>
      <c r="M20" s="325" t="s">
        <v>566</v>
      </c>
      <c r="N20" s="326"/>
      <c r="O20" s="326"/>
      <c r="P20" s="327" t="s">
        <v>536</v>
      </c>
      <c r="Q20" s="326"/>
      <c r="R20" s="329"/>
      <c r="AB20" s="83" t="s">
        <v>83</v>
      </c>
      <c r="AC20" s="139">
        <f>B232</f>
        <v>5</v>
      </c>
      <c r="AD20" s="139">
        <f>B242</f>
        <v>5</v>
      </c>
      <c r="AE20" s="139">
        <f>B252</f>
        <v>5</v>
      </c>
      <c r="AF20" s="139">
        <f>B262</f>
        <v>5</v>
      </c>
      <c r="AG20" s="139">
        <f>B273</f>
        <v>5</v>
      </c>
      <c r="AH20" s="84" t="s">
        <v>194</v>
      </c>
      <c r="AI20" s="296" t="s">
        <v>558</v>
      </c>
      <c r="AJ20" s="294"/>
      <c r="AK20" s="297"/>
      <c r="AL20" s="293" t="s">
        <v>545</v>
      </c>
      <c r="AM20" s="294"/>
      <c r="AN20" s="295"/>
      <c r="AR20" s="296" t="s">
        <v>560</v>
      </c>
      <c r="AS20" s="294"/>
      <c r="AT20" s="297"/>
      <c r="AU20" s="293" t="s">
        <v>550</v>
      </c>
      <c r="AV20" s="294"/>
      <c r="AW20" s="295"/>
      <c r="BA20" s="296" t="s">
        <v>562</v>
      </c>
      <c r="BB20" s="294"/>
      <c r="BC20" s="297"/>
      <c r="BD20" s="293" t="s">
        <v>553</v>
      </c>
      <c r="BE20" s="294"/>
      <c r="BF20" s="295"/>
      <c r="BJ20" s="296" t="s">
        <v>563</v>
      </c>
      <c r="BK20" s="294"/>
      <c r="BL20" s="297"/>
      <c r="BM20" s="293" t="s">
        <v>556</v>
      </c>
      <c r="BN20" s="294"/>
      <c r="BO20" s="295"/>
      <c r="BS20" s="52" t="s">
        <v>261</v>
      </c>
      <c r="BT20" s="144">
        <f>(BT5*BT24*BT6)/((1-EXP(-BT6*BT24))*BT9*BT10)</f>
        <v>64.69975840278812</v>
      </c>
      <c r="BU20" s="52" t="s">
        <v>16</v>
      </c>
      <c r="BV20" s="52" t="s">
        <v>443</v>
      </c>
      <c r="BW20" s="138">
        <f>B119</f>
        <v>5</v>
      </c>
      <c r="BX20" s="52" t="s">
        <v>89</v>
      </c>
      <c r="BY20" s="83" t="s">
        <v>429</v>
      </c>
      <c r="BZ20" s="141">
        <f>B103</f>
        <v>5</v>
      </c>
      <c r="CA20" s="92" t="s">
        <v>407</v>
      </c>
      <c r="CB20" s="268"/>
      <c r="CC20" s="262"/>
      <c r="CD20" s="279"/>
      <c r="CE20" s="259"/>
      <c r="CF20" s="262"/>
      <c r="CG20" s="265"/>
      <c r="CK20" s="267" t="s">
        <v>530</v>
      </c>
      <c r="CL20" s="261">
        <f>CL23/(CL24*CL25*CL26)</f>
        <v>123.41029239336142</v>
      </c>
      <c r="CM20" s="255" t="s">
        <v>10</v>
      </c>
      <c r="CN20" s="258" t="s">
        <v>7</v>
      </c>
      <c r="CO20" s="261">
        <f>(CL20/(CO23*((CO28*CO30*CO31*(CO24+CO25))+(CO29*CO30))))*CO34</f>
        <v>920.95771815381499</v>
      </c>
      <c r="CP20" s="255" t="s">
        <v>10</v>
      </c>
      <c r="CQ20" s="258" t="s">
        <v>6</v>
      </c>
      <c r="CR20" s="261">
        <f>CL20/(CR23*CR24*(1/CR25))</f>
        <v>2804779.372576396</v>
      </c>
      <c r="CS20" s="264" t="s">
        <v>10</v>
      </c>
      <c r="CT20" s="91" t="s">
        <v>273</v>
      </c>
      <c r="CU20" s="144">
        <f>GV2</f>
        <v>7.4248030039252662</v>
      </c>
      <c r="CV20" s="92" t="s">
        <v>10</v>
      </c>
      <c r="CW20" s="52" t="s">
        <v>271</v>
      </c>
      <c r="CX20" s="144">
        <f>(CX5)/((CX15/CX16)*CX8*CX17*(1/365)*CX18)</f>
        <v>2.5541979818337042E-4</v>
      </c>
      <c r="CY20" s="52" t="s">
        <v>15</v>
      </c>
      <c r="CZ20" s="91" t="s">
        <v>274</v>
      </c>
      <c r="DA20" s="144">
        <f>EK2</f>
        <v>2.1168146208123741</v>
      </c>
      <c r="DB20" s="83" t="s">
        <v>10</v>
      </c>
      <c r="DC20" s="83" t="s">
        <v>475</v>
      </c>
      <c r="DD20" s="146">
        <f>B163</f>
        <v>0.15</v>
      </c>
      <c r="DF20" s="92" t="s">
        <v>71</v>
      </c>
      <c r="DG20" s="137">
        <f>0.693/DG23</f>
        <v>6.2937111521700834E-5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83" t="s">
        <v>250</v>
      </c>
      <c r="B21" s="183">
        <v>5.0319999999999999E-5</v>
      </c>
      <c r="C21" s="83" t="s">
        <v>259</v>
      </c>
      <c r="D21" s="52" t="s">
        <v>261</v>
      </c>
      <c r="E21" s="144">
        <f>(E5*E10*E6)/((1-EXP(-E6*E10))*E11*E12)</f>
        <v>4.9423426557685364</v>
      </c>
      <c r="F21" s="52" t="s">
        <v>16</v>
      </c>
      <c r="G21" s="83" t="s">
        <v>397</v>
      </c>
      <c r="H21" s="148">
        <f>(H29*H36*H32*H68)+(H30*H37*H33*H69)</f>
        <v>476.25</v>
      </c>
      <c r="I21" s="83" t="s">
        <v>356</v>
      </c>
      <c r="J21" s="83" t="s">
        <v>368</v>
      </c>
      <c r="K21" s="146">
        <f>B52</f>
        <v>100</v>
      </c>
      <c r="L21" s="84" t="s">
        <v>48</v>
      </c>
      <c r="M21" s="330" t="s">
        <v>537</v>
      </c>
      <c r="N21" s="333">
        <f>(N24*N25*N26)/((1-EXP(-N26*N25))*N34*N32*(N28/365)*(((N33/24)*N31)+((N35/24)*N30)))</f>
        <v>7.89040436565194</v>
      </c>
      <c r="O21" s="336" t="s">
        <v>76</v>
      </c>
      <c r="P21" s="339" t="s">
        <v>537</v>
      </c>
      <c r="Q21" s="333">
        <f>(Q24*Q25*Q26)/((1-EXP(-Q26*Q25))*Q34*Q32*(Q28/365)*(((Q33/24)*Q31)+((Q35/24)*Q30)))</f>
        <v>1.7729451463786088</v>
      </c>
      <c r="R21" s="342" t="s">
        <v>10</v>
      </c>
      <c r="AB21" s="83" t="s">
        <v>85</v>
      </c>
      <c r="AC21" s="139">
        <f>B233</f>
        <v>5</v>
      </c>
      <c r="AD21" s="139">
        <f>B243</f>
        <v>5</v>
      </c>
      <c r="AE21" s="139">
        <f>B253</f>
        <v>5</v>
      </c>
      <c r="AF21" s="139">
        <f>B263</f>
        <v>5</v>
      </c>
      <c r="AG21" s="139">
        <f>B274</f>
        <v>5</v>
      </c>
      <c r="AH21" s="84" t="s">
        <v>194</v>
      </c>
      <c r="AI21" s="306" t="s">
        <v>537</v>
      </c>
      <c r="AJ21" s="303">
        <f>(AJ24*AJ25*AJ26)/((1-EXP(-AJ26*AJ25))*AJ34*(AJ28/365)*AJ29*(AJ35/24)*AJ30*AJ32)</f>
        <v>47.59428790126325</v>
      </c>
      <c r="AK21" s="290" t="s">
        <v>76</v>
      </c>
      <c r="AL21" s="287" t="s">
        <v>537</v>
      </c>
      <c r="AM21" s="303">
        <f>(AM24*AM25*AM26)/((1-EXP(-AM26*AM25))*AM34*(AM28/365)*AM29*(AM35/24)*AM30*AM32)</f>
        <v>10.744260340471937</v>
      </c>
      <c r="AN21" s="281" t="s">
        <v>10</v>
      </c>
      <c r="AR21" s="306" t="s">
        <v>537</v>
      </c>
      <c r="AS21" s="303">
        <f>(AS24*AS25*AS26)/((1-EXP(-AS26*AS25))*AS34*(AS28/365)*AS29*(AS33/24)*AS31*AS32)</f>
        <v>1789.2589436565129</v>
      </c>
      <c r="AT21" s="290" t="s">
        <v>76</v>
      </c>
      <c r="AU21" s="287" t="s">
        <v>537</v>
      </c>
      <c r="AV21" s="303">
        <f>(AV24*AV25*AV26)/((1-EXP(-AV26*AV25))*AV34*(AV28/365)*AV29*(AV33/24)*AV31*AV32)</f>
        <v>214.45629422099677</v>
      </c>
      <c r="AW21" s="281" t="s">
        <v>10</v>
      </c>
      <c r="BA21" s="306" t="s">
        <v>537</v>
      </c>
      <c r="BB21" s="303">
        <f>(BB24*BB25*BB26)/((1-EXP(-BB26*BB25))*BB34*(BB28/365)*(BB33/24)*BB31*BB32)</f>
        <v>1789.2589436565129</v>
      </c>
      <c r="BC21" s="290" t="s">
        <v>76</v>
      </c>
      <c r="BD21" s="287" t="s">
        <v>537</v>
      </c>
      <c r="BE21" s="303">
        <f>(BE24*BE25*BE26)/((1-EXP(-BE26*BE25))*BE34*(BE28/365)*(BE33/24)*BE31*BE32)</f>
        <v>214.45629422099677</v>
      </c>
      <c r="BF21" s="281" t="s">
        <v>10</v>
      </c>
      <c r="BJ21" s="306" t="s">
        <v>537</v>
      </c>
      <c r="BK21" s="284">
        <f>(BK24*BK25*BK26)/((1-EXP(-BK26*BK25))*BK35*(BK28/365)*(BK34/24)*BK32*BK33)</f>
        <v>2982.0982394275211</v>
      </c>
      <c r="BL21" s="290" t="s">
        <v>76</v>
      </c>
      <c r="BM21" s="287" t="s">
        <v>537</v>
      </c>
      <c r="BN21" s="284">
        <f>(BN24*BN25*BN26)/((1-EXP(-BN26*BN25))*BN35*(BN28/365)*(BN34/24)*BN32*BN33)</f>
        <v>357.42715703499459</v>
      </c>
      <c r="BO21" s="281" t="s">
        <v>10</v>
      </c>
      <c r="BS21" s="52" t="s">
        <v>271</v>
      </c>
      <c r="BT21" s="145">
        <f>(BT5*BT24*BT6)/((1-EXP(-BT6*BT24))*BT16*BT8*(1/365)*BT15*(1/24)*BT17)</f>
        <v>3.3822299536491515E-3</v>
      </c>
      <c r="BU21" s="52" t="s">
        <v>16</v>
      </c>
      <c r="BV21" s="52" t="s">
        <v>444</v>
      </c>
      <c r="BW21" s="138">
        <f>B120</f>
        <v>5</v>
      </c>
      <c r="BX21" s="52" t="s">
        <v>89</v>
      </c>
      <c r="BY21" s="83" t="s">
        <v>430</v>
      </c>
      <c r="BZ21" s="141">
        <f>B104</f>
        <v>10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56"/>
      <c r="CN21" s="259"/>
      <c r="CO21" s="262"/>
      <c r="CP21" s="256"/>
      <c r="CQ21" s="259"/>
      <c r="CR21" s="262"/>
      <c r="CS21" s="265"/>
      <c r="CT21" s="91" t="s">
        <v>274</v>
      </c>
      <c r="CU21" s="144">
        <f>EN2</f>
        <v>29.992028977132001</v>
      </c>
      <c r="CV21" s="92" t="s">
        <v>10</v>
      </c>
      <c r="CW21" s="52" t="s">
        <v>261</v>
      </c>
      <c r="CX21" s="144">
        <f>(CX5*CX10*CX6)/((CX15/CX16)*(1-EXP(-CX6*CX9))*CX11*CX12)</f>
        <v>4.7286197301136808</v>
      </c>
      <c r="CY21" s="52" t="s">
        <v>16</v>
      </c>
      <c r="CZ21" s="91" t="s">
        <v>509</v>
      </c>
      <c r="DA21" s="144">
        <f>DV2</f>
        <v>6007.2117752912209</v>
      </c>
      <c r="DB21" s="83" t="s">
        <v>10</v>
      </c>
      <c r="DC21" s="83" t="s">
        <v>476</v>
      </c>
      <c r="DD21" s="146">
        <f>B164</f>
        <v>0.85</v>
      </c>
      <c r="DF21" s="92" t="s">
        <v>73</v>
      </c>
      <c r="DG21" s="138">
        <f>B197</f>
        <v>1</v>
      </c>
      <c r="DH21" s="52" t="s">
        <v>41</v>
      </c>
      <c r="DL21" s="92"/>
      <c r="DO21" s="92" t="s">
        <v>73</v>
      </c>
      <c r="DP21" s="138">
        <f>B197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B197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B197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B197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B197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B197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83" t="s">
        <v>251</v>
      </c>
      <c r="B22" s="179">
        <v>3.19428</v>
      </c>
      <c r="C22" s="83" t="s">
        <v>351</v>
      </c>
      <c r="D22" s="52" t="s">
        <v>271</v>
      </c>
      <c r="E22" s="145">
        <f>(E5*E10*E6)/((E15/E16)*E8*(1-EXP(-E6*E10))*E17*(1/365)*E18)</f>
        <v>2.5836478812597683E-4</v>
      </c>
      <c r="F22" s="52" t="s">
        <v>16</v>
      </c>
      <c r="G22" s="83" t="s">
        <v>398</v>
      </c>
      <c r="H22" s="149">
        <f>(H29*H23*H68)+(H30*H24*H69)</f>
        <v>8250</v>
      </c>
      <c r="I22" s="92" t="s">
        <v>347</v>
      </c>
      <c r="J22" s="83" t="s">
        <v>369</v>
      </c>
      <c r="K22" s="146">
        <f>B53</f>
        <v>50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B234</f>
        <v>0.4</v>
      </c>
      <c r="AD22" s="150">
        <f>B244</f>
        <v>0.4</v>
      </c>
      <c r="AE22" s="150">
        <f>B254</f>
        <v>0.4</v>
      </c>
      <c r="AF22" s="150">
        <f>B264</f>
        <v>0.4</v>
      </c>
      <c r="AG22" s="150">
        <f>B275</f>
        <v>0.4</v>
      </c>
      <c r="AI22" s="307"/>
      <c r="AJ22" s="304"/>
      <c r="AK22" s="291"/>
      <c r="AL22" s="288"/>
      <c r="AM22" s="304"/>
      <c r="AN22" s="282"/>
      <c r="AR22" s="307"/>
      <c r="AS22" s="304"/>
      <c r="AT22" s="291"/>
      <c r="AU22" s="288"/>
      <c r="AV22" s="304"/>
      <c r="AW22" s="282"/>
      <c r="BA22" s="307"/>
      <c r="BB22" s="304"/>
      <c r="BC22" s="291"/>
      <c r="BD22" s="288"/>
      <c r="BE22" s="304"/>
      <c r="BF22" s="282"/>
      <c r="BJ22" s="307"/>
      <c r="BK22" s="285"/>
      <c r="BL22" s="291"/>
      <c r="BM22" s="288"/>
      <c r="BN22" s="285"/>
      <c r="BO22" s="282"/>
      <c r="BS22" s="52" t="s">
        <v>433</v>
      </c>
      <c r="BT22" s="138">
        <f>B114</f>
        <v>55</v>
      </c>
      <c r="BU22" s="52" t="s">
        <v>24</v>
      </c>
      <c r="BV22" s="83" t="s">
        <v>90</v>
      </c>
      <c r="BW22" s="150">
        <f>B118</f>
        <v>5</v>
      </c>
      <c r="BX22" s="52" t="s">
        <v>194</v>
      </c>
      <c r="BY22" s="83" t="s">
        <v>140</v>
      </c>
      <c r="BZ22" s="150">
        <f>B113</f>
        <v>55</v>
      </c>
      <c r="CA22" s="83" t="s">
        <v>24</v>
      </c>
      <c r="CB22" s="52" t="s">
        <v>267</v>
      </c>
      <c r="CC22" s="136">
        <f>B17</f>
        <v>1</v>
      </c>
      <c r="CD22" s="52" t="s">
        <v>344</v>
      </c>
      <c r="CE22" s="52" t="s">
        <v>267</v>
      </c>
      <c r="CF22" s="136">
        <f>B17</f>
        <v>1</v>
      </c>
      <c r="CG22" s="52" t="s">
        <v>344</v>
      </c>
      <c r="CK22" s="269"/>
      <c r="CL22" s="263"/>
      <c r="CM22" s="257"/>
      <c r="CN22" s="260"/>
      <c r="CO22" s="263"/>
      <c r="CP22" s="257"/>
      <c r="CQ22" s="260"/>
      <c r="CR22" s="263"/>
      <c r="CS22" s="266"/>
      <c r="CT22" s="91" t="s">
        <v>275</v>
      </c>
      <c r="CU22" s="144">
        <f>DY2</f>
        <v>92.193824327480755</v>
      </c>
      <c r="CV22" s="92" t="s">
        <v>10</v>
      </c>
      <c r="CW22" s="52" t="s">
        <v>271</v>
      </c>
      <c r="CX22" s="145">
        <f>(CX5*CX10*CX6)/((CX15/CX16)*CX8*(1-EXP(-CX6*CX10))*CX17*(1/365)*CX18)</f>
        <v>2.5836478812597683E-4</v>
      </c>
      <c r="CY22" s="52" t="s">
        <v>16</v>
      </c>
      <c r="CZ22" s="91" t="s">
        <v>510</v>
      </c>
      <c r="DA22" s="144">
        <f>GD2</f>
        <v>2285.3757850622483</v>
      </c>
      <c r="DB22" s="83" t="s">
        <v>10</v>
      </c>
      <c r="DF22" s="92" t="s">
        <v>74</v>
      </c>
      <c r="DG22" s="138">
        <f>B198</f>
        <v>14</v>
      </c>
      <c r="DH22" s="52" t="s">
        <v>75</v>
      </c>
      <c r="DL22" s="92"/>
      <c r="DO22" s="92" t="s">
        <v>74</v>
      </c>
      <c r="DP22" s="138">
        <f>B198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B198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B198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B198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B198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B198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252</v>
      </c>
      <c r="B23" s="183">
        <v>0.64061199999999996</v>
      </c>
      <c r="C23" s="83" t="s">
        <v>352</v>
      </c>
      <c r="D23" s="52" t="s">
        <v>380</v>
      </c>
      <c r="E23" s="138">
        <f>B66</f>
        <v>150</v>
      </c>
      <c r="F23" s="52" t="s">
        <v>24</v>
      </c>
      <c r="G23" s="83" t="s">
        <v>399</v>
      </c>
      <c r="H23" s="146">
        <f>B147</f>
        <v>55</v>
      </c>
      <c r="I23" s="92" t="s">
        <v>221</v>
      </c>
      <c r="J23" s="83" t="s">
        <v>366</v>
      </c>
      <c r="K23" s="141">
        <f>B50</f>
        <v>5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308"/>
      <c r="AS23" s="305"/>
      <c r="AT23" s="292"/>
      <c r="AU23" s="289"/>
      <c r="AV23" s="305"/>
      <c r="AW23" s="283"/>
      <c r="BA23" s="308"/>
      <c r="BB23" s="305"/>
      <c r="BC23" s="292"/>
      <c r="BD23" s="289"/>
      <c r="BE23" s="305"/>
      <c r="BF23" s="283"/>
      <c r="BJ23" s="308"/>
      <c r="BK23" s="286"/>
      <c r="BL23" s="292"/>
      <c r="BM23" s="289"/>
      <c r="BN23" s="286"/>
      <c r="BO23" s="283"/>
      <c r="BS23" s="52" t="s">
        <v>434</v>
      </c>
      <c r="BT23" s="138">
        <f>B115</f>
        <v>55</v>
      </c>
      <c r="BU23" s="52" t="s">
        <v>24</v>
      </c>
      <c r="BV23" s="83" t="s">
        <v>435</v>
      </c>
      <c r="BW23" s="138">
        <f>B124</f>
        <v>5</v>
      </c>
      <c r="BX23" s="52" t="s">
        <v>80</v>
      </c>
      <c r="BY23" s="83" t="s">
        <v>434</v>
      </c>
      <c r="BZ23" s="150">
        <f>B115</f>
        <v>55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B17</f>
        <v>1</v>
      </c>
      <c r="CM23" s="52" t="s">
        <v>344</v>
      </c>
      <c r="CN23" s="52" t="s">
        <v>229</v>
      </c>
      <c r="CO23" s="136">
        <f>B41</f>
        <v>2.1999999999999999E-2</v>
      </c>
      <c r="CP23" s="52" t="s">
        <v>268</v>
      </c>
      <c r="CQ23" s="83" t="s">
        <v>229</v>
      </c>
      <c r="CR23" s="136">
        <f>CO23</f>
        <v>2.1999999999999999E-2</v>
      </c>
      <c r="CS23" s="52" t="s">
        <v>268</v>
      </c>
      <c r="CT23" s="91" t="s">
        <v>276</v>
      </c>
      <c r="CU23" s="144">
        <f>GG2</f>
        <v>11.885481567646911</v>
      </c>
      <c r="CV23" s="92" t="s">
        <v>10</v>
      </c>
      <c r="CW23" s="52" t="s">
        <v>456</v>
      </c>
      <c r="CX23" s="138">
        <f>B165</f>
        <v>150</v>
      </c>
      <c r="CY23" s="52" t="s">
        <v>24</v>
      </c>
      <c r="CZ23" s="91" t="s">
        <v>277</v>
      </c>
      <c r="DA23" s="145">
        <f>FO2</f>
        <v>0.98728233914689123</v>
      </c>
      <c r="DB23" s="83" t="s">
        <v>10</v>
      </c>
      <c r="DF23" s="83" t="s">
        <v>267</v>
      </c>
      <c r="DG23" s="136">
        <f>B34</f>
        <v>11010.9915</v>
      </c>
      <c r="DH23" s="52" t="s">
        <v>222</v>
      </c>
      <c r="DO23" s="83" t="s">
        <v>19</v>
      </c>
      <c r="DP23" s="161">
        <f>DP25</f>
        <v>2.5229999999999999E-2</v>
      </c>
      <c r="EA23" s="83"/>
      <c r="EB23" s="83"/>
      <c r="EC23" s="84"/>
      <c r="ED23" s="83" t="s">
        <v>19</v>
      </c>
      <c r="EE23" s="161">
        <f>EE25</f>
        <v>2.9000000000000001E-2</v>
      </c>
      <c r="EF23" s="84"/>
      <c r="EP23" s="83"/>
      <c r="EQ23" s="83"/>
      <c r="ER23" s="84"/>
      <c r="ES23" s="83" t="s">
        <v>19</v>
      </c>
      <c r="ET23" s="161">
        <f>ET25</f>
        <v>2.9000000000000001E-2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2.9000000000000001E-2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2.9000000000000001E-2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2.9000000000000001E-2</v>
      </c>
      <c r="HC23" s="84"/>
      <c r="HD23" s="67" t="s">
        <v>14</v>
      </c>
      <c r="HE23" s="126">
        <f>((HE25*HE42)*HE38*HE33*10^-3*HE32*HE27)/(HE31*HE41*(1-EXP(-HE27*HE32)))</f>
        <v>1.0742048847164518</v>
      </c>
      <c r="HF23" s="220" t="s">
        <v>592</v>
      </c>
    </row>
    <row r="24" spans="1:214" ht="14.25" thickTop="1" thickBot="1" x14ac:dyDescent="0.25">
      <c r="A24" s="83" t="s">
        <v>253</v>
      </c>
      <c r="B24" s="183">
        <v>0.63512000000000002</v>
      </c>
      <c r="C24" s="83" t="s">
        <v>351</v>
      </c>
      <c r="D24" s="52" t="s">
        <v>381</v>
      </c>
      <c r="E24" s="138">
        <f>B67</f>
        <v>150</v>
      </c>
      <c r="F24" s="52" t="s">
        <v>24</v>
      </c>
      <c r="G24" s="83" t="s">
        <v>310</v>
      </c>
      <c r="H24" s="146">
        <f>B58</f>
        <v>55</v>
      </c>
      <c r="I24" s="92" t="s">
        <v>221</v>
      </c>
      <c r="J24" s="83" t="s">
        <v>367</v>
      </c>
      <c r="K24" s="141">
        <f>B51</f>
        <v>10</v>
      </c>
      <c r="L24" s="52" t="s">
        <v>407</v>
      </c>
      <c r="M24" s="52" t="s">
        <v>267</v>
      </c>
      <c r="N24" s="136">
        <f>B17</f>
        <v>1</v>
      </c>
      <c r="O24" s="52" t="s">
        <v>344</v>
      </c>
      <c r="P24" s="52" t="s">
        <v>267</v>
      </c>
      <c r="Q24" s="136">
        <f>B17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2.2972045705420805E-2</v>
      </c>
      <c r="AD24" s="137">
        <f>0.693/AD25</f>
        <v>2.2972045705420805E-2</v>
      </c>
      <c r="AE24" s="137">
        <f>0.693/AE25</f>
        <v>2.2972045705420805E-2</v>
      </c>
      <c r="AF24" s="137">
        <f>0.693/AF25</f>
        <v>2.2972045705420805E-2</v>
      </c>
      <c r="AG24" s="137">
        <f>0.693/AG25</f>
        <v>2.2972045705420805E-2</v>
      </c>
      <c r="AI24" s="52" t="s">
        <v>267</v>
      </c>
      <c r="AJ24" s="136">
        <f>B17</f>
        <v>1</v>
      </c>
      <c r="AK24" s="52" t="s">
        <v>344</v>
      </c>
      <c r="AL24" s="52" t="s">
        <v>267</v>
      </c>
      <c r="AM24" s="136">
        <f>B17</f>
        <v>1</v>
      </c>
      <c r="AN24" s="52" t="s">
        <v>344</v>
      </c>
      <c r="AR24" s="52" t="s">
        <v>267</v>
      </c>
      <c r="AS24" s="136">
        <f>B17</f>
        <v>1</v>
      </c>
      <c r="AT24" s="52" t="s">
        <v>344</v>
      </c>
      <c r="AU24" s="52" t="s">
        <v>267</v>
      </c>
      <c r="AV24" s="136">
        <f>B17</f>
        <v>1</v>
      </c>
      <c r="AW24" s="52" t="s">
        <v>344</v>
      </c>
      <c r="BA24" s="52" t="s">
        <v>267</v>
      </c>
      <c r="BB24" s="136">
        <f>B17</f>
        <v>1</v>
      </c>
      <c r="BC24" s="52" t="s">
        <v>344</v>
      </c>
      <c r="BD24" s="52" t="s">
        <v>267</v>
      </c>
      <c r="BE24" s="136">
        <f>B17</f>
        <v>1</v>
      </c>
      <c r="BF24" s="52" t="s">
        <v>344</v>
      </c>
      <c r="BJ24" s="52" t="s">
        <v>267</v>
      </c>
      <c r="BK24" s="136">
        <f>B17</f>
        <v>1</v>
      </c>
      <c r="BL24" s="52" t="s">
        <v>344</v>
      </c>
      <c r="BM24" s="52" t="s">
        <v>267</v>
      </c>
      <c r="BN24" s="136">
        <f>B17</f>
        <v>1</v>
      </c>
      <c r="BO24" s="52" t="s">
        <v>344</v>
      </c>
      <c r="BS24" s="91" t="s">
        <v>95</v>
      </c>
      <c r="BT24" s="158">
        <f>B127</f>
        <v>1</v>
      </c>
      <c r="BU24" s="91" t="s">
        <v>60</v>
      </c>
      <c r="BV24" s="83" t="s">
        <v>436</v>
      </c>
      <c r="BW24" s="138">
        <f>B125</f>
        <v>5</v>
      </c>
      <c r="BX24" s="52" t="s">
        <v>80</v>
      </c>
      <c r="BY24" s="83" t="s">
        <v>433</v>
      </c>
      <c r="BZ24" s="150">
        <f>B114</f>
        <v>55</v>
      </c>
      <c r="CA24" s="83" t="s">
        <v>24</v>
      </c>
      <c r="CB24" s="83" t="s">
        <v>22</v>
      </c>
      <c r="CC24" s="137">
        <f>0.693/CC25</f>
        <v>2.2972045705420805E-2</v>
      </c>
      <c r="CE24" s="83" t="s">
        <v>22</v>
      </c>
      <c r="CF24" s="137">
        <f>0.693/CF25</f>
        <v>2.2972045705420805E-2</v>
      </c>
      <c r="CK24" s="52" t="s">
        <v>258</v>
      </c>
      <c r="CL24" s="136">
        <f>B29</f>
        <v>4.9109405245458101E-5</v>
      </c>
      <c r="CM24" s="91" t="s">
        <v>10</v>
      </c>
      <c r="CN24" s="52" t="s">
        <v>20</v>
      </c>
      <c r="CO24" s="139">
        <f>CO26</f>
        <v>2.9000000000000001E-2</v>
      </c>
      <c r="CQ24" s="84" t="s">
        <v>170</v>
      </c>
      <c r="CR24" s="162">
        <f>B139</f>
        <v>2</v>
      </c>
      <c r="CS24" s="52" t="s">
        <v>28</v>
      </c>
      <c r="CT24" s="91" t="s">
        <v>277</v>
      </c>
      <c r="CU24" s="145">
        <f>FR2</f>
        <v>9.9866570323996415E-3</v>
      </c>
      <c r="CV24" s="92" t="s">
        <v>10</v>
      </c>
      <c r="CW24" s="52" t="s">
        <v>465</v>
      </c>
      <c r="CX24" s="138">
        <f>B166</f>
        <v>150</v>
      </c>
      <c r="CY24" s="52" t="s">
        <v>24</v>
      </c>
      <c r="CZ24" s="83" t="s">
        <v>45</v>
      </c>
      <c r="DA24" s="149">
        <f>(DA35*DA27*DA49)+(DA36*DA28*DA50)</f>
        <v>196.875</v>
      </c>
      <c r="DB24" s="52" t="s">
        <v>345</v>
      </c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128">
        <f>((HE26*HE42)*HE38*HE33*10^-3*HE32*HE27)/(HE31*HE41*(1-EXP(-HE27*HE32)))</f>
        <v>9.4102542515098735E-3</v>
      </c>
      <c r="HF24" s="221" t="s">
        <v>593</v>
      </c>
    </row>
    <row r="25" spans="1:214" ht="15" thickTop="1" x14ac:dyDescent="0.2">
      <c r="A25" s="83" t="s">
        <v>254</v>
      </c>
      <c r="B25" s="183">
        <v>1.817564</v>
      </c>
      <c r="C25" s="83" t="s">
        <v>351</v>
      </c>
      <c r="D25" s="83" t="s">
        <v>376</v>
      </c>
      <c r="E25" s="146">
        <f>B61</f>
        <v>0.23</v>
      </c>
      <c r="G25" s="83" t="s">
        <v>400</v>
      </c>
      <c r="H25" s="149">
        <f>(H29*H26*H68)+(H30*H27*H69)</f>
        <v>8250</v>
      </c>
      <c r="I25" s="92" t="s">
        <v>347</v>
      </c>
      <c r="J25" s="83" t="s">
        <v>446</v>
      </c>
      <c r="K25" s="149">
        <f>(K31*K26*K51)+(K32*K27*K52)</f>
        <v>8250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2.9746052993849911E-3</v>
      </c>
      <c r="X25" s="62" t="s">
        <v>9</v>
      </c>
      <c r="Y25" s="202" t="s">
        <v>16</v>
      </c>
      <c r="Z25" s="187">
        <f>1/((1/Z41)+(1/Z40))</f>
        <v>2.9746052993849911E-3</v>
      </c>
      <c r="AA25" s="63" t="s">
        <v>9</v>
      </c>
      <c r="AB25" s="91" t="s">
        <v>231</v>
      </c>
      <c r="AC25" s="136">
        <f>B30</f>
        <v>30.167100000000001</v>
      </c>
      <c r="AD25" s="136">
        <f>B30</f>
        <v>30.167100000000001</v>
      </c>
      <c r="AE25" s="136">
        <f>B30</f>
        <v>30.167100000000001</v>
      </c>
      <c r="AF25" s="136">
        <f>B30</f>
        <v>30.167100000000001</v>
      </c>
      <c r="AG25" s="136">
        <f>B30</f>
        <v>30.167100000000001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B111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B118</f>
        <v>5</v>
      </c>
      <c r="CA25" s="94" t="s">
        <v>194</v>
      </c>
      <c r="CB25" s="91" t="s">
        <v>231</v>
      </c>
      <c r="CC25" s="136">
        <f>B30</f>
        <v>30.167100000000001</v>
      </c>
      <c r="CD25" s="52" t="s">
        <v>60</v>
      </c>
      <c r="CE25" s="91" t="s">
        <v>231</v>
      </c>
      <c r="CF25" s="136">
        <f>B30</f>
        <v>30.167100000000001</v>
      </c>
      <c r="CG25" s="52" t="s">
        <v>60</v>
      </c>
      <c r="CK25" s="52" t="s">
        <v>140</v>
      </c>
      <c r="CL25" s="138">
        <f>B113</f>
        <v>55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8625</v>
      </c>
      <c r="CV25" s="83" t="s">
        <v>346</v>
      </c>
      <c r="CW25" s="83" t="s">
        <v>475</v>
      </c>
      <c r="CX25" s="146">
        <f>B163</f>
        <v>0.15</v>
      </c>
      <c r="CZ25" s="83" t="s">
        <v>43</v>
      </c>
      <c r="DA25" s="140">
        <f>(DA35*DA29*(DA38/24)*DA49)+(DA36*DA30*(DA39/24)*DA50)</f>
        <v>1387.5</v>
      </c>
      <c r="DB25" s="83" t="s">
        <v>426</v>
      </c>
      <c r="DF25" s="52" t="s">
        <v>33</v>
      </c>
      <c r="DG25" s="136">
        <f>B44</f>
        <v>2.9000000000000001E-2</v>
      </c>
      <c r="DO25" s="83" t="s">
        <v>32</v>
      </c>
      <c r="DP25" s="136">
        <f>B43</f>
        <v>2.5229999999999999E-2</v>
      </c>
      <c r="EA25" s="83"/>
      <c r="EC25" s="84"/>
      <c r="ED25" s="83" t="s">
        <v>33</v>
      </c>
      <c r="EE25" s="136">
        <f>B44</f>
        <v>2.9000000000000001E-2</v>
      </c>
      <c r="EF25" s="84"/>
      <c r="EP25" s="83"/>
      <c r="ER25" s="84"/>
      <c r="ES25" s="83" t="s">
        <v>33</v>
      </c>
      <c r="ET25" s="136">
        <f>B44</f>
        <v>2.9000000000000001E-2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B44</f>
        <v>2.9000000000000001E-2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B44</f>
        <v>2.9000000000000001E-2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B44</f>
        <v>2.9000000000000001E-2</v>
      </c>
      <c r="HC25" s="84"/>
      <c r="HD25" s="89" t="s">
        <v>21</v>
      </c>
      <c r="HE25" s="150">
        <f>B46</f>
        <v>200</v>
      </c>
      <c r="HF25" s="83" t="s">
        <v>11</v>
      </c>
    </row>
    <row r="26" spans="1:214" ht="13.5" thickBot="1" x14ac:dyDescent="0.25">
      <c r="A26" s="83" t="s">
        <v>255</v>
      </c>
      <c r="B26" s="183">
        <v>2.8393600000000001</v>
      </c>
      <c r="C26" s="83" t="s">
        <v>351</v>
      </c>
      <c r="D26" s="83" t="s">
        <v>377</v>
      </c>
      <c r="E26" s="146">
        <f>B62</f>
        <v>0.77</v>
      </c>
      <c r="G26" s="83" t="s">
        <v>401</v>
      </c>
      <c r="H26" s="146">
        <f>B149</f>
        <v>55</v>
      </c>
      <c r="I26" s="92" t="s">
        <v>221</v>
      </c>
      <c r="J26" s="83" t="s">
        <v>399</v>
      </c>
      <c r="K26" s="146">
        <f>B57</f>
        <v>55</v>
      </c>
      <c r="L26" s="92" t="s">
        <v>221</v>
      </c>
      <c r="M26" s="83" t="s">
        <v>22</v>
      </c>
      <c r="N26" s="137">
        <f>0.693/N27</f>
        <v>2.2972045705420805E-2</v>
      </c>
      <c r="P26" s="83" t="s">
        <v>22</v>
      </c>
      <c r="Q26" s="137">
        <f>0.693/Q27</f>
        <v>2.2972045705420805E-2</v>
      </c>
      <c r="V26" s="201" t="s">
        <v>15</v>
      </c>
      <c r="W26" s="75">
        <f>1/((1/W38)+(1/W39))</f>
        <v>2.9406990432211634E-3</v>
      </c>
      <c r="X26" s="76" t="s">
        <v>9</v>
      </c>
      <c r="Y26" s="203" t="s">
        <v>15</v>
      </c>
      <c r="Z26" s="185">
        <f>1/((1/Z38)+(1/Z39))</f>
        <v>2.9406990432211634E-3</v>
      </c>
      <c r="AA26" s="77" t="s">
        <v>9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2.2972045705420805E-2</v>
      </c>
      <c r="AL26" s="83" t="s">
        <v>22</v>
      </c>
      <c r="AM26" s="137">
        <f>0.693/AM27</f>
        <v>2.2972045705420805E-2</v>
      </c>
      <c r="AR26" s="83" t="s">
        <v>22</v>
      </c>
      <c r="AS26" s="137">
        <f>0.693/AS27</f>
        <v>2.2972045705420805E-2</v>
      </c>
      <c r="AU26" s="83" t="s">
        <v>22</v>
      </c>
      <c r="AV26" s="137">
        <f>0.693/AV27</f>
        <v>2.2972045705420805E-2</v>
      </c>
      <c r="BA26" s="83" t="s">
        <v>22</v>
      </c>
      <c r="BB26" s="137">
        <f>0.693/BB27</f>
        <v>2.2972045705420805E-2</v>
      </c>
      <c r="BD26" s="83" t="s">
        <v>22</v>
      </c>
      <c r="BE26" s="137">
        <f>0.693/BE27</f>
        <v>2.2972045705420805E-2</v>
      </c>
      <c r="BJ26" s="83" t="s">
        <v>22</v>
      </c>
      <c r="BK26" s="137">
        <f>0.693/BK27</f>
        <v>2.2972045705420805E-2</v>
      </c>
      <c r="BM26" s="83" t="s">
        <v>22</v>
      </c>
      <c r="BN26" s="137">
        <f>0.693/BN27</f>
        <v>2.2972045705420805E-2</v>
      </c>
      <c r="BS26" s="91" t="s">
        <v>309</v>
      </c>
      <c r="BT26" s="177">
        <f>B112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B116</f>
        <v>5</v>
      </c>
      <c r="CA26" s="94" t="s">
        <v>194</v>
      </c>
      <c r="CB26" s="52" t="s">
        <v>140</v>
      </c>
      <c r="CC26" s="138">
        <f>B113</f>
        <v>55</v>
      </c>
      <c r="CD26" s="52" t="s">
        <v>24</v>
      </c>
      <c r="CE26" s="52" t="s">
        <v>140</v>
      </c>
      <c r="CF26" s="138">
        <f>B113</f>
        <v>55</v>
      </c>
      <c r="CG26" s="52" t="s">
        <v>24</v>
      </c>
      <c r="CK26" s="52" t="s">
        <v>160</v>
      </c>
      <c r="CL26" s="162">
        <f>B134</f>
        <v>3</v>
      </c>
      <c r="CM26" s="52" t="s">
        <v>221</v>
      </c>
      <c r="CN26" s="52" t="s">
        <v>33</v>
      </c>
      <c r="CO26" s="136">
        <f>B44</f>
        <v>2.9000000000000001E-2</v>
      </c>
      <c r="CT26" s="83" t="s">
        <v>506</v>
      </c>
      <c r="CU26" s="155">
        <f>((CU31*CU29*CU47)+(CU32*CU30*CU48))</f>
        <v>1387.5</v>
      </c>
      <c r="CV26" s="52" t="s">
        <v>426</v>
      </c>
      <c r="CW26" s="83" t="s">
        <v>476</v>
      </c>
      <c r="CX26" s="141">
        <f>B164</f>
        <v>0.85</v>
      </c>
      <c r="CY26" s="83"/>
      <c r="CZ26" s="83" t="s">
        <v>142</v>
      </c>
      <c r="DA26" s="149">
        <f>(DA35*DA40*DA42*DA49)+(DA36*DA41*DA43*DA50)</f>
        <v>570</v>
      </c>
      <c r="DB26" s="52" t="s">
        <v>356</v>
      </c>
      <c r="DO26" s="83" t="s">
        <v>393</v>
      </c>
      <c r="DP26" s="138">
        <f>B47</f>
        <v>0.26</v>
      </c>
      <c r="EA26" s="83"/>
      <c r="EB26" s="84"/>
      <c r="EC26" s="84"/>
      <c r="ED26" s="83" t="s">
        <v>392</v>
      </c>
      <c r="EE26" s="163">
        <f>B48</f>
        <v>0.25</v>
      </c>
      <c r="EF26" s="84"/>
      <c r="EP26" s="83"/>
      <c r="EQ26" s="84"/>
      <c r="ER26" s="84"/>
      <c r="ES26" s="83" t="s">
        <v>392</v>
      </c>
      <c r="ET26" s="163">
        <f>B48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B48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B48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B48</f>
        <v>0.25</v>
      </c>
      <c r="HC26" s="84"/>
      <c r="HD26" s="84" t="s">
        <v>265</v>
      </c>
      <c r="HE26" s="139">
        <f>H3</f>
        <v>1.7520408602487061</v>
      </c>
      <c r="HF26" s="83" t="s">
        <v>11</v>
      </c>
    </row>
    <row r="27" spans="1:214" ht="13.5" thickTop="1" x14ac:dyDescent="0.2">
      <c r="A27" s="83" t="s">
        <v>256</v>
      </c>
      <c r="B27" s="183">
        <v>4763.3999999999996</v>
      </c>
      <c r="C27" s="83" t="s">
        <v>351</v>
      </c>
      <c r="G27" s="83" t="s">
        <v>402</v>
      </c>
      <c r="H27" s="146">
        <f>B60</f>
        <v>55</v>
      </c>
      <c r="I27" s="92" t="s">
        <v>221</v>
      </c>
      <c r="J27" s="83" t="s">
        <v>310</v>
      </c>
      <c r="K27" s="146">
        <f>B58</f>
        <v>55</v>
      </c>
      <c r="L27" s="92" t="s">
        <v>221</v>
      </c>
      <c r="M27" s="91" t="s">
        <v>231</v>
      </c>
      <c r="N27" s="136">
        <f>B30</f>
        <v>30.167100000000001</v>
      </c>
      <c r="O27" s="52" t="s">
        <v>60</v>
      </c>
      <c r="P27" s="91" t="s">
        <v>231</v>
      </c>
      <c r="Q27" s="136">
        <f>B30</f>
        <v>30.167100000000001</v>
      </c>
      <c r="R27" s="52" t="s">
        <v>60</v>
      </c>
      <c r="V27" s="52" t="s">
        <v>267</v>
      </c>
      <c r="W27" s="136">
        <f>B17</f>
        <v>1</v>
      </c>
      <c r="X27" s="52" t="s">
        <v>344</v>
      </c>
      <c r="Y27" s="52" t="s">
        <v>267</v>
      </c>
      <c r="Z27" s="136">
        <f>B17</f>
        <v>1</v>
      </c>
      <c r="AA27" s="52" t="s">
        <v>344</v>
      </c>
      <c r="AB27" s="84" t="s">
        <v>16</v>
      </c>
      <c r="AC27" s="156">
        <f>(AC23*AC24)/(1-EXP(-AC24*AC23))</f>
        <v>1.0115299987062558</v>
      </c>
      <c r="AD27" s="156">
        <f>(AD23*AD24)/(1-EXP(-AD24*AD23))</f>
        <v>1.0115299987062558</v>
      </c>
      <c r="AE27" s="156">
        <f>(AE23*AE24)/(1-EXP(-AE24*AE23))</f>
        <v>1.0115299987062558</v>
      </c>
      <c r="AF27" s="156">
        <f>(AF23*AF24)/(1-EXP(-AF24*AF23))</f>
        <v>1.0115299987062558</v>
      </c>
      <c r="AG27" s="156">
        <f>(AG23*AG24)/(1-EXP(-AG24*AG23))</f>
        <v>1.0115299987062558</v>
      </c>
      <c r="AI27" s="91" t="s">
        <v>231</v>
      </c>
      <c r="AJ27" s="136">
        <f>B30</f>
        <v>30.167100000000001</v>
      </c>
      <c r="AK27" s="52" t="s">
        <v>60</v>
      </c>
      <c r="AL27" s="91" t="s">
        <v>231</v>
      </c>
      <c r="AM27" s="136">
        <f>B30</f>
        <v>30.167100000000001</v>
      </c>
      <c r="AN27" s="52" t="s">
        <v>60</v>
      </c>
      <c r="AR27" s="91" t="s">
        <v>231</v>
      </c>
      <c r="AS27" s="136">
        <f>B30</f>
        <v>30.167100000000001</v>
      </c>
      <c r="AT27" s="52" t="s">
        <v>60</v>
      </c>
      <c r="AU27" s="91" t="s">
        <v>231</v>
      </c>
      <c r="AV27" s="136">
        <f>B30</f>
        <v>30.167100000000001</v>
      </c>
      <c r="AW27" s="52" t="s">
        <v>60</v>
      </c>
      <c r="BA27" s="91" t="s">
        <v>231</v>
      </c>
      <c r="BB27" s="136">
        <f>B30</f>
        <v>30.167100000000001</v>
      </c>
      <c r="BC27" s="52" t="s">
        <v>60</v>
      </c>
      <c r="BD27" s="91" t="s">
        <v>231</v>
      </c>
      <c r="BE27" s="136">
        <f>B30</f>
        <v>30.167100000000001</v>
      </c>
      <c r="BF27" s="52" t="s">
        <v>60</v>
      </c>
      <c r="BJ27" s="91" t="s">
        <v>231</v>
      </c>
      <c r="BK27" s="136">
        <f>B30</f>
        <v>30.167100000000001</v>
      </c>
      <c r="BL27" s="52" t="s">
        <v>60</v>
      </c>
      <c r="BM27" s="91" t="s">
        <v>231</v>
      </c>
      <c r="BN27" s="136">
        <f>B30</f>
        <v>30.167100000000001</v>
      </c>
      <c r="BO27" s="52" t="s">
        <v>60</v>
      </c>
      <c r="BT27" s="90"/>
      <c r="BW27" s="138">
        <v>1000</v>
      </c>
      <c r="BX27" s="52" t="s">
        <v>218</v>
      </c>
      <c r="BY27" s="83" t="s">
        <v>90</v>
      </c>
      <c r="BZ27" s="150">
        <f>B117</f>
        <v>5</v>
      </c>
      <c r="CA27" s="52" t="s">
        <v>194</v>
      </c>
      <c r="CB27" s="52" t="s">
        <v>51</v>
      </c>
      <c r="CC27" s="138">
        <f>B127</f>
        <v>1</v>
      </c>
      <c r="CD27" s="52" t="s">
        <v>146</v>
      </c>
      <c r="CE27" s="52" t="s">
        <v>51</v>
      </c>
      <c r="CF27" s="138">
        <f>B127</f>
        <v>1</v>
      </c>
      <c r="CG27" s="52" t="s">
        <v>146</v>
      </c>
      <c r="CN27" s="52" t="s">
        <v>392</v>
      </c>
      <c r="CO27" s="162">
        <f>B48</f>
        <v>0.25</v>
      </c>
      <c r="CT27" s="83" t="s">
        <v>449</v>
      </c>
      <c r="CU27" s="146">
        <f>B141</f>
        <v>100</v>
      </c>
      <c r="CV27" s="84" t="s">
        <v>48</v>
      </c>
      <c r="CZ27" s="92" t="s">
        <v>451</v>
      </c>
      <c r="DA27" s="142">
        <f t="shared" ref="DA27:DA34" si="0">B143</f>
        <v>0.25</v>
      </c>
      <c r="DB27" s="83" t="s">
        <v>28</v>
      </c>
      <c r="DW27" s="88"/>
      <c r="DX27" s="88"/>
      <c r="DY27" s="88"/>
      <c r="DZ27" s="88"/>
      <c r="EA27" s="83"/>
      <c r="EB27" s="85"/>
      <c r="ED27" s="83" t="s">
        <v>517</v>
      </c>
      <c r="EE27" s="136">
        <f>B36</f>
        <v>4.5999999999999999E-3</v>
      </c>
      <c r="EF27" s="52" t="s">
        <v>601</v>
      </c>
      <c r="EP27" s="83"/>
      <c r="EQ27" s="86"/>
      <c r="ES27" s="83" t="s">
        <v>236</v>
      </c>
      <c r="ET27" s="169">
        <f>B37</f>
        <v>2.1999999999999999E-2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B39</f>
        <v>0.4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B38</f>
        <v>2.7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B40</f>
        <v>0.2</v>
      </c>
      <c r="HC27" s="52" t="s">
        <v>388</v>
      </c>
      <c r="HD27" s="83" t="s">
        <v>22</v>
      </c>
      <c r="HE27" s="137">
        <f>0.693/HE29</f>
        <v>2.2972045705420805E-2</v>
      </c>
    </row>
    <row r="28" spans="1:214" x14ac:dyDescent="0.2">
      <c r="A28" s="91" t="s">
        <v>257</v>
      </c>
      <c r="B28" s="183">
        <v>10.292680000000001</v>
      </c>
      <c r="C28" s="84" t="s">
        <v>259</v>
      </c>
      <c r="G28" s="83" t="s">
        <v>65</v>
      </c>
      <c r="H28" s="141">
        <f>B75</f>
        <v>0.5</v>
      </c>
      <c r="I28" s="52" t="s">
        <v>66</v>
      </c>
      <c r="J28" s="83" t="s">
        <v>447</v>
      </c>
      <c r="K28" s="149">
        <f>(K31*K29*K51)+(K32*K30*K52)</f>
        <v>8250</v>
      </c>
      <c r="L28" s="92" t="s">
        <v>347</v>
      </c>
      <c r="M28" s="52" t="s">
        <v>382</v>
      </c>
      <c r="N28" s="138">
        <f>B68</f>
        <v>150</v>
      </c>
      <c r="O28" s="52" t="s">
        <v>24</v>
      </c>
      <c r="P28" s="52" t="s">
        <v>382</v>
      </c>
      <c r="Q28" s="138">
        <f>B68</f>
        <v>150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B237</f>
        <v>125</v>
      </c>
      <c r="AK28" s="52" t="s">
        <v>24</v>
      </c>
      <c r="AL28" s="52" t="s">
        <v>35</v>
      </c>
      <c r="AM28" s="138">
        <f>B237</f>
        <v>125</v>
      </c>
      <c r="AN28" s="52" t="s">
        <v>24</v>
      </c>
      <c r="AR28" s="52" t="s">
        <v>423</v>
      </c>
      <c r="AS28" s="138">
        <f>B247</f>
        <v>125</v>
      </c>
      <c r="AT28" s="52" t="s">
        <v>24</v>
      </c>
      <c r="AU28" s="52" t="s">
        <v>423</v>
      </c>
      <c r="AV28" s="138">
        <f>B247</f>
        <v>125</v>
      </c>
      <c r="AW28" s="52" t="s">
        <v>24</v>
      </c>
      <c r="BA28" s="52" t="s">
        <v>316</v>
      </c>
      <c r="BB28" s="138">
        <f>B227</f>
        <v>125</v>
      </c>
      <c r="BC28" s="52" t="s">
        <v>24</v>
      </c>
      <c r="BD28" s="52" t="s">
        <v>316</v>
      </c>
      <c r="BE28" s="138">
        <f>B227</f>
        <v>125</v>
      </c>
      <c r="BF28" s="52" t="s">
        <v>24</v>
      </c>
      <c r="BJ28" s="52" t="s">
        <v>191</v>
      </c>
      <c r="BK28" s="138">
        <f>BK29*BK30</f>
        <v>75</v>
      </c>
      <c r="BL28" s="52" t="s">
        <v>24</v>
      </c>
      <c r="BM28" s="52" t="s">
        <v>191</v>
      </c>
      <c r="BN28" s="138">
        <f>BN29*BN30</f>
        <v>75</v>
      </c>
      <c r="BO28" s="52" t="s">
        <v>24</v>
      </c>
      <c r="BS28" s="96"/>
      <c r="BV28" s="83"/>
      <c r="BW28" s="146">
        <v>365</v>
      </c>
      <c r="BX28" s="84" t="s">
        <v>24</v>
      </c>
      <c r="BY28" s="83" t="s">
        <v>302</v>
      </c>
      <c r="BZ28" s="161">
        <f>B3</f>
        <v>8.5099999999999995E-2</v>
      </c>
      <c r="CB28" s="52" t="s">
        <v>300</v>
      </c>
      <c r="CC28" s="136">
        <f>B12</f>
        <v>2.6599999999999999E-2</v>
      </c>
      <c r="CE28" s="52" t="s">
        <v>300</v>
      </c>
      <c r="CF28" s="136">
        <f>B8</f>
        <v>5.0099999999999999E-2</v>
      </c>
      <c r="CN28" s="52" t="s">
        <v>165</v>
      </c>
      <c r="CO28" s="162">
        <f>B135</f>
        <v>2</v>
      </c>
      <c r="CP28" s="52" t="s">
        <v>246</v>
      </c>
      <c r="CT28" s="83" t="s">
        <v>458</v>
      </c>
      <c r="CU28" s="146">
        <f>B142</f>
        <v>50</v>
      </c>
      <c r="CV28" s="84" t="s">
        <v>48</v>
      </c>
      <c r="CZ28" s="92" t="s">
        <v>460</v>
      </c>
      <c r="DA28" s="142">
        <f t="shared" si="0"/>
        <v>1.5</v>
      </c>
      <c r="DB28" s="83" t="s">
        <v>28</v>
      </c>
      <c r="DW28" s="88"/>
      <c r="DX28" s="88"/>
      <c r="DY28" s="88"/>
      <c r="DZ28" s="88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D28" s="52" t="s">
        <v>16</v>
      </c>
      <c r="HE28" s="123">
        <f>1-EXP(-HE27*HE32)</f>
        <v>2.2710197161529555E-2</v>
      </c>
    </row>
    <row r="29" spans="1:214" ht="15.75" thickBot="1" x14ac:dyDescent="0.25">
      <c r="A29" s="83" t="s">
        <v>258</v>
      </c>
      <c r="B29" s="183">
        <v>4.9109405245458101E-5</v>
      </c>
      <c r="C29" s="92" t="s">
        <v>259</v>
      </c>
      <c r="G29" s="83" t="s">
        <v>380</v>
      </c>
      <c r="H29" s="150">
        <f>B66</f>
        <v>150</v>
      </c>
      <c r="I29" s="83" t="s">
        <v>24</v>
      </c>
      <c r="J29" s="83" t="s">
        <v>401</v>
      </c>
      <c r="K29" s="146">
        <f>B59</f>
        <v>55</v>
      </c>
      <c r="L29" s="92" t="s">
        <v>221</v>
      </c>
      <c r="M29" s="52" t="s">
        <v>379</v>
      </c>
      <c r="N29" s="138">
        <f>B65</f>
        <v>1</v>
      </c>
      <c r="O29" s="52" t="s">
        <v>146</v>
      </c>
      <c r="P29" s="52" t="s">
        <v>379</v>
      </c>
      <c r="Q29" s="138">
        <f>B65</f>
        <v>1</v>
      </c>
      <c r="R29" s="52" t="s">
        <v>146</v>
      </c>
      <c r="V29" s="83" t="s">
        <v>22</v>
      </c>
      <c r="W29" s="137">
        <f>0.693/W30</f>
        <v>2.2972045705420805E-2</v>
      </c>
      <c r="Y29" s="83" t="s">
        <v>22</v>
      </c>
      <c r="Z29" s="137">
        <f>0.693/Z30</f>
        <v>2.2972045705420805E-2</v>
      </c>
      <c r="AB29" s="83" t="s">
        <v>260</v>
      </c>
      <c r="AC29" s="143">
        <f>(AC5/(AC8*AC13*AC7*AC9*(1/AC6)))*AC27</f>
        <v>3216.3116016097165</v>
      </c>
      <c r="AD29" s="143">
        <f>(AD5/(AD8*AD13*AD7*AD9*(1/AD6)))*AD27</f>
        <v>3216.3116016097165</v>
      </c>
      <c r="AE29" s="143">
        <f>(AE5/(AE8*AE13*AE7*AE9*(1/AE6)))*AE27</f>
        <v>3216.3116016097165</v>
      </c>
      <c r="AF29" s="143">
        <f>(AF5*AF23*AF24)/((1-EXP(-AF24*AF23))*AF8*AF7*AF9*AF13*(1/AF28))</f>
        <v>804.07790040242901</v>
      </c>
      <c r="AG29" s="143">
        <f>(AG5*AG23*AG24)/((1-EXP(-AG24*AG23))*AG8*AG7*AG9*AG13*(1/AG28))</f>
        <v>804.07790040242901</v>
      </c>
      <c r="AH29" s="83" t="s">
        <v>10</v>
      </c>
      <c r="AI29" s="52" t="s">
        <v>420</v>
      </c>
      <c r="AJ29" s="138">
        <f>B238</f>
        <v>1</v>
      </c>
      <c r="AK29" s="52" t="s">
        <v>146</v>
      </c>
      <c r="AL29" s="52" t="s">
        <v>420</v>
      </c>
      <c r="AM29" s="138">
        <f>B238</f>
        <v>1</v>
      </c>
      <c r="AN29" s="52" t="s">
        <v>146</v>
      </c>
      <c r="AR29" s="52" t="s">
        <v>424</v>
      </c>
      <c r="AS29" s="138">
        <f>B248</f>
        <v>1</v>
      </c>
      <c r="AT29" s="52" t="s">
        <v>146</v>
      </c>
      <c r="AU29" s="52" t="s">
        <v>424</v>
      </c>
      <c r="AV29" s="138">
        <f>B248</f>
        <v>1</v>
      </c>
      <c r="AW29" s="52" t="s">
        <v>146</v>
      </c>
      <c r="BA29" s="52" t="s">
        <v>422</v>
      </c>
      <c r="BB29" s="138">
        <f>B228</f>
        <v>1</v>
      </c>
      <c r="BC29" s="52" t="s">
        <v>146</v>
      </c>
      <c r="BD29" s="52" t="s">
        <v>422</v>
      </c>
      <c r="BE29" s="138">
        <f>B228</f>
        <v>1</v>
      </c>
      <c r="BF29" s="52" t="s">
        <v>146</v>
      </c>
      <c r="BJ29" s="52" t="s">
        <v>220</v>
      </c>
      <c r="BK29" s="138">
        <f>B266</f>
        <v>25</v>
      </c>
      <c r="BL29" s="52" t="s">
        <v>113</v>
      </c>
      <c r="BM29" s="52" t="s">
        <v>220</v>
      </c>
      <c r="BN29" s="138">
        <f>B266</f>
        <v>25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61">
        <f>B4</f>
        <v>0.74199999999999999</v>
      </c>
      <c r="CB29" s="52" t="s">
        <v>411</v>
      </c>
      <c r="CC29" s="136">
        <f>B13</f>
        <v>0.46500000000000002</v>
      </c>
      <c r="CE29" s="52" t="s">
        <v>418</v>
      </c>
      <c r="CF29" s="136">
        <f>B9</f>
        <v>0.72599999999999998</v>
      </c>
      <c r="CN29" s="52" t="s">
        <v>166</v>
      </c>
      <c r="CO29" s="162">
        <f>B136</f>
        <v>2</v>
      </c>
      <c r="CP29" s="52" t="s">
        <v>246</v>
      </c>
      <c r="CT29" s="83" t="s">
        <v>450</v>
      </c>
      <c r="CU29" s="141">
        <f>B145</f>
        <v>5</v>
      </c>
      <c r="CV29" s="92" t="s">
        <v>407</v>
      </c>
      <c r="CZ29" s="92" t="s">
        <v>450</v>
      </c>
      <c r="DA29" s="142">
        <f t="shared" si="0"/>
        <v>5</v>
      </c>
      <c r="DB29" s="83" t="s">
        <v>143</v>
      </c>
      <c r="DW29" s="88"/>
      <c r="DX29" s="88"/>
      <c r="DY29" s="88"/>
      <c r="DZ29" s="8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B30</f>
        <v>30.167100000000001</v>
      </c>
      <c r="HF29" s="52" t="s">
        <v>60</v>
      </c>
    </row>
    <row r="30" spans="1:214" ht="19.5" thickTop="1" thickBot="1" x14ac:dyDescent="0.25">
      <c r="A30" s="91" t="s">
        <v>231</v>
      </c>
      <c r="B30" s="183">
        <v>30.167100000000001</v>
      </c>
      <c r="C30" s="52" t="s">
        <v>235</v>
      </c>
      <c r="D30" s="353" t="s">
        <v>528</v>
      </c>
      <c r="E30" s="354"/>
      <c r="F30" s="355"/>
      <c r="G30" s="83" t="s">
        <v>381</v>
      </c>
      <c r="H30" s="150">
        <f>B67</f>
        <v>150</v>
      </c>
      <c r="I30" s="83" t="s">
        <v>24</v>
      </c>
      <c r="J30" s="83" t="s">
        <v>402</v>
      </c>
      <c r="K30" s="146">
        <f>B60</f>
        <v>55</v>
      </c>
      <c r="L30" s="92" t="s">
        <v>221</v>
      </c>
      <c r="M30" s="52" t="s">
        <v>299</v>
      </c>
      <c r="N30" s="138">
        <f>B73</f>
        <v>1</v>
      </c>
      <c r="P30" s="52" t="s">
        <v>299</v>
      </c>
      <c r="Q30" s="138">
        <f>B73</f>
        <v>1</v>
      </c>
      <c r="V30" s="91" t="s">
        <v>231</v>
      </c>
      <c r="W30" s="136">
        <f>B30</f>
        <v>30.167100000000001</v>
      </c>
      <c r="X30" s="52" t="s">
        <v>60</v>
      </c>
      <c r="Y30" s="91" t="s">
        <v>231</v>
      </c>
      <c r="Z30" s="136">
        <f>B30</f>
        <v>30.167100000000001</v>
      </c>
      <c r="AA30" s="52" t="s">
        <v>60</v>
      </c>
      <c r="AB30" s="83" t="s">
        <v>261</v>
      </c>
      <c r="AC30" s="144">
        <f>(AC5/(AC19*AC15*AC7*AC9*(1/AC32)*((8/1)/(24/1))*AC28))*AC27</f>
        <v>4280930.183133577</v>
      </c>
      <c r="AD30" s="144">
        <f>(AD5/(AD19*AD15*AD7*((8/1)/(24/1))*AD9*(1/AD32)*AD28))*AD27</f>
        <v>4280930.183133577</v>
      </c>
      <c r="AE30" s="144">
        <f>(AE5/(AE19*AE15*AE7*((8/1)/(24/1))*AE9*(1/AE32)*AE28))*AE27</f>
        <v>4280930.183133577</v>
      </c>
      <c r="AF30" s="144">
        <f>(AF5*AF23*AF24)/((1-EXP(-AF24*AF23))*AF19*AF7*AF9*(AF12/24)*AF15*(1/AF33)*AF28)</f>
        <v>3910.7741973657694</v>
      </c>
      <c r="AG30" s="144">
        <f>(AG5*AG23*AG24)/((1-EXP(-AG24*AG23))*AG19*AG7*AG9*(AG12/24)*AG15*(1/AG34)*AG28)</f>
        <v>350487.8578985096</v>
      </c>
      <c r="AH30" s="83" t="s">
        <v>10</v>
      </c>
      <c r="AI30" s="52" t="s">
        <v>299</v>
      </c>
      <c r="AJ30" s="138">
        <f>B241</f>
        <v>1</v>
      </c>
      <c r="AL30" s="52" t="s">
        <v>299</v>
      </c>
      <c r="AM30" s="138">
        <f>B241</f>
        <v>1</v>
      </c>
      <c r="AR30" s="52" t="s">
        <v>299</v>
      </c>
      <c r="AS30" s="138">
        <f>B251</f>
        <v>1</v>
      </c>
      <c r="AV30" s="138"/>
      <c r="BA30" s="52" t="s">
        <v>299</v>
      </c>
      <c r="BB30" s="138">
        <f>B231</f>
        <v>1</v>
      </c>
      <c r="BD30" s="52" t="s">
        <v>299</v>
      </c>
      <c r="BE30" s="138">
        <f>B231</f>
        <v>1</v>
      </c>
      <c r="BJ30" s="52" t="s">
        <v>219</v>
      </c>
      <c r="BK30" s="138">
        <f>B265</f>
        <v>3</v>
      </c>
      <c r="BL30" s="52" t="s">
        <v>112</v>
      </c>
      <c r="BM30" s="52" t="s">
        <v>219</v>
      </c>
      <c r="BN30" s="138">
        <f>B265</f>
        <v>3</v>
      </c>
      <c r="BO30" s="52" t="s">
        <v>112</v>
      </c>
      <c r="BS30" s="91"/>
      <c r="BT30" s="97"/>
      <c r="BU30" s="91"/>
      <c r="BV30" s="91" t="s">
        <v>308</v>
      </c>
      <c r="BW30" s="146">
        <f>B111</f>
        <v>0.23</v>
      </c>
      <c r="BY30" s="94" t="s">
        <v>95</v>
      </c>
      <c r="BZ30" s="150">
        <f>B127</f>
        <v>1</v>
      </c>
      <c r="CA30" s="94" t="s">
        <v>60</v>
      </c>
      <c r="CB30" s="52" t="s">
        <v>90</v>
      </c>
      <c r="CC30" s="138">
        <f>B118</f>
        <v>5</v>
      </c>
      <c r="CD30" s="52" t="s">
        <v>194</v>
      </c>
      <c r="CE30" s="52" t="s">
        <v>90</v>
      </c>
      <c r="CF30" s="138">
        <f>B118</f>
        <v>5</v>
      </c>
      <c r="CG30" s="52" t="s">
        <v>194</v>
      </c>
      <c r="CM30" s="83"/>
      <c r="CN30" s="93" t="s">
        <v>167</v>
      </c>
      <c r="CO30" s="162">
        <f>B137</f>
        <v>2</v>
      </c>
      <c r="CP30" s="52" t="s">
        <v>41</v>
      </c>
      <c r="CQ30" s="88"/>
      <c r="CR30" s="83"/>
      <c r="CS30" s="83"/>
      <c r="CT30" s="83" t="s">
        <v>459</v>
      </c>
      <c r="CU30" s="141">
        <f>B146</f>
        <v>10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10</v>
      </c>
      <c r="DB30" s="83" t="s">
        <v>143</v>
      </c>
      <c r="DW30" s="88"/>
      <c r="DX30" s="88"/>
      <c r="DY30" s="88"/>
      <c r="DZ30" s="8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B93</f>
        <v>0.3</v>
      </c>
    </row>
    <row r="31" spans="1:214" x14ac:dyDescent="0.2">
      <c r="A31" s="91" t="s">
        <v>77</v>
      </c>
      <c r="B31" s="183">
        <f>PEF!D3</f>
        <v>1359344473.5814338</v>
      </c>
      <c r="C31" s="52" t="s">
        <v>524</v>
      </c>
      <c r="D31" s="323" t="s">
        <v>530</v>
      </c>
      <c r="E31" s="347">
        <f>E38</f>
        <v>3.8786091895056436</v>
      </c>
      <c r="F31" s="345" t="s">
        <v>10</v>
      </c>
      <c r="G31" s="83" t="s">
        <v>379</v>
      </c>
      <c r="H31" s="150">
        <f>B65</f>
        <v>1</v>
      </c>
      <c r="I31" s="84" t="s">
        <v>60</v>
      </c>
      <c r="J31" s="83" t="s">
        <v>380</v>
      </c>
      <c r="K31" s="150">
        <f>B66</f>
        <v>150</v>
      </c>
      <c r="L31" s="83" t="s">
        <v>24</v>
      </c>
      <c r="M31" s="52" t="s">
        <v>300</v>
      </c>
      <c r="N31" s="136">
        <f>B12</f>
        <v>2.6599999999999999E-2</v>
      </c>
      <c r="P31" s="52" t="s">
        <v>300</v>
      </c>
      <c r="Q31" s="136">
        <f>B8</f>
        <v>5.0099999999999999E-2</v>
      </c>
      <c r="V31" s="52" t="s">
        <v>35</v>
      </c>
      <c r="W31" s="138">
        <f>B237</f>
        <v>125</v>
      </c>
      <c r="X31" s="52" t="s">
        <v>24</v>
      </c>
      <c r="Y31" s="52" t="s">
        <v>191</v>
      </c>
      <c r="Z31" s="138">
        <f>B257</f>
        <v>125</v>
      </c>
      <c r="AA31" s="52" t="s">
        <v>24</v>
      </c>
      <c r="AB31" s="83" t="s">
        <v>262</v>
      </c>
      <c r="AC31" s="145">
        <f>(AC5*AC23*AC24)/((1-EXP(-AC24*AC23))*AC18*AC7*(1/365)*AC12*(1/24)*AC14*AC17)</f>
        <v>43.931539803630145</v>
      </c>
      <c r="AD31" s="145">
        <f>(AD5*AD23*AD24)/((1-EXP(-AD24*AD23))*AD18*AD7*(1/365)*AD12*(1/24)*AD16*AD17)</f>
        <v>3.7385740372889247</v>
      </c>
      <c r="AE31" s="145">
        <f>(AE5*AE23*AE24)/((1-EXP(-AE24*AE23))*AE18*AE7*(1/365)*AE12*(1/24)*AE14*AE17)</f>
        <v>43.931539803630145</v>
      </c>
      <c r="AF31" s="145">
        <f>(AF5*AF23*AF24)/((1-EXP(-AF24*AF23))*AF18*(AF11*AF10)*(1/365)*AF12*(1/24)*AF14*AF17)</f>
        <v>117.1507728096804</v>
      </c>
      <c r="AG31" s="145">
        <f>(AG5*AG23*AG24)/((1-EXP(-AG24*AG23))*AG18*AG7*(1/365)*AG9*(AG12/24)*AG14*AG17)</f>
        <v>70.29046368580822</v>
      </c>
      <c r="AH31" s="83" t="s">
        <v>10</v>
      </c>
      <c r="AI31" s="52" t="s">
        <v>300</v>
      </c>
      <c r="AJ31" s="136">
        <f>B12</f>
        <v>2.6599999999999999E-2</v>
      </c>
      <c r="AL31" s="52" t="s">
        <v>300</v>
      </c>
      <c r="AM31" s="136">
        <f>B8</f>
        <v>5.0099999999999999E-2</v>
      </c>
      <c r="AR31" s="52" t="s">
        <v>300</v>
      </c>
      <c r="AS31" s="136">
        <f>B12</f>
        <v>2.6599999999999999E-2</v>
      </c>
      <c r="AU31" s="52" t="s">
        <v>300</v>
      </c>
      <c r="AV31" s="136">
        <f>B8</f>
        <v>5.0099999999999999E-2</v>
      </c>
      <c r="BA31" s="52" t="s">
        <v>300</v>
      </c>
      <c r="BB31" s="136">
        <f>B12</f>
        <v>2.6599999999999999E-2</v>
      </c>
      <c r="BD31" s="52" t="s">
        <v>300</v>
      </c>
      <c r="BE31" s="136">
        <f>B8</f>
        <v>5.0099999999999999E-2</v>
      </c>
      <c r="BJ31" s="52" t="s">
        <v>158</v>
      </c>
      <c r="BK31" s="138">
        <f>B258</f>
        <v>1</v>
      </c>
      <c r="BL31" s="52" t="s">
        <v>146</v>
      </c>
      <c r="BM31" s="52" t="s">
        <v>158</v>
      </c>
      <c r="BN31" s="138">
        <f>B258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B112</f>
        <v>0.77</v>
      </c>
      <c r="BZ31" s="150">
        <v>365</v>
      </c>
      <c r="CA31" s="52" t="s">
        <v>24</v>
      </c>
      <c r="CB31" s="52" t="s">
        <v>410</v>
      </c>
      <c r="CC31" s="139">
        <f>B23</f>
        <v>0.64061199999999996</v>
      </c>
      <c r="CD31" s="84" t="s">
        <v>353</v>
      </c>
      <c r="CE31" s="52" t="s">
        <v>419</v>
      </c>
      <c r="CF31" s="139">
        <f>B25</f>
        <v>1.817564</v>
      </c>
      <c r="CG31" s="84" t="s">
        <v>353</v>
      </c>
      <c r="CM31" s="83"/>
      <c r="CN31" s="83" t="s">
        <v>168</v>
      </c>
      <c r="CO31" s="162">
        <f>B138</f>
        <v>2</v>
      </c>
      <c r="CP31" s="52" t="s">
        <v>41</v>
      </c>
      <c r="CQ31" s="83"/>
      <c r="CR31" s="83"/>
      <c r="CS31" s="83"/>
      <c r="CT31" s="83" t="s">
        <v>456</v>
      </c>
      <c r="CU31" s="150">
        <f>B165</f>
        <v>150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55</v>
      </c>
      <c r="DB31" s="83" t="s">
        <v>221</v>
      </c>
      <c r="DW31" s="88"/>
      <c r="DX31" s="88"/>
      <c r="DY31" s="88"/>
      <c r="DZ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B94</f>
        <v>1.5</v>
      </c>
    </row>
    <row r="32" spans="1:214" ht="13.5" thickBot="1" x14ac:dyDescent="0.25">
      <c r="A32" s="91" t="s">
        <v>103</v>
      </c>
      <c r="B32" s="183">
        <f>PEF!G3</f>
        <v>776129.4078035407</v>
      </c>
      <c r="C32" s="52" t="s">
        <v>524</v>
      </c>
      <c r="D32" s="324"/>
      <c r="E32" s="348"/>
      <c r="F32" s="346"/>
      <c r="G32" s="52" t="s">
        <v>403</v>
      </c>
      <c r="H32" s="138">
        <f>B69</f>
        <v>0.25</v>
      </c>
      <c r="I32" s="52" t="s">
        <v>89</v>
      </c>
      <c r="J32" s="83" t="s">
        <v>381</v>
      </c>
      <c r="K32" s="150">
        <f>B67</f>
        <v>150</v>
      </c>
      <c r="L32" s="83" t="s">
        <v>24</v>
      </c>
      <c r="M32" s="52" t="s">
        <v>54</v>
      </c>
      <c r="N32" s="136">
        <f>B13</f>
        <v>0.46500000000000002</v>
      </c>
      <c r="P32" s="52" t="s">
        <v>54</v>
      </c>
      <c r="Q32" s="136">
        <f>B9</f>
        <v>0.72599999999999998</v>
      </c>
      <c r="V32" s="52" t="s">
        <v>420</v>
      </c>
      <c r="W32" s="138">
        <f>B238</f>
        <v>1</v>
      </c>
      <c r="X32" s="52" t="s">
        <v>146</v>
      </c>
      <c r="Y32" s="52" t="s">
        <v>158</v>
      </c>
      <c r="Z32" s="138">
        <f>B258</f>
        <v>1</v>
      </c>
      <c r="AA32" s="52" t="s">
        <v>146</v>
      </c>
      <c r="AB32" s="83" t="s">
        <v>77</v>
      </c>
      <c r="AC32" s="136">
        <f>B31</f>
        <v>1359344473.5814338</v>
      </c>
      <c r="AD32" s="136">
        <f>B31</f>
        <v>1359344473.5814338</v>
      </c>
      <c r="AE32" s="136">
        <f>B31</f>
        <v>1359344473.5814338</v>
      </c>
      <c r="AF32" s="136"/>
      <c r="AG32" s="136"/>
      <c r="AH32" s="104" t="s">
        <v>78</v>
      </c>
      <c r="AI32" s="52" t="s">
        <v>54</v>
      </c>
      <c r="AJ32" s="136">
        <f>B13</f>
        <v>0.46500000000000002</v>
      </c>
      <c r="AL32" s="52" t="s">
        <v>54</v>
      </c>
      <c r="AM32" s="136">
        <f>B9</f>
        <v>0.72599999999999998</v>
      </c>
      <c r="AR32" s="52" t="s">
        <v>54</v>
      </c>
      <c r="AS32" s="136">
        <f>B13</f>
        <v>0.46500000000000002</v>
      </c>
      <c r="AU32" s="52" t="s">
        <v>54</v>
      </c>
      <c r="AV32" s="136">
        <f>B9</f>
        <v>0.72599999999999998</v>
      </c>
      <c r="BA32" s="52" t="s">
        <v>54</v>
      </c>
      <c r="BB32" s="136">
        <f>B13</f>
        <v>0.46500000000000002</v>
      </c>
      <c r="BD32" s="52" t="s">
        <v>54</v>
      </c>
      <c r="BE32" s="136">
        <f>B9</f>
        <v>0.72599999999999998</v>
      </c>
      <c r="BJ32" s="52" t="s">
        <v>300</v>
      </c>
      <c r="BK32" s="136">
        <f>B12</f>
        <v>2.6599999999999999E-2</v>
      </c>
      <c r="BM32" s="52" t="s">
        <v>300</v>
      </c>
      <c r="BN32" s="136">
        <f>B8</f>
        <v>5.0099999999999999E-2</v>
      </c>
      <c r="BS32" s="91"/>
      <c r="BT32" s="99"/>
      <c r="BU32" s="100"/>
      <c r="BW32" s="90"/>
      <c r="BZ32" s="138">
        <v>1000</v>
      </c>
      <c r="CA32" s="52" t="s">
        <v>99</v>
      </c>
      <c r="CM32" s="83"/>
      <c r="CN32" s="83" t="s">
        <v>22</v>
      </c>
      <c r="CO32" s="137">
        <f>0.693/CO33</f>
        <v>2.2972045705420805E-2</v>
      </c>
      <c r="CR32" s="83"/>
      <c r="CS32" s="83"/>
      <c r="CT32" s="83" t="s">
        <v>465</v>
      </c>
      <c r="CU32" s="150">
        <f>B166</f>
        <v>150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55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2.75" customHeight="1" thickTop="1" x14ac:dyDescent="0.2">
      <c r="A33" s="91" t="s">
        <v>104</v>
      </c>
      <c r="B33" s="183">
        <f>PEF!J3</f>
        <v>69557565.807898715</v>
      </c>
      <c r="C33" s="52" t="s">
        <v>524</v>
      </c>
      <c r="D33" s="83" t="s">
        <v>267</v>
      </c>
      <c r="E33" s="136">
        <f>B17</f>
        <v>1</v>
      </c>
      <c r="F33" s="52" t="s">
        <v>344</v>
      </c>
      <c r="G33" s="52" t="s">
        <v>404</v>
      </c>
      <c r="H33" s="138">
        <f>B70</f>
        <v>0.75</v>
      </c>
      <c r="I33" s="52" t="s">
        <v>89</v>
      </c>
      <c r="J33" s="83" t="s">
        <v>379</v>
      </c>
      <c r="K33" s="141">
        <f>B65</f>
        <v>1</v>
      </c>
      <c r="L33" s="92" t="s">
        <v>60</v>
      </c>
      <c r="M33" s="52" t="s">
        <v>408</v>
      </c>
      <c r="N33" s="150">
        <f>B88</f>
        <v>5</v>
      </c>
      <c r="O33" s="52" t="s">
        <v>194</v>
      </c>
      <c r="P33" s="52" t="s">
        <v>408</v>
      </c>
      <c r="Q33" s="150">
        <f>B88</f>
        <v>5</v>
      </c>
      <c r="R33" s="52" t="s">
        <v>194</v>
      </c>
      <c r="V33" s="52" t="s">
        <v>247</v>
      </c>
      <c r="W33" s="139">
        <f>B18</f>
        <v>1.5417408700798101E-4</v>
      </c>
      <c r="X33" s="84" t="s">
        <v>39</v>
      </c>
      <c r="Y33" s="52" t="s">
        <v>247</v>
      </c>
      <c r="Z33" s="139">
        <f>B18</f>
        <v>1.5417408700798101E-4</v>
      </c>
      <c r="AA33" s="84" t="s">
        <v>39</v>
      </c>
      <c r="AB33" s="104" t="s">
        <v>103</v>
      </c>
      <c r="AC33" s="136"/>
      <c r="AD33" s="136"/>
      <c r="AE33" s="136"/>
      <c r="AF33" s="157">
        <f>B32</f>
        <v>776129.4078035407</v>
      </c>
      <c r="AG33" s="136"/>
      <c r="AH33" s="104" t="s">
        <v>78</v>
      </c>
      <c r="AI33" s="52" t="s">
        <v>57</v>
      </c>
      <c r="AJ33" s="136">
        <f>B242</f>
        <v>5</v>
      </c>
      <c r="AK33" s="52" t="s">
        <v>194</v>
      </c>
      <c r="AL33" s="52" t="s">
        <v>57</v>
      </c>
      <c r="AM33" s="136">
        <f>B242</f>
        <v>5</v>
      </c>
      <c r="AN33" s="52" t="s">
        <v>194</v>
      </c>
      <c r="AR33" s="52" t="s">
        <v>57</v>
      </c>
      <c r="AS33" s="136">
        <f>B252</f>
        <v>5</v>
      </c>
      <c r="AT33" s="52" t="s">
        <v>194</v>
      </c>
      <c r="AU33" s="52" t="s">
        <v>57</v>
      </c>
      <c r="AV33" s="136">
        <f>B252</f>
        <v>5</v>
      </c>
      <c r="AW33" s="52" t="s">
        <v>194</v>
      </c>
      <c r="BA33" s="52" t="s">
        <v>58</v>
      </c>
      <c r="BB33" s="136">
        <f>B232</f>
        <v>5</v>
      </c>
      <c r="BC33" s="52" t="s">
        <v>194</v>
      </c>
      <c r="BD33" s="52" t="s">
        <v>57</v>
      </c>
      <c r="BE33" s="136">
        <f>B232</f>
        <v>5</v>
      </c>
      <c r="BF33" s="52" t="s">
        <v>194</v>
      </c>
      <c r="BJ33" s="52" t="s">
        <v>411</v>
      </c>
      <c r="BK33" s="136">
        <f>B13</f>
        <v>0.46500000000000002</v>
      </c>
      <c r="BM33" s="52" t="s">
        <v>418</v>
      </c>
      <c r="BN33" s="136">
        <f>B9</f>
        <v>0.72599999999999998</v>
      </c>
      <c r="BS33" s="91"/>
      <c r="BT33" s="99"/>
      <c r="BU33" s="100"/>
      <c r="BW33" s="90"/>
      <c r="BZ33" s="146">
        <v>1000</v>
      </c>
      <c r="CA33" s="52" t="s">
        <v>23</v>
      </c>
      <c r="CM33" s="83"/>
      <c r="CN33" s="91" t="s">
        <v>231</v>
      </c>
      <c r="CO33" s="136">
        <f>B30</f>
        <v>30.167100000000001</v>
      </c>
      <c r="CP33" s="52" t="s">
        <v>60</v>
      </c>
      <c r="CR33" s="83"/>
      <c r="CS33" s="83"/>
      <c r="CT33" s="83" t="s">
        <v>363</v>
      </c>
      <c r="CU33" s="141">
        <f t="shared" ref="CU33:CU40" si="1">B168</f>
        <v>1</v>
      </c>
      <c r="CV33" s="92" t="s">
        <v>60</v>
      </c>
      <c r="CZ33" s="92" t="s">
        <v>513</v>
      </c>
      <c r="DA33" s="141">
        <f t="shared" si="0"/>
        <v>55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B92</f>
        <v>70</v>
      </c>
    </row>
    <row r="34" spans="1:214" x14ac:dyDescent="0.2">
      <c r="A34" s="91" t="s">
        <v>231</v>
      </c>
      <c r="B34" s="183">
        <f>B30*365</f>
        <v>11010.9915</v>
      </c>
      <c r="C34" s="52" t="s">
        <v>222</v>
      </c>
      <c r="D34" s="83" t="s">
        <v>382</v>
      </c>
      <c r="E34" s="150">
        <f>B68</f>
        <v>150</v>
      </c>
      <c r="F34" s="83" t="s">
        <v>24</v>
      </c>
      <c r="G34" s="83" t="s">
        <v>383</v>
      </c>
      <c r="H34" s="150">
        <f>B71</f>
        <v>24</v>
      </c>
      <c r="I34" s="94" t="s">
        <v>194</v>
      </c>
      <c r="J34" s="83" t="s">
        <v>383</v>
      </c>
      <c r="K34" s="150">
        <f>B71</f>
        <v>24</v>
      </c>
      <c r="L34" s="94" t="s">
        <v>194</v>
      </c>
      <c r="M34" s="52" t="s">
        <v>410</v>
      </c>
      <c r="N34" s="139">
        <f>B23</f>
        <v>0.64061199999999996</v>
      </c>
      <c r="O34" s="84" t="s">
        <v>354</v>
      </c>
      <c r="P34" s="52" t="s">
        <v>419</v>
      </c>
      <c r="Q34" s="139">
        <f>B25</f>
        <v>1.817564</v>
      </c>
      <c r="R34" s="84" t="s">
        <v>353</v>
      </c>
      <c r="V34" s="52" t="s">
        <v>421</v>
      </c>
      <c r="W34" s="150">
        <f>B243</f>
        <v>5</v>
      </c>
      <c r="X34" s="84" t="s">
        <v>194</v>
      </c>
      <c r="Y34" s="52" t="s">
        <v>192</v>
      </c>
      <c r="Z34" s="150">
        <f>B262</f>
        <v>5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B33</f>
        <v>69557565.807898715</v>
      </c>
      <c r="AH34" s="104" t="s">
        <v>78</v>
      </c>
      <c r="AI34" s="52" t="s">
        <v>410</v>
      </c>
      <c r="AJ34" s="139">
        <f>B23</f>
        <v>0.64061199999999996</v>
      </c>
      <c r="AK34" s="84" t="s">
        <v>353</v>
      </c>
      <c r="AL34" s="52" t="s">
        <v>419</v>
      </c>
      <c r="AM34" s="139">
        <f>B25</f>
        <v>1.817564</v>
      </c>
      <c r="AN34" s="84" t="s">
        <v>353</v>
      </c>
      <c r="AR34" s="52" t="s">
        <v>410</v>
      </c>
      <c r="AS34" s="139">
        <f>B23</f>
        <v>0.64061199999999996</v>
      </c>
      <c r="AT34" s="84" t="s">
        <v>353</v>
      </c>
      <c r="AU34" s="52" t="s">
        <v>419</v>
      </c>
      <c r="AV34" s="139">
        <f>B25</f>
        <v>1.817564</v>
      </c>
      <c r="AW34" s="84" t="s">
        <v>353</v>
      </c>
      <c r="BA34" s="52" t="s">
        <v>410</v>
      </c>
      <c r="BB34" s="139">
        <f>B23</f>
        <v>0.64061199999999996</v>
      </c>
      <c r="BC34" s="84" t="s">
        <v>353</v>
      </c>
      <c r="BD34" s="52" t="s">
        <v>419</v>
      </c>
      <c r="BE34" s="139">
        <f>B25</f>
        <v>1.817564</v>
      </c>
      <c r="BF34" s="84" t="s">
        <v>353</v>
      </c>
      <c r="BJ34" s="52" t="s">
        <v>57</v>
      </c>
      <c r="BK34" s="136">
        <f>B262</f>
        <v>5</v>
      </c>
      <c r="BL34" s="52" t="s">
        <v>194</v>
      </c>
      <c r="BM34" s="52" t="s">
        <v>57</v>
      </c>
      <c r="BN34" s="136">
        <f>B262</f>
        <v>5</v>
      </c>
      <c r="BO34" s="52" t="s">
        <v>194</v>
      </c>
      <c r="BT34" s="102"/>
      <c r="BU34" s="91"/>
      <c r="BY34" s="91" t="s">
        <v>308</v>
      </c>
      <c r="BZ34" s="146">
        <f>B111</f>
        <v>0.23</v>
      </c>
      <c r="CM34" s="83"/>
      <c r="CN34" s="84" t="s">
        <v>16</v>
      </c>
      <c r="CO34" s="137">
        <f>(CO31*CO32)/(1-EXP(-CO32*CO31))</f>
        <v>1.0231479444785183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55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B45</f>
        <v>10</v>
      </c>
    </row>
    <row r="35" spans="1:214" ht="12.75" customHeight="1" x14ac:dyDescent="0.2">
      <c r="A35" s="83" t="s">
        <v>105</v>
      </c>
      <c r="B35" s="182">
        <v>2500</v>
      </c>
      <c r="C35" s="84" t="s">
        <v>18</v>
      </c>
      <c r="D35" s="83" t="s">
        <v>258</v>
      </c>
      <c r="E35" s="136">
        <f>B29</f>
        <v>4.9109405245458101E-5</v>
      </c>
      <c r="F35" s="83" t="s">
        <v>87</v>
      </c>
      <c r="G35" s="83" t="s">
        <v>384</v>
      </c>
      <c r="H35" s="150">
        <f>B71</f>
        <v>24</v>
      </c>
      <c r="I35" s="52" t="s">
        <v>194</v>
      </c>
      <c r="J35" s="83" t="s">
        <v>384</v>
      </c>
      <c r="K35" s="150">
        <f>B71</f>
        <v>24</v>
      </c>
      <c r="L35" s="52" t="s">
        <v>194</v>
      </c>
      <c r="M35" s="52" t="s">
        <v>409</v>
      </c>
      <c r="N35" s="150">
        <f>B89</f>
        <v>25</v>
      </c>
      <c r="O35" s="52" t="s">
        <v>194</v>
      </c>
      <c r="P35" s="52" t="s">
        <v>409</v>
      </c>
      <c r="Q35" s="150">
        <f>B89</f>
        <v>25</v>
      </c>
      <c r="R35" s="52" t="s">
        <v>194</v>
      </c>
      <c r="V35" s="52" t="s">
        <v>304</v>
      </c>
      <c r="W35" s="146">
        <f>B236</f>
        <v>50</v>
      </c>
      <c r="X35" s="84" t="s">
        <v>407</v>
      </c>
      <c r="Y35" s="52" t="s">
        <v>348</v>
      </c>
      <c r="Z35" s="146">
        <f>B256</f>
        <v>50</v>
      </c>
      <c r="AA35" s="84" t="s">
        <v>407</v>
      </c>
      <c r="AI35" s="52" t="s">
        <v>69</v>
      </c>
      <c r="AJ35" s="136">
        <f>B243</f>
        <v>5</v>
      </c>
      <c r="AK35" s="52" t="s">
        <v>194</v>
      </c>
      <c r="AL35" s="52" t="s">
        <v>69</v>
      </c>
      <c r="AM35" s="136">
        <f>B243</f>
        <v>5</v>
      </c>
      <c r="AN35" s="52" t="s">
        <v>194</v>
      </c>
      <c r="AR35" s="52" t="s">
        <v>69</v>
      </c>
      <c r="AS35" s="136">
        <f>B253</f>
        <v>5</v>
      </c>
      <c r="AT35" s="52" t="s">
        <v>194</v>
      </c>
      <c r="AU35" s="52" t="s">
        <v>69</v>
      </c>
      <c r="AV35" s="136">
        <f>B253</f>
        <v>5</v>
      </c>
      <c r="AW35" s="52" t="s">
        <v>194</v>
      </c>
      <c r="BA35" s="52" t="s">
        <v>69</v>
      </c>
      <c r="BB35" s="136">
        <f>B233</f>
        <v>5</v>
      </c>
      <c r="BC35" s="52" t="s">
        <v>194</v>
      </c>
      <c r="BD35" s="52" t="s">
        <v>69</v>
      </c>
      <c r="BE35" s="136">
        <f>B233</f>
        <v>5</v>
      </c>
      <c r="BF35" s="52" t="s">
        <v>194</v>
      </c>
      <c r="BJ35" s="52" t="s">
        <v>410</v>
      </c>
      <c r="BK35" s="139">
        <f>B23</f>
        <v>0.64061199999999996</v>
      </c>
      <c r="BL35" s="84" t="s">
        <v>353</v>
      </c>
      <c r="BM35" s="52" t="s">
        <v>419</v>
      </c>
      <c r="BN35" s="139">
        <f>B25</f>
        <v>1.817564</v>
      </c>
      <c r="BO35" s="84" t="s">
        <v>353</v>
      </c>
      <c r="BY35" s="91" t="s">
        <v>309</v>
      </c>
      <c r="BZ35" s="146">
        <f>B112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B165</f>
        <v>150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B75</f>
        <v>0.5</v>
      </c>
      <c r="HF35" s="52" t="s">
        <v>355</v>
      </c>
    </row>
    <row r="36" spans="1:214" ht="12.75" customHeight="1" x14ac:dyDescent="0.2">
      <c r="A36" s="83" t="s">
        <v>239</v>
      </c>
      <c r="B36" s="183">
        <v>4.5999999999999999E-3</v>
      </c>
      <c r="C36" s="52" t="s">
        <v>601</v>
      </c>
      <c r="D36" s="83" t="s">
        <v>389</v>
      </c>
      <c r="E36" s="146">
        <f>B90</f>
        <v>1</v>
      </c>
      <c r="G36" s="83" t="s">
        <v>405</v>
      </c>
      <c r="H36" s="138">
        <f>B76</f>
        <v>5</v>
      </c>
      <c r="I36" s="52" t="s">
        <v>80</v>
      </c>
      <c r="J36" s="83" t="s">
        <v>390</v>
      </c>
      <c r="K36" s="141">
        <f>B78</f>
        <v>0.25</v>
      </c>
      <c r="M36" s="121"/>
      <c r="N36" s="121"/>
      <c r="O36" s="121"/>
      <c r="P36" s="121"/>
      <c r="Q36" s="121"/>
      <c r="R36" s="121"/>
      <c r="V36" s="83" t="s">
        <v>256</v>
      </c>
      <c r="W36" s="136">
        <f>B27</f>
        <v>4763.3999999999996</v>
      </c>
      <c r="X36" s="83" t="s">
        <v>343</v>
      </c>
      <c r="Y36" s="83" t="s">
        <v>256</v>
      </c>
      <c r="Z36" s="136">
        <f>B27</f>
        <v>4763.3999999999996</v>
      </c>
      <c r="AA36" s="83" t="s">
        <v>343</v>
      </c>
      <c r="AI36" s="83"/>
      <c r="AJ36" s="83"/>
      <c r="AK36" s="83"/>
      <c r="AL36" s="83"/>
      <c r="AM36" s="83"/>
      <c r="AN36" s="83"/>
      <c r="AR36" s="83"/>
      <c r="AS36" s="83"/>
      <c r="AT36" s="83"/>
      <c r="AU36" s="83"/>
      <c r="AV36" s="83"/>
      <c r="AW36" s="83"/>
      <c r="BA36" s="83"/>
      <c r="BB36" s="83"/>
      <c r="BC36" s="83"/>
      <c r="BD36" s="83"/>
      <c r="BE36" s="83"/>
      <c r="BF36" s="83"/>
      <c r="BS36" s="100"/>
      <c r="BT36" s="100"/>
      <c r="BU36" s="91"/>
      <c r="BZ36" s="90"/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B166</f>
        <v>150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B97</f>
        <v>5</v>
      </c>
      <c r="HF36" s="52" t="s">
        <v>94</v>
      </c>
    </row>
    <row r="37" spans="1:214" ht="12.75" customHeight="1" x14ac:dyDescent="0.2">
      <c r="A37" s="83" t="s">
        <v>236</v>
      </c>
      <c r="B37" s="183">
        <v>2.1999999999999999E-2</v>
      </c>
      <c r="C37" s="52" t="s">
        <v>388</v>
      </c>
      <c r="D37" s="83" t="s">
        <v>394</v>
      </c>
      <c r="E37" s="146">
        <f>B56</f>
        <v>35</v>
      </c>
      <c r="F37" s="52" t="s">
        <v>48</v>
      </c>
      <c r="G37" s="83" t="s">
        <v>406</v>
      </c>
      <c r="H37" s="138">
        <f>B77</f>
        <v>5</v>
      </c>
      <c r="I37" s="52" t="s">
        <v>80</v>
      </c>
      <c r="J37" s="83" t="s">
        <v>408</v>
      </c>
      <c r="K37" s="150">
        <f>B88</f>
        <v>5</v>
      </c>
      <c r="L37" s="84" t="s">
        <v>194</v>
      </c>
      <c r="V37" s="83" t="s">
        <v>301</v>
      </c>
      <c r="W37" s="142">
        <f>B240</f>
        <v>2</v>
      </c>
      <c r="Y37" s="83" t="s">
        <v>301</v>
      </c>
      <c r="Z37" s="142">
        <f>B260</f>
        <v>2</v>
      </c>
      <c r="BS37" s="91"/>
      <c r="BT37" s="91"/>
      <c r="BU37" s="91"/>
      <c r="BZ37" s="90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15</v>
      </c>
      <c r="CV37" s="84" t="s">
        <v>194</v>
      </c>
      <c r="CZ37" s="92" t="s">
        <v>363</v>
      </c>
      <c r="DA37" s="141">
        <f>B168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4.25" customHeight="1" x14ac:dyDescent="0.2">
      <c r="A38" s="83" t="s">
        <v>237</v>
      </c>
      <c r="B38" s="183">
        <v>2.7</v>
      </c>
      <c r="C38" s="52" t="s">
        <v>388</v>
      </c>
      <c r="D38" s="83" t="s">
        <v>260</v>
      </c>
      <c r="E38" s="152">
        <f>E33/(E35*E34*E37*E36)</f>
        <v>3.8786091895056436</v>
      </c>
      <c r="F38" s="84" t="s">
        <v>10</v>
      </c>
      <c r="H38" s="138">
        <f>1/1000</f>
        <v>1E-3</v>
      </c>
      <c r="I38" s="52" t="s">
        <v>82</v>
      </c>
      <c r="J38" s="83" t="s">
        <v>409</v>
      </c>
      <c r="K38" s="150">
        <f>B89</f>
        <v>25</v>
      </c>
      <c r="L38" s="84" t="s">
        <v>194</v>
      </c>
      <c r="V38" s="52" t="s">
        <v>261</v>
      </c>
      <c r="W38" s="143">
        <f>(W27)/((W34/24)*W31*W32*W33*W35)</f>
        <v>4.9813818580306783</v>
      </c>
      <c r="X38" s="52" t="s">
        <v>15</v>
      </c>
      <c r="Y38" s="52" t="s">
        <v>261</v>
      </c>
      <c r="Z38" s="143">
        <f>(Z27)/((Z34/24)*Z31*Z32*Z33*Z35)</f>
        <v>4.9813818580306783</v>
      </c>
      <c r="AA38" s="52" t="s">
        <v>15</v>
      </c>
      <c r="AE38" s="352" t="s">
        <v>226</v>
      </c>
      <c r="AF38" s="352"/>
      <c r="AG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5</v>
      </c>
      <c r="CV38" s="84" t="s">
        <v>194</v>
      </c>
      <c r="CZ38" s="92" t="s">
        <v>364</v>
      </c>
      <c r="DA38" s="141">
        <f>B169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B98</f>
        <v>0.18</v>
      </c>
      <c r="HF38" s="52" t="s">
        <v>355</v>
      </c>
    </row>
    <row r="39" spans="1:214" x14ac:dyDescent="0.2">
      <c r="A39" s="83" t="s">
        <v>171</v>
      </c>
      <c r="B39" s="183">
        <v>0.4</v>
      </c>
      <c r="C39" s="52" t="s">
        <v>388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(W27)/((W34/24)*W31*W36*(1/365))</f>
        <v>2.9424360750724271E-3</v>
      </c>
      <c r="X39" s="52" t="s">
        <v>15</v>
      </c>
      <c r="Y39" s="52" t="s">
        <v>271</v>
      </c>
      <c r="Z39" s="144">
        <f>(Z27)/((Z34/24)*Z31*Z36*(1/365))</f>
        <v>2.9424360750724271E-3</v>
      </c>
      <c r="AA39" s="52" t="s">
        <v>15</v>
      </c>
      <c r="AE39" s="352"/>
      <c r="AF39" s="352"/>
      <c r="AG39" s="352"/>
      <c r="BK39" s="352" t="s">
        <v>230</v>
      </c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B170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B99</f>
        <v>55</v>
      </c>
      <c r="HF39" s="52" t="s">
        <v>97</v>
      </c>
    </row>
    <row r="40" spans="1:214" x14ac:dyDescent="0.2">
      <c r="A40" s="83" t="s">
        <v>238</v>
      </c>
      <c r="B40" s="183">
        <v>0.2</v>
      </c>
      <c r="C40" s="52" t="s">
        <v>388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(W27*W29*W28)/((W34/24)*(1-EXP(-W29*W32))*W33*W35*W31*W32)</f>
        <v>5.0388171844091376</v>
      </c>
      <c r="X40" s="52" t="s">
        <v>16</v>
      </c>
      <c r="Y40" s="52" t="s">
        <v>261</v>
      </c>
      <c r="Z40" s="144">
        <f>(Z27*Z29*Z28)/((Z34/24)*(1-EXP(-Z29*Z32))*Z33*Z35*Z31*Z32)</f>
        <v>5.0388171844091376</v>
      </c>
      <c r="AA40" s="52" t="s">
        <v>16</v>
      </c>
      <c r="AE40" s="352"/>
      <c r="AF40" s="352"/>
      <c r="AG40" s="352"/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1</v>
      </c>
      <c r="CZ40" s="92" t="s">
        <v>457</v>
      </c>
      <c r="DA40" s="141">
        <f>B177</f>
        <v>5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B100</f>
        <v>5</v>
      </c>
      <c r="HF40" s="52" t="s">
        <v>97</v>
      </c>
    </row>
    <row r="41" spans="1:214" ht="13.5" thickBot="1" x14ac:dyDescent="0.25">
      <c r="A41" s="52" t="s">
        <v>229</v>
      </c>
      <c r="B41" s="183">
        <v>2.1999999999999999E-2</v>
      </c>
      <c r="C41" s="52" t="s">
        <v>388</v>
      </c>
      <c r="G41" s="83" t="s">
        <v>390</v>
      </c>
      <c r="H41" s="141">
        <f>B78</f>
        <v>0.25</v>
      </c>
      <c r="I41" s="84"/>
      <c r="J41" s="83" t="s">
        <v>302</v>
      </c>
      <c r="K41" s="161">
        <f>B3</f>
        <v>8.5099999999999995E-2</v>
      </c>
      <c r="V41" s="52" t="s">
        <v>271</v>
      </c>
      <c r="W41" s="145">
        <f>(W27*W29*W28)/((W34/24)*(1-EXP(-W29*W28))*W36*W31*(1/365))</f>
        <v>2.9763623592112525E-3</v>
      </c>
      <c r="X41" s="52" t="s">
        <v>16</v>
      </c>
      <c r="Y41" s="52" t="s">
        <v>271</v>
      </c>
      <c r="Z41" s="145">
        <f>(Z27*Z29*Z28)/((Z34/24)*(1-EXP(-Z29*Z28))*Z36*Z31*(1/365))</f>
        <v>2.9763623592112525E-3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61">
        <f>B3</f>
        <v>8.5099999999999995E-2</v>
      </c>
      <c r="CZ41" s="92" t="s">
        <v>466</v>
      </c>
      <c r="DA41" s="141">
        <f>B178</f>
        <v>5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B101</f>
        <v>5</v>
      </c>
      <c r="HF41" s="52" t="s">
        <v>97</v>
      </c>
    </row>
    <row r="42" spans="1:214" ht="19.5" thickTop="1" thickBot="1" x14ac:dyDescent="0.25">
      <c r="A42" s="83" t="s">
        <v>228</v>
      </c>
      <c r="B42" s="183">
        <v>2.7</v>
      </c>
      <c r="C42" s="52" t="s">
        <v>388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61">
        <f>B4</f>
        <v>0.74199999999999999</v>
      </c>
      <c r="Y42" s="52" t="s">
        <v>220</v>
      </c>
      <c r="Z42" s="138">
        <f>B266</f>
        <v>25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61">
        <f>B4</f>
        <v>0.74199999999999999</v>
      </c>
      <c r="CW42" s="84"/>
      <c r="CX42" s="84"/>
      <c r="CY42" s="84"/>
      <c r="CZ42" s="52" t="s">
        <v>477</v>
      </c>
      <c r="DA42" s="141">
        <f>B179</f>
        <v>0.25</v>
      </c>
      <c r="DB42" s="92" t="s">
        <v>358</v>
      </c>
      <c r="DW42" s="88"/>
      <c r="DX42" s="88"/>
      <c r="DY42" s="88"/>
      <c r="DZ42" s="88"/>
      <c r="HD42" s="52" t="s">
        <v>225</v>
      </c>
      <c r="HE42" s="138">
        <f>1+((HE35*HE36*HE37)/(HE38*HE39))</f>
        <v>3.1605966718331597</v>
      </c>
    </row>
    <row r="43" spans="1:214" x14ac:dyDescent="0.2">
      <c r="A43" s="84" t="s">
        <v>32</v>
      </c>
      <c r="B43" s="183">
        <f>0.02523</f>
        <v>2.5229999999999999E-2</v>
      </c>
      <c r="D43" s="323" t="s">
        <v>530</v>
      </c>
      <c r="E43" s="347">
        <f>E53</f>
        <v>1.5514436758022574</v>
      </c>
      <c r="F43" s="345" t="s">
        <v>11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Y43" s="52" t="s">
        <v>219</v>
      </c>
      <c r="Z43" s="138">
        <f>B265</f>
        <v>3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B180</f>
        <v>0.85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52" t="s">
        <v>33</v>
      </c>
      <c r="B44" s="183">
        <v>2.9000000000000001E-2</v>
      </c>
      <c r="D44" s="324"/>
      <c r="E44" s="348"/>
      <c r="F44" s="346"/>
      <c r="G44" s="52" t="s">
        <v>19</v>
      </c>
      <c r="H44" s="136">
        <f>H46</f>
        <v>2.5229999999999999E-2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5.75" thickTop="1" x14ac:dyDescent="0.2">
      <c r="A45" s="83" t="s">
        <v>156</v>
      </c>
      <c r="B45" s="182">
        <v>10</v>
      </c>
      <c r="C45" s="83" t="s">
        <v>18</v>
      </c>
      <c r="D45" s="83" t="s">
        <v>267</v>
      </c>
      <c r="E45" s="136">
        <f>B17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B181</f>
        <v>0.5</v>
      </c>
      <c r="DB45" s="92" t="s">
        <v>145</v>
      </c>
      <c r="DW45" s="88"/>
      <c r="DX45" s="88"/>
      <c r="DY45" s="88"/>
      <c r="DZ45" s="88"/>
    </row>
    <row r="46" spans="1:214" x14ac:dyDescent="0.2">
      <c r="A46" s="84" t="s">
        <v>21</v>
      </c>
      <c r="B46" s="181">
        <v>200</v>
      </c>
      <c r="C46" s="52" t="s">
        <v>11</v>
      </c>
      <c r="D46" s="83" t="s">
        <v>382</v>
      </c>
      <c r="E46" s="150">
        <f>B68</f>
        <v>150</v>
      </c>
      <c r="F46" s="83" t="s">
        <v>24</v>
      </c>
      <c r="G46" s="84" t="s">
        <v>32</v>
      </c>
      <c r="H46" s="139">
        <f>B43</f>
        <v>2.5229999999999999E-2</v>
      </c>
      <c r="K46" s="146">
        <v>1000</v>
      </c>
      <c r="L46" s="52" t="s">
        <v>23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52" t="s">
        <v>393</v>
      </c>
      <c r="B47" s="131">
        <v>0.26</v>
      </c>
      <c r="D47" s="83" t="s">
        <v>258</v>
      </c>
      <c r="E47" s="136">
        <f>B29</f>
        <v>4.9109405245458101E-5</v>
      </c>
      <c r="F47" s="83" t="s">
        <v>87</v>
      </c>
      <c r="G47" s="83" t="s">
        <v>393</v>
      </c>
      <c r="H47" s="142">
        <f>B47</f>
        <v>0.26</v>
      </c>
      <c r="J47" s="52" t="s">
        <v>19</v>
      </c>
      <c r="K47" s="136">
        <f>K49</f>
        <v>2.5229999999999999E-2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B163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52" t="s">
        <v>392</v>
      </c>
      <c r="B48" s="131">
        <v>0.25</v>
      </c>
      <c r="D48" s="83" t="s">
        <v>379</v>
      </c>
      <c r="E48" s="146">
        <f>B65</f>
        <v>1</v>
      </c>
      <c r="F48" s="52" t="s">
        <v>60</v>
      </c>
      <c r="G48" s="52" t="s">
        <v>17</v>
      </c>
      <c r="H48" s="137">
        <f>((H51*H52*H53)*((1-EXP(-H54*H55))))/(H56*H54)</f>
        <v>0.66271991443607436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B164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381" t="s">
        <v>2</v>
      </c>
      <c r="B49" s="382"/>
      <c r="C49" s="383"/>
      <c r="D49" s="83" t="s">
        <v>394</v>
      </c>
      <c r="E49" s="146">
        <f>B56</f>
        <v>35</v>
      </c>
      <c r="F49" s="52" t="s">
        <v>48</v>
      </c>
      <c r="G49" s="52" t="s">
        <v>25</v>
      </c>
      <c r="H49" s="137">
        <f>(H51*H52*H57*((1-EXP(-H54*H55))))/(H56*H54)</f>
        <v>6.8294561138874093</v>
      </c>
      <c r="I49" s="52" t="s">
        <v>18</v>
      </c>
      <c r="J49" s="84" t="s">
        <v>32</v>
      </c>
      <c r="K49" s="139">
        <f>B43</f>
        <v>2.5229999999999999E-2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Z49" s="83" t="s">
        <v>475</v>
      </c>
      <c r="DA49" s="146">
        <f>B163</f>
        <v>0.15</v>
      </c>
      <c r="DW49" s="88"/>
      <c r="DX49" s="88"/>
      <c r="DY49" s="88"/>
      <c r="DZ49" s="88"/>
    </row>
    <row r="50" spans="1:130" x14ac:dyDescent="0.2">
      <c r="A50" s="83" t="s">
        <v>366</v>
      </c>
      <c r="B50" s="130">
        <v>5</v>
      </c>
      <c r="C50" s="92" t="s">
        <v>407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3.6385364930662121</v>
      </c>
      <c r="I50" s="52" t="s">
        <v>18</v>
      </c>
      <c r="J50" s="83" t="s">
        <v>393</v>
      </c>
      <c r="K50" s="142">
        <f>B47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Z50" s="83" t="s">
        <v>476</v>
      </c>
      <c r="DA50" s="146">
        <f>B164</f>
        <v>0.85</v>
      </c>
      <c r="DW50" s="88"/>
      <c r="DX50" s="88"/>
      <c r="DY50" s="88"/>
      <c r="DZ50" s="88"/>
    </row>
    <row r="51" spans="1:130" x14ac:dyDescent="0.2">
      <c r="A51" s="83" t="s">
        <v>367</v>
      </c>
      <c r="B51" s="130">
        <v>10</v>
      </c>
      <c r="C51" s="92" t="s">
        <v>407</v>
      </c>
      <c r="D51" s="83" t="s">
        <v>105</v>
      </c>
      <c r="E51" s="150">
        <f>B35</f>
        <v>2500</v>
      </c>
      <c r="F51" s="84" t="s">
        <v>18</v>
      </c>
      <c r="G51" s="83" t="s">
        <v>36</v>
      </c>
      <c r="H51" s="138">
        <f>B79</f>
        <v>3.62</v>
      </c>
      <c r="I51" s="52" t="s">
        <v>37</v>
      </c>
      <c r="J51" s="83" t="s">
        <v>376</v>
      </c>
      <c r="K51" s="146">
        <f>B61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DW51" s="88"/>
      <c r="DX51" s="88"/>
      <c r="DY51" s="88"/>
      <c r="DZ51" s="88"/>
    </row>
    <row r="52" spans="1:130" x14ac:dyDescent="0.2">
      <c r="A52" s="83" t="s">
        <v>368</v>
      </c>
      <c r="B52" s="130">
        <v>100</v>
      </c>
      <c r="C52" s="84" t="s">
        <v>48</v>
      </c>
      <c r="D52" s="83" t="s">
        <v>107</v>
      </c>
      <c r="E52" s="138">
        <f>B74</f>
        <v>1</v>
      </c>
      <c r="F52" s="84" t="s">
        <v>108</v>
      </c>
      <c r="G52" s="83" t="s">
        <v>40</v>
      </c>
      <c r="H52" s="138">
        <f>B80</f>
        <v>0.25</v>
      </c>
      <c r="I52" s="52" t="s">
        <v>41</v>
      </c>
      <c r="J52" s="83" t="s">
        <v>377</v>
      </c>
      <c r="K52" s="146">
        <f>B62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DW52" s="88"/>
      <c r="DX52" s="88"/>
      <c r="DY52" s="88"/>
      <c r="DZ52" s="88"/>
    </row>
    <row r="53" spans="1:130" x14ac:dyDescent="0.2">
      <c r="A53" s="83" t="s">
        <v>369</v>
      </c>
      <c r="B53" s="130">
        <v>50</v>
      </c>
      <c r="C53" s="84" t="s">
        <v>48</v>
      </c>
      <c r="D53" s="83" t="s">
        <v>260</v>
      </c>
      <c r="E53" s="152">
        <f>E45/(E47*E46*E48*E49*E51*E52*(1/E50))</f>
        <v>1.5514436758022574</v>
      </c>
      <c r="F53" s="52" t="s">
        <v>11</v>
      </c>
      <c r="G53" s="92" t="s">
        <v>32</v>
      </c>
      <c r="H53" s="136">
        <f>B43</f>
        <v>2.5229999999999999E-2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83" t="s">
        <v>370</v>
      </c>
      <c r="B54" s="130">
        <v>0.25</v>
      </c>
      <c r="C54" s="83" t="s">
        <v>28</v>
      </c>
      <c r="D54" s="95"/>
      <c r="E54" s="176"/>
      <c r="G54" s="92" t="s">
        <v>49</v>
      </c>
      <c r="H54" s="137">
        <f>H62+H63</f>
        <v>8.993711152170084E-5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83" t="s">
        <v>371</v>
      </c>
      <c r="B55" s="130">
        <v>1.5</v>
      </c>
      <c r="C55" s="52" t="s">
        <v>28</v>
      </c>
      <c r="G55" s="92" t="s">
        <v>52</v>
      </c>
      <c r="H55" s="138">
        <f>B81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83" t="s">
        <v>310</v>
      </c>
      <c r="B56" s="130">
        <v>35</v>
      </c>
      <c r="C56" s="52" t="s">
        <v>48</v>
      </c>
      <c r="G56" s="92" t="s">
        <v>55</v>
      </c>
      <c r="H56" s="138">
        <f>B82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83" t="s">
        <v>372</v>
      </c>
      <c r="B57" s="130">
        <v>55</v>
      </c>
      <c r="C57" s="92" t="s">
        <v>221</v>
      </c>
      <c r="G57" s="92" t="s">
        <v>393</v>
      </c>
      <c r="H57" s="138">
        <f>B47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83" t="s">
        <v>373</v>
      </c>
      <c r="B58" s="130">
        <v>55</v>
      </c>
      <c r="C58" s="92" t="s">
        <v>221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83" t="s">
        <v>374</v>
      </c>
      <c r="B59" s="130">
        <v>55</v>
      </c>
      <c r="C59" s="92" t="s">
        <v>221</v>
      </c>
      <c r="G59" s="92" t="s">
        <v>63</v>
      </c>
      <c r="H59" s="151">
        <f>H63+(0.693/H65)</f>
        <v>4.9562937111521696E-2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83" t="s">
        <v>375</v>
      </c>
      <c r="B60" s="130">
        <v>55</v>
      </c>
      <c r="C60" s="92" t="s">
        <v>221</v>
      </c>
      <c r="G60" s="92" t="s">
        <v>67</v>
      </c>
      <c r="H60" s="142">
        <f>B83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83" t="s">
        <v>376</v>
      </c>
      <c r="B61" s="130">
        <v>0.23</v>
      </c>
      <c r="G61" s="92" t="s">
        <v>68</v>
      </c>
      <c r="H61" s="142">
        <f>B84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83" t="s">
        <v>377</v>
      </c>
      <c r="B62" s="130">
        <v>0.77</v>
      </c>
      <c r="G62" s="92" t="s">
        <v>70</v>
      </c>
      <c r="H62" s="138">
        <f>B85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378</v>
      </c>
      <c r="B63" s="131">
        <v>1</v>
      </c>
      <c r="C63" s="52" t="s">
        <v>60</v>
      </c>
      <c r="G63" s="92" t="s">
        <v>71</v>
      </c>
      <c r="H63" s="137">
        <f>0.693/H67</f>
        <v>6.2937111521700834E-5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52" t="s">
        <v>448</v>
      </c>
      <c r="B64" s="131">
        <v>1</v>
      </c>
      <c r="C64" s="52" t="s">
        <v>60</v>
      </c>
      <c r="G64" s="92" t="s">
        <v>73</v>
      </c>
      <c r="H64" s="138">
        <f>B86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379</v>
      </c>
      <c r="B65" s="131">
        <v>1</v>
      </c>
      <c r="C65" s="52" t="s">
        <v>60</v>
      </c>
      <c r="G65" s="92" t="s">
        <v>74</v>
      </c>
      <c r="H65" s="138">
        <f>B87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380</v>
      </c>
      <c r="B66" s="131">
        <v>150</v>
      </c>
      <c r="C66" s="83" t="s">
        <v>24</v>
      </c>
      <c r="G66" s="52" t="s">
        <v>33</v>
      </c>
      <c r="H66" s="136">
        <f>B44</f>
        <v>2.9000000000000001E-2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381</v>
      </c>
      <c r="B67" s="131">
        <v>150</v>
      </c>
      <c r="C67" s="83" t="s">
        <v>24</v>
      </c>
      <c r="G67" s="83" t="s">
        <v>234</v>
      </c>
      <c r="H67" s="136">
        <f>B34</f>
        <v>11010.9915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382</v>
      </c>
      <c r="B68" s="131">
        <v>150</v>
      </c>
      <c r="C68" s="83" t="s">
        <v>24</v>
      </c>
      <c r="G68" s="83" t="s">
        <v>376</v>
      </c>
      <c r="H68" s="146">
        <f>B61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52" t="s">
        <v>403</v>
      </c>
      <c r="B69" s="131">
        <v>0.25</v>
      </c>
      <c r="C69" s="52" t="s">
        <v>89</v>
      </c>
      <c r="G69" s="83" t="s">
        <v>377</v>
      </c>
      <c r="H69" s="146">
        <f>B62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52" t="s">
        <v>404</v>
      </c>
      <c r="B70" s="131">
        <v>0.75</v>
      </c>
      <c r="C70" s="52" t="s">
        <v>89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52" t="s">
        <v>385</v>
      </c>
      <c r="B71" s="131">
        <v>24</v>
      </c>
      <c r="C71" s="52" t="s">
        <v>194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52" t="s">
        <v>318</v>
      </c>
      <c r="B72" s="131">
        <v>2</v>
      </c>
      <c r="AF72" s="109"/>
      <c r="AG72" s="106"/>
      <c r="AH72" s="106"/>
      <c r="AI72" s="106"/>
      <c r="AJ72" s="106"/>
      <c r="AK72" s="106"/>
    </row>
    <row r="73" spans="1:105" x14ac:dyDescent="0.2">
      <c r="A73" s="52" t="s">
        <v>303</v>
      </c>
      <c r="B73" s="131">
        <v>1</v>
      </c>
      <c r="AF73" s="109"/>
      <c r="AG73" s="106"/>
      <c r="AH73" s="106"/>
      <c r="AI73" s="106"/>
      <c r="AJ73" s="106"/>
      <c r="AK73" s="106"/>
    </row>
    <row r="74" spans="1:105" x14ac:dyDescent="0.2">
      <c r="A74" s="83" t="s">
        <v>107</v>
      </c>
      <c r="B74" s="131">
        <v>1</v>
      </c>
      <c r="C74" s="84" t="s">
        <v>108</v>
      </c>
      <c r="AF74" s="109"/>
      <c r="AG74" s="106"/>
      <c r="AH74" s="106"/>
      <c r="AI74" s="106"/>
      <c r="AJ74" s="106"/>
      <c r="AK74" s="106"/>
    </row>
    <row r="75" spans="1:105" x14ac:dyDescent="0.2">
      <c r="A75" s="52" t="s">
        <v>65</v>
      </c>
      <c r="B75" s="131">
        <v>0.5</v>
      </c>
      <c r="C75" s="52" t="s">
        <v>66</v>
      </c>
      <c r="AF75" s="108"/>
      <c r="AG75" s="106"/>
      <c r="AH75" s="106"/>
      <c r="AI75" s="106"/>
      <c r="AJ75" s="106"/>
      <c r="AK75" s="106"/>
    </row>
    <row r="76" spans="1:105" x14ac:dyDescent="0.2">
      <c r="A76" s="52" t="s">
        <v>79</v>
      </c>
      <c r="B76" s="131">
        <v>5</v>
      </c>
      <c r="C76" s="52" t="s">
        <v>80</v>
      </c>
      <c r="AF76" s="109"/>
      <c r="AG76" s="106"/>
      <c r="AH76" s="106"/>
      <c r="AI76" s="106"/>
      <c r="AJ76" s="106"/>
      <c r="AK76" s="106"/>
    </row>
    <row r="77" spans="1:105" x14ac:dyDescent="0.2">
      <c r="A77" s="52" t="s">
        <v>81</v>
      </c>
      <c r="B77" s="131">
        <v>5</v>
      </c>
      <c r="C77" s="52" t="s">
        <v>80</v>
      </c>
      <c r="AF77" s="109"/>
      <c r="AG77" s="106"/>
      <c r="AH77" s="106"/>
      <c r="AI77" s="106"/>
      <c r="AJ77" s="106"/>
      <c r="AK77" s="106"/>
    </row>
    <row r="78" spans="1:105" x14ac:dyDescent="0.2">
      <c r="A78" s="52" t="s">
        <v>390</v>
      </c>
      <c r="B78" s="131">
        <v>0.25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36</v>
      </c>
      <c r="B79" s="131">
        <v>3.62</v>
      </c>
      <c r="C79" s="52" t="s">
        <v>37</v>
      </c>
      <c r="AF79" s="109"/>
      <c r="AG79" s="106"/>
    </row>
    <row r="80" spans="1:105" x14ac:dyDescent="0.2">
      <c r="A80" s="83" t="s">
        <v>40</v>
      </c>
      <c r="B80" s="131">
        <v>0.25</v>
      </c>
      <c r="C80" s="52" t="s">
        <v>41</v>
      </c>
      <c r="AF80" s="109"/>
      <c r="AG80" s="106"/>
      <c r="AH80" s="106"/>
      <c r="AI80" s="106"/>
      <c r="AJ80" s="106"/>
      <c r="AK80" s="106"/>
    </row>
    <row r="81" spans="1:37" x14ac:dyDescent="0.2">
      <c r="A81" s="92" t="s">
        <v>52</v>
      </c>
      <c r="B81" s="131">
        <v>10950</v>
      </c>
      <c r="C81" s="52" t="s">
        <v>53</v>
      </c>
      <c r="AF81" s="109"/>
      <c r="AG81" s="106"/>
      <c r="AH81" s="106"/>
      <c r="AI81" s="106"/>
      <c r="AJ81" s="106"/>
      <c r="AK81" s="106"/>
    </row>
    <row r="82" spans="1:37" x14ac:dyDescent="0.2">
      <c r="A82" s="92" t="s">
        <v>55</v>
      </c>
      <c r="B82" s="131">
        <v>240</v>
      </c>
      <c r="C82" s="52" t="s">
        <v>56</v>
      </c>
      <c r="AF82" s="109"/>
      <c r="AG82" s="106"/>
      <c r="AH82" s="106"/>
      <c r="AI82" s="106"/>
      <c r="AJ82" s="106"/>
      <c r="AK82" s="106"/>
    </row>
    <row r="83" spans="1:37" x14ac:dyDescent="0.2">
      <c r="A83" s="92" t="s">
        <v>67</v>
      </c>
      <c r="B83" s="131">
        <v>60</v>
      </c>
      <c r="C83" s="83" t="s">
        <v>53</v>
      </c>
      <c r="AF83" s="109"/>
      <c r="AG83" s="106"/>
      <c r="AH83" s="106"/>
      <c r="AI83" s="106"/>
      <c r="AJ83" s="106"/>
      <c r="AK83" s="106"/>
    </row>
    <row r="84" spans="1:37" x14ac:dyDescent="0.2">
      <c r="A84" s="92" t="s">
        <v>68</v>
      </c>
      <c r="B84" s="131">
        <v>2</v>
      </c>
      <c r="C84" s="83" t="s">
        <v>56</v>
      </c>
      <c r="AF84" s="108"/>
      <c r="AG84" s="106"/>
    </row>
    <row r="85" spans="1:37" x14ac:dyDescent="0.2">
      <c r="A85" s="92" t="s">
        <v>70</v>
      </c>
      <c r="B85" s="131">
        <v>2.6999999999999999E-5</v>
      </c>
      <c r="C85" s="52" t="s">
        <v>64</v>
      </c>
      <c r="AF85" s="108"/>
      <c r="AG85" s="106"/>
      <c r="AH85" s="106"/>
      <c r="AI85" s="106"/>
      <c r="AJ85" s="106"/>
      <c r="AK85" s="106"/>
    </row>
    <row r="86" spans="1:37" x14ac:dyDescent="0.2">
      <c r="A86" s="92" t="s">
        <v>73</v>
      </c>
      <c r="B86" s="131">
        <v>1</v>
      </c>
      <c r="C86" s="52" t="s">
        <v>41</v>
      </c>
      <c r="AF86" s="108"/>
      <c r="AG86" s="106"/>
    </row>
    <row r="87" spans="1:37" x14ac:dyDescent="0.2">
      <c r="A87" s="92" t="s">
        <v>74</v>
      </c>
      <c r="B87" s="131">
        <v>14</v>
      </c>
      <c r="C87" s="52" t="s">
        <v>75</v>
      </c>
      <c r="AH87" s="108"/>
      <c r="AI87" s="108"/>
      <c r="AJ87" s="108"/>
      <c r="AK87" s="108"/>
    </row>
    <row r="88" spans="1:37" x14ac:dyDescent="0.2">
      <c r="A88" s="83" t="s">
        <v>408</v>
      </c>
      <c r="B88" s="130">
        <v>5</v>
      </c>
      <c r="C88" s="84" t="s">
        <v>194</v>
      </c>
    </row>
    <row r="89" spans="1:37" x14ac:dyDescent="0.2">
      <c r="A89" s="83" t="s">
        <v>409</v>
      </c>
      <c r="B89" s="130">
        <v>25</v>
      </c>
      <c r="C89" s="84" t="s">
        <v>194</v>
      </c>
    </row>
    <row r="90" spans="1:37" x14ac:dyDescent="0.2">
      <c r="A90" s="83" t="s">
        <v>389</v>
      </c>
      <c r="B90" s="130">
        <v>1</v>
      </c>
      <c r="C90" s="84"/>
    </row>
    <row r="91" spans="1:37" x14ac:dyDescent="0.2">
      <c r="A91" s="385" t="s">
        <v>387</v>
      </c>
      <c r="B91" s="385"/>
      <c r="C91" s="385"/>
    </row>
    <row r="92" spans="1:37" x14ac:dyDescent="0.2">
      <c r="A92" s="52" t="s">
        <v>34</v>
      </c>
      <c r="B92" s="131">
        <v>70</v>
      </c>
      <c r="C92" s="52" t="s">
        <v>60</v>
      </c>
    </row>
    <row r="93" spans="1:37" x14ac:dyDescent="0.2">
      <c r="A93" s="84" t="s">
        <v>38</v>
      </c>
      <c r="B93" s="131">
        <v>0.3</v>
      </c>
      <c r="C93" s="52" t="s">
        <v>391</v>
      </c>
    </row>
    <row r="94" spans="1:37" x14ac:dyDescent="0.2">
      <c r="A94" s="84" t="s">
        <v>42</v>
      </c>
      <c r="B94" s="130">
        <v>1.5</v>
      </c>
      <c r="C94" s="52" t="s">
        <v>286</v>
      </c>
    </row>
    <row r="95" spans="1:37" x14ac:dyDescent="0.2">
      <c r="A95" s="84" t="s">
        <v>47</v>
      </c>
      <c r="B95" s="131">
        <v>1</v>
      </c>
      <c r="C95" s="52" t="s">
        <v>60</v>
      </c>
    </row>
    <row r="96" spans="1:37" x14ac:dyDescent="0.2">
      <c r="A96" s="84" t="s">
        <v>225</v>
      </c>
      <c r="B96" s="130">
        <v>1</v>
      </c>
    </row>
    <row r="97" spans="1:3" x14ac:dyDescent="0.2">
      <c r="A97" s="52" t="s">
        <v>93</v>
      </c>
      <c r="B97" s="130">
        <v>5</v>
      </c>
      <c r="C97" s="52" t="s">
        <v>94</v>
      </c>
    </row>
    <row r="98" spans="1:3" x14ac:dyDescent="0.2">
      <c r="A98" s="52" t="s">
        <v>98</v>
      </c>
      <c r="B98" s="130">
        <v>0.18</v>
      </c>
      <c r="C98" s="52" t="s">
        <v>355</v>
      </c>
    </row>
    <row r="99" spans="1:3" x14ac:dyDescent="0.2">
      <c r="A99" s="52" t="s">
        <v>100</v>
      </c>
      <c r="B99" s="130">
        <v>55</v>
      </c>
      <c r="C99" s="52" t="s">
        <v>97</v>
      </c>
    </row>
    <row r="100" spans="1:3" x14ac:dyDescent="0.2">
      <c r="A100" s="52" t="s">
        <v>101</v>
      </c>
      <c r="B100" s="130">
        <v>5</v>
      </c>
      <c r="C100" s="52" t="s">
        <v>97</v>
      </c>
    </row>
    <row r="101" spans="1:3" x14ac:dyDescent="0.2">
      <c r="A101" s="52" t="s">
        <v>102</v>
      </c>
      <c r="B101" s="130">
        <v>5</v>
      </c>
      <c r="C101" s="52" t="s">
        <v>97</v>
      </c>
    </row>
    <row r="102" spans="1:3" x14ac:dyDescent="0.2">
      <c r="A102" s="384" t="s">
        <v>5</v>
      </c>
      <c r="B102" s="384"/>
      <c r="C102" s="384"/>
    </row>
    <row r="103" spans="1:3" x14ac:dyDescent="0.2">
      <c r="A103" s="83" t="s">
        <v>429</v>
      </c>
      <c r="B103" s="131">
        <v>5</v>
      </c>
      <c r="C103" s="92" t="s">
        <v>407</v>
      </c>
    </row>
    <row r="104" spans="1:3" x14ac:dyDescent="0.2">
      <c r="A104" s="83" t="s">
        <v>430</v>
      </c>
      <c r="B104" s="131">
        <v>10</v>
      </c>
      <c r="C104" s="92" t="s">
        <v>407</v>
      </c>
    </row>
    <row r="105" spans="1:3" x14ac:dyDescent="0.2">
      <c r="A105" s="83" t="s">
        <v>439</v>
      </c>
      <c r="B105" s="130">
        <v>2</v>
      </c>
      <c r="C105" s="83" t="s">
        <v>357</v>
      </c>
    </row>
    <row r="106" spans="1:3" x14ac:dyDescent="0.2">
      <c r="A106" s="83" t="s">
        <v>438</v>
      </c>
      <c r="B106" s="130">
        <v>2</v>
      </c>
      <c r="C106" s="83" t="s">
        <v>357</v>
      </c>
    </row>
    <row r="107" spans="1:3" x14ac:dyDescent="0.2">
      <c r="A107" s="83" t="s">
        <v>441</v>
      </c>
      <c r="B107" s="131">
        <v>100</v>
      </c>
      <c r="C107" s="84" t="s">
        <v>48</v>
      </c>
    </row>
    <row r="108" spans="1:3" x14ac:dyDescent="0.2">
      <c r="A108" s="83" t="s">
        <v>442</v>
      </c>
      <c r="B108" s="131">
        <v>50</v>
      </c>
      <c r="C108" s="84" t="s">
        <v>48</v>
      </c>
    </row>
    <row r="109" spans="1:3" x14ac:dyDescent="0.2">
      <c r="A109" s="52" t="s">
        <v>159</v>
      </c>
      <c r="B109" s="131">
        <v>3</v>
      </c>
      <c r="C109" s="52" t="s">
        <v>221</v>
      </c>
    </row>
    <row r="110" spans="1:3" x14ac:dyDescent="0.2">
      <c r="A110" s="52" t="s">
        <v>160</v>
      </c>
      <c r="B110" s="131">
        <v>3</v>
      </c>
      <c r="C110" s="52" t="s">
        <v>221</v>
      </c>
    </row>
    <row r="111" spans="1:3" x14ac:dyDescent="0.2">
      <c r="A111" s="83" t="s">
        <v>308</v>
      </c>
      <c r="B111" s="130">
        <v>0.23</v>
      </c>
    </row>
    <row r="112" spans="1:3" x14ac:dyDescent="0.2">
      <c r="A112" s="83" t="s">
        <v>309</v>
      </c>
      <c r="B112" s="130">
        <v>0.77</v>
      </c>
    </row>
    <row r="113" spans="1:3" x14ac:dyDescent="0.2">
      <c r="A113" s="52" t="s">
        <v>140</v>
      </c>
      <c r="B113" s="131">
        <v>55</v>
      </c>
      <c r="C113" s="52" t="s">
        <v>24</v>
      </c>
    </row>
    <row r="114" spans="1:3" x14ac:dyDescent="0.2">
      <c r="A114" s="52" t="s">
        <v>433</v>
      </c>
      <c r="B114" s="131">
        <v>55</v>
      </c>
      <c r="C114" s="52" t="s">
        <v>24</v>
      </c>
    </row>
    <row r="115" spans="1:3" x14ac:dyDescent="0.2">
      <c r="A115" s="52" t="s">
        <v>434</v>
      </c>
      <c r="B115" s="131">
        <v>55</v>
      </c>
      <c r="C115" s="52" t="s">
        <v>24</v>
      </c>
    </row>
    <row r="116" spans="1:3" x14ac:dyDescent="0.2">
      <c r="A116" s="52" t="s">
        <v>431</v>
      </c>
      <c r="B116" s="130">
        <v>5</v>
      </c>
      <c r="C116" s="52" t="s">
        <v>194</v>
      </c>
    </row>
    <row r="117" spans="1:3" x14ac:dyDescent="0.2">
      <c r="A117" s="52" t="s">
        <v>432</v>
      </c>
      <c r="B117" s="130">
        <v>5</v>
      </c>
      <c r="C117" s="52" t="s">
        <v>194</v>
      </c>
    </row>
    <row r="118" spans="1:3" x14ac:dyDescent="0.2">
      <c r="A118" s="52" t="s">
        <v>90</v>
      </c>
      <c r="B118" s="131">
        <v>5</v>
      </c>
      <c r="C118" s="52" t="s">
        <v>194</v>
      </c>
    </row>
    <row r="119" spans="1:3" x14ac:dyDescent="0.2">
      <c r="A119" s="52" t="s">
        <v>443</v>
      </c>
      <c r="B119" s="131">
        <v>5</v>
      </c>
      <c r="C119" s="52" t="s">
        <v>89</v>
      </c>
    </row>
    <row r="120" spans="1:3" x14ac:dyDescent="0.2">
      <c r="A120" s="52" t="s">
        <v>444</v>
      </c>
      <c r="B120" s="131">
        <v>5</v>
      </c>
      <c r="C120" s="52" t="s">
        <v>89</v>
      </c>
    </row>
    <row r="121" spans="1:3" x14ac:dyDescent="0.2">
      <c r="A121" s="83" t="s">
        <v>301</v>
      </c>
      <c r="B121" s="131">
        <v>2</v>
      </c>
    </row>
    <row r="122" spans="1:3" x14ac:dyDescent="0.2">
      <c r="A122" s="83" t="s">
        <v>433</v>
      </c>
      <c r="B122" s="130">
        <v>55</v>
      </c>
      <c r="C122" s="83" t="s">
        <v>24</v>
      </c>
    </row>
    <row r="123" spans="1:3" x14ac:dyDescent="0.2">
      <c r="A123" s="83" t="s">
        <v>434</v>
      </c>
      <c r="B123" s="130">
        <v>55</v>
      </c>
      <c r="C123" s="83" t="s">
        <v>24</v>
      </c>
    </row>
    <row r="124" spans="1:3" x14ac:dyDescent="0.2">
      <c r="A124" s="83" t="s">
        <v>435</v>
      </c>
      <c r="B124" s="131">
        <v>5</v>
      </c>
      <c r="C124" s="52" t="s">
        <v>80</v>
      </c>
    </row>
    <row r="125" spans="1:3" x14ac:dyDescent="0.2">
      <c r="A125" s="83" t="s">
        <v>436</v>
      </c>
      <c r="B125" s="131">
        <v>5</v>
      </c>
      <c r="C125" s="52" t="s">
        <v>80</v>
      </c>
    </row>
    <row r="126" spans="1:3" x14ac:dyDescent="0.2">
      <c r="A126" s="83" t="s">
        <v>65</v>
      </c>
      <c r="B126" s="130">
        <v>0.5</v>
      </c>
      <c r="C126" s="52" t="s">
        <v>66</v>
      </c>
    </row>
    <row r="127" spans="1:3" x14ac:dyDescent="0.2">
      <c r="A127" s="52" t="s">
        <v>51</v>
      </c>
      <c r="B127" s="131">
        <v>1</v>
      </c>
      <c r="C127" s="52" t="s">
        <v>60</v>
      </c>
    </row>
    <row r="128" spans="1:3" x14ac:dyDescent="0.2">
      <c r="A128" s="52" t="s">
        <v>159</v>
      </c>
      <c r="B128" s="130">
        <v>3</v>
      </c>
      <c r="C128" s="52" t="s">
        <v>221</v>
      </c>
    </row>
    <row r="129" spans="1:3" x14ac:dyDescent="0.2">
      <c r="A129" s="84" t="s">
        <v>164</v>
      </c>
      <c r="B129" s="130">
        <v>2</v>
      </c>
      <c r="C129" s="52" t="s">
        <v>246</v>
      </c>
    </row>
    <row r="130" spans="1:3" x14ac:dyDescent="0.2">
      <c r="A130" s="84" t="s">
        <v>161</v>
      </c>
      <c r="B130" s="130">
        <v>2</v>
      </c>
      <c r="C130" s="52" t="s">
        <v>246</v>
      </c>
    </row>
    <row r="131" spans="1:3" x14ac:dyDescent="0.2">
      <c r="A131" s="84" t="s">
        <v>162</v>
      </c>
      <c r="B131" s="130">
        <v>2</v>
      </c>
      <c r="C131" s="52" t="s">
        <v>41</v>
      </c>
    </row>
    <row r="132" spans="1:3" x14ac:dyDescent="0.2">
      <c r="A132" s="84" t="s">
        <v>163</v>
      </c>
      <c r="B132" s="130">
        <v>2</v>
      </c>
      <c r="C132" s="52" t="s">
        <v>41</v>
      </c>
    </row>
    <row r="133" spans="1:3" x14ac:dyDescent="0.2">
      <c r="A133" s="84" t="s">
        <v>169</v>
      </c>
      <c r="B133" s="130">
        <v>2</v>
      </c>
      <c r="C133" s="52" t="s">
        <v>28</v>
      </c>
    </row>
    <row r="134" spans="1:3" x14ac:dyDescent="0.2">
      <c r="A134" s="52" t="s">
        <v>160</v>
      </c>
      <c r="B134" s="130">
        <v>3</v>
      </c>
      <c r="C134" s="52" t="s">
        <v>221</v>
      </c>
    </row>
    <row r="135" spans="1:3" x14ac:dyDescent="0.2">
      <c r="A135" s="52" t="s">
        <v>165</v>
      </c>
      <c r="B135" s="130">
        <v>2</v>
      </c>
      <c r="C135" s="52" t="s">
        <v>246</v>
      </c>
    </row>
    <row r="136" spans="1:3" x14ac:dyDescent="0.2">
      <c r="A136" s="52" t="s">
        <v>166</v>
      </c>
      <c r="B136" s="130">
        <v>2</v>
      </c>
      <c r="C136" s="52" t="s">
        <v>246</v>
      </c>
    </row>
    <row r="137" spans="1:3" x14ac:dyDescent="0.2">
      <c r="A137" s="93" t="s">
        <v>167</v>
      </c>
      <c r="B137" s="130">
        <v>2</v>
      </c>
      <c r="C137" s="52" t="s">
        <v>41</v>
      </c>
    </row>
    <row r="138" spans="1:3" x14ac:dyDescent="0.2">
      <c r="A138" s="83" t="s">
        <v>168</v>
      </c>
      <c r="B138" s="130">
        <v>2</v>
      </c>
      <c r="C138" s="52" t="s">
        <v>41</v>
      </c>
    </row>
    <row r="139" spans="1:3" x14ac:dyDescent="0.2">
      <c r="A139" s="84" t="s">
        <v>170</v>
      </c>
      <c r="B139" s="130">
        <v>2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100</v>
      </c>
      <c r="C141" s="84" t="s">
        <v>48</v>
      </c>
    </row>
    <row r="142" spans="1:3" x14ac:dyDescent="0.2">
      <c r="A142" s="83" t="s">
        <v>458</v>
      </c>
      <c r="B142" s="130">
        <v>50</v>
      </c>
      <c r="C142" s="84" t="s">
        <v>48</v>
      </c>
    </row>
    <row r="143" spans="1:3" x14ac:dyDescent="0.2">
      <c r="A143" s="92" t="s">
        <v>451</v>
      </c>
      <c r="B143" s="131">
        <v>0.25</v>
      </c>
      <c r="C143" s="83" t="s">
        <v>28</v>
      </c>
    </row>
    <row r="144" spans="1:3" x14ac:dyDescent="0.2">
      <c r="A144" s="92" t="s">
        <v>460</v>
      </c>
      <c r="B144" s="131">
        <v>1.5</v>
      </c>
      <c r="C144" s="83" t="s">
        <v>28</v>
      </c>
    </row>
    <row r="145" spans="1:3" ht="15" x14ac:dyDescent="0.2">
      <c r="A145" s="92" t="s">
        <v>450</v>
      </c>
      <c r="B145" s="131">
        <v>5</v>
      </c>
      <c r="C145" s="83" t="s">
        <v>143</v>
      </c>
    </row>
    <row r="146" spans="1:3" ht="15" x14ac:dyDescent="0.2">
      <c r="A146" s="92" t="s">
        <v>459</v>
      </c>
      <c r="B146" s="131">
        <v>10</v>
      </c>
      <c r="C146" s="83" t="s">
        <v>143</v>
      </c>
    </row>
    <row r="147" spans="1:3" x14ac:dyDescent="0.2">
      <c r="A147" s="83" t="s">
        <v>467</v>
      </c>
      <c r="B147" s="130">
        <v>55</v>
      </c>
      <c r="C147" s="92" t="s">
        <v>221</v>
      </c>
    </row>
    <row r="148" spans="1:3" x14ac:dyDescent="0.2">
      <c r="A148" s="83" t="s">
        <v>468</v>
      </c>
      <c r="B148" s="130">
        <v>55</v>
      </c>
      <c r="C148" s="92" t="s">
        <v>221</v>
      </c>
    </row>
    <row r="149" spans="1:3" x14ac:dyDescent="0.2">
      <c r="A149" s="83" t="s">
        <v>469</v>
      </c>
      <c r="B149" s="130">
        <v>55</v>
      </c>
      <c r="C149" s="92" t="s">
        <v>221</v>
      </c>
    </row>
    <row r="150" spans="1:3" x14ac:dyDescent="0.2">
      <c r="A150" s="83" t="s">
        <v>470</v>
      </c>
      <c r="B150" s="130">
        <v>55</v>
      </c>
      <c r="C150" s="92" t="s">
        <v>221</v>
      </c>
    </row>
    <row r="151" spans="1:3" x14ac:dyDescent="0.2">
      <c r="A151" s="83" t="s">
        <v>452</v>
      </c>
      <c r="B151" s="130">
        <v>55</v>
      </c>
      <c r="C151" s="92" t="s">
        <v>221</v>
      </c>
    </row>
    <row r="152" spans="1:3" x14ac:dyDescent="0.2">
      <c r="A152" s="83" t="s">
        <v>461</v>
      </c>
      <c r="B152" s="130">
        <v>55</v>
      </c>
      <c r="C152" s="92" t="s">
        <v>221</v>
      </c>
    </row>
    <row r="153" spans="1:3" x14ac:dyDescent="0.2">
      <c r="A153" s="83" t="s">
        <v>453</v>
      </c>
      <c r="B153" s="130">
        <v>55</v>
      </c>
      <c r="C153" s="92" t="s">
        <v>221</v>
      </c>
    </row>
    <row r="154" spans="1:3" x14ac:dyDescent="0.2">
      <c r="A154" s="83" t="s">
        <v>462</v>
      </c>
      <c r="B154" s="130">
        <v>55</v>
      </c>
      <c r="C154" s="92" t="s">
        <v>221</v>
      </c>
    </row>
    <row r="155" spans="1:3" x14ac:dyDescent="0.2">
      <c r="A155" s="83" t="s">
        <v>454</v>
      </c>
      <c r="B155" s="130">
        <v>55</v>
      </c>
      <c r="C155" s="92" t="s">
        <v>221</v>
      </c>
    </row>
    <row r="156" spans="1:3" x14ac:dyDescent="0.2">
      <c r="A156" s="83" t="s">
        <v>463</v>
      </c>
      <c r="B156" s="130">
        <v>55</v>
      </c>
      <c r="C156" s="92" t="s">
        <v>221</v>
      </c>
    </row>
    <row r="157" spans="1:3" x14ac:dyDescent="0.2">
      <c r="A157" s="83" t="s">
        <v>471</v>
      </c>
      <c r="B157" s="130">
        <v>55</v>
      </c>
      <c r="C157" s="92" t="s">
        <v>221</v>
      </c>
    </row>
    <row r="158" spans="1:3" x14ac:dyDescent="0.2">
      <c r="A158" s="83" t="s">
        <v>472</v>
      </c>
      <c r="B158" s="130">
        <v>55</v>
      </c>
      <c r="C158" s="92" t="s">
        <v>221</v>
      </c>
    </row>
    <row r="159" spans="1:3" x14ac:dyDescent="0.2">
      <c r="A159" s="83" t="s">
        <v>473</v>
      </c>
      <c r="B159" s="130">
        <v>55</v>
      </c>
      <c r="C159" s="92" t="s">
        <v>221</v>
      </c>
    </row>
    <row r="160" spans="1:3" x14ac:dyDescent="0.2">
      <c r="A160" s="83" t="s">
        <v>474</v>
      </c>
      <c r="B160" s="130">
        <v>55</v>
      </c>
      <c r="C160" s="92" t="s">
        <v>221</v>
      </c>
    </row>
    <row r="161" spans="1:3" x14ac:dyDescent="0.2">
      <c r="A161" s="83" t="s">
        <v>455</v>
      </c>
      <c r="B161" s="130">
        <v>55</v>
      </c>
      <c r="C161" s="92" t="s">
        <v>221</v>
      </c>
    </row>
    <row r="162" spans="1:3" x14ac:dyDescent="0.2">
      <c r="A162" s="83" t="s">
        <v>464</v>
      </c>
      <c r="B162" s="130">
        <v>55</v>
      </c>
      <c r="C162" s="92" t="s">
        <v>221</v>
      </c>
    </row>
    <row r="163" spans="1:3" x14ac:dyDescent="0.2">
      <c r="A163" s="83" t="s">
        <v>475</v>
      </c>
      <c r="B163" s="130">
        <v>0.15</v>
      </c>
      <c r="C163" s="88"/>
    </row>
    <row r="164" spans="1:3" x14ac:dyDescent="0.2">
      <c r="A164" s="83" t="s">
        <v>476</v>
      </c>
      <c r="B164" s="130">
        <v>0.85</v>
      </c>
      <c r="C164" s="88"/>
    </row>
    <row r="165" spans="1:3" x14ac:dyDescent="0.2">
      <c r="A165" s="83" t="s">
        <v>456</v>
      </c>
      <c r="B165" s="130">
        <v>150</v>
      </c>
      <c r="C165" s="83" t="s">
        <v>24</v>
      </c>
    </row>
    <row r="166" spans="1:3" x14ac:dyDescent="0.2">
      <c r="A166" s="83" t="s">
        <v>465</v>
      </c>
      <c r="B166" s="130">
        <v>150</v>
      </c>
      <c r="C166" s="83" t="s">
        <v>24</v>
      </c>
    </row>
    <row r="167" spans="1:3" x14ac:dyDescent="0.2">
      <c r="A167" s="52" t="s">
        <v>362</v>
      </c>
      <c r="B167" s="131">
        <v>150</v>
      </c>
      <c r="C167" s="83" t="s">
        <v>24</v>
      </c>
    </row>
    <row r="168" spans="1:3" x14ac:dyDescent="0.2">
      <c r="A168" s="83" t="s">
        <v>363</v>
      </c>
      <c r="B168" s="130">
        <v>1</v>
      </c>
      <c r="C168" s="92" t="s">
        <v>60</v>
      </c>
    </row>
    <row r="169" spans="1:3" x14ac:dyDescent="0.2">
      <c r="A169" s="83" t="s">
        <v>364</v>
      </c>
      <c r="B169" s="130">
        <v>24</v>
      </c>
      <c r="C169" s="94" t="s">
        <v>194</v>
      </c>
    </row>
    <row r="170" spans="1:3" x14ac:dyDescent="0.2">
      <c r="A170" s="83" t="s">
        <v>365</v>
      </c>
      <c r="B170" s="130">
        <v>24</v>
      </c>
      <c r="C170" s="52" t="s">
        <v>194</v>
      </c>
    </row>
    <row r="171" spans="1:3" x14ac:dyDescent="0.2">
      <c r="A171" s="83" t="s">
        <v>361</v>
      </c>
      <c r="B171" s="130">
        <v>1</v>
      </c>
    </row>
    <row r="172" spans="1:3" x14ac:dyDescent="0.2">
      <c r="A172" s="83" t="s">
        <v>507</v>
      </c>
      <c r="B172" s="130">
        <v>15</v>
      </c>
      <c r="C172" s="84" t="s">
        <v>194</v>
      </c>
    </row>
    <row r="173" spans="1:3" x14ac:dyDescent="0.2">
      <c r="A173" s="83" t="s">
        <v>508</v>
      </c>
      <c r="B173" s="130">
        <v>5</v>
      </c>
      <c r="C173" s="84" t="s">
        <v>194</v>
      </c>
    </row>
    <row r="174" spans="1:3" x14ac:dyDescent="0.2">
      <c r="A174" s="83" t="s">
        <v>88</v>
      </c>
      <c r="B174" s="130">
        <v>0.4</v>
      </c>
    </row>
    <row r="175" spans="1:3" x14ac:dyDescent="0.2">
      <c r="A175" s="83" t="s">
        <v>303</v>
      </c>
      <c r="B175" s="130">
        <v>1</v>
      </c>
    </row>
    <row r="176" spans="1:3" x14ac:dyDescent="0.2">
      <c r="A176" s="83" t="s">
        <v>301</v>
      </c>
      <c r="B176" s="131">
        <v>2</v>
      </c>
    </row>
    <row r="177" spans="1:3" x14ac:dyDescent="0.2">
      <c r="A177" s="92" t="s">
        <v>457</v>
      </c>
      <c r="B177" s="130">
        <v>5</v>
      </c>
      <c r="C177" s="92" t="s">
        <v>144</v>
      </c>
    </row>
    <row r="178" spans="1:3" x14ac:dyDescent="0.2">
      <c r="A178" s="92" t="s">
        <v>466</v>
      </c>
      <c r="B178" s="130">
        <v>5</v>
      </c>
      <c r="C178" s="92" t="s">
        <v>144</v>
      </c>
    </row>
    <row r="179" spans="1:3" x14ac:dyDescent="0.2">
      <c r="A179" s="52" t="s">
        <v>477</v>
      </c>
      <c r="B179" s="130">
        <v>0.25</v>
      </c>
      <c r="C179" s="92" t="s">
        <v>358</v>
      </c>
    </row>
    <row r="180" spans="1:3" x14ac:dyDescent="0.2">
      <c r="A180" s="52" t="s">
        <v>478</v>
      </c>
      <c r="B180" s="130">
        <v>0.85</v>
      </c>
      <c r="C180" s="92" t="s">
        <v>358</v>
      </c>
    </row>
    <row r="181" spans="1:3" x14ac:dyDescent="0.2">
      <c r="A181" s="84" t="s">
        <v>65</v>
      </c>
      <c r="B181" s="130">
        <v>0.5</v>
      </c>
      <c r="C181" s="92" t="s">
        <v>600</v>
      </c>
    </row>
    <row r="182" spans="1:3" x14ac:dyDescent="0.2">
      <c r="A182" s="92" t="s">
        <v>361</v>
      </c>
      <c r="B182" s="130">
        <v>1</v>
      </c>
    </row>
    <row r="183" spans="1:3" x14ac:dyDescent="0.2">
      <c r="A183" s="92" t="s">
        <v>479</v>
      </c>
      <c r="B183" s="130">
        <v>1</v>
      </c>
    </row>
    <row r="184" spans="1:3" x14ac:dyDescent="0.2">
      <c r="A184" s="92" t="s">
        <v>480</v>
      </c>
      <c r="B184" s="130">
        <v>1</v>
      </c>
    </row>
    <row r="185" spans="1:3" x14ac:dyDescent="0.2">
      <c r="A185" s="92" t="s">
        <v>481</v>
      </c>
      <c r="B185" s="130">
        <v>1</v>
      </c>
    </row>
    <row r="186" spans="1:3" x14ac:dyDescent="0.2">
      <c r="A186" s="92" t="s">
        <v>482</v>
      </c>
      <c r="B186" s="130">
        <v>1</v>
      </c>
    </row>
    <row r="187" spans="1:3" x14ac:dyDescent="0.2">
      <c r="A187" s="92" t="s">
        <v>483</v>
      </c>
      <c r="B187" s="130">
        <v>1</v>
      </c>
    </row>
    <row r="188" spans="1:3" x14ac:dyDescent="0.2">
      <c r="A188" s="92" t="s">
        <v>484</v>
      </c>
      <c r="B188" s="131">
        <v>1</v>
      </c>
    </row>
    <row r="189" spans="1:3" x14ac:dyDescent="0.2">
      <c r="A189" s="83" t="s">
        <v>36</v>
      </c>
      <c r="B189" s="131">
        <v>3.62</v>
      </c>
      <c r="C189" s="52" t="s">
        <v>37</v>
      </c>
    </row>
    <row r="190" spans="1:3" x14ac:dyDescent="0.2">
      <c r="A190" s="83" t="s">
        <v>40</v>
      </c>
      <c r="B190" s="131">
        <v>0.25</v>
      </c>
      <c r="C190" s="52" t="s">
        <v>41</v>
      </c>
    </row>
    <row r="191" spans="1:3" x14ac:dyDescent="0.2">
      <c r="A191" s="92" t="s">
        <v>52</v>
      </c>
      <c r="B191" s="131">
        <v>10950</v>
      </c>
      <c r="C191" s="52" t="s">
        <v>53</v>
      </c>
    </row>
    <row r="192" spans="1:3" x14ac:dyDescent="0.2">
      <c r="A192" s="92" t="s">
        <v>55</v>
      </c>
      <c r="B192" s="131">
        <v>240</v>
      </c>
      <c r="C192" s="52" t="s">
        <v>56</v>
      </c>
    </row>
    <row r="193" spans="1:3" x14ac:dyDescent="0.2">
      <c r="A193" s="92" t="s">
        <v>61</v>
      </c>
      <c r="B193" s="131">
        <v>0.42</v>
      </c>
      <c r="C193" s="52" t="s">
        <v>41</v>
      </c>
    </row>
    <row r="194" spans="1:3" x14ac:dyDescent="0.2">
      <c r="A194" s="92" t="s">
        <v>67</v>
      </c>
      <c r="B194" s="131">
        <v>60</v>
      </c>
      <c r="C194" s="83" t="s">
        <v>53</v>
      </c>
    </row>
    <row r="195" spans="1:3" x14ac:dyDescent="0.2">
      <c r="A195" s="92" t="s">
        <v>68</v>
      </c>
      <c r="B195" s="131">
        <v>2</v>
      </c>
      <c r="C195" s="83" t="s">
        <v>56</v>
      </c>
    </row>
    <row r="196" spans="1:3" x14ac:dyDescent="0.2">
      <c r="A196" s="92" t="s">
        <v>70</v>
      </c>
      <c r="B196" s="131">
        <v>2.6999999999999999E-5</v>
      </c>
      <c r="C196" s="52" t="s">
        <v>64</v>
      </c>
    </row>
    <row r="197" spans="1:3" x14ac:dyDescent="0.2">
      <c r="A197" s="92" t="s">
        <v>73</v>
      </c>
      <c r="B197" s="131">
        <v>1</v>
      </c>
      <c r="C197" s="52" t="s">
        <v>41</v>
      </c>
    </row>
    <row r="198" spans="1:3" x14ac:dyDescent="0.2">
      <c r="A198" s="92" t="s">
        <v>74</v>
      </c>
      <c r="B198" s="131">
        <v>14</v>
      </c>
      <c r="C198" s="52" t="s">
        <v>75</v>
      </c>
    </row>
    <row r="199" spans="1:3" x14ac:dyDescent="0.2">
      <c r="A199" s="83" t="s">
        <v>27</v>
      </c>
      <c r="B199" s="131">
        <v>92</v>
      </c>
      <c r="C199" s="83" t="s">
        <v>28</v>
      </c>
    </row>
    <row r="200" spans="1:3" x14ac:dyDescent="0.2">
      <c r="A200" s="52" t="s">
        <v>285</v>
      </c>
      <c r="B200" s="130">
        <v>1.03</v>
      </c>
      <c r="C200" s="52" t="s">
        <v>286</v>
      </c>
    </row>
    <row r="201" spans="1:3" x14ac:dyDescent="0.2">
      <c r="A201" s="83" t="s">
        <v>498</v>
      </c>
      <c r="B201" s="131">
        <v>20.3</v>
      </c>
      <c r="C201" s="52" t="s">
        <v>246</v>
      </c>
    </row>
    <row r="202" spans="1:3" x14ac:dyDescent="0.2">
      <c r="A202" s="83" t="s">
        <v>499</v>
      </c>
      <c r="B202" s="131">
        <v>0.04</v>
      </c>
      <c r="C202" s="52" t="s">
        <v>246</v>
      </c>
    </row>
    <row r="203" spans="1:3" x14ac:dyDescent="0.2">
      <c r="A203" s="83" t="s">
        <v>500</v>
      </c>
      <c r="B203" s="131">
        <v>1</v>
      </c>
    </row>
    <row r="204" spans="1:3" x14ac:dyDescent="0.2">
      <c r="A204" s="83" t="s">
        <v>501</v>
      </c>
      <c r="B204" s="131">
        <v>1</v>
      </c>
    </row>
    <row r="205" spans="1:3" x14ac:dyDescent="0.2">
      <c r="A205" s="83" t="s">
        <v>29</v>
      </c>
      <c r="B205" s="131">
        <v>53</v>
      </c>
      <c r="C205" s="83" t="s">
        <v>28</v>
      </c>
    </row>
    <row r="206" spans="1:3" x14ac:dyDescent="0.2">
      <c r="A206" s="83" t="s">
        <v>494</v>
      </c>
      <c r="B206" s="131">
        <v>11.77</v>
      </c>
      <c r="C206" s="52" t="s">
        <v>246</v>
      </c>
    </row>
    <row r="207" spans="1:3" x14ac:dyDescent="0.2">
      <c r="A207" s="83" t="s">
        <v>495</v>
      </c>
      <c r="B207" s="131">
        <v>0.5</v>
      </c>
      <c r="C207" s="52" t="s">
        <v>246</v>
      </c>
    </row>
    <row r="208" spans="1:3" x14ac:dyDescent="0.2">
      <c r="A208" s="83" t="s">
        <v>496</v>
      </c>
      <c r="B208" s="131">
        <v>1</v>
      </c>
    </row>
    <row r="209" spans="1:3" x14ac:dyDescent="0.2">
      <c r="A209" s="83" t="s">
        <v>497</v>
      </c>
      <c r="B209" s="131">
        <v>1</v>
      </c>
    </row>
    <row r="210" spans="1:3" x14ac:dyDescent="0.2">
      <c r="A210" s="83" t="s">
        <v>148</v>
      </c>
      <c r="B210" s="130">
        <v>0.4</v>
      </c>
      <c r="C210" s="83" t="s">
        <v>28</v>
      </c>
    </row>
    <row r="211" spans="1:3" x14ac:dyDescent="0.2">
      <c r="A211" s="83" t="s">
        <v>152</v>
      </c>
      <c r="B211" s="131">
        <v>0.2</v>
      </c>
      <c r="C211" s="52" t="s">
        <v>246</v>
      </c>
    </row>
    <row r="212" spans="1:3" x14ac:dyDescent="0.2">
      <c r="A212" s="83" t="s">
        <v>151</v>
      </c>
      <c r="B212" s="131">
        <v>2.1999999999999999E-2</v>
      </c>
      <c r="C212" s="52" t="s">
        <v>246</v>
      </c>
    </row>
    <row r="213" spans="1:3" x14ac:dyDescent="0.2">
      <c r="A213" s="83" t="s">
        <v>153</v>
      </c>
      <c r="B213" s="130">
        <v>1</v>
      </c>
    </row>
    <row r="214" spans="1:3" x14ac:dyDescent="0.2">
      <c r="A214" s="83" t="s">
        <v>154</v>
      </c>
      <c r="B214" s="130">
        <v>1</v>
      </c>
    </row>
    <row r="215" spans="1:3" x14ac:dyDescent="0.2">
      <c r="A215" s="83" t="s">
        <v>485</v>
      </c>
      <c r="B215" s="130">
        <v>0.4</v>
      </c>
      <c r="C215" s="83" t="s">
        <v>28</v>
      </c>
    </row>
    <row r="216" spans="1:3" x14ac:dyDescent="0.2">
      <c r="A216" s="83" t="s">
        <v>486</v>
      </c>
      <c r="B216" s="131">
        <v>0.2</v>
      </c>
      <c r="C216" s="52" t="s">
        <v>246</v>
      </c>
    </row>
    <row r="217" spans="1:3" x14ac:dyDescent="0.2">
      <c r="A217" s="83" t="s">
        <v>487</v>
      </c>
      <c r="B217" s="131">
        <v>2.1999999999999999E-2</v>
      </c>
      <c r="C217" s="52" t="s">
        <v>246</v>
      </c>
    </row>
    <row r="218" spans="1:3" x14ac:dyDescent="0.2">
      <c r="A218" s="83" t="s">
        <v>488</v>
      </c>
      <c r="B218" s="131">
        <v>1</v>
      </c>
    </row>
    <row r="219" spans="1:3" x14ac:dyDescent="0.2">
      <c r="A219" s="83" t="s">
        <v>489</v>
      </c>
      <c r="B219" s="131">
        <v>1</v>
      </c>
    </row>
    <row r="220" spans="1:3" x14ac:dyDescent="0.2">
      <c r="A220" s="83" t="s">
        <v>150</v>
      </c>
      <c r="B220" s="131">
        <v>11.4</v>
      </c>
      <c r="C220" s="83" t="s">
        <v>28</v>
      </c>
    </row>
    <row r="221" spans="1:3" x14ac:dyDescent="0.2">
      <c r="A221" s="83" t="s">
        <v>490</v>
      </c>
      <c r="B221" s="131">
        <v>4.7</v>
      </c>
      <c r="C221" s="52" t="s">
        <v>246</v>
      </c>
    </row>
    <row r="222" spans="1:3" x14ac:dyDescent="0.2">
      <c r="A222" s="83" t="s">
        <v>491</v>
      </c>
      <c r="B222" s="131">
        <v>0.37</v>
      </c>
      <c r="C222" s="52" t="s">
        <v>246</v>
      </c>
    </row>
    <row r="223" spans="1:3" x14ac:dyDescent="0.2">
      <c r="A223" s="83" t="s">
        <v>492</v>
      </c>
      <c r="B223" s="131">
        <v>1</v>
      </c>
    </row>
    <row r="224" spans="1:3" x14ac:dyDescent="0.2">
      <c r="A224" s="83" t="s">
        <v>493</v>
      </c>
      <c r="B224" s="131">
        <v>1</v>
      </c>
    </row>
    <row r="225" spans="1:3" x14ac:dyDescent="0.2">
      <c r="A225" s="370" t="s">
        <v>311</v>
      </c>
      <c r="B225" s="370"/>
      <c r="C225" s="370"/>
    </row>
    <row r="226" spans="1:3" x14ac:dyDescent="0.2">
      <c r="A226" s="52" t="s">
        <v>504</v>
      </c>
      <c r="B226" s="130">
        <v>50</v>
      </c>
      <c r="C226" s="84" t="s">
        <v>407</v>
      </c>
    </row>
    <row r="227" spans="1:3" x14ac:dyDescent="0.2">
      <c r="A227" s="83" t="s">
        <v>316</v>
      </c>
      <c r="B227" s="130">
        <v>125</v>
      </c>
      <c r="C227" s="52" t="s">
        <v>24</v>
      </c>
    </row>
    <row r="228" spans="1:3" x14ac:dyDescent="0.2">
      <c r="A228" s="83" t="s">
        <v>422</v>
      </c>
      <c r="B228" s="131">
        <v>1</v>
      </c>
      <c r="C228" s="52" t="s">
        <v>60</v>
      </c>
    </row>
    <row r="229" spans="1:3" x14ac:dyDescent="0.2">
      <c r="A229" s="83" t="s">
        <v>317</v>
      </c>
      <c r="B229" s="130">
        <v>50</v>
      </c>
      <c r="C229" s="84" t="s">
        <v>48</v>
      </c>
    </row>
    <row r="230" spans="1:3" x14ac:dyDescent="0.2">
      <c r="A230" s="52" t="s">
        <v>318</v>
      </c>
      <c r="B230" s="131">
        <v>2</v>
      </c>
    </row>
    <row r="231" spans="1:3" x14ac:dyDescent="0.2">
      <c r="A231" s="83" t="s">
        <v>299</v>
      </c>
      <c r="B231" s="131">
        <v>1</v>
      </c>
    </row>
    <row r="232" spans="1:3" x14ac:dyDescent="0.2">
      <c r="A232" s="83" t="s">
        <v>83</v>
      </c>
      <c r="B232" s="130">
        <v>5</v>
      </c>
      <c r="C232" s="52" t="s">
        <v>194</v>
      </c>
    </row>
    <row r="233" spans="1:3" x14ac:dyDescent="0.2">
      <c r="A233" s="83" t="s">
        <v>85</v>
      </c>
      <c r="B233" s="130">
        <v>5</v>
      </c>
      <c r="C233" s="52" t="s">
        <v>194</v>
      </c>
    </row>
    <row r="234" spans="1:3" x14ac:dyDescent="0.2">
      <c r="A234" s="83" t="s">
        <v>88</v>
      </c>
      <c r="B234" s="130">
        <v>0.4</v>
      </c>
    </row>
    <row r="235" spans="1:3" x14ac:dyDescent="0.2">
      <c r="A235" s="370" t="s">
        <v>312</v>
      </c>
      <c r="B235" s="370"/>
      <c r="C235" s="370"/>
    </row>
    <row r="236" spans="1:3" x14ac:dyDescent="0.2">
      <c r="A236" s="52" t="s">
        <v>304</v>
      </c>
      <c r="B236" s="130">
        <v>50</v>
      </c>
      <c r="C236" s="84" t="s">
        <v>407</v>
      </c>
    </row>
    <row r="237" spans="1:3" x14ac:dyDescent="0.2">
      <c r="A237" s="83" t="s">
        <v>35</v>
      </c>
      <c r="B237" s="130">
        <v>125</v>
      </c>
      <c r="C237" s="52" t="s">
        <v>24</v>
      </c>
    </row>
    <row r="238" spans="1:3" x14ac:dyDescent="0.2">
      <c r="A238" s="83" t="s">
        <v>420</v>
      </c>
      <c r="B238" s="131">
        <v>1</v>
      </c>
      <c r="C238" s="52" t="s">
        <v>60</v>
      </c>
    </row>
    <row r="239" spans="1:3" x14ac:dyDescent="0.2">
      <c r="A239" s="83" t="s">
        <v>62</v>
      </c>
      <c r="B239" s="130">
        <v>50</v>
      </c>
      <c r="C239" s="84" t="s">
        <v>48</v>
      </c>
    </row>
    <row r="240" spans="1:3" x14ac:dyDescent="0.2">
      <c r="A240" s="52" t="s">
        <v>318</v>
      </c>
      <c r="B240" s="131">
        <v>2</v>
      </c>
    </row>
    <row r="241" spans="1:3" x14ac:dyDescent="0.2">
      <c r="A241" s="83" t="s">
        <v>299</v>
      </c>
      <c r="B241" s="131">
        <v>1</v>
      </c>
    </row>
    <row r="242" spans="1:3" x14ac:dyDescent="0.2">
      <c r="A242" s="83" t="s">
        <v>83</v>
      </c>
      <c r="B242" s="130">
        <v>5</v>
      </c>
      <c r="C242" s="52" t="s">
        <v>194</v>
      </c>
    </row>
    <row r="243" spans="1:3" x14ac:dyDescent="0.2">
      <c r="A243" s="83" t="s">
        <v>85</v>
      </c>
      <c r="B243" s="130">
        <v>5</v>
      </c>
      <c r="C243" s="52" t="s">
        <v>194</v>
      </c>
    </row>
    <row r="244" spans="1:3" x14ac:dyDescent="0.2">
      <c r="A244" s="83" t="s">
        <v>88</v>
      </c>
      <c r="B244" s="130">
        <v>0.4</v>
      </c>
    </row>
    <row r="245" spans="1:3" x14ac:dyDescent="0.2">
      <c r="A245" s="370" t="s">
        <v>313</v>
      </c>
      <c r="B245" s="370"/>
      <c r="C245" s="370"/>
    </row>
    <row r="246" spans="1:3" x14ac:dyDescent="0.2">
      <c r="A246" s="52" t="s">
        <v>50</v>
      </c>
      <c r="B246" s="130">
        <v>50</v>
      </c>
      <c r="C246" s="84" t="s">
        <v>407</v>
      </c>
    </row>
    <row r="247" spans="1:3" x14ac:dyDescent="0.2">
      <c r="A247" s="83" t="s">
        <v>423</v>
      </c>
      <c r="B247" s="130">
        <v>125</v>
      </c>
      <c r="C247" s="52" t="s">
        <v>24</v>
      </c>
    </row>
    <row r="248" spans="1:3" x14ac:dyDescent="0.2">
      <c r="A248" s="83" t="s">
        <v>424</v>
      </c>
      <c r="B248" s="131">
        <v>1</v>
      </c>
      <c r="C248" s="52" t="s">
        <v>60</v>
      </c>
    </row>
    <row r="249" spans="1:3" x14ac:dyDescent="0.2">
      <c r="A249" s="83" t="s">
        <v>503</v>
      </c>
      <c r="B249" s="130">
        <v>50</v>
      </c>
      <c r="C249" s="84" t="s">
        <v>48</v>
      </c>
    </row>
    <row r="250" spans="1:3" x14ac:dyDescent="0.2">
      <c r="A250" s="52" t="s">
        <v>318</v>
      </c>
      <c r="B250" s="131">
        <v>2</v>
      </c>
    </row>
    <row r="251" spans="1:3" x14ac:dyDescent="0.2">
      <c r="A251" s="83" t="s">
        <v>299</v>
      </c>
      <c r="B251" s="131">
        <v>1</v>
      </c>
    </row>
    <row r="252" spans="1:3" x14ac:dyDescent="0.2">
      <c r="A252" s="83" t="s">
        <v>83</v>
      </c>
      <c r="B252" s="130">
        <v>5</v>
      </c>
      <c r="C252" s="52" t="s">
        <v>194</v>
      </c>
    </row>
    <row r="253" spans="1:3" x14ac:dyDescent="0.2">
      <c r="A253" s="83" t="s">
        <v>85</v>
      </c>
      <c r="B253" s="130">
        <v>5</v>
      </c>
      <c r="C253" s="52" t="s">
        <v>194</v>
      </c>
    </row>
    <row r="254" spans="1:3" x14ac:dyDescent="0.2">
      <c r="A254" s="83" t="s">
        <v>88</v>
      </c>
      <c r="B254" s="130">
        <v>0.4</v>
      </c>
    </row>
    <row r="255" spans="1:3" x14ac:dyDescent="0.2">
      <c r="A255" s="370" t="s">
        <v>314</v>
      </c>
      <c r="B255" s="370"/>
      <c r="C255" s="370"/>
    </row>
    <row r="256" spans="1:3" x14ac:dyDescent="0.2">
      <c r="A256" s="52" t="s">
        <v>348</v>
      </c>
      <c r="B256" s="130">
        <v>50</v>
      </c>
      <c r="C256" s="84" t="s">
        <v>407</v>
      </c>
    </row>
    <row r="257" spans="1:3" x14ac:dyDescent="0.2">
      <c r="A257" s="83" t="s">
        <v>191</v>
      </c>
      <c r="B257" s="130">
        <v>125</v>
      </c>
      <c r="C257" s="52" t="s">
        <v>24</v>
      </c>
    </row>
    <row r="258" spans="1:3" x14ac:dyDescent="0.2">
      <c r="A258" s="83" t="s">
        <v>158</v>
      </c>
      <c r="B258" s="131">
        <v>1</v>
      </c>
      <c r="C258" s="52" t="s">
        <v>60</v>
      </c>
    </row>
    <row r="259" spans="1:3" x14ac:dyDescent="0.2">
      <c r="A259" s="83" t="s">
        <v>502</v>
      </c>
      <c r="B259" s="130">
        <v>200</v>
      </c>
      <c r="C259" s="84" t="s">
        <v>48</v>
      </c>
    </row>
    <row r="260" spans="1:3" x14ac:dyDescent="0.2">
      <c r="A260" s="52" t="s">
        <v>318</v>
      </c>
      <c r="B260" s="131">
        <v>2</v>
      </c>
    </row>
    <row r="261" spans="1:3" x14ac:dyDescent="0.2">
      <c r="A261" s="83" t="s">
        <v>299</v>
      </c>
      <c r="B261" s="131">
        <v>1</v>
      </c>
    </row>
    <row r="262" spans="1:3" x14ac:dyDescent="0.2">
      <c r="A262" s="83" t="s">
        <v>83</v>
      </c>
      <c r="B262" s="130">
        <v>5</v>
      </c>
      <c r="C262" s="52" t="s">
        <v>194</v>
      </c>
    </row>
    <row r="263" spans="1:3" x14ac:dyDescent="0.2">
      <c r="A263" s="83" t="s">
        <v>85</v>
      </c>
      <c r="B263" s="130">
        <v>5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83" t="s">
        <v>219</v>
      </c>
      <c r="B265" s="130">
        <v>3</v>
      </c>
      <c r="C265" s="52" t="s">
        <v>112</v>
      </c>
    </row>
    <row r="266" spans="1:3" x14ac:dyDescent="0.2">
      <c r="A266" s="83" t="s">
        <v>220</v>
      </c>
      <c r="B266" s="130">
        <v>25</v>
      </c>
      <c r="C266" s="52" t="s">
        <v>113</v>
      </c>
    </row>
    <row r="267" spans="1:3" x14ac:dyDescent="0.2">
      <c r="A267" s="370" t="s">
        <v>315</v>
      </c>
      <c r="B267" s="370"/>
      <c r="C267" s="370"/>
    </row>
    <row r="268" spans="1:3" x14ac:dyDescent="0.2">
      <c r="A268" s="52" t="s">
        <v>348</v>
      </c>
      <c r="B268" s="130">
        <v>50</v>
      </c>
      <c r="C268" s="84" t="s">
        <v>407</v>
      </c>
    </row>
    <row r="269" spans="1:3" x14ac:dyDescent="0.2">
      <c r="A269" s="83" t="s">
        <v>191</v>
      </c>
      <c r="B269" s="130">
        <v>125</v>
      </c>
      <c r="C269" s="52" t="s">
        <v>24</v>
      </c>
    </row>
    <row r="270" spans="1:3" x14ac:dyDescent="0.2">
      <c r="A270" s="83" t="s">
        <v>158</v>
      </c>
      <c r="B270" s="131">
        <v>1</v>
      </c>
      <c r="C270" s="52" t="s">
        <v>60</v>
      </c>
    </row>
    <row r="271" spans="1:3" x14ac:dyDescent="0.2">
      <c r="A271" s="83" t="s">
        <v>502</v>
      </c>
      <c r="B271" s="130">
        <v>200</v>
      </c>
      <c r="C271" s="84" t="s">
        <v>48</v>
      </c>
    </row>
    <row r="272" spans="1:3" x14ac:dyDescent="0.2">
      <c r="A272" s="83" t="s">
        <v>299</v>
      </c>
      <c r="B272" s="131">
        <v>1</v>
      </c>
    </row>
    <row r="273" spans="1:3" x14ac:dyDescent="0.2">
      <c r="A273" s="83" t="s">
        <v>83</v>
      </c>
      <c r="B273" s="130">
        <v>5</v>
      </c>
      <c r="C273" s="52" t="s">
        <v>194</v>
      </c>
    </row>
    <row r="274" spans="1:3" x14ac:dyDescent="0.2">
      <c r="A274" s="83" t="s">
        <v>85</v>
      </c>
      <c r="B274" s="130">
        <v>5</v>
      </c>
      <c r="C274" s="52" t="s">
        <v>194</v>
      </c>
    </row>
    <row r="275" spans="1:3" x14ac:dyDescent="0.2">
      <c r="A275" s="83" t="s">
        <v>88</v>
      </c>
      <c r="B275" s="130">
        <v>0.4</v>
      </c>
    </row>
    <row r="276" spans="1:3" x14ac:dyDescent="0.2">
      <c r="A276" s="83" t="s">
        <v>219</v>
      </c>
      <c r="B276" s="130">
        <v>3</v>
      </c>
      <c r="C276" s="52" t="s">
        <v>112</v>
      </c>
    </row>
    <row r="277" spans="1:3" x14ac:dyDescent="0.2">
      <c r="A277" s="83" t="s">
        <v>220</v>
      </c>
      <c r="B277" s="130">
        <v>25</v>
      </c>
      <c r="C277" s="52" t="s">
        <v>113</v>
      </c>
    </row>
  </sheetData>
  <mergeCells count="342">
    <mergeCell ref="M20:O20"/>
    <mergeCell ref="P20:R20"/>
    <mergeCell ref="M21:M23"/>
    <mergeCell ref="N21:N23"/>
    <mergeCell ref="O21:O23"/>
    <mergeCell ref="P21:P23"/>
    <mergeCell ref="Q21:Q23"/>
    <mergeCell ref="R21:R23"/>
    <mergeCell ref="CC35:CG38"/>
    <mergeCell ref="AT21:AT23"/>
    <mergeCell ref="AU21:AU23"/>
    <mergeCell ref="AV21:AV23"/>
    <mergeCell ref="AW21:AW23"/>
    <mergeCell ref="BA21:BA23"/>
    <mergeCell ref="BC21:BC23"/>
    <mergeCell ref="BD21:BD23"/>
    <mergeCell ref="BE21:BE23"/>
    <mergeCell ref="BF21:BF23"/>
    <mergeCell ref="BJ21:BJ23"/>
    <mergeCell ref="BK21:BK23"/>
    <mergeCell ref="BL21:BL23"/>
    <mergeCell ref="BM21:BM23"/>
    <mergeCell ref="BN21:BN23"/>
    <mergeCell ref="BO21:BO23"/>
    <mergeCell ref="D42:F42"/>
    <mergeCell ref="D43:D44"/>
    <mergeCell ref="E43:E44"/>
    <mergeCell ref="F43:F44"/>
    <mergeCell ref="AE38:AG40"/>
    <mergeCell ref="BK39:BO42"/>
    <mergeCell ref="HD21:HF21"/>
    <mergeCell ref="D30:F30"/>
    <mergeCell ref="D31:D32"/>
    <mergeCell ref="E31:E32"/>
    <mergeCell ref="F31:F32"/>
    <mergeCell ref="V23:X23"/>
    <mergeCell ref="Y23:AA23"/>
    <mergeCell ref="CQ20:CQ22"/>
    <mergeCell ref="CR20:CR22"/>
    <mergeCell ref="CS20:CS22"/>
    <mergeCell ref="AI21:AI23"/>
    <mergeCell ref="AJ21:AJ23"/>
    <mergeCell ref="AK21:AK23"/>
    <mergeCell ref="AL21:AL23"/>
    <mergeCell ref="AM21:AM23"/>
    <mergeCell ref="AN21:AN23"/>
    <mergeCell ref="AR21:AR23"/>
    <mergeCell ref="AS21:AS23"/>
    <mergeCell ref="CQ19:CS19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CK20:CK22"/>
    <mergeCell ref="CE19:CE21"/>
    <mergeCell ref="CF19:CF21"/>
    <mergeCell ref="CG19:CG21"/>
    <mergeCell ref="CK19:CM19"/>
    <mergeCell ref="CN19:CP19"/>
    <mergeCell ref="CL20:CL22"/>
    <mergeCell ref="CM20:CM22"/>
    <mergeCell ref="CN20:CN22"/>
    <mergeCell ref="CO20:CO22"/>
    <mergeCell ref="CP20:CP22"/>
    <mergeCell ref="CB19:CB21"/>
    <mergeCell ref="CC19:CC21"/>
    <mergeCell ref="CD19:CD21"/>
    <mergeCell ref="BB21:BB23"/>
    <mergeCell ref="HA2:HA4"/>
    <mergeCell ref="HB2:HB4"/>
    <mergeCell ref="HC2:HC4"/>
    <mergeCell ref="CB18:CD18"/>
    <mergeCell ref="CE18:CG18"/>
    <mergeCell ref="GV2:GV4"/>
    <mergeCell ref="GW2:GW4"/>
    <mergeCell ref="GX2:GX4"/>
    <mergeCell ref="GY2:GY4"/>
    <mergeCell ref="GZ2:GZ4"/>
    <mergeCell ref="GQ2:GQ4"/>
    <mergeCell ref="GR2:GR4"/>
    <mergeCell ref="GS2:GS4"/>
    <mergeCell ref="GT2:GT4"/>
    <mergeCell ref="GU2:GU4"/>
    <mergeCell ref="GL2:GL4"/>
    <mergeCell ref="GM2:GM4"/>
    <mergeCell ref="GN2:GN4"/>
    <mergeCell ref="GO2:GO4"/>
    <mergeCell ref="GP2:GP4"/>
    <mergeCell ref="GG2:GG4"/>
    <mergeCell ref="GH2:GH4"/>
    <mergeCell ref="GI2:GI4"/>
    <mergeCell ref="GJ2:GJ4"/>
    <mergeCell ref="GK2:GK4"/>
    <mergeCell ref="GB2:GB4"/>
    <mergeCell ref="GC2:GC4"/>
    <mergeCell ref="GD2:GD4"/>
    <mergeCell ref="GE2:GE4"/>
    <mergeCell ref="GF2:GF4"/>
    <mergeCell ref="FW2:FW4"/>
    <mergeCell ref="FX2:FX4"/>
    <mergeCell ref="FY2:FY4"/>
    <mergeCell ref="FZ2:FZ4"/>
    <mergeCell ref="GA2:GA4"/>
    <mergeCell ref="FR2:FR4"/>
    <mergeCell ref="FS2:FS4"/>
    <mergeCell ref="FT2:FT4"/>
    <mergeCell ref="FU2:FU4"/>
    <mergeCell ref="FV2:FV4"/>
    <mergeCell ref="FM2:FM4"/>
    <mergeCell ref="FN2:FN4"/>
    <mergeCell ref="FO2:FO4"/>
    <mergeCell ref="FP2:FP4"/>
    <mergeCell ref="FQ2:FQ4"/>
    <mergeCell ref="FH2:FH4"/>
    <mergeCell ref="FI2:FI4"/>
    <mergeCell ref="FJ2:FJ4"/>
    <mergeCell ref="FK2:FK4"/>
    <mergeCell ref="FL2:FL4"/>
    <mergeCell ref="FC2:FC4"/>
    <mergeCell ref="FD2:FD4"/>
    <mergeCell ref="FE2:FE4"/>
    <mergeCell ref="FF2:FF4"/>
    <mergeCell ref="FG2:FG4"/>
    <mergeCell ref="EX2:EX4"/>
    <mergeCell ref="EY2:EY4"/>
    <mergeCell ref="EZ2:EZ4"/>
    <mergeCell ref="FA2:FA4"/>
    <mergeCell ref="FB2:FB4"/>
    <mergeCell ref="ES2:ES4"/>
    <mergeCell ref="ET2:ET4"/>
    <mergeCell ref="EU2:EU4"/>
    <mergeCell ref="EV2:EV4"/>
    <mergeCell ref="EW2:EW4"/>
    <mergeCell ref="EN2:EN4"/>
    <mergeCell ref="EO2:EO4"/>
    <mergeCell ref="EP2:EP4"/>
    <mergeCell ref="EQ2:EQ4"/>
    <mergeCell ref="ER2:ER4"/>
    <mergeCell ref="EI2:EI4"/>
    <mergeCell ref="EJ2:EJ4"/>
    <mergeCell ref="EK2:EK4"/>
    <mergeCell ref="EL2:EL4"/>
    <mergeCell ref="EM2:EM4"/>
    <mergeCell ref="ED2:ED4"/>
    <mergeCell ref="EE2:EE4"/>
    <mergeCell ref="EF2:EF4"/>
    <mergeCell ref="EG2:EG4"/>
    <mergeCell ref="EH2:EH4"/>
    <mergeCell ref="DY2:DY4"/>
    <mergeCell ref="DZ2:DZ4"/>
    <mergeCell ref="EA2:EA4"/>
    <mergeCell ref="EB2:EB4"/>
    <mergeCell ref="EC2:EC4"/>
    <mergeCell ref="DT2:DT4"/>
    <mergeCell ref="DU2:DU4"/>
    <mergeCell ref="DV2:DV4"/>
    <mergeCell ref="DW2:DW4"/>
    <mergeCell ref="DX2:DX4"/>
    <mergeCell ref="DO2:DO4"/>
    <mergeCell ref="DP2:DP4"/>
    <mergeCell ref="DQ2:DQ4"/>
    <mergeCell ref="DR2:DR4"/>
    <mergeCell ref="DS2:DS4"/>
    <mergeCell ref="DJ2:DJ4"/>
    <mergeCell ref="DK2:DK4"/>
    <mergeCell ref="DL2:DL4"/>
    <mergeCell ref="DM2:DM4"/>
    <mergeCell ref="DN2:DN4"/>
    <mergeCell ref="DE2:DE4"/>
    <mergeCell ref="DF2:DF4"/>
    <mergeCell ref="DG2:DG4"/>
    <mergeCell ref="DH2:DH4"/>
    <mergeCell ref="DI2:DI4"/>
    <mergeCell ref="CZ2:CZ4"/>
    <mergeCell ref="DA2:DA4"/>
    <mergeCell ref="DB2:DB4"/>
    <mergeCell ref="DC2:DC4"/>
    <mergeCell ref="DD2:DD4"/>
    <mergeCell ref="CR2:CR4"/>
    <mergeCell ref="CS2:CS4"/>
    <mergeCell ref="CT2:CT4"/>
    <mergeCell ref="CU2:CU4"/>
    <mergeCell ref="CV2:CV4"/>
    <mergeCell ref="CM2:CM4"/>
    <mergeCell ref="CN2:CN4"/>
    <mergeCell ref="CO2:CO4"/>
    <mergeCell ref="CP2:CP4"/>
    <mergeCell ref="CQ2:CQ4"/>
    <mergeCell ref="CH2:CH4"/>
    <mergeCell ref="CI2:CI4"/>
    <mergeCell ref="CJ2:CJ4"/>
    <mergeCell ref="CK2:CK4"/>
    <mergeCell ref="CL2:CL4"/>
    <mergeCell ref="CD2:CD4"/>
    <mergeCell ref="CE2:CE4"/>
    <mergeCell ref="CF2:CF4"/>
    <mergeCell ref="CG2:CG4"/>
    <mergeCell ref="BX2:BX4"/>
    <mergeCell ref="BY2:BY4"/>
    <mergeCell ref="BZ2:BZ4"/>
    <mergeCell ref="CA2:CA4"/>
    <mergeCell ref="CB2:CB4"/>
    <mergeCell ref="BR2:BR4"/>
    <mergeCell ref="BV2:BV4"/>
    <mergeCell ref="BW2:BW4"/>
    <mergeCell ref="BK2:BK4"/>
    <mergeCell ref="BL2:BL4"/>
    <mergeCell ref="BM2:BM4"/>
    <mergeCell ref="BN2:BN4"/>
    <mergeCell ref="BO2:BO4"/>
    <mergeCell ref="CC2:CC4"/>
    <mergeCell ref="BI2:BI4"/>
    <mergeCell ref="BJ2:BJ4"/>
    <mergeCell ref="BA2:BA4"/>
    <mergeCell ref="BB2:BB4"/>
    <mergeCell ref="BC2:BC4"/>
    <mergeCell ref="BD2:BD4"/>
    <mergeCell ref="BE2:BE4"/>
    <mergeCell ref="BP2:BP4"/>
    <mergeCell ref="BQ2:BQ4"/>
    <mergeCell ref="AZ2:AZ4"/>
    <mergeCell ref="AQ2:AQ4"/>
    <mergeCell ref="AR2:AR4"/>
    <mergeCell ref="AS2:AS4"/>
    <mergeCell ref="AT2:AT4"/>
    <mergeCell ref="AU2:AU4"/>
    <mergeCell ref="BF2:BF4"/>
    <mergeCell ref="BG2:BG4"/>
    <mergeCell ref="BH2:BH4"/>
    <mergeCell ref="AG2:AG4"/>
    <mergeCell ref="AH2:AH4"/>
    <mergeCell ref="AI2:AI4"/>
    <mergeCell ref="AJ2:AJ4"/>
    <mergeCell ref="AK2:AK4"/>
    <mergeCell ref="AV2:AV4"/>
    <mergeCell ref="AW2:AW4"/>
    <mergeCell ref="AX2:AX4"/>
    <mergeCell ref="AY2:AY4"/>
    <mergeCell ref="GX1:GZ1"/>
    <mergeCell ref="HA1:HC1"/>
    <mergeCell ref="HD1:HF1"/>
    <mergeCell ref="M2:M4"/>
    <mergeCell ref="N2:N4"/>
    <mergeCell ref="O2:O4"/>
    <mergeCell ref="P2:P4"/>
    <mergeCell ref="Q2:Q4"/>
    <mergeCell ref="R2:R4"/>
    <mergeCell ref="S2:S4"/>
    <mergeCell ref="T2:T4"/>
    <mergeCell ref="U2:U4"/>
    <mergeCell ref="AC2:AC4"/>
    <mergeCell ref="AD2:AD4"/>
    <mergeCell ref="AE2:AE4"/>
    <mergeCell ref="AF2:AF4"/>
    <mergeCell ref="GI1:GK1"/>
    <mergeCell ref="GL1:GN1"/>
    <mergeCell ref="GO1:GQ1"/>
    <mergeCell ref="GR1:GT1"/>
    <mergeCell ref="GU1:GW1"/>
    <mergeCell ref="FT1:FV1"/>
    <mergeCell ref="FW1:FX1"/>
    <mergeCell ref="FZ1:GB1"/>
    <mergeCell ref="GC1:GE1"/>
    <mergeCell ref="GF1:GH1"/>
    <mergeCell ref="FE1:FG1"/>
    <mergeCell ref="FH1:FJ1"/>
    <mergeCell ref="FK1:FM1"/>
    <mergeCell ref="FN1:FP1"/>
    <mergeCell ref="FQ1:FS1"/>
    <mergeCell ref="EP1:ER1"/>
    <mergeCell ref="ES1:EU1"/>
    <mergeCell ref="EV1:EX1"/>
    <mergeCell ref="EY1:FA1"/>
    <mergeCell ref="FB1:FD1"/>
    <mergeCell ref="EA1:EC1"/>
    <mergeCell ref="ED1:EF1"/>
    <mergeCell ref="EG1:EI1"/>
    <mergeCell ref="EJ1:EL1"/>
    <mergeCell ref="EM1:EO1"/>
    <mergeCell ref="DL1:DN1"/>
    <mergeCell ref="DO1:DQ1"/>
    <mergeCell ref="DR1:DT1"/>
    <mergeCell ref="DU1:DW1"/>
    <mergeCell ref="DX1:DZ1"/>
    <mergeCell ref="CW1:CY1"/>
    <mergeCell ref="CZ1:DB1"/>
    <mergeCell ref="DC1:DE1"/>
    <mergeCell ref="DF1:DH1"/>
    <mergeCell ref="DI1:DK1"/>
    <mergeCell ref="CH1:CJ1"/>
    <mergeCell ref="CK1:CM1"/>
    <mergeCell ref="CN1:CP1"/>
    <mergeCell ref="CQ1:CS1"/>
    <mergeCell ref="CT1:CV1"/>
    <mergeCell ref="BS1:BU1"/>
    <mergeCell ref="BV1:BX1"/>
    <mergeCell ref="BY1:CA1"/>
    <mergeCell ref="CB1:CD1"/>
    <mergeCell ref="CE1:CG1"/>
    <mergeCell ref="BD1:BF1"/>
    <mergeCell ref="BG1:BI1"/>
    <mergeCell ref="BJ1:BL1"/>
    <mergeCell ref="BM1:BO1"/>
    <mergeCell ref="BP1:BR1"/>
    <mergeCell ref="A1:C1"/>
    <mergeCell ref="A49:C49"/>
    <mergeCell ref="AO1:AQ1"/>
    <mergeCell ref="AR1:AT1"/>
    <mergeCell ref="AU1:AW1"/>
    <mergeCell ref="AX1:AZ1"/>
    <mergeCell ref="BA1:BC1"/>
    <mergeCell ref="A5:C5"/>
    <mergeCell ref="D1:F1"/>
    <mergeCell ref="G1:I1"/>
    <mergeCell ref="J1:L1"/>
    <mergeCell ref="M1:O1"/>
    <mergeCell ref="P1:R1"/>
    <mergeCell ref="S1:U1"/>
    <mergeCell ref="V1:X1"/>
    <mergeCell ref="Y1:AA1"/>
    <mergeCell ref="AB1:AB4"/>
    <mergeCell ref="AI1:AK1"/>
    <mergeCell ref="AL1:AN1"/>
    <mergeCell ref="AL2:AL4"/>
    <mergeCell ref="AM2:AM4"/>
    <mergeCell ref="AN2:AN4"/>
    <mergeCell ref="AO2:AO4"/>
    <mergeCell ref="AP2:AP4"/>
    <mergeCell ref="A255:C255"/>
    <mergeCell ref="A267:C267"/>
    <mergeCell ref="A91:C91"/>
    <mergeCell ref="A102:C102"/>
    <mergeCell ref="A140:C140"/>
    <mergeCell ref="A225:C225"/>
    <mergeCell ref="A235:C235"/>
    <mergeCell ref="A245:C245"/>
    <mergeCell ref="A2:C2"/>
    <mergeCell ref="A14:C1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77"/>
  <sheetViews>
    <sheetView zoomScale="80" zoomScaleNormal="80" workbookViewId="0">
      <pane xSplit="3" topLeftCell="D1" activePane="topRight" state="frozen"/>
      <selection pane="topRight" activeCell="B21" sqref="B21"/>
    </sheetView>
  </sheetViews>
  <sheetFormatPr defaultRowHeight="12.75" x14ac:dyDescent="0.2"/>
  <cols>
    <col min="1" max="1" width="15" style="52" bestFit="1" customWidth="1"/>
    <col min="2" max="2" width="9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28515625" style="52" bestFit="1" customWidth="1"/>
    <col min="79" max="79" width="18.85546875" style="52" bestFit="1" customWidth="1"/>
    <col min="80" max="80" width="11" style="52" bestFit="1" customWidth="1"/>
    <col min="81" max="81" width="9.28515625" style="52" bestFit="1" customWidth="1"/>
    <col min="82" max="82" width="20.28515625" style="52" bestFit="1" customWidth="1"/>
    <col min="83" max="83" width="12.42578125" style="52" bestFit="1" customWidth="1"/>
    <col min="84" max="84" width="9.28515625" style="52" bestFit="1" customWidth="1"/>
    <col min="85" max="85" width="20.28515625" style="52" bestFit="1" customWidth="1"/>
    <col min="86" max="86" width="13.5703125" style="52" bestFit="1" customWidth="1"/>
    <col min="87" max="87" width="9.2851562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6.285156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9.28515625" style="52" bestFit="1" customWidth="1"/>
    <col min="142" max="142" width="7" style="52" bestFit="1" customWidth="1"/>
    <col min="143" max="143" width="12" style="52" bestFit="1" customWidth="1"/>
    <col min="144" max="144" width="9.28515625" style="52" bestFit="1" customWidth="1"/>
    <col min="145" max="145" width="7" style="52" bestFit="1" customWidth="1"/>
    <col min="146" max="146" width="12" style="52" bestFit="1" customWidth="1"/>
    <col min="147" max="147" width="9.28515625" style="52" bestFit="1" customWidth="1"/>
    <col min="148" max="148" width="7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7" style="52" bestFit="1" customWidth="1"/>
    <col min="158" max="158" width="12" style="52" bestFit="1" customWidth="1"/>
    <col min="159" max="159" width="9.28515625" style="52" bestFit="1" customWidth="1"/>
    <col min="160" max="160" width="7" style="52" bestFit="1" customWidth="1"/>
    <col min="161" max="161" width="12" style="52" bestFit="1" customWidth="1"/>
    <col min="162" max="162" width="9.28515625" style="52" bestFit="1" customWidth="1"/>
    <col min="163" max="163" width="7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6.285156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9.28515625" style="52" bestFit="1" customWidth="1"/>
    <col min="187" max="187" width="7" style="52" bestFit="1" customWidth="1"/>
    <col min="188" max="188" width="12" style="52" bestFit="1" customWidth="1"/>
    <col min="189" max="189" width="9.28515625" style="52" bestFit="1" customWidth="1"/>
    <col min="190" max="190" width="7" style="52" bestFit="1" customWidth="1"/>
    <col min="191" max="191" width="12" style="52" bestFit="1" customWidth="1"/>
    <col min="192" max="192" width="9.28515625" style="52" bestFit="1" customWidth="1"/>
    <col min="193" max="193" width="7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7" style="52" bestFit="1" customWidth="1"/>
    <col min="203" max="203" width="12" style="52" bestFit="1" customWidth="1"/>
    <col min="204" max="204" width="9.28515625" style="52" bestFit="1" customWidth="1"/>
    <col min="205" max="205" width="7" style="52" bestFit="1" customWidth="1"/>
    <col min="206" max="206" width="12" style="52" bestFit="1" customWidth="1"/>
    <col min="207" max="207" width="9.28515625" style="52" bestFit="1" customWidth="1"/>
    <col min="208" max="208" width="7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13" style="52" bestFit="1" customWidth="1"/>
    <col min="214" max="214" width="21.28515625" style="52" bestFit="1" customWidth="1"/>
    <col min="215" max="16384" width="9.140625" style="52"/>
  </cols>
  <sheetData>
    <row r="1" spans="1:214" ht="21.75" customHeight="1" thickTop="1" thickBot="1" x14ac:dyDescent="0.25">
      <c r="A1" s="652" t="s">
        <v>359</v>
      </c>
      <c r="B1" s="653"/>
      <c r="C1" s="654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565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296" t="s">
        <v>557</v>
      </c>
      <c r="AJ1" s="294"/>
      <c r="AK1" s="297"/>
      <c r="AL1" s="293" t="s">
        <v>546</v>
      </c>
      <c r="AM1" s="294"/>
      <c r="AN1" s="297"/>
      <c r="AO1" s="293" t="s">
        <v>547</v>
      </c>
      <c r="AP1" s="294"/>
      <c r="AQ1" s="295"/>
      <c r="AR1" s="296" t="s">
        <v>559</v>
      </c>
      <c r="AS1" s="294"/>
      <c r="AT1" s="297"/>
      <c r="AU1" s="293" t="s">
        <v>548</v>
      </c>
      <c r="AV1" s="294"/>
      <c r="AW1" s="297"/>
      <c r="AX1" s="293" t="s">
        <v>549</v>
      </c>
      <c r="AY1" s="294"/>
      <c r="AZ1" s="295"/>
      <c r="BA1" s="296" t="s">
        <v>561</v>
      </c>
      <c r="BB1" s="294"/>
      <c r="BC1" s="297"/>
      <c r="BD1" s="293" t="s">
        <v>551</v>
      </c>
      <c r="BE1" s="294"/>
      <c r="BF1" s="297"/>
      <c r="BG1" s="293" t="s">
        <v>552</v>
      </c>
      <c r="BH1" s="294"/>
      <c r="BI1" s="295"/>
      <c r="BJ1" s="296" t="s">
        <v>564</v>
      </c>
      <c r="BK1" s="294"/>
      <c r="BL1" s="297"/>
      <c r="BM1" s="293" t="s">
        <v>554</v>
      </c>
      <c r="BN1" s="294"/>
      <c r="BO1" s="297"/>
      <c r="BP1" s="293" t="s">
        <v>555</v>
      </c>
      <c r="BQ1" s="294"/>
      <c r="BR1" s="295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274" t="s">
        <v>569</v>
      </c>
      <c r="CC1" s="270"/>
      <c r="CD1" s="270"/>
      <c r="CE1" s="271" t="s">
        <v>570</v>
      </c>
      <c r="CF1" s="270"/>
      <c r="CG1" s="272"/>
      <c r="CH1" s="270" t="s">
        <v>571</v>
      </c>
      <c r="CI1" s="270"/>
      <c r="CJ1" s="273"/>
      <c r="CK1" s="270" t="s">
        <v>575</v>
      </c>
      <c r="CL1" s="270"/>
      <c r="CM1" s="270"/>
      <c r="CN1" s="271" t="s">
        <v>575</v>
      </c>
      <c r="CO1" s="270"/>
      <c r="CP1" s="272"/>
      <c r="CQ1" s="270" t="s">
        <v>575</v>
      </c>
      <c r="CR1" s="270"/>
      <c r="CS1" s="273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4.25" customHeight="1" thickTop="1" thickBot="1" x14ac:dyDescent="0.25">
      <c r="A2" s="681" t="s">
        <v>240</v>
      </c>
      <c r="B2" s="682"/>
      <c r="C2" s="683"/>
      <c r="D2" s="193"/>
      <c r="E2" s="194"/>
      <c r="F2" s="194"/>
      <c r="G2" s="195"/>
      <c r="H2" s="196"/>
      <c r="I2" s="196"/>
      <c r="J2" s="197"/>
      <c r="K2" s="198"/>
      <c r="L2" s="199"/>
      <c r="M2" s="330" t="s">
        <v>537</v>
      </c>
      <c r="N2" s="333">
        <f>(N5*N6*N7)/((1-EXP(-N7*N6))*N15*N13*(N9/365)*(((N14/24)*N12)+((N16/24)*N11)))</f>
        <v>0.27617955008707734</v>
      </c>
      <c r="O2" s="336" t="s">
        <v>10</v>
      </c>
      <c r="P2" s="339" t="s">
        <v>537</v>
      </c>
      <c r="Q2" s="333">
        <f>(Q5*Q6*Q7)/((1-EXP(-Q7*Q6))*Q15*Q13*(Q9/365)*(((Q14/24)*Q12)+((Q16/24)*Q11)))</f>
        <v>1.9237595721506122</v>
      </c>
      <c r="R2" s="336" t="s">
        <v>10</v>
      </c>
      <c r="S2" s="339" t="s">
        <v>537</v>
      </c>
      <c r="T2" s="333">
        <f>(T5*T6*T7)/((1-EXP(-T7*T6))*T15*T13*(T9/365)*(((T14/24)*T12)+((T16/24)*T11)))</f>
        <v>0.34514661474498592</v>
      </c>
      <c r="U2" s="342" t="s">
        <v>10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8.1061355277839215</v>
      </c>
      <c r="AD2" s="315">
        <f>1/((1/AD29)+(1/AD30)+(1/AD31))</f>
        <v>1.0540506202860553</v>
      </c>
      <c r="AE2" s="315">
        <f>1/((1/AE29)+(1/AE30)+(1/AE31))</f>
        <v>8.1061355277839215</v>
      </c>
      <c r="AF2" s="315">
        <f>1/((1/AF29)+(1/AF30)+(1/AF31))</f>
        <v>7.4896743051399213</v>
      </c>
      <c r="AG2" s="320">
        <f>1/((1/AG29)+(1/AG31)+(1/AG30))</f>
        <v>10.037534440541156</v>
      </c>
      <c r="AH2" s="318" t="s">
        <v>10</v>
      </c>
      <c r="AI2" s="306" t="s">
        <v>537</v>
      </c>
      <c r="AJ2" s="303">
        <f>(AJ5*AJ6*AJ7)/((1-EXP(-AJ7*AJ6))*AJ15*(AJ9/365)*AJ10*(AJ16/24)*AJ11*AJ13)</f>
        <v>1.6981728175754214</v>
      </c>
      <c r="AK2" s="290" t="s">
        <v>10</v>
      </c>
      <c r="AL2" s="287" t="s">
        <v>537</v>
      </c>
      <c r="AM2" s="303">
        <f>(AM5*AM6*AM7)/((1-EXP(-AM7*AM6))*AM15*(AM9/365)*AM10*(AM16/24)*AM11*AM13)</f>
        <v>11.676681950274013</v>
      </c>
      <c r="AN2" s="290" t="s">
        <v>10</v>
      </c>
      <c r="AO2" s="287" t="s">
        <v>537</v>
      </c>
      <c r="AP2" s="303">
        <f>(AP5*AP6*AP7)/((1-EXP(-AP7*AP6))*AP15*(AP9/365)*AP10*(AP16/24)*AP11*AP13)</f>
        <v>2.1127114581770079</v>
      </c>
      <c r="AQ2" s="281" t="s">
        <v>10</v>
      </c>
      <c r="AR2" s="306" t="s">
        <v>537</v>
      </c>
      <c r="AS2" s="303">
        <f>(AS5*AS6*AS7)/((1-EXP(-AS7*AS6))*AS15*(AS9/365)*AS10*(AS14/24)*AS12*AS13)</f>
        <v>13.694942077221139</v>
      </c>
      <c r="AT2" s="290" t="s">
        <v>10</v>
      </c>
      <c r="AU2" s="287" t="s">
        <v>537</v>
      </c>
      <c r="AV2" s="303">
        <f>(AV5*AV6*AV7)/((1-EXP(-AV7*AV6))*AV15*(AV9/365)*AV10*(AV14/24)*AV12*AV13)</f>
        <v>200.97559294791762</v>
      </c>
      <c r="AW2" s="290" t="s">
        <v>10</v>
      </c>
      <c r="AX2" s="287" t="s">
        <v>537</v>
      </c>
      <c r="AY2" s="303">
        <f>(AY5*AY6*AY7)/((1-EXP(-AY7*AY6))*AY15*(AY9/365)*AY10*(AY14/24)*AY12*AY13)</f>
        <v>20.917935229475329</v>
      </c>
      <c r="AZ2" s="281" t="s">
        <v>10</v>
      </c>
      <c r="BA2" s="306" t="s">
        <v>537</v>
      </c>
      <c r="BB2" s="303">
        <f>(BB5*BB6*BB7)/((1-EXP(-BB7*BB6))*BB15*(BB9/365)*(BB14/24)*BB12*BB13)</f>
        <v>13.694942077221139</v>
      </c>
      <c r="BC2" s="290" t="s">
        <v>10</v>
      </c>
      <c r="BD2" s="287" t="s">
        <v>537</v>
      </c>
      <c r="BE2" s="303">
        <f>(BE5*BE6*BE7)/((1-EXP(-BE7*BE6))*BE15*(BE9/365)*(BE14/24)*BE12*BE13)</f>
        <v>200.97559294791762</v>
      </c>
      <c r="BF2" s="290" t="s">
        <v>10</v>
      </c>
      <c r="BG2" s="287" t="s">
        <v>537</v>
      </c>
      <c r="BH2" s="303">
        <f>(BH5*BH6*BH7)/((1-EXP(-BH7*BH6))*BH15*(BH9/365)*(BH14/24)*BH12*BH13)</f>
        <v>20.917935229475329</v>
      </c>
      <c r="BI2" s="281" t="s">
        <v>10</v>
      </c>
      <c r="BJ2" s="306" t="s">
        <v>537</v>
      </c>
      <c r="BK2" s="284">
        <f>(BK5*BK6*BK7)/((1-EXP(-BK7*BK6))*BK16*(BK9/365)*(BK15/24)*BK13*BK14)</f>
        <v>22.824903462035234</v>
      </c>
      <c r="BL2" s="290" t="s">
        <v>10</v>
      </c>
      <c r="BM2" s="287" t="s">
        <v>537</v>
      </c>
      <c r="BN2" s="284">
        <f>(BN5*BN6*BN7)/((1-EXP(-BN7*BN6))*BN16*(BN9/365)*(BN15/24)*BN13*BN14)</f>
        <v>334.95932157986266</v>
      </c>
      <c r="BO2" s="290" t="s">
        <v>10</v>
      </c>
      <c r="BP2" s="287" t="s">
        <v>537</v>
      </c>
      <c r="BQ2" s="284">
        <f>(BQ5*BQ6*BQ7)/((1-EXP(-BQ7*BQ6))*BQ16*(BQ9/365)*(BQ15/24)*BQ13*BQ14)</f>
        <v>34.863225382458872</v>
      </c>
      <c r="BR2" s="281" t="s">
        <v>10</v>
      </c>
      <c r="BS2" s="214"/>
      <c r="BT2" s="120"/>
      <c r="BU2" s="215"/>
      <c r="BV2" s="258" t="s">
        <v>531</v>
      </c>
      <c r="BW2" s="261">
        <f>1/((1/BW10)+(1/BW12))</f>
        <v>0.10135848970086575</v>
      </c>
      <c r="BX2" s="278" t="s">
        <v>11</v>
      </c>
      <c r="BY2" s="258" t="s">
        <v>531</v>
      </c>
      <c r="BZ2" s="261">
        <f>1/((1/BZ13)+(1/BZ14)+(1/BZ15))</f>
        <v>26.448136251914775</v>
      </c>
      <c r="CA2" s="264" t="s">
        <v>10</v>
      </c>
      <c r="CB2" s="267" t="s">
        <v>537</v>
      </c>
      <c r="CC2" s="261">
        <f>(CC5*CC6*CC7)/((1-EXP(-CC7*CC6))*CC14*(CC9/365)*CC12*(CC13/24)*CC11)</f>
        <v>31.124868357320771</v>
      </c>
      <c r="CD2" s="278" t="s">
        <v>10</v>
      </c>
      <c r="CE2" s="258" t="s">
        <v>537</v>
      </c>
      <c r="CF2" s="261">
        <f>(CF5*CF6*CF7)/((1-EXP(-CF7*CF6))*CF10*CF14*(CF9/365)*CF12*(CF13/24)*CF11)</f>
        <v>456.76271124526733</v>
      </c>
      <c r="CG2" s="278" t="s">
        <v>10</v>
      </c>
      <c r="CH2" s="258" t="s">
        <v>537</v>
      </c>
      <c r="CI2" s="261">
        <f>(CI5*CI6*CI7)/((1-EXP(-CI7*CI6))*CI10*CI14*(CI9/365)*CI12*(CI13/24)*CI11)</f>
        <v>47.5407618851712</v>
      </c>
      <c r="CJ2" s="264" t="s">
        <v>10</v>
      </c>
      <c r="CK2" s="267" t="s">
        <v>530</v>
      </c>
      <c r="CL2" s="261">
        <f>CL5/(CL6*CL7*CL8)</f>
        <v>3.6094154730200931</v>
      </c>
      <c r="CM2" s="255" t="s">
        <v>10</v>
      </c>
      <c r="CN2" s="258" t="s">
        <v>7</v>
      </c>
      <c r="CO2" s="261" t="e">
        <f>(CL2/(CO5*((CO10*CO12*CO13*(CO6+CO7))+(CO11*CO12))))*CO17</f>
        <v>#DIV/0!</v>
      </c>
      <c r="CP2" s="278" t="s">
        <v>10</v>
      </c>
      <c r="CQ2" s="275" t="s">
        <v>6</v>
      </c>
      <c r="CR2" s="261" t="e">
        <f>CL2/(CR5*CR6*(1/CR7))</f>
        <v>#DIV/0!</v>
      </c>
      <c r="CS2" s="264" t="s">
        <v>10</v>
      </c>
      <c r="CT2" s="395" t="s">
        <v>531</v>
      </c>
      <c r="CU2" s="392">
        <f>1/((1/CU14)+(1/CU15)+(1/CU16)+(1/CU17))</f>
        <v>0.11633584133337936</v>
      </c>
      <c r="CV2" s="389" t="s">
        <v>10</v>
      </c>
      <c r="CW2" s="218"/>
      <c r="CX2" s="219"/>
      <c r="CY2" s="219"/>
      <c r="CZ2" s="407" t="s">
        <v>531</v>
      </c>
      <c r="DA2" s="404">
        <f>1/((1/DA13)+(1/DA15)+(1/DA16))</f>
        <v>0.3475029012295589</v>
      </c>
      <c r="DB2" s="401" t="s">
        <v>11</v>
      </c>
      <c r="DC2" s="442" t="s">
        <v>530</v>
      </c>
      <c r="DD2" s="439">
        <f>DD7</f>
        <v>3.6094154730200931E-2</v>
      </c>
      <c r="DE2" s="436" t="s">
        <v>10</v>
      </c>
      <c r="DF2" s="433" t="s">
        <v>530</v>
      </c>
      <c r="DG2" s="424">
        <f>DD7/((1/DG24)*(DG5+DG6+DG7))</f>
        <v>2.6925815674110396</v>
      </c>
      <c r="DH2" s="430" t="s">
        <v>11</v>
      </c>
      <c r="DI2" s="427" t="s">
        <v>530</v>
      </c>
      <c r="DJ2" s="424">
        <f>(DD7/(DJ5+DJ6))*DJ12</f>
        <v>0.13137544372215626</v>
      </c>
      <c r="DK2" s="430" t="s">
        <v>10</v>
      </c>
      <c r="DL2" s="427" t="s">
        <v>581</v>
      </c>
      <c r="DM2" s="424">
        <f>((DD7)/(DM5+DM6))*DJ12</f>
        <v>0.13137544372215626</v>
      </c>
      <c r="DN2" s="430" t="s">
        <v>10</v>
      </c>
      <c r="DO2" s="427" t="s">
        <v>582</v>
      </c>
      <c r="DP2" s="424">
        <f>-(DP5+DP6+DP7)/(DP23+DP24)</f>
        <v>-49.001215422593845</v>
      </c>
      <c r="DQ2" s="421" t="s">
        <v>18</v>
      </c>
      <c r="DR2" s="574" t="s">
        <v>530</v>
      </c>
      <c r="DS2" s="445">
        <f>DS7</f>
        <v>7.2188309460401862E-2</v>
      </c>
      <c r="DT2" s="484" t="s">
        <v>10</v>
      </c>
      <c r="DU2" s="481" t="s">
        <v>530</v>
      </c>
      <c r="DV2" s="463">
        <f>(DS7*DV8)/(DV5*DV6*(1/1000))</f>
        <v>2126.8294835301463</v>
      </c>
      <c r="DW2" s="466" t="s">
        <v>11</v>
      </c>
      <c r="DX2" s="478" t="s">
        <v>530</v>
      </c>
      <c r="DY2" s="463">
        <f>(DS7*DY14)/(DY9*((DY10*DY12*DY13*(DY5+DY6))+(DY11*DY12)))*DY18</f>
        <v>33.626688538444341</v>
      </c>
      <c r="DZ2" s="466" t="s">
        <v>10</v>
      </c>
      <c r="EA2" s="478" t="s">
        <v>581</v>
      </c>
      <c r="EB2" s="463">
        <f>(DS7*DY14)/(EB9*((EB10*EB12*EB13*(EB5+EB6))+(EB11*EB12)))*DY18</f>
        <v>33.626688538444341</v>
      </c>
      <c r="EC2" s="466" t="s">
        <v>10</v>
      </c>
      <c r="ED2" s="478" t="s">
        <v>582</v>
      </c>
      <c r="EE2" s="463">
        <f>-EE15/((EE10*EE12*EE13*(EE5+EE6))+(EE11*EE12))</f>
        <v>-15.807288534561259</v>
      </c>
      <c r="EF2" s="460" t="s">
        <v>18</v>
      </c>
      <c r="EG2" s="475" t="s">
        <v>530</v>
      </c>
      <c r="EH2" s="469">
        <f>EH7</f>
        <v>7.2188309460401862E-2</v>
      </c>
      <c r="EI2" s="457" t="s">
        <v>10</v>
      </c>
      <c r="EJ2" s="472" t="s">
        <v>530</v>
      </c>
      <c r="EK2" s="454">
        <f>EH7/(EK5*EK6)</f>
        <v>0.80120210277915493</v>
      </c>
      <c r="EL2" s="451" t="s">
        <v>11</v>
      </c>
      <c r="EM2" s="448" t="s">
        <v>530</v>
      </c>
      <c r="EN2" s="454">
        <f>(EH7/(EN9*((EN10*EN12*EN13*(EN5+EN6))+(EN11*EN12))))*EN17</f>
        <v>11.660084763491179</v>
      </c>
      <c r="EO2" s="451" t="s">
        <v>10</v>
      </c>
      <c r="EP2" s="448" t="s">
        <v>581</v>
      </c>
      <c r="EQ2" s="454">
        <f>(EH7/(EQ9*((EQ10*EQ12*EQ13*(EQ5+EQ6))+(EQ11*EQ12))))*EN17</f>
        <v>11.660084763491179</v>
      </c>
      <c r="ER2" s="451" t="s">
        <v>10</v>
      </c>
      <c r="ES2" s="448" t="s">
        <v>582</v>
      </c>
      <c r="ET2" s="454">
        <f>-ET15/((ET10*ET12*ET13*(ET5+ET6))+(ET11*ET12))</f>
        <v>-14.550086614194845</v>
      </c>
      <c r="EU2" s="499" t="s">
        <v>18</v>
      </c>
      <c r="EV2" s="496" t="s">
        <v>530</v>
      </c>
      <c r="EW2" s="493">
        <f>EW7</f>
        <v>7.2188309460401862E-2</v>
      </c>
      <c r="EX2" s="490" t="s">
        <v>10</v>
      </c>
      <c r="EY2" s="487" t="s">
        <v>530</v>
      </c>
      <c r="EZ2" s="586" t="e">
        <f>EW7/(EZ5*EZ6*(1/EZ7))</f>
        <v>#DIV/0!</v>
      </c>
      <c r="FA2" s="592" t="s">
        <v>11</v>
      </c>
      <c r="FB2" s="589" t="s">
        <v>530</v>
      </c>
      <c r="FC2" s="586" t="e">
        <f>(EW7/(FC9*((FC10*FC12*FC13*(FC5+FC6))+(FC11*FC12))))*FC17</f>
        <v>#DIV/0!</v>
      </c>
      <c r="FD2" s="595" t="s">
        <v>10</v>
      </c>
      <c r="FE2" s="589" t="s">
        <v>581</v>
      </c>
      <c r="FF2" s="586">
        <f>(EW7/(FF9*(FF10*FF12*FF13*(FF5*FF6))+(FF11*FF12)))*FC17</f>
        <v>3.2819974486225942</v>
      </c>
      <c r="FG2" s="592" t="s">
        <v>10</v>
      </c>
      <c r="FH2" s="589" t="s">
        <v>582</v>
      </c>
      <c r="FI2" s="586">
        <f>FI15/((FI10*FI12*FI13*(FI5+FI6))+(FI11*FI12))</f>
        <v>5.3050397877984095</v>
      </c>
      <c r="FJ2" s="583" t="s">
        <v>18</v>
      </c>
      <c r="FK2" s="580" t="s">
        <v>530</v>
      </c>
      <c r="FL2" s="577">
        <f>FL7</f>
        <v>7.2188309460401862E-2</v>
      </c>
      <c r="FM2" s="571" t="s">
        <v>10</v>
      </c>
      <c r="FN2" s="568" t="s">
        <v>530</v>
      </c>
      <c r="FO2" s="505">
        <f>FL7/(FO5*(1/FO6))</f>
        <v>18.047077365100463</v>
      </c>
      <c r="FP2" s="511" t="s">
        <v>11</v>
      </c>
      <c r="FQ2" s="508" t="s">
        <v>530</v>
      </c>
      <c r="FR2" s="505">
        <f>((FL7*FR6)/FR5)*FR10</f>
        <v>1.8050985967424268E-2</v>
      </c>
      <c r="FS2" s="511" t="s">
        <v>10</v>
      </c>
      <c r="FT2" s="508" t="s">
        <v>581</v>
      </c>
      <c r="FU2" s="505">
        <f>((FL7*FU6)/FU5)*FR10</f>
        <v>1.8050985967424268E-2</v>
      </c>
      <c r="FV2" s="511" t="s">
        <v>10</v>
      </c>
      <c r="FW2" s="508" t="s">
        <v>582</v>
      </c>
      <c r="FX2" s="505">
        <f>-FX5/FX6</f>
        <v>-1E-3</v>
      </c>
      <c r="FY2" s="502" t="s">
        <v>18</v>
      </c>
      <c r="FZ2" s="556" t="s">
        <v>530</v>
      </c>
      <c r="GA2" s="553">
        <f>GA7</f>
        <v>7.2188309460401862E-2</v>
      </c>
      <c r="GB2" s="550" t="s">
        <v>10</v>
      </c>
      <c r="GC2" s="559" t="s">
        <v>530</v>
      </c>
      <c r="GD2" s="538" t="e">
        <f>GA7/(GD5*GD6*(1/GD7))</f>
        <v>#DIV/0!</v>
      </c>
      <c r="GE2" s="544" t="s">
        <v>11</v>
      </c>
      <c r="GF2" s="541" t="s">
        <v>530</v>
      </c>
      <c r="GG2" s="538" t="e">
        <f>(GA7/((GG9)*((GG10*GG12*GG13*(GG5+GG6))+(GG11*GG12))))*GG17</f>
        <v>#DIV/0!</v>
      </c>
      <c r="GH2" s="544" t="s">
        <v>10</v>
      </c>
      <c r="GI2" s="541" t="s">
        <v>581</v>
      </c>
      <c r="GJ2" s="538" t="e">
        <f>(GA7/((GJ9)*((GJ10*GJ12*GJ13*(GJ5+GJ6))+(GJ11*GJ12))))*GG17</f>
        <v>#DIV/0!</v>
      </c>
      <c r="GK2" s="544" t="s">
        <v>10</v>
      </c>
      <c r="GL2" s="541" t="s">
        <v>582</v>
      </c>
      <c r="GM2" s="538">
        <f>GM15/((GM10*GM12*GM13*(GM5+GM6))+(GM11*GM12))</f>
        <v>5.3050397877984095</v>
      </c>
      <c r="GN2" s="535" t="s">
        <v>18</v>
      </c>
      <c r="GO2" s="532" t="s">
        <v>530</v>
      </c>
      <c r="GP2" s="529">
        <f>GP7</f>
        <v>7.2188309460401862E-2</v>
      </c>
      <c r="GQ2" s="526" t="s">
        <v>10</v>
      </c>
      <c r="GR2" s="523" t="s">
        <v>530</v>
      </c>
      <c r="GS2" s="517" t="e">
        <f>GP7/(GS5*GS6*(1/GS7))</f>
        <v>#DIV/0!</v>
      </c>
      <c r="GT2" s="514" t="s">
        <v>11</v>
      </c>
      <c r="GU2" s="520" t="s">
        <v>530</v>
      </c>
      <c r="GV2" s="517" t="e">
        <f>(GP7/((GV9)*((GV10*GV12*GV13*(GV5+GV6))+(GV11*GV12))))*GV17</f>
        <v>#DIV/0!</v>
      </c>
      <c r="GW2" s="514" t="s">
        <v>10</v>
      </c>
      <c r="GX2" s="520" t="s">
        <v>581</v>
      </c>
      <c r="GY2" s="517" t="e">
        <f>(GP7/((GY9*((GY10*GY12*GY13*(GY5+GY6))+(GY11*GY12)))))*GV17</f>
        <v>#DIV/0!</v>
      </c>
      <c r="GZ2" s="514" t="s">
        <v>10</v>
      </c>
      <c r="HA2" s="520" t="s">
        <v>582</v>
      </c>
      <c r="HB2" s="517">
        <f>GP7/((HB10*HB12*HB13*(HB5+HB6))+(HB11*HB12))</f>
        <v>4.4426308979261399E-2</v>
      </c>
      <c r="HC2" s="547" t="s">
        <v>18</v>
      </c>
      <c r="HD2" s="54"/>
      <c r="HE2" s="55"/>
      <c r="HF2" s="56"/>
    </row>
    <row r="3" spans="1:214" ht="13.5" customHeight="1" thickTop="1" x14ac:dyDescent="0.2">
      <c r="A3" s="114" t="s">
        <v>302</v>
      </c>
      <c r="B3" s="228">
        <v>0.124</v>
      </c>
      <c r="C3" s="115"/>
      <c r="D3" s="189" t="s">
        <v>15</v>
      </c>
      <c r="E3" s="134">
        <f>1/((1/E19)+(1/E20))</f>
        <v>7.8539590804525014E-5</v>
      </c>
      <c r="F3" s="58" t="s">
        <v>9</v>
      </c>
      <c r="G3" s="191" t="s">
        <v>531</v>
      </c>
      <c r="H3" s="57">
        <f>1/((1/H10)+(1/H12)+(1/H13))</f>
        <v>0.45124371978843009</v>
      </c>
      <c r="I3" s="59" t="s">
        <v>11</v>
      </c>
      <c r="J3" s="192" t="s">
        <v>531</v>
      </c>
      <c r="K3" s="57">
        <f>1/((1/K14)+(1/K15)+(1/K16)+(1/K17))</f>
        <v>0.29245118804918196</v>
      </c>
      <c r="L3" s="60" t="s">
        <v>10</v>
      </c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8.69452514216068E-4</v>
      </c>
      <c r="X3" s="62" t="s">
        <v>9</v>
      </c>
      <c r="Y3" s="202" t="s">
        <v>16</v>
      </c>
      <c r="Z3" s="187">
        <f>1/((1/Z18)+(1/Z19))</f>
        <v>8.69452514216068E-4</v>
      </c>
      <c r="AA3" s="63" t="s">
        <v>9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307"/>
      <c r="AS3" s="304"/>
      <c r="AT3" s="291"/>
      <c r="AU3" s="288"/>
      <c r="AV3" s="304"/>
      <c r="AW3" s="291"/>
      <c r="AX3" s="288"/>
      <c r="AY3" s="304"/>
      <c r="AZ3" s="282"/>
      <c r="BA3" s="307"/>
      <c r="BB3" s="304"/>
      <c r="BC3" s="291"/>
      <c r="BD3" s="288"/>
      <c r="BE3" s="304"/>
      <c r="BF3" s="291"/>
      <c r="BG3" s="288"/>
      <c r="BH3" s="304"/>
      <c r="BI3" s="282"/>
      <c r="BJ3" s="307"/>
      <c r="BK3" s="285"/>
      <c r="BL3" s="291"/>
      <c r="BM3" s="288"/>
      <c r="BN3" s="285"/>
      <c r="BO3" s="291"/>
      <c r="BP3" s="288"/>
      <c r="BQ3" s="285"/>
      <c r="BR3" s="282"/>
      <c r="BS3" s="212" t="s">
        <v>15</v>
      </c>
      <c r="BT3" s="64">
        <f>1/((1/BT18)+(1/BT19))</f>
        <v>1.0281546432592365E-3</v>
      </c>
      <c r="BU3" s="53" t="s">
        <v>9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56"/>
      <c r="CN3" s="259"/>
      <c r="CO3" s="262"/>
      <c r="CP3" s="279"/>
      <c r="CQ3" s="276"/>
      <c r="CR3" s="262"/>
      <c r="CS3" s="265"/>
      <c r="CT3" s="396"/>
      <c r="CU3" s="393"/>
      <c r="CV3" s="390"/>
      <c r="CW3" s="216" t="s">
        <v>15</v>
      </c>
      <c r="CX3" s="65">
        <f>1/((1/CX19)+(1/CX20))</f>
        <v>7.8525512984738819E-5</v>
      </c>
      <c r="CY3" s="66" t="s">
        <v>9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126">
        <f>(HE5*HE14)*(10^-3)*(HE13+(HE10/HE11))*((HE12*HE7)/HE8)</f>
        <v>6.0012994687986525E-3</v>
      </c>
      <c r="HF3" s="220" t="s">
        <v>592</v>
      </c>
    </row>
    <row r="4" spans="1:214" ht="13.5" customHeight="1" thickBot="1" x14ac:dyDescent="0.25">
      <c r="A4" s="116" t="s">
        <v>54</v>
      </c>
      <c r="B4" s="229">
        <v>0.79200000000000004</v>
      </c>
      <c r="C4" s="117"/>
      <c r="D4" s="190" t="s">
        <v>16</v>
      </c>
      <c r="E4" s="135">
        <f>1/((1/E21)+(1/E22))</f>
        <v>7.8556600762476575E-5</v>
      </c>
      <c r="F4" s="68" t="s">
        <v>9</v>
      </c>
      <c r="G4" s="69"/>
      <c r="H4" s="70"/>
      <c r="I4" s="71"/>
      <c r="J4" s="72"/>
      <c r="K4" s="73"/>
      <c r="L4" s="74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8.6926425058749771E-4</v>
      </c>
      <c r="X4" s="76" t="s">
        <v>9</v>
      </c>
      <c r="Y4" s="203" t="s">
        <v>15</v>
      </c>
      <c r="Z4" s="186">
        <f>1/((1/Z16)+(1/Z17))</f>
        <v>8.6926425058749771E-4</v>
      </c>
      <c r="AA4" s="77" t="s">
        <v>9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308"/>
      <c r="AS4" s="305"/>
      <c r="AT4" s="292"/>
      <c r="AU4" s="289"/>
      <c r="AV4" s="305"/>
      <c r="AW4" s="292"/>
      <c r="AX4" s="289"/>
      <c r="AY4" s="305"/>
      <c r="AZ4" s="283"/>
      <c r="BA4" s="308"/>
      <c r="BB4" s="305"/>
      <c r="BC4" s="292"/>
      <c r="BD4" s="289"/>
      <c r="BE4" s="305"/>
      <c r="BF4" s="292"/>
      <c r="BG4" s="289"/>
      <c r="BH4" s="305"/>
      <c r="BI4" s="283"/>
      <c r="BJ4" s="308"/>
      <c r="BK4" s="286"/>
      <c r="BL4" s="292"/>
      <c r="BM4" s="289"/>
      <c r="BN4" s="286"/>
      <c r="BO4" s="292"/>
      <c r="BP4" s="289"/>
      <c r="BQ4" s="286"/>
      <c r="BR4" s="283"/>
      <c r="BS4" s="213" t="s">
        <v>16</v>
      </c>
      <c r="BT4" s="78">
        <f>1/((1/BT20)+(1/BT21))</f>
        <v>1.0283773190724209E-3</v>
      </c>
      <c r="BU4" s="79" t="s">
        <v>9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57"/>
      <c r="CN4" s="260"/>
      <c r="CO4" s="263"/>
      <c r="CP4" s="280"/>
      <c r="CQ4" s="277"/>
      <c r="CR4" s="263"/>
      <c r="CS4" s="266"/>
      <c r="CT4" s="397"/>
      <c r="CU4" s="394"/>
      <c r="CV4" s="391"/>
      <c r="CW4" s="217" t="s">
        <v>16</v>
      </c>
      <c r="CX4" s="80">
        <f>1/((1/CX21)+(1/CX22))</f>
        <v>7.8542519893742445E-5</v>
      </c>
      <c r="CY4" s="81" t="s">
        <v>9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127">
        <f>(HE6*HE14)*10^-3*(HE13+(HE10/HE11))*((HE12*HE7)/(HE8))</f>
        <v>5.4160973917300663E-4</v>
      </c>
      <c r="HF4" s="221" t="s">
        <v>593</v>
      </c>
    </row>
    <row r="5" spans="1:214" ht="14.25" thickTop="1" thickBot="1" x14ac:dyDescent="0.25">
      <c r="A5" s="681" t="s">
        <v>241</v>
      </c>
      <c r="B5" s="682"/>
      <c r="C5" s="683"/>
      <c r="D5" s="52" t="s">
        <v>267</v>
      </c>
      <c r="E5" s="136">
        <f>B17</f>
        <v>1</v>
      </c>
      <c r="F5" s="52" t="s">
        <v>344</v>
      </c>
      <c r="G5" s="83" t="s">
        <v>267</v>
      </c>
      <c r="H5" s="136">
        <f>B17</f>
        <v>1</v>
      </c>
      <c r="I5" s="52" t="s">
        <v>344</v>
      </c>
      <c r="J5" s="83" t="s">
        <v>267</v>
      </c>
      <c r="K5" s="136">
        <f>B17</f>
        <v>1</v>
      </c>
      <c r="L5" s="52" t="s">
        <v>344</v>
      </c>
      <c r="M5" s="52" t="s">
        <v>267</v>
      </c>
      <c r="N5" s="136">
        <f>B17</f>
        <v>1</v>
      </c>
      <c r="O5" s="52" t="s">
        <v>344</v>
      </c>
      <c r="P5" s="52" t="s">
        <v>267</v>
      </c>
      <c r="Q5" s="136">
        <f>B17</f>
        <v>1</v>
      </c>
      <c r="R5" s="52" t="s">
        <v>344</v>
      </c>
      <c r="S5" s="52" t="s">
        <v>267</v>
      </c>
      <c r="T5" s="136">
        <f>B17</f>
        <v>1</v>
      </c>
      <c r="U5" s="52" t="s">
        <v>344</v>
      </c>
      <c r="V5" s="52" t="s">
        <v>267</v>
      </c>
      <c r="W5" s="136">
        <f>B17</f>
        <v>1</v>
      </c>
      <c r="X5" s="52" t="s">
        <v>344</v>
      </c>
      <c r="Y5" s="52" t="s">
        <v>267</v>
      </c>
      <c r="Z5" s="136">
        <f>B17</f>
        <v>1</v>
      </c>
      <c r="AA5" s="52" t="s">
        <v>344</v>
      </c>
      <c r="AB5" s="83" t="s">
        <v>267</v>
      </c>
      <c r="AC5" s="136">
        <f>B17</f>
        <v>1</v>
      </c>
      <c r="AD5" s="136">
        <f>B17</f>
        <v>1</v>
      </c>
      <c r="AE5" s="136">
        <f>B17</f>
        <v>1</v>
      </c>
      <c r="AF5" s="136">
        <f>B17</f>
        <v>1</v>
      </c>
      <c r="AG5" s="136">
        <f>B17</f>
        <v>1</v>
      </c>
      <c r="AH5" s="52" t="s">
        <v>344</v>
      </c>
      <c r="AI5" s="52" t="s">
        <v>267</v>
      </c>
      <c r="AJ5" s="136">
        <f>B17</f>
        <v>1</v>
      </c>
      <c r="AK5" s="52" t="s">
        <v>344</v>
      </c>
      <c r="AL5" s="52" t="s">
        <v>267</v>
      </c>
      <c r="AM5" s="136">
        <f>B17</f>
        <v>1</v>
      </c>
      <c r="AN5" s="52" t="s">
        <v>344</v>
      </c>
      <c r="AO5" s="52" t="s">
        <v>267</v>
      </c>
      <c r="AP5" s="136">
        <f>B17</f>
        <v>1</v>
      </c>
      <c r="AQ5" s="52" t="s">
        <v>344</v>
      </c>
      <c r="AR5" s="52" t="s">
        <v>267</v>
      </c>
      <c r="AS5" s="136">
        <f>B17</f>
        <v>1</v>
      </c>
      <c r="AT5" s="52" t="s">
        <v>344</v>
      </c>
      <c r="AU5" s="52" t="s">
        <v>267</v>
      </c>
      <c r="AV5" s="136">
        <f>B17</f>
        <v>1</v>
      </c>
      <c r="AW5" s="52" t="s">
        <v>344</v>
      </c>
      <c r="AX5" s="52" t="s">
        <v>267</v>
      </c>
      <c r="AY5" s="136">
        <f>B17</f>
        <v>1</v>
      </c>
      <c r="AZ5" s="52" t="s">
        <v>344</v>
      </c>
      <c r="BA5" s="52" t="s">
        <v>267</v>
      </c>
      <c r="BB5" s="136">
        <f>B17</f>
        <v>1</v>
      </c>
      <c r="BC5" s="52" t="s">
        <v>344</v>
      </c>
      <c r="BD5" s="52" t="s">
        <v>267</v>
      </c>
      <c r="BE5" s="136">
        <f>B17</f>
        <v>1</v>
      </c>
      <c r="BF5" s="52" t="s">
        <v>344</v>
      </c>
      <c r="BG5" s="52" t="s">
        <v>267</v>
      </c>
      <c r="BH5" s="136">
        <f>B17</f>
        <v>1</v>
      </c>
      <c r="BI5" s="52" t="s">
        <v>344</v>
      </c>
      <c r="BJ5" s="52" t="s">
        <v>267</v>
      </c>
      <c r="BK5" s="136">
        <f>B17</f>
        <v>1</v>
      </c>
      <c r="BL5" s="52" t="s">
        <v>344</v>
      </c>
      <c r="BM5" s="52" t="s">
        <v>267</v>
      </c>
      <c r="BN5" s="136">
        <f>B17</f>
        <v>1</v>
      </c>
      <c r="BO5" s="52" t="s">
        <v>344</v>
      </c>
      <c r="BP5" s="52" t="s">
        <v>267</v>
      </c>
      <c r="BQ5" s="136">
        <f>B17</f>
        <v>1</v>
      </c>
      <c r="BR5" s="52" t="s">
        <v>344</v>
      </c>
      <c r="BS5" s="52" t="s">
        <v>267</v>
      </c>
      <c r="BT5" s="136">
        <f>B17</f>
        <v>1</v>
      </c>
      <c r="BU5" s="52" t="s">
        <v>344</v>
      </c>
      <c r="BV5" s="83" t="s">
        <v>267</v>
      </c>
      <c r="BW5" s="136">
        <f>B17</f>
        <v>1</v>
      </c>
      <c r="BX5" s="52" t="s">
        <v>344</v>
      </c>
      <c r="BY5" s="83" t="s">
        <v>267</v>
      </c>
      <c r="BZ5" s="136">
        <f>B17</f>
        <v>1</v>
      </c>
      <c r="CA5" s="52" t="s">
        <v>344</v>
      </c>
      <c r="CB5" s="52" t="s">
        <v>267</v>
      </c>
      <c r="CC5" s="136">
        <f>B17</f>
        <v>1</v>
      </c>
      <c r="CD5" s="52" t="s">
        <v>344</v>
      </c>
      <c r="CE5" s="52" t="s">
        <v>267</v>
      </c>
      <c r="CF5" s="136">
        <f>B17</f>
        <v>1</v>
      </c>
      <c r="CG5" s="52" t="s">
        <v>344</v>
      </c>
      <c r="CH5" s="52" t="s">
        <v>267</v>
      </c>
      <c r="CI5" s="136">
        <f>B17</f>
        <v>1</v>
      </c>
      <c r="CJ5" s="52" t="s">
        <v>344</v>
      </c>
      <c r="CK5" s="52" t="s">
        <v>267</v>
      </c>
      <c r="CL5" s="136">
        <f>B17</f>
        <v>1</v>
      </c>
      <c r="CM5" s="52" t="s">
        <v>344</v>
      </c>
      <c r="CN5" s="83" t="s">
        <v>228</v>
      </c>
      <c r="CO5" s="136">
        <f>B42</f>
        <v>0</v>
      </c>
      <c r="CP5" s="52" t="s">
        <v>268</v>
      </c>
      <c r="CQ5" s="83" t="s">
        <v>228</v>
      </c>
      <c r="CR5" s="136">
        <f>CO5</f>
        <v>0</v>
      </c>
      <c r="CS5" s="52" t="s">
        <v>268</v>
      </c>
      <c r="CT5" s="83" t="s">
        <v>267</v>
      </c>
      <c r="CU5" s="136">
        <f>B17</f>
        <v>1</v>
      </c>
      <c r="CV5" s="52" t="s">
        <v>344</v>
      </c>
      <c r="CW5" s="52" t="s">
        <v>267</v>
      </c>
      <c r="CX5" s="136">
        <f>B17</f>
        <v>1</v>
      </c>
      <c r="CY5" s="52" t="s">
        <v>344</v>
      </c>
      <c r="CZ5" s="83" t="s">
        <v>267</v>
      </c>
      <c r="DA5" s="136">
        <f>B17</f>
        <v>1</v>
      </c>
      <c r="DB5" s="52" t="s">
        <v>344</v>
      </c>
      <c r="DC5" s="83" t="s">
        <v>267</v>
      </c>
      <c r="DD5" s="136">
        <f>B17</f>
        <v>1</v>
      </c>
      <c r="DE5" s="52" t="s">
        <v>344</v>
      </c>
      <c r="DF5" s="52" t="s">
        <v>17</v>
      </c>
      <c r="DG5" s="137">
        <f>(DG8*DG9*DG10*((1-EXP(-DG11*DG12))))/(DG13*DG11)</f>
        <v>0.52579260245651049</v>
      </c>
      <c r="DH5" s="52" t="s">
        <v>18</v>
      </c>
      <c r="DI5" s="83" t="s">
        <v>19</v>
      </c>
      <c r="DJ5" s="161">
        <f>DJ7</f>
        <v>1.4800000000000001E-2</v>
      </c>
      <c r="DK5" s="83"/>
      <c r="DL5" s="83" t="s">
        <v>19</v>
      </c>
      <c r="DM5" s="161">
        <f>DM7</f>
        <v>1.4800000000000001E-2</v>
      </c>
      <c r="DO5" s="52" t="s">
        <v>17</v>
      </c>
      <c r="DP5" s="137">
        <f>(DP8*DP9*DP10*((1-EXP(-DP11*DP12))))/(DP13*DP11)</f>
        <v>0.52904687928279526</v>
      </c>
      <c r="DQ5" s="52" t="s">
        <v>18</v>
      </c>
      <c r="DR5" s="83" t="s">
        <v>267</v>
      </c>
      <c r="DS5" s="136">
        <f>B17</f>
        <v>1</v>
      </c>
      <c r="DT5" s="52" t="s">
        <v>344</v>
      </c>
      <c r="DU5" s="83" t="s">
        <v>239</v>
      </c>
      <c r="DV5" s="169">
        <f>B36</f>
        <v>3.8000000000000002E-4</v>
      </c>
      <c r="DW5" s="52" t="s">
        <v>601</v>
      </c>
      <c r="DX5" s="83" t="s">
        <v>20</v>
      </c>
      <c r="DY5" s="161">
        <f>DY7</f>
        <v>1.7000000000000001E-2</v>
      </c>
      <c r="DZ5" s="83"/>
      <c r="EA5" s="83" t="s">
        <v>20</v>
      </c>
      <c r="EB5" s="161">
        <f>EB7</f>
        <v>1.7000000000000001E-2</v>
      </c>
      <c r="EC5" s="84"/>
      <c r="ED5" s="83" t="s">
        <v>20</v>
      </c>
      <c r="EE5" s="161">
        <f>EE7</f>
        <v>1.7000000000000001E-2</v>
      </c>
      <c r="EF5" s="84"/>
      <c r="EG5" s="83" t="s">
        <v>267</v>
      </c>
      <c r="EH5" s="136">
        <f>B17</f>
        <v>1</v>
      </c>
      <c r="EI5" s="52" t="s">
        <v>344</v>
      </c>
      <c r="EJ5" s="83" t="s">
        <v>236</v>
      </c>
      <c r="EK5" s="169">
        <f>B37</f>
        <v>1.6999999999999999E-3</v>
      </c>
      <c r="EL5" s="52" t="s">
        <v>388</v>
      </c>
      <c r="EM5" s="83" t="s">
        <v>20</v>
      </c>
      <c r="EN5" s="161">
        <f>EN7</f>
        <v>1.7000000000000001E-2</v>
      </c>
      <c r="EO5" s="83"/>
      <c r="EP5" s="83" t="s">
        <v>20</v>
      </c>
      <c r="EQ5" s="161">
        <f>EQ7</f>
        <v>1.7000000000000001E-2</v>
      </c>
      <c r="ER5" s="84"/>
      <c r="ES5" s="83" t="s">
        <v>20</v>
      </c>
      <c r="ET5" s="161">
        <f>ET7</f>
        <v>1.7000000000000001E-2</v>
      </c>
      <c r="EU5" s="84"/>
      <c r="EV5" s="83" t="s">
        <v>267</v>
      </c>
      <c r="EW5" s="136">
        <f>B17</f>
        <v>1</v>
      </c>
      <c r="EX5" s="52" t="s">
        <v>344</v>
      </c>
      <c r="EY5" s="83" t="s">
        <v>171</v>
      </c>
      <c r="EZ5" s="169">
        <f>B39</f>
        <v>0</v>
      </c>
      <c r="FA5" s="52" t="s">
        <v>388</v>
      </c>
      <c r="FB5" s="83" t="s">
        <v>20</v>
      </c>
      <c r="FC5" s="161">
        <f>FC7</f>
        <v>1.7000000000000001E-2</v>
      </c>
      <c r="FD5" s="83"/>
      <c r="FE5" s="83" t="s">
        <v>20</v>
      </c>
      <c r="FF5" s="161">
        <f>FF7</f>
        <v>1.7000000000000001E-2</v>
      </c>
      <c r="FG5" s="83"/>
      <c r="FH5" s="83" t="s">
        <v>20</v>
      </c>
      <c r="FI5" s="161">
        <f>FI7</f>
        <v>1.7000000000000001E-2</v>
      </c>
      <c r="FJ5" s="84"/>
      <c r="FK5" s="83" t="s">
        <v>267</v>
      </c>
      <c r="FL5" s="136">
        <f>B17</f>
        <v>1</v>
      </c>
      <c r="FM5" s="52" t="s">
        <v>344</v>
      </c>
      <c r="FN5" s="83" t="s">
        <v>105</v>
      </c>
      <c r="FO5" s="161">
        <f>B35</f>
        <v>4</v>
      </c>
      <c r="FP5" s="83" t="s">
        <v>18</v>
      </c>
      <c r="FQ5" s="83" t="s">
        <v>105</v>
      </c>
      <c r="FR5" s="161">
        <f>B35</f>
        <v>4</v>
      </c>
      <c r="FS5" s="83" t="s">
        <v>18</v>
      </c>
      <c r="FT5" s="83" t="s">
        <v>105</v>
      </c>
      <c r="FU5" s="161">
        <f>B35</f>
        <v>4</v>
      </c>
      <c r="FV5" s="83" t="s">
        <v>18</v>
      </c>
      <c r="FW5" s="83" t="s">
        <v>156</v>
      </c>
      <c r="FX5" s="161">
        <f>B45</f>
        <v>1</v>
      </c>
      <c r="FY5" s="88" t="s">
        <v>18</v>
      </c>
      <c r="FZ5" s="83" t="s">
        <v>267</v>
      </c>
      <c r="GA5" s="136">
        <f>B17</f>
        <v>1</v>
      </c>
      <c r="GB5" s="52" t="s">
        <v>344</v>
      </c>
      <c r="GC5" s="83" t="s">
        <v>237</v>
      </c>
      <c r="GD5" s="169">
        <f>B38</f>
        <v>0</v>
      </c>
      <c r="GE5" s="52" t="s">
        <v>388</v>
      </c>
      <c r="GF5" s="83" t="s">
        <v>20</v>
      </c>
      <c r="GG5" s="161">
        <f>GG7</f>
        <v>1.7000000000000001E-2</v>
      </c>
      <c r="GH5" s="83"/>
      <c r="GI5" s="83" t="s">
        <v>20</v>
      </c>
      <c r="GJ5" s="161">
        <f>GJ7</f>
        <v>1.7000000000000001E-2</v>
      </c>
      <c r="GK5" s="83"/>
      <c r="GL5" s="83" t="s">
        <v>20</v>
      </c>
      <c r="GM5" s="161">
        <f>GM7</f>
        <v>1.7000000000000001E-2</v>
      </c>
      <c r="GN5" s="84"/>
      <c r="GO5" s="83" t="s">
        <v>267</v>
      </c>
      <c r="GP5" s="136">
        <f>B17</f>
        <v>1</v>
      </c>
      <c r="GQ5" s="52" t="s">
        <v>344</v>
      </c>
      <c r="GR5" s="83" t="s">
        <v>238</v>
      </c>
      <c r="GS5" s="169">
        <f>B40</f>
        <v>0</v>
      </c>
      <c r="GT5" s="52" t="s">
        <v>388</v>
      </c>
      <c r="GU5" s="83" t="s">
        <v>20</v>
      </c>
      <c r="GV5" s="161">
        <f>GV7</f>
        <v>1.7000000000000001E-2</v>
      </c>
      <c r="GW5" s="83"/>
      <c r="GX5" s="83" t="s">
        <v>20</v>
      </c>
      <c r="GY5" s="161">
        <f>GY7</f>
        <v>1.7000000000000001E-2</v>
      </c>
      <c r="GZ5" s="83"/>
      <c r="HA5" s="83" t="s">
        <v>20</v>
      </c>
      <c r="HB5" s="161">
        <f>HB7</f>
        <v>1.7000000000000001E-2</v>
      </c>
      <c r="HC5" s="84"/>
      <c r="HD5" s="89" t="s">
        <v>21</v>
      </c>
      <c r="HE5" s="175">
        <f>B46</f>
        <v>5</v>
      </c>
      <c r="HF5" s="83" t="s">
        <v>11</v>
      </c>
    </row>
    <row r="6" spans="1:214" ht="13.5" thickTop="1" x14ac:dyDescent="0.2">
      <c r="A6" s="114" t="s">
        <v>339</v>
      </c>
      <c r="B6" s="228">
        <v>5.8099999999999999E-2</v>
      </c>
      <c r="C6" s="115"/>
      <c r="D6" s="83" t="s">
        <v>22</v>
      </c>
      <c r="E6" s="137">
        <f>0.693/E7</f>
        <v>4.3312499999999997E-4</v>
      </c>
      <c r="G6" s="83" t="s">
        <v>248</v>
      </c>
      <c r="H6" s="136">
        <f>B19</f>
        <v>1.67911012348351E-3</v>
      </c>
      <c r="I6" s="83" t="s">
        <v>259</v>
      </c>
      <c r="J6" s="83" t="s">
        <v>249</v>
      </c>
      <c r="K6" s="136">
        <f>B20</f>
        <v>1.67911012348351E-3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4.3312499999999997E-4</v>
      </c>
      <c r="BV6" s="83" t="s">
        <v>248</v>
      </c>
      <c r="BW6" s="136">
        <f>B19</f>
        <v>1.67911012348351E-3</v>
      </c>
      <c r="BX6" s="83" t="s">
        <v>259</v>
      </c>
      <c r="BY6" s="83" t="s">
        <v>249</v>
      </c>
      <c r="BZ6" s="136">
        <f>B20</f>
        <v>1.67911012348351E-3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B29</f>
        <v>1.67911012348351E-3</v>
      </c>
      <c r="CM6" s="91" t="s">
        <v>10</v>
      </c>
      <c r="CN6" s="84" t="s">
        <v>20</v>
      </c>
      <c r="CO6" s="139">
        <f>CO8</f>
        <v>1.7000000000000001E-2</v>
      </c>
      <c r="CQ6" s="84" t="s">
        <v>169</v>
      </c>
      <c r="CR6" s="162">
        <f>B133</f>
        <v>2</v>
      </c>
      <c r="CS6" s="52" t="s">
        <v>28</v>
      </c>
      <c r="CT6" s="83" t="s">
        <v>249</v>
      </c>
      <c r="CU6" s="136">
        <f>B20</f>
        <v>1.67911012348351E-3</v>
      </c>
      <c r="CV6" s="83" t="s">
        <v>259</v>
      </c>
      <c r="CW6" s="83" t="s">
        <v>22</v>
      </c>
      <c r="CX6" s="137">
        <f>0.693/CX7</f>
        <v>4.3312499999999997E-4</v>
      </c>
      <c r="CZ6" s="83" t="s">
        <v>248</v>
      </c>
      <c r="DA6" s="136">
        <f>B19</f>
        <v>1.67911012348351E-3</v>
      </c>
      <c r="DB6" s="83" t="s">
        <v>259</v>
      </c>
      <c r="DC6" s="83" t="s">
        <v>258</v>
      </c>
      <c r="DD6" s="136">
        <f>B29</f>
        <v>1.67911012348351E-3</v>
      </c>
      <c r="DE6" s="92" t="s">
        <v>259</v>
      </c>
      <c r="DF6" s="52" t="s">
        <v>25</v>
      </c>
      <c r="DG6" s="137">
        <f>(DG8*DG9*DG14*((1-EXP(-DG11*DG12))))/(DG13*DG11)</f>
        <v>9.2368970701819411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B29</f>
        <v>1.67911012348351E-3</v>
      </c>
      <c r="DT6" s="83" t="s">
        <v>259</v>
      </c>
      <c r="DU6" s="83" t="s">
        <v>27</v>
      </c>
      <c r="DV6" s="142">
        <f>B199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B29</f>
        <v>1.67911012348351E-3</v>
      </c>
      <c r="EI6" s="83" t="s">
        <v>259</v>
      </c>
      <c r="EJ6" s="83" t="s">
        <v>29</v>
      </c>
      <c r="EK6" s="142">
        <f>B205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B29</f>
        <v>1.67911012348351E-3</v>
      </c>
      <c r="EX6" s="83" t="s">
        <v>259</v>
      </c>
      <c r="EY6" s="83" t="s">
        <v>148</v>
      </c>
      <c r="EZ6" s="164">
        <f>B210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B29</f>
        <v>1.67911012348351E-3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B45</f>
        <v>1</v>
      </c>
      <c r="FS6" s="83" t="s">
        <v>18</v>
      </c>
      <c r="FT6" s="83" t="s">
        <v>156</v>
      </c>
      <c r="FU6" s="161">
        <f>B45</f>
        <v>1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B29</f>
        <v>1.67911012348351E-3</v>
      </c>
      <c r="GB6" s="83" t="s">
        <v>259</v>
      </c>
      <c r="GC6" s="83" t="s">
        <v>485</v>
      </c>
      <c r="GD6" s="164">
        <f>B215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B29</f>
        <v>1.67911012348351E-3</v>
      </c>
      <c r="GQ6" s="83" t="s">
        <v>259</v>
      </c>
      <c r="GR6" s="83" t="s">
        <v>150</v>
      </c>
      <c r="GS6" s="142">
        <f>B220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H3</f>
        <v>0.45124371978843009</v>
      </c>
      <c r="HF6" s="83" t="s">
        <v>11</v>
      </c>
    </row>
    <row r="7" spans="1:214" x14ac:dyDescent="0.2">
      <c r="A7" s="116" t="s">
        <v>242</v>
      </c>
      <c r="B7" s="229">
        <v>0.624</v>
      </c>
      <c r="C7" s="117"/>
      <c r="D7" s="91" t="s">
        <v>231</v>
      </c>
      <c r="E7" s="136">
        <f>B30</f>
        <v>1600</v>
      </c>
      <c r="F7" s="52" t="s">
        <v>60</v>
      </c>
      <c r="G7" s="83" t="s">
        <v>247</v>
      </c>
      <c r="H7" s="139">
        <f>B18</f>
        <v>3.8043873993229303E-2</v>
      </c>
      <c r="I7" s="84" t="s">
        <v>259</v>
      </c>
      <c r="J7" s="83" t="s">
        <v>247</v>
      </c>
      <c r="K7" s="136">
        <f>B18</f>
        <v>3.8043873993229303E-2</v>
      </c>
      <c r="L7" s="84" t="s">
        <v>259</v>
      </c>
      <c r="M7" s="83" t="s">
        <v>22</v>
      </c>
      <c r="N7" s="137">
        <f>0.693/N8</f>
        <v>4.3312499999999997E-4</v>
      </c>
      <c r="P7" s="83" t="s">
        <v>22</v>
      </c>
      <c r="Q7" s="137">
        <f>0.693/Q8</f>
        <v>4.3312499999999997E-4</v>
      </c>
      <c r="S7" s="83" t="s">
        <v>22</v>
      </c>
      <c r="T7" s="137">
        <f>0.693/T8</f>
        <v>4.3312499999999997E-4</v>
      </c>
      <c r="V7" s="83" t="s">
        <v>22</v>
      </c>
      <c r="W7" s="137">
        <f>0.693/W8</f>
        <v>4.3312499999999997E-4</v>
      </c>
      <c r="Y7" s="83" t="s">
        <v>22</v>
      </c>
      <c r="Z7" s="137">
        <f>0.693/Z8</f>
        <v>4.3312499999999997E-4</v>
      </c>
      <c r="AB7" s="83" t="s">
        <v>425</v>
      </c>
      <c r="AC7" s="150">
        <f>B227</f>
        <v>125</v>
      </c>
      <c r="AD7" s="150">
        <f>B237</f>
        <v>125</v>
      </c>
      <c r="AE7" s="150">
        <f>B247</f>
        <v>125</v>
      </c>
      <c r="AF7" s="150">
        <f>B257</f>
        <v>125</v>
      </c>
      <c r="AG7" s="150">
        <f>B269</f>
        <v>125</v>
      </c>
      <c r="AH7" s="83" t="s">
        <v>24</v>
      </c>
      <c r="AI7" s="83" t="s">
        <v>22</v>
      </c>
      <c r="AJ7" s="137">
        <f>0.693/AJ8</f>
        <v>4.3312499999999997E-4</v>
      </c>
      <c r="AL7" s="83" t="s">
        <v>22</v>
      </c>
      <c r="AM7" s="137">
        <f>0.693/AM8</f>
        <v>4.3312499999999997E-4</v>
      </c>
      <c r="AO7" s="83" t="s">
        <v>22</v>
      </c>
      <c r="AP7" s="137">
        <f>0.693/AP8</f>
        <v>4.3312499999999997E-4</v>
      </c>
      <c r="AR7" s="83" t="s">
        <v>22</v>
      </c>
      <c r="AS7" s="137">
        <f>0.693/AS8</f>
        <v>4.3312499999999997E-4</v>
      </c>
      <c r="AU7" s="83" t="s">
        <v>22</v>
      </c>
      <c r="AV7" s="137">
        <f>0.693/AV8</f>
        <v>4.3312499999999997E-4</v>
      </c>
      <c r="AX7" s="83" t="s">
        <v>22</v>
      </c>
      <c r="AY7" s="137">
        <f>0.693/AY8</f>
        <v>4.3312499999999997E-4</v>
      </c>
      <c r="BA7" s="83" t="s">
        <v>22</v>
      </c>
      <c r="BB7" s="137">
        <f>0.693/BB8</f>
        <v>4.3312499999999997E-4</v>
      </c>
      <c r="BD7" s="83" t="s">
        <v>22</v>
      </c>
      <c r="BE7" s="137">
        <f>0.693/BE8</f>
        <v>4.3312499999999997E-4</v>
      </c>
      <c r="BG7" s="83" t="s">
        <v>22</v>
      </c>
      <c r="BH7" s="137">
        <f>0.693/BH8</f>
        <v>4.3312499999999997E-4</v>
      </c>
      <c r="BJ7" s="83" t="s">
        <v>22</v>
      </c>
      <c r="BK7" s="137">
        <f>0.693/BK8</f>
        <v>4.3312499999999997E-4</v>
      </c>
      <c r="BM7" s="83" t="s">
        <v>22</v>
      </c>
      <c r="BN7" s="137">
        <f>0.693/BN8</f>
        <v>4.3312499999999997E-4</v>
      </c>
      <c r="BP7" s="83" t="s">
        <v>22</v>
      </c>
      <c r="BQ7" s="137">
        <f>0.693/BQ8</f>
        <v>4.3312499999999997E-4</v>
      </c>
      <c r="BS7" s="91" t="s">
        <v>231</v>
      </c>
      <c r="BT7" s="136">
        <f>B30</f>
        <v>1600</v>
      </c>
      <c r="BU7" s="52" t="s">
        <v>60</v>
      </c>
      <c r="BV7" s="83" t="s">
        <v>247</v>
      </c>
      <c r="BW7" s="139">
        <f>B18</f>
        <v>3.8043873993229303E-2</v>
      </c>
      <c r="BX7" s="84" t="s">
        <v>259</v>
      </c>
      <c r="BY7" s="83" t="s">
        <v>247</v>
      </c>
      <c r="BZ7" s="139">
        <f>B18</f>
        <v>3.8043873993229303E-2</v>
      </c>
      <c r="CA7" s="84" t="s">
        <v>259</v>
      </c>
      <c r="CB7" s="83" t="s">
        <v>22</v>
      </c>
      <c r="CC7" s="137">
        <f>0.693/CC8</f>
        <v>4.3312499999999997E-4</v>
      </c>
      <c r="CE7" s="83" t="s">
        <v>22</v>
      </c>
      <c r="CF7" s="137">
        <f>0.693/CF8</f>
        <v>4.3312499999999997E-4</v>
      </c>
      <c r="CH7" s="83" t="s">
        <v>22</v>
      </c>
      <c r="CI7" s="137">
        <f>0.693/CI8</f>
        <v>4.3312499999999997E-4</v>
      </c>
      <c r="CK7" s="52" t="s">
        <v>140</v>
      </c>
      <c r="CL7" s="138">
        <f>B113</f>
        <v>55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B18</f>
        <v>3.8043873993229303E-2</v>
      </c>
      <c r="CV7" s="84" t="s">
        <v>259</v>
      </c>
      <c r="CW7" s="91" t="s">
        <v>231</v>
      </c>
      <c r="CX7" s="136">
        <f>B30</f>
        <v>1600</v>
      </c>
      <c r="CY7" s="52" t="s">
        <v>60</v>
      </c>
      <c r="CZ7" s="84" t="s">
        <v>247</v>
      </c>
      <c r="DA7" s="139">
        <f>B18</f>
        <v>3.8043873993229303E-2</v>
      </c>
      <c r="DB7" s="84" t="s">
        <v>259</v>
      </c>
      <c r="DC7" s="83" t="s">
        <v>260</v>
      </c>
      <c r="DD7" s="166">
        <f>(DD5)/(DD6*(DD8+DD11)*DD19)</f>
        <v>3.6094154730200931E-2</v>
      </c>
      <c r="DE7" s="92" t="s">
        <v>10</v>
      </c>
      <c r="DF7" s="52" t="s">
        <v>31</v>
      </c>
      <c r="DG7" s="137">
        <f>(DG8*DG9*DG15*DG21*((1-EXP(-DG16*DG17))))/(DG18*DG16)</f>
        <v>3.6423470278489711</v>
      </c>
      <c r="DH7" s="52" t="s">
        <v>18</v>
      </c>
      <c r="DI7" s="83" t="s">
        <v>32</v>
      </c>
      <c r="DJ7" s="136">
        <f>B43</f>
        <v>1.4800000000000001E-2</v>
      </c>
      <c r="DL7" s="83" t="s">
        <v>32</v>
      </c>
      <c r="DM7" s="136">
        <f>B43</f>
        <v>1.4800000000000001E-2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DS5/(DS6*DS8*DS15)</f>
        <v>7.2188309460401862E-2</v>
      </c>
      <c r="DT7" s="52" t="s">
        <v>10</v>
      </c>
      <c r="DV7" s="138"/>
      <c r="DX7" s="83" t="s">
        <v>33</v>
      </c>
      <c r="DY7" s="136">
        <f>B44</f>
        <v>1.7000000000000001E-2</v>
      </c>
      <c r="EA7" s="83" t="s">
        <v>33</v>
      </c>
      <c r="EB7" s="136">
        <f>B44</f>
        <v>1.7000000000000001E-2</v>
      </c>
      <c r="EC7" s="84"/>
      <c r="ED7" s="83" t="s">
        <v>33</v>
      </c>
      <c r="EE7" s="136">
        <f>B44</f>
        <v>1.7000000000000001E-2</v>
      </c>
      <c r="EF7" s="84"/>
      <c r="EG7" s="83" t="s">
        <v>260</v>
      </c>
      <c r="EH7" s="168">
        <f>EH5/(EH6*EH8*EH15)</f>
        <v>7.2188309460401862E-2</v>
      </c>
      <c r="EI7" s="52" t="s">
        <v>10</v>
      </c>
      <c r="EM7" s="83" t="s">
        <v>33</v>
      </c>
      <c r="EN7" s="136">
        <f>B44</f>
        <v>1.7000000000000001E-2</v>
      </c>
      <c r="EP7" s="83" t="s">
        <v>33</v>
      </c>
      <c r="EQ7" s="136">
        <f>B44</f>
        <v>1.7000000000000001E-2</v>
      </c>
      <c r="ER7" s="84"/>
      <c r="ES7" s="83" t="s">
        <v>33</v>
      </c>
      <c r="ET7" s="136">
        <f>B44</f>
        <v>1.7000000000000001E-2</v>
      </c>
      <c r="EU7" s="84"/>
      <c r="EV7" s="83" t="s">
        <v>260</v>
      </c>
      <c r="EW7" s="168">
        <f>EW5/(EW6*EW8*EW15)</f>
        <v>7.2188309460401862E-2</v>
      </c>
      <c r="EX7" s="52" t="s">
        <v>10</v>
      </c>
      <c r="EY7" s="83"/>
      <c r="EZ7" s="142">
        <v>1000</v>
      </c>
      <c r="FA7" s="83" t="s">
        <v>132</v>
      </c>
      <c r="FB7" s="83" t="s">
        <v>33</v>
      </c>
      <c r="FC7" s="161">
        <f>B44</f>
        <v>1.7000000000000001E-2</v>
      </c>
      <c r="FD7" s="83"/>
      <c r="FE7" s="83" t="s">
        <v>33</v>
      </c>
      <c r="FF7" s="161">
        <f>B44</f>
        <v>1.7000000000000001E-2</v>
      </c>
      <c r="FG7" s="83"/>
      <c r="FH7" s="83" t="s">
        <v>33</v>
      </c>
      <c r="FI7" s="161">
        <f>B44</f>
        <v>1.7000000000000001E-2</v>
      </c>
      <c r="FJ7" s="84"/>
      <c r="FK7" s="83" t="s">
        <v>260</v>
      </c>
      <c r="FL7" s="168">
        <f>FL5/(FL6*FL8*FL15)</f>
        <v>7.2188309460401862E-2</v>
      </c>
      <c r="FM7" s="52" t="s">
        <v>10</v>
      </c>
      <c r="FN7" s="83"/>
      <c r="FQ7" s="52" t="s">
        <v>350</v>
      </c>
      <c r="FR7" s="164">
        <f>B168</f>
        <v>1</v>
      </c>
      <c r="FT7" s="83"/>
      <c r="FU7" s="83"/>
      <c r="FV7" s="83"/>
      <c r="FZ7" s="83" t="s">
        <v>260</v>
      </c>
      <c r="GA7" s="168">
        <f>GA5/(GA6*GA8*GA15)</f>
        <v>7.2188309460401862E-2</v>
      </c>
      <c r="GB7" s="52" t="s">
        <v>10</v>
      </c>
      <c r="GC7" s="83"/>
      <c r="GD7" s="142">
        <v>1000</v>
      </c>
      <c r="GE7" s="83" t="s">
        <v>132</v>
      </c>
      <c r="GF7" s="83" t="s">
        <v>33</v>
      </c>
      <c r="GG7" s="161">
        <f>B44</f>
        <v>1.7000000000000001E-2</v>
      </c>
      <c r="GH7" s="83"/>
      <c r="GI7" s="83" t="s">
        <v>33</v>
      </c>
      <c r="GJ7" s="161">
        <f>B44</f>
        <v>1.7000000000000001E-2</v>
      </c>
      <c r="GK7" s="83"/>
      <c r="GL7" s="83" t="s">
        <v>33</v>
      </c>
      <c r="GM7" s="161">
        <f>B44</f>
        <v>1.7000000000000001E-2</v>
      </c>
      <c r="GN7" s="84"/>
      <c r="GO7" s="83" t="s">
        <v>260</v>
      </c>
      <c r="GP7" s="168">
        <f>GP5/(GP6*GP8*GP14)</f>
        <v>7.2188309460401862E-2</v>
      </c>
      <c r="GQ7" s="52" t="s">
        <v>10</v>
      </c>
      <c r="GR7" s="88"/>
      <c r="GS7" s="142">
        <v>1000</v>
      </c>
      <c r="GT7" s="83" t="s">
        <v>132</v>
      </c>
      <c r="GU7" s="83" t="s">
        <v>33</v>
      </c>
      <c r="GV7" s="161">
        <f>B44</f>
        <v>1.7000000000000001E-2</v>
      </c>
      <c r="GW7" s="83"/>
      <c r="GX7" s="83" t="s">
        <v>33</v>
      </c>
      <c r="GY7" s="161">
        <f>B44</f>
        <v>1.7000000000000001E-2</v>
      </c>
      <c r="GZ7" s="83"/>
      <c r="HA7" s="83" t="s">
        <v>33</v>
      </c>
      <c r="HB7" s="161">
        <f>B44</f>
        <v>1.7000000000000001E-2</v>
      </c>
      <c r="HC7" s="84"/>
      <c r="HD7" s="83" t="s">
        <v>22</v>
      </c>
      <c r="HE7" s="137">
        <f>0.693/HE9</f>
        <v>4.3312499999999997E-4</v>
      </c>
    </row>
    <row r="8" spans="1:214" x14ac:dyDescent="0.2">
      <c r="A8" s="116" t="s">
        <v>340</v>
      </c>
      <c r="B8" s="229">
        <v>6.8599999999999994E-2</v>
      </c>
      <c r="C8" s="117"/>
      <c r="D8" s="52" t="s">
        <v>382</v>
      </c>
      <c r="E8" s="138">
        <f>B68</f>
        <v>150</v>
      </c>
      <c r="F8" s="52" t="s">
        <v>24</v>
      </c>
      <c r="G8" s="91" t="s">
        <v>257</v>
      </c>
      <c r="H8" s="136">
        <f>B28</f>
        <v>33.437199999999997</v>
      </c>
      <c r="I8" s="84" t="s">
        <v>259</v>
      </c>
      <c r="J8" s="83" t="s">
        <v>269</v>
      </c>
      <c r="K8" s="136">
        <f>B22</f>
        <v>10.423439999999999</v>
      </c>
      <c r="L8" s="83" t="s">
        <v>351</v>
      </c>
      <c r="M8" s="91" t="s">
        <v>231</v>
      </c>
      <c r="N8" s="136">
        <f>B30</f>
        <v>1600</v>
      </c>
      <c r="O8" s="52" t="s">
        <v>60</v>
      </c>
      <c r="P8" s="91" t="s">
        <v>231</v>
      </c>
      <c r="Q8" s="136">
        <f>B30</f>
        <v>1600</v>
      </c>
      <c r="R8" s="52" t="s">
        <v>60</v>
      </c>
      <c r="S8" s="91" t="s">
        <v>231</v>
      </c>
      <c r="T8" s="136">
        <f>B30</f>
        <v>1600</v>
      </c>
      <c r="U8" s="52" t="s">
        <v>60</v>
      </c>
      <c r="V8" s="91" t="s">
        <v>231</v>
      </c>
      <c r="W8" s="136">
        <f>B30</f>
        <v>1600</v>
      </c>
      <c r="X8" s="52" t="s">
        <v>60</v>
      </c>
      <c r="Y8" s="91" t="s">
        <v>231</v>
      </c>
      <c r="Z8" s="136">
        <f>B30</f>
        <v>1600</v>
      </c>
      <c r="AA8" s="52" t="s">
        <v>60</v>
      </c>
      <c r="AB8" s="83" t="s">
        <v>249</v>
      </c>
      <c r="AC8" s="136">
        <f>B21</f>
        <v>1.036E-3</v>
      </c>
      <c r="AD8" s="136">
        <f>B21</f>
        <v>1.036E-3</v>
      </c>
      <c r="AE8" s="136">
        <f>B21</f>
        <v>1.036E-3</v>
      </c>
      <c r="AF8" s="136">
        <f>B21</f>
        <v>1.036E-3</v>
      </c>
      <c r="AG8" s="136">
        <f>B21</f>
        <v>1.036E-3</v>
      </c>
      <c r="AH8" s="83" t="s">
        <v>259</v>
      </c>
      <c r="AI8" s="91" t="s">
        <v>231</v>
      </c>
      <c r="AJ8" s="136">
        <f>B30</f>
        <v>1600</v>
      </c>
      <c r="AK8" s="52" t="s">
        <v>60</v>
      </c>
      <c r="AL8" s="91" t="s">
        <v>231</v>
      </c>
      <c r="AM8" s="136">
        <f>B30</f>
        <v>1600</v>
      </c>
      <c r="AN8" s="52" t="s">
        <v>60</v>
      </c>
      <c r="AO8" s="91" t="s">
        <v>231</v>
      </c>
      <c r="AP8" s="136">
        <f>B30</f>
        <v>1600</v>
      </c>
      <c r="AQ8" s="52" t="s">
        <v>60</v>
      </c>
      <c r="AR8" s="91" t="s">
        <v>231</v>
      </c>
      <c r="AS8" s="136">
        <f>B30</f>
        <v>1600</v>
      </c>
      <c r="AT8" s="52" t="s">
        <v>60</v>
      </c>
      <c r="AU8" s="91" t="s">
        <v>231</v>
      </c>
      <c r="AV8" s="136">
        <f>B30</f>
        <v>1600</v>
      </c>
      <c r="AW8" s="52" t="s">
        <v>60</v>
      </c>
      <c r="AX8" s="91" t="s">
        <v>231</v>
      </c>
      <c r="AY8" s="136">
        <f>B30</f>
        <v>1600</v>
      </c>
      <c r="AZ8" s="52" t="s">
        <v>60</v>
      </c>
      <c r="BA8" s="91" t="s">
        <v>231</v>
      </c>
      <c r="BB8" s="136">
        <f>B30</f>
        <v>1600</v>
      </c>
      <c r="BC8" s="52" t="s">
        <v>60</v>
      </c>
      <c r="BD8" s="91" t="s">
        <v>231</v>
      </c>
      <c r="BE8" s="136">
        <f>B30</f>
        <v>1600</v>
      </c>
      <c r="BF8" s="52" t="s">
        <v>60</v>
      </c>
      <c r="BG8" s="91" t="s">
        <v>231</v>
      </c>
      <c r="BH8" s="136">
        <f>B30</f>
        <v>1600</v>
      </c>
      <c r="BI8" s="52" t="s">
        <v>60</v>
      </c>
      <c r="BJ8" s="91" t="s">
        <v>231</v>
      </c>
      <c r="BK8" s="136">
        <f>B30</f>
        <v>1600</v>
      </c>
      <c r="BL8" s="52" t="s">
        <v>60</v>
      </c>
      <c r="BM8" s="91" t="s">
        <v>231</v>
      </c>
      <c r="BN8" s="136">
        <f>B30</f>
        <v>1600</v>
      </c>
      <c r="BO8" s="52" t="s">
        <v>60</v>
      </c>
      <c r="BP8" s="91" t="s">
        <v>231</v>
      </c>
      <c r="BQ8" s="136">
        <f>B30</f>
        <v>1600</v>
      </c>
      <c r="BR8" s="52" t="s">
        <v>60</v>
      </c>
      <c r="BS8" s="52" t="s">
        <v>140</v>
      </c>
      <c r="BT8" s="138">
        <f>B113</f>
        <v>55</v>
      </c>
      <c r="BU8" s="52" t="s">
        <v>24</v>
      </c>
      <c r="BV8" s="91" t="s">
        <v>257</v>
      </c>
      <c r="BW8" s="136">
        <f>B28</f>
        <v>33.437199999999997</v>
      </c>
      <c r="BX8" s="84" t="s">
        <v>259</v>
      </c>
      <c r="BY8" s="83" t="s">
        <v>269</v>
      </c>
      <c r="BZ8" s="136">
        <f>B22</f>
        <v>10.423439999999999</v>
      </c>
      <c r="CA8" s="83" t="s">
        <v>351</v>
      </c>
      <c r="CB8" s="91" t="s">
        <v>231</v>
      </c>
      <c r="CC8" s="136">
        <f>B30</f>
        <v>1600</v>
      </c>
      <c r="CD8" s="52" t="s">
        <v>60</v>
      </c>
      <c r="CE8" s="91" t="s">
        <v>231</v>
      </c>
      <c r="CF8" s="136">
        <f>B30</f>
        <v>1600</v>
      </c>
      <c r="CG8" s="52" t="s">
        <v>60</v>
      </c>
      <c r="CH8" s="91" t="s">
        <v>231</v>
      </c>
      <c r="CI8" s="136">
        <f>B30</f>
        <v>1600</v>
      </c>
      <c r="CJ8" s="52" t="s">
        <v>60</v>
      </c>
      <c r="CK8" s="52" t="s">
        <v>159</v>
      </c>
      <c r="CL8" s="162">
        <f>B128</f>
        <v>3</v>
      </c>
      <c r="CM8" s="52" t="s">
        <v>221</v>
      </c>
      <c r="CN8" s="84" t="s">
        <v>33</v>
      </c>
      <c r="CO8" s="136">
        <f>B44</f>
        <v>1.7000000000000001E-2</v>
      </c>
      <c r="CT8" s="83" t="s">
        <v>269</v>
      </c>
      <c r="CU8" s="136">
        <f>B22</f>
        <v>10.423439999999999</v>
      </c>
      <c r="CV8" s="83" t="s">
        <v>351</v>
      </c>
      <c r="CW8" s="52" t="s">
        <v>362</v>
      </c>
      <c r="CX8" s="138">
        <f>B167</f>
        <v>150</v>
      </c>
      <c r="CY8" s="52" t="s">
        <v>24</v>
      </c>
      <c r="CZ8" s="83" t="s">
        <v>270</v>
      </c>
      <c r="DA8" s="165">
        <f>B28</f>
        <v>33.437199999999997</v>
      </c>
      <c r="DB8" s="83" t="s">
        <v>259</v>
      </c>
      <c r="DC8" s="83" t="s">
        <v>516</v>
      </c>
      <c r="DD8" s="149">
        <f>(DD9*DD15*DD20)+(DD10*DD14*DD21)</f>
        <v>8250</v>
      </c>
      <c r="DE8" s="92" t="s">
        <v>347</v>
      </c>
      <c r="DF8" s="83" t="s">
        <v>36</v>
      </c>
      <c r="DG8" s="138">
        <f>B189</f>
        <v>3.62</v>
      </c>
      <c r="DH8" s="52" t="s">
        <v>37</v>
      </c>
      <c r="DI8" s="83" t="s">
        <v>393</v>
      </c>
      <c r="DJ8" s="138">
        <f>B47</f>
        <v>0.26</v>
      </c>
      <c r="DL8" s="83" t="s">
        <v>393</v>
      </c>
      <c r="DM8" s="138">
        <f>B47</f>
        <v>0.26</v>
      </c>
      <c r="DO8" s="83" t="s">
        <v>36</v>
      </c>
      <c r="DP8" s="138">
        <f>B189</f>
        <v>3.62</v>
      </c>
      <c r="DQ8" s="52" t="s">
        <v>37</v>
      </c>
      <c r="DR8" s="83" t="s">
        <v>147</v>
      </c>
      <c r="DS8" s="149">
        <f>(DS11*DS9*DS17)+(DS12*DS10*DS18)</f>
        <v>8250</v>
      </c>
      <c r="DT8" s="92" t="s">
        <v>347</v>
      </c>
      <c r="DU8" s="52" t="s">
        <v>518</v>
      </c>
      <c r="DV8" s="146">
        <f>B200</f>
        <v>1.03</v>
      </c>
      <c r="DW8" s="52" t="s">
        <v>286</v>
      </c>
      <c r="DX8" s="83" t="s">
        <v>392</v>
      </c>
      <c r="DY8" s="138">
        <f>B48</f>
        <v>0.25</v>
      </c>
      <c r="EA8" s="83" t="s">
        <v>392</v>
      </c>
      <c r="EB8" s="138">
        <f>B48</f>
        <v>0.25</v>
      </c>
      <c r="EC8" s="84"/>
      <c r="ED8" s="83" t="s">
        <v>392</v>
      </c>
      <c r="EE8" s="138">
        <f>B48</f>
        <v>0.25</v>
      </c>
      <c r="EF8" s="84"/>
      <c r="EG8" s="83" t="s">
        <v>519</v>
      </c>
      <c r="EH8" s="149">
        <f>(EH11*EH9*EH17)+(EH12*EH10*EH18)</f>
        <v>8250</v>
      </c>
      <c r="EI8" s="92" t="s">
        <v>347</v>
      </c>
      <c r="EJ8" s="83"/>
      <c r="EM8" s="83" t="s">
        <v>392</v>
      </c>
      <c r="EN8" s="138">
        <f>B48</f>
        <v>0.25</v>
      </c>
      <c r="EP8" s="83" t="s">
        <v>392</v>
      </c>
      <c r="EQ8" s="138">
        <f>B48</f>
        <v>0.25</v>
      </c>
      <c r="ER8" s="84"/>
      <c r="ES8" s="83" t="s">
        <v>392</v>
      </c>
      <c r="ET8" s="138">
        <f>B48</f>
        <v>0.25</v>
      </c>
      <c r="EU8" s="84"/>
      <c r="EV8" s="83" t="s">
        <v>520</v>
      </c>
      <c r="EW8" s="149">
        <f>(EW11*EW9*EW17)+(EW12*EW10*EW18)</f>
        <v>8250</v>
      </c>
      <c r="EX8" s="92" t="s">
        <v>347</v>
      </c>
      <c r="EY8" s="83"/>
      <c r="EZ8" s="83"/>
      <c r="FA8" s="83"/>
      <c r="FB8" s="83" t="s">
        <v>392</v>
      </c>
      <c r="FC8" s="142">
        <f>B48</f>
        <v>0.25</v>
      </c>
      <c r="FD8" s="83"/>
      <c r="FE8" s="83" t="s">
        <v>392</v>
      </c>
      <c r="FF8" s="142">
        <f>B48</f>
        <v>0.25</v>
      </c>
      <c r="FG8" s="83"/>
      <c r="FH8" s="83" t="s">
        <v>392</v>
      </c>
      <c r="FI8" s="142">
        <f>B48</f>
        <v>0.25</v>
      </c>
      <c r="FJ8" s="84"/>
      <c r="FK8" s="83" t="s">
        <v>521</v>
      </c>
      <c r="FL8" s="173">
        <f>(FL9*FL11*FL17)+(FL10*FL12*FL18)</f>
        <v>8250</v>
      </c>
      <c r="FM8" s="92" t="s">
        <v>347</v>
      </c>
      <c r="FN8" s="83"/>
      <c r="FO8" s="83"/>
      <c r="FP8" s="83"/>
      <c r="FQ8" s="83" t="s">
        <v>22</v>
      </c>
      <c r="FR8" s="137">
        <f>0.693/FR9</f>
        <v>4.3312499999999997E-4</v>
      </c>
      <c r="FT8" s="83"/>
      <c r="FU8" s="83"/>
      <c r="FV8" s="83"/>
      <c r="FZ8" s="83" t="s">
        <v>522</v>
      </c>
      <c r="GA8" s="173">
        <f>(GA11*GA9*GA17)+(GA10*GA12*GA18)</f>
        <v>8250</v>
      </c>
      <c r="GB8" s="92" t="s">
        <v>347</v>
      </c>
      <c r="GC8" s="83"/>
      <c r="GD8" s="83"/>
      <c r="GE8" s="83"/>
      <c r="GF8" s="83" t="s">
        <v>392</v>
      </c>
      <c r="GG8" s="142">
        <f>B48</f>
        <v>0.25</v>
      </c>
      <c r="GH8" s="83"/>
      <c r="GI8" s="83" t="s">
        <v>392</v>
      </c>
      <c r="GJ8" s="142">
        <f>B48</f>
        <v>0.25</v>
      </c>
      <c r="GK8" s="83"/>
      <c r="GL8" s="83" t="s">
        <v>392</v>
      </c>
      <c r="GM8" s="142">
        <f>B48</f>
        <v>0.25</v>
      </c>
      <c r="GN8" s="84"/>
      <c r="GO8" s="83" t="s">
        <v>523</v>
      </c>
      <c r="GP8" s="149">
        <f>(GP9*GP11*GP16)+(GP10*GP12*GP17)</f>
        <v>8250</v>
      </c>
      <c r="GQ8" s="92" t="s">
        <v>347</v>
      </c>
      <c r="GR8" s="83"/>
      <c r="GS8" s="83"/>
      <c r="GT8" s="83"/>
      <c r="GU8" s="83" t="s">
        <v>392</v>
      </c>
      <c r="GV8" s="142">
        <f>B48</f>
        <v>0.25</v>
      </c>
      <c r="GW8" s="83"/>
      <c r="GX8" s="83" t="s">
        <v>392</v>
      </c>
      <c r="GY8" s="142">
        <f>B48</f>
        <v>0.25</v>
      </c>
      <c r="GZ8" s="83"/>
      <c r="HA8" s="83" t="s">
        <v>392</v>
      </c>
      <c r="HB8" s="142">
        <f>B48</f>
        <v>0.25</v>
      </c>
      <c r="HC8" s="84"/>
      <c r="HD8" s="52" t="s">
        <v>16</v>
      </c>
      <c r="HE8" s="123">
        <f>1-EXP(-HE7*HE12)</f>
        <v>4.3303121490789742E-4</v>
      </c>
    </row>
    <row r="9" spans="1:214" x14ac:dyDescent="0.2">
      <c r="A9" s="116" t="s">
        <v>243</v>
      </c>
      <c r="B9" s="229">
        <v>0.73699999999999999</v>
      </c>
      <c r="C9" s="117"/>
      <c r="D9" s="52" t="s">
        <v>379</v>
      </c>
      <c r="E9" s="138">
        <f>B65</f>
        <v>1</v>
      </c>
      <c r="F9" s="52" t="s">
        <v>146</v>
      </c>
      <c r="G9" s="83" t="s">
        <v>258</v>
      </c>
      <c r="H9" s="136">
        <f>B29</f>
        <v>1.67911012348351E-3</v>
      </c>
      <c r="I9" s="92" t="s">
        <v>259</v>
      </c>
      <c r="J9" s="83" t="s">
        <v>258</v>
      </c>
      <c r="K9" s="136">
        <f>B29</f>
        <v>1.67911012348351E-3</v>
      </c>
      <c r="L9" s="92" t="s">
        <v>259</v>
      </c>
      <c r="M9" s="52" t="s">
        <v>382</v>
      </c>
      <c r="N9" s="138">
        <f>B68</f>
        <v>150</v>
      </c>
      <c r="O9" s="52" t="s">
        <v>24</v>
      </c>
      <c r="P9" s="52" t="s">
        <v>382</v>
      </c>
      <c r="Q9" s="138">
        <f>B68</f>
        <v>150</v>
      </c>
      <c r="R9" s="52" t="s">
        <v>24</v>
      </c>
      <c r="S9" s="52" t="s">
        <v>382</v>
      </c>
      <c r="T9" s="138">
        <f>B68</f>
        <v>150</v>
      </c>
      <c r="U9" s="52" t="s">
        <v>24</v>
      </c>
      <c r="V9" s="52" t="s">
        <v>423</v>
      </c>
      <c r="W9" s="138">
        <f>B247</f>
        <v>125</v>
      </c>
      <c r="X9" s="52" t="s">
        <v>24</v>
      </c>
      <c r="Y9" s="52" t="s">
        <v>316</v>
      </c>
      <c r="Z9" s="138">
        <f>B227</f>
        <v>125</v>
      </c>
      <c r="AA9" s="52" t="s">
        <v>24</v>
      </c>
      <c r="AB9" s="83" t="s">
        <v>34</v>
      </c>
      <c r="AC9" s="146">
        <f>B228</f>
        <v>1</v>
      </c>
      <c r="AD9" s="146">
        <f>B238</f>
        <v>1</v>
      </c>
      <c r="AE9" s="146">
        <f>B248</f>
        <v>1</v>
      </c>
      <c r="AF9" s="146">
        <f>B258</f>
        <v>1</v>
      </c>
      <c r="AG9" s="146">
        <f>B270</f>
        <v>1</v>
      </c>
      <c r="AH9" s="83" t="s">
        <v>60</v>
      </c>
      <c r="AI9" s="52" t="s">
        <v>35</v>
      </c>
      <c r="AJ9" s="138">
        <f>B237</f>
        <v>125</v>
      </c>
      <c r="AK9" s="52" t="s">
        <v>24</v>
      </c>
      <c r="AL9" s="52" t="s">
        <v>35</v>
      </c>
      <c r="AM9" s="138">
        <f>B237</f>
        <v>125</v>
      </c>
      <c r="AN9" s="52" t="s">
        <v>24</v>
      </c>
      <c r="AO9" s="52" t="s">
        <v>35</v>
      </c>
      <c r="AP9" s="138">
        <f>B237</f>
        <v>125</v>
      </c>
      <c r="AQ9" s="52" t="s">
        <v>24</v>
      </c>
      <c r="AR9" s="52" t="s">
        <v>423</v>
      </c>
      <c r="AS9" s="138">
        <f>B247</f>
        <v>125</v>
      </c>
      <c r="AT9" s="52" t="s">
        <v>24</v>
      </c>
      <c r="AU9" s="52" t="s">
        <v>423</v>
      </c>
      <c r="AV9" s="138">
        <f>B247</f>
        <v>125</v>
      </c>
      <c r="AW9" s="52" t="s">
        <v>24</v>
      </c>
      <c r="AX9" s="52" t="s">
        <v>423</v>
      </c>
      <c r="AY9" s="138">
        <f>B247</f>
        <v>125</v>
      </c>
      <c r="AZ9" s="52" t="s">
        <v>24</v>
      </c>
      <c r="BA9" s="52" t="s">
        <v>316</v>
      </c>
      <c r="BB9" s="138">
        <f>B227</f>
        <v>125</v>
      </c>
      <c r="BC9" s="52" t="s">
        <v>24</v>
      </c>
      <c r="BD9" s="52" t="s">
        <v>316</v>
      </c>
      <c r="BE9" s="138">
        <f>B227</f>
        <v>125</v>
      </c>
      <c r="BF9" s="52" t="s">
        <v>24</v>
      </c>
      <c r="BG9" s="52" t="s">
        <v>316</v>
      </c>
      <c r="BH9" s="138">
        <f>B227</f>
        <v>125</v>
      </c>
      <c r="BI9" s="52" t="s">
        <v>24</v>
      </c>
      <c r="BJ9" s="52" t="s">
        <v>191</v>
      </c>
      <c r="BK9" s="138">
        <f>BK10*BK11</f>
        <v>75</v>
      </c>
      <c r="BL9" s="52" t="s">
        <v>24</v>
      </c>
      <c r="BM9" s="52" t="s">
        <v>191</v>
      </c>
      <c r="BN9" s="138">
        <f>BN10*BN11</f>
        <v>75</v>
      </c>
      <c r="BO9" s="52" t="s">
        <v>24</v>
      </c>
      <c r="BP9" s="52" t="s">
        <v>191</v>
      </c>
      <c r="BQ9" s="138">
        <f>BQ10*BQ11</f>
        <v>75</v>
      </c>
      <c r="BR9" s="52" t="s">
        <v>24</v>
      </c>
      <c r="BS9" s="52" t="s">
        <v>247</v>
      </c>
      <c r="BT9" s="139">
        <f>E11</f>
        <v>3.8043873993229303E-2</v>
      </c>
      <c r="BU9" s="84" t="s">
        <v>259</v>
      </c>
      <c r="BV9" s="83" t="s">
        <v>258</v>
      </c>
      <c r="BW9" s="136">
        <f>B29</f>
        <v>1.67911012348351E-3</v>
      </c>
      <c r="BX9" s="92" t="s">
        <v>259</v>
      </c>
      <c r="BY9" s="83" t="s">
        <v>77</v>
      </c>
      <c r="BZ9" s="136">
        <f>B31</f>
        <v>1359344473.5814338</v>
      </c>
      <c r="CA9" s="83" t="s">
        <v>78</v>
      </c>
      <c r="CB9" s="52" t="s">
        <v>140</v>
      </c>
      <c r="CC9" s="138">
        <f>B113</f>
        <v>55</v>
      </c>
      <c r="CD9" s="52" t="s">
        <v>24</v>
      </c>
      <c r="CE9" s="52" t="s">
        <v>140</v>
      </c>
      <c r="CF9" s="138">
        <f>B113</f>
        <v>55</v>
      </c>
      <c r="CG9" s="52" t="s">
        <v>24</v>
      </c>
      <c r="CH9" s="52" t="s">
        <v>140</v>
      </c>
      <c r="CI9" s="138">
        <f>B113</f>
        <v>55</v>
      </c>
      <c r="CJ9" s="52" t="s">
        <v>24</v>
      </c>
      <c r="CN9" s="84" t="s">
        <v>392</v>
      </c>
      <c r="CO9" s="162">
        <f>B48</f>
        <v>0.25</v>
      </c>
      <c r="CT9" s="83" t="s">
        <v>258</v>
      </c>
      <c r="CU9" s="136">
        <f>B29</f>
        <v>1.67911012348351E-3</v>
      </c>
      <c r="CV9" s="92" t="s">
        <v>259</v>
      </c>
      <c r="CW9" s="52" t="s">
        <v>363</v>
      </c>
      <c r="CX9" s="138">
        <f>B168</f>
        <v>1</v>
      </c>
      <c r="CY9" s="52" t="s">
        <v>146</v>
      </c>
      <c r="CZ9" s="83" t="s">
        <v>258</v>
      </c>
      <c r="DA9" s="136">
        <f>B29</f>
        <v>1.67911012348351E-3</v>
      </c>
      <c r="DB9" s="84" t="s">
        <v>259</v>
      </c>
      <c r="DC9" s="83" t="s">
        <v>513</v>
      </c>
      <c r="DD9" s="146">
        <f>B149</f>
        <v>55</v>
      </c>
      <c r="DE9" s="92" t="s">
        <v>221</v>
      </c>
      <c r="DF9" s="83" t="s">
        <v>40</v>
      </c>
      <c r="DG9" s="138">
        <f>B190</f>
        <v>0.25</v>
      </c>
      <c r="DH9" s="52" t="s">
        <v>41</v>
      </c>
      <c r="DI9" s="52" t="s">
        <v>350</v>
      </c>
      <c r="DJ9" s="164">
        <f>B168</f>
        <v>1</v>
      </c>
      <c r="DL9" s="83"/>
      <c r="DO9" s="83" t="s">
        <v>40</v>
      </c>
      <c r="DP9" s="138">
        <f>B190</f>
        <v>0.25</v>
      </c>
      <c r="DQ9" s="52" t="s">
        <v>41</v>
      </c>
      <c r="DR9" s="83" t="s">
        <v>452</v>
      </c>
      <c r="DS9" s="146">
        <f>B151</f>
        <v>55</v>
      </c>
      <c r="DT9" s="92" t="s">
        <v>221</v>
      </c>
      <c r="DU9" s="83"/>
      <c r="DX9" s="83" t="s">
        <v>517</v>
      </c>
      <c r="DY9" s="136">
        <f>B36</f>
        <v>3.8000000000000002E-4</v>
      </c>
      <c r="DZ9" s="52" t="s">
        <v>601</v>
      </c>
      <c r="EA9" s="83" t="s">
        <v>517</v>
      </c>
      <c r="EB9" s="136">
        <f>B36</f>
        <v>3.8000000000000002E-4</v>
      </c>
      <c r="EC9" s="52" t="s">
        <v>601</v>
      </c>
      <c r="ED9" s="83" t="s">
        <v>517</v>
      </c>
      <c r="EE9" s="136">
        <f>B36</f>
        <v>3.8000000000000002E-4</v>
      </c>
      <c r="EF9" s="52" t="s">
        <v>601</v>
      </c>
      <c r="EG9" s="83" t="s">
        <v>453</v>
      </c>
      <c r="EH9" s="170">
        <f>B153</f>
        <v>55</v>
      </c>
      <c r="EI9" s="92" t="s">
        <v>221</v>
      </c>
      <c r="EJ9" s="83"/>
      <c r="EM9" s="83" t="s">
        <v>236</v>
      </c>
      <c r="EN9" s="136">
        <f>B37</f>
        <v>1.6999999999999999E-3</v>
      </c>
      <c r="EO9" s="52" t="s">
        <v>388</v>
      </c>
      <c r="EP9" s="83" t="s">
        <v>236</v>
      </c>
      <c r="EQ9" s="169">
        <f>B37</f>
        <v>1.6999999999999999E-3</v>
      </c>
      <c r="ER9" s="52" t="s">
        <v>388</v>
      </c>
      <c r="ES9" s="83" t="s">
        <v>236</v>
      </c>
      <c r="ET9" s="169">
        <f>B37</f>
        <v>1.6999999999999999E-3</v>
      </c>
      <c r="EU9" s="52" t="s">
        <v>388</v>
      </c>
      <c r="EV9" s="83" t="s">
        <v>454</v>
      </c>
      <c r="EW9" s="171">
        <f>B155</f>
        <v>55</v>
      </c>
      <c r="EX9" s="92" t="s">
        <v>221</v>
      </c>
      <c r="EY9" s="83"/>
      <c r="EZ9" s="83"/>
      <c r="FA9" s="83"/>
      <c r="FB9" s="83" t="s">
        <v>171</v>
      </c>
      <c r="FC9" s="169">
        <f>B39</f>
        <v>0</v>
      </c>
      <c r="FD9" s="52" t="s">
        <v>388</v>
      </c>
      <c r="FE9" s="83" t="s">
        <v>171</v>
      </c>
      <c r="FF9" s="169">
        <f>B39</f>
        <v>0</v>
      </c>
      <c r="FG9" s="52" t="s">
        <v>388</v>
      </c>
      <c r="FH9" s="83" t="s">
        <v>171</v>
      </c>
      <c r="FI9" s="169">
        <f>B39</f>
        <v>0</v>
      </c>
      <c r="FJ9" s="52" t="s">
        <v>388</v>
      </c>
      <c r="FK9" s="83" t="s">
        <v>471</v>
      </c>
      <c r="FL9" s="150">
        <f>B157</f>
        <v>55</v>
      </c>
      <c r="FM9" s="92" t="s">
        <v>221</v>
      </c>
      <c r="FN9" s="83"/>
      <c r="FO9" s="83"/>
      <c r="FP9" s="83"/>
      <c r="FQ9" s="91" t="s">
        <v>231</v>
      </c>
      <c r="FR9" s="136">
        <f>B30</f>
        <v>1600</v>
      </c>
      <c r="FS9" s="52" t="s">
        <v>60</v>
      </c>
      <c r="FT9" s="83"/>
      <c r="FU9" s="93"/>
      <c r="FV9" s="83"/>
      <c r="FW9" s="83"/>
      <c r="FX9" s="93"/>
      <c r="FY9" s="83"/>
      <c r="FZ9" s="83" t="s">
        <v>473</v>
      </c>
      <c r="GA9" s="174">
        <f>B159</f>
        <v>55</v>
      </c>
      <c r="GB9" s="92" t="s">
        <v>221</v>
      </c>
      <c r="GC9" s="83"/>
      <c r="GD9" s="83"/>
      <c r="GE9" s="83"/>
      <c r="GF9" s="83" t="s">
        <v>237</v>
      </c>
      <c r="GG9" s="169">
        <f>B38</f>
        <v>0</v>
      </c>
      <c r="GH9" s="52" t="s">
        <v>388</v>
      </c>
      <c r="GI9" s="83" t="s">
        <v>237</v>
      </c>
      <c r="GJ9" s="169">
        <f>B38</f>
        <v>0</v>
      </c>
      <c r="GK9" s="52" t="s">
        <v>388</v>
      </c>
      <c r="GL9" s="83" t="s">
        <v>237</v>
      </c>
      <c r="GM9" s="169">
        <f>B38</f>
        <v>0</v>
      </c>
      <c r="GN9" s="52" t="s">
        <v>388</v>
      </c>
      <c r="GO9" s="83" t="s">
        <v>455</v>
      </c>
      <c r="GP9" s="150">
        <f>B161</f>
        <v>55</v>
      </c>
      <c r="GQ9" s="92" t="s">
        <v>221</v>
      </c>
      <c r="GR9" s="83"/>
      <c r="GS9" s="83"/>
      <c r="GT9" s="83"/>
      <c r="GU9" s="83" t="s">
        <v>238</v>
      </c>
      <c r="GV9" s="169">
        <f>B40</f>
        <v>0</v>
      </c>
      <c r="GW9" s="52" t="s">
        <v>388</v>
      </c>
      <c r="GX9" s="83" t="s">
        <v>238</v>
      </c>
      <c r="GY9" s="169">
        <f>B40</f>
        <v>0</v>
      </c>
      <c r="GZ9" s="52" t="s">
        <v>388</v>
      </c>
      <c r="HA9" s="83" t="s">
        <v>238</v>
      </c>
      <c r="HB9" s="169">
        <f>B40</f>
        <v>0</v>
      </c>
      <c r="HC9" s="52" t="s">
        <v>388</v>
      </c>
      <c r="HD9" s="91" t="s">
        <v>231</v>
      </c>
      <c r="HE9" s="136">
        <f>B30</f>
        <v>1600</v>
      </c>
      <c r="HF9" s="52" t="s">
        <v>60</v>
      </c>
    </row>
    <row r="10" spans="1:214" x14ac:dyDescent="0.2">
      <c r="A10" s="116" t="s">
        <v>341</v>
      </c>
      <c r="B10" s="229">
        <v>0.10100000000000001</v>
      </c>
      <c r="C10" s="117"/>
      <c r="D10" s="52" t="s">
        <v>92</v>
      </c>
      <c r="E10" s="138">
        <f>E9</f>
        <v>1</v>
      </c>
      <c r="G10" s="83" t="s">
        <v>260</v>
      </c>
      <c r="H10" s="143">
        <f>H5/(H6*H15)</f>
        <v>3.2745212538738993</v>
      </c>
      <c r="I10" s="92" t="s">
        <v>11</v>
      </c>
      <c r="J10" s="83" t="s">
        <v>77</v>
      </c>
      <c r="K10" s="136">
        <f>B31</f>
        <v>1359344473.5814338</v>
      </c>
      <c r="L10" s="83" t="s">
        <v>78</v>
      </c>
      <c r="M10" s="52" t="s">
        <v>379</v>
      </c>
      <c r="N10" s="138">
        <f>B65</f>
        <v>1</v>
      </c>
      <c r="O10" s="52" t="s">
        <v>146</v>
      </c>
      <c r="P10" s="52" t="s">
        <v>379</v>
      </c>
      <c r="Q10" s="138">
        <f>B65</f>
        <v>1</v>
      </c>
      <c r="R10" s="52" t="s">
        <v>146</v>
      </c>
      <c r="S10" s="52" t="s">
        <v>379</v>
      </c>
      <c r="T10" s="138">
        <f>B65</f>
        <v>1</v>
      </c>
      <c r="U10" s="52" t="s">
        <v>146</v>
      </c>
      <c r="V10" s="52" t="s">
        <v>424</v>
      </c>
      <c r="W10" s="138">
        <f>B248</f>
        <v>1</v>
      </c>
      <c r="X10" s="52" t="s">
        <v>146</v>
      </c>
      <c r="Y10" s="52" t="s">
        <v>422</v>
      </c>
      <c r="Z10" s="138">
        <f>B228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B265</f>
        <v>3</v>
      </c>
      <c r="AG10" s="146">
        <f>B276</f>
        <v>3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B238</f>
        <v>1</v>
      </c>
      <c r="AN10" s="52" t="s">
        <v>146</v>
      </c>
      <c r="AO10" s="52" t="s">
        <v>420</v>
      </c>
      <c r="AP10" s="138">
        <f>B238</f>
        <v>1</v>
      </c>
      <c r="AQ10" s="52" t="s">
        <v>146</v>
      </c>
      <c r="AR10" s="52" t="s">
        <v>424</v>
      </c>
      <c r="AS10" s="138">
        <f>B248</f>
        <v>1</v>
      </c>
      <c r="AT10" s="52" t="s">
        <v>146</v>
      </c>
      <c r="AU10" s="52" t="s">
        <v>424</v>
      </c>
      <c r="AV10" s="138">
        <f>B248</f>
        <v>1</v>
      </c>
      <c r="AW10" s="52" t="s">
        <v>146</v>
      </c>
      <c r="AX10" s="52" t="s">
        <v>424</v>
      </c>
      <c r="AY10" s="138">
        <f>B248</f>
        <v>1</v>
      </c>
      <c r="AZ10" s="52" t="s">
        <v>146</v>
      </c>
      <c r="BA10" s="52" t="s">
        <v>422</v>
      </c>
      <c r="BB10" s="138">
        <f>B228</f>
        <v>1</v>
      </c>
      <c r="BC10" s="52" t="s">
        <v>146</v>
      </c>
      <c r="BD10" s="52" t="s">
        <v>422</v>
      </c>
      <c r="BE10" s="138">
        <f>B228</f>
        <v>1</v>
      </c>
      <c r="BF10" s="52" t="s">
        <v>146</v>
      </c>
      <c r="BG10" s="52" t="s">
        <v>422</v>
      </c>
      <c r="BH10" s="138">
        <f>B228</f>
        <v>1</v>
      </c>
      <c r="BI10" s="52" t="s">
        <v>146</v>
      </c>
      <c r="BJ10" s="52" t="s">
        <v>220</v>
      </c>
      <c r="BK10" s="138">
        <f>B266</f>
        <v>25</v>
      </c>
      <c r="BL10" s="52" t="s">
        <v>113</v>
      </c>
      <c r="BM10" s="52" t="s">
        <v>220</v>
      </c>
      <c r="BN10" s="138">
        <f>B266</f>
        <v>25</v>
      </c>
      <c r="BO10" s="52" t="s">
        <v>113</v>
      </c>
      <c r="BP10" s="52" t="s">
        <v>220</v>
      </c>
      <c r="BQ10" s="138">
        <f>B266</f>
        <v>25</v>
      </c>
      <c r="BR10" s="52" t="s">
        <v>113</v>
      </c>
      <c r="BS10" s="83" t="s">
        <v>428</v>
      </c>
      <c r="BT10" s="149">
        <f>(BT22*BT13*(1/24)*BT11*BT25)+(BT23*BT14*(1/24)*BT12*BT26)</f>
        <v>101.40624999999999</v>
      </c>
      <c r="BU10" s="52" t="s">
        <v>426</v>
      </c>
      <c r="BV10" s="83" t="s">
        <v>260</v>
      </c>
      <c r="BW10" s="143">
        <f>BW5/(BW6*BW13)</f>
        <v>0.21656492838120558</v>
      </c>
      <c r="BX10" s="92" t="s">
        <v>11</v>
      </c>
      <c r="BY10" s="84" t="s">
        <v>16</v>
      </c>
      <c r="BZ10" s="137">
        <f>(BZ30*BZ11)/(1-EXP(-BZ11*BZ30))</f>
        <v>1.0002165781331087</v>
      </c>
      <c r="CB10" s="52" t="s">
        <v>51</v>
      </c>
      <c r="CC10" s="138">
        <f>B127</f>
        <v>1</v>
      </c>
      <c r="CD10" s="52" t="s">
        <v>146</v>
      </c>
      <c r="CE10" s="52" t="s">
        <v>51</v>
      </c>
      <c r="CF10" s="138">
        <f>B127</f>
        <v>1</v>
      </c>
      <c r="CG10" s="52" t="s">
        <v>146</v>
      </c>
      <c r="CH10" s="52" t="s">
        <v>51</v>
      </c>
      <c r="CI10" s="138">
        <f>B127</f>
        <v>1</v>
      </c>
      <c r="CJ10" s="52" t="s">
        <v>146</v>
      </c>
      <c r="CN10" s="84" t="s">
        <v>164</v>
      </c>
      <c r="CO10" s="162">
        <f>B129</f>
        <v>2</v>
      </c>
      <c r="CP10" s="52" t="s">
        <v>246</v>
      </c>
      <c r="CT10" s="83" t="s">
        <v>77</v>
      </c>
      <c r="CU10" s="136">
        <f>B31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1.0002165781331087</v>
      </c>
      <c r="DC10" s="83" t="s">
        <v>514</v>
      </c>
      <c r="DD10" s="146">
        <f>B150</f>
        <v>55</v>
      </c>
      <c r="DE10" s="92" t="s">
        <v>221</v>
      </c>
      <c r="DF10" s="92" t="s">
        <v>32</v>
      </c>
      <c r="DG10" s="136">
        <f>B43</f>
        <v>1.4800000000000001E-2</v>
      </c>
      <c r="DI10" s="83" t="s">
        <v>22</v>
      </c>
      <c r="DJ10" s="137">
        <f>0.693/DJ11</f>
        <v>4.3312499999999997E-4</v>
      </c>
      <c r="DL10" s="92"/>
      <c r="DO10" s="92" t="s">
        <v>32</v>
      </c>
      <c r="DP10" s="136">
        <f>B43</f>
        <v>1.4800000000000001E-2</v>
      </c>
      <c r="DR10" s="83" t="s">
        <v>461</v>
      </c>
      <c r="DS10" s="146">
        <f>B152</f>
        <v>55</v>
      </c>
      <c r="DT10" s="92" t="s">
        <v>221</v>
      </c>
      <c r="DU10" s="92"/>
      <c r="DX10" s="83" t="s">
        <v>498</v>
      </c>
      <c r="DY10" s="138">
        <f>B201</f>
        <v>20.3</v>
      </c>
      <c r="DZ10" s="52" t="s">
        <v>246</v>
      </c>
      <c r="EA10" s="83" t="s">
        <v>498</v>
      </c>
      <c r="EB10" s="138">
        <f>B201</f>
        <v>20.3</v>
      </c>
      <c r="EC10" s="52" t="s">
        <v>246</v>
      </c>
      <c r="ED10" s="83" t="s">
        <v>498</v>
      </c>
      <c r="EE10" s="138">
        <f>B201</f>
        <v>20.3</v>
      </c>
      <c r="EF10" s="52" t="s">
        <v>246</v>
      </c>
      <c r="EG10" s="83" t="s">
        <v>462</v>
      </c>
      <c r="EH10" s="170">
        <f>B154</f>
        <v>55</v>
      </c>
      <c r="EI10" s="92" t="s">
        <v>221</v>
      </c>
      <c r="EJ10" s="92"/>
      <c r="EM10" s="83" t="s">
        <v>494</v>
      </c>
      <c r="EN10" s="138">
        <f>B206</f>
        <v>11.77</v>
      </c>
      <c r="EO10" s="52" t="s">
        <v>246</v>
      </c>
      <c r="EP10" s="83" t="s">
        <v>494</v>
      </c>
      <c r="EQ10" s="138">
        <f>B206</f>
        <v>11.77</v>
      </c>
      <c r="ER10" s="52" t="s">
        <v>246</v>
      </c>
      <c r="ES10" s="83" t="s">
        <v>494</v>
      </c>
      <c r="ET10" s="138">
        <f>B206</f>
        <v>11.77</v>
      </c>
      <c r="EU10" s="52" t="s">
        <v>246</v>
      </c>
      <c r="EV10" s="83" t="s">
        <v>463</v>
      </c>
      <c r="EW10" s="170">
        <f>B156</f>
        <v>55</v>
      </c>
      <c r="EX10" s="92" t="s">
        <v>221</v>
      </c>
      <c r="EY10" s="83"/>
      <c r="EZ10" s="83"/>
      <c r="FA10" s="83"/>
      <c r="FB10" s="83" t="s">
        <v>152</v>
      </c>
      <c r="FC10" s="142">
        <f>B211</f>
        <v>0.2</v>
      </c>
      <c r="FD10" s="52" t="s">
        <v>246</v>
      </c>
      <c r="FE10" s="83" t="s">
        <v>152</v>
      </c>
      <c r="FF10" s="142">
        <f>B211</f>
        <v>0.2</v>
      </c>
      <c r="FG10" s="52" t="s">
        <v>246</v>
      </c>
      <c r="FH10" s="83" t="s">
        <v>152</v>
      </c>
      <c r="FI10" s="142">
        <f>B211</f>
        <v>0.2</v>
      </c>
      <c r="FJ10" s="52" t="s">
        <v>246</v>
      </c>
      <c r="FK10" s="83" t="s">
        <v>472</v>
      </c>
      <c r="FL10" s="150">
        <f>B158</f>
        <v>55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1.0002165781331087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B160</f>
        <v>55</v>
      </c>
      <c r="GB10" s="92" t="s">
        <v>221</v>
      </c>
      <c r="GC10" s="83"/>
      <c r="GD10" s="83"/>
      <c r="GE10" s="83"/>
      <c r="GF10" s="83" t="s">
        <v>486</v>
      </c>
      <c r="GG10" s="142">
        <f>B216</f>
        <v>0.2</v>
      </c>
      <c r="GH10" s="52" t="s">
        <v>246</v>
      </c>
      <c r="GI10" s="83" t="s">
        <v>486</v>
      </c>
      <c r="GJ10" s="142">
        <f>B216</f>
        <v>0.2</v>
      </c>
      <c r="GK10" s="52" t="s">
        <v>246</v>
      </c>
      <c r="GL10" s="83" t="s">
        <v>486</v>
      </c>
      <c r="GM10" s="142">
        <f>B216</f>
        <v>0.2</v>
      </c>
      <c r="GN10" s="52" t="s">
        <v>246</v>
      </c>
      <c r="GO10" s="83" t="s">
        <v>464</v>
      </c>
      <c r="GP10" s="150">
        <f>B162</f>
        <v>55</v>
      </c>
      <c r="GQ10" s="92" t="s">
        <v>221</v>
      </c>
      <c r="GR10" s="83"/>
      <c r="GS10" s="83"/>
      <c r="GT10" s="83"/>
      <c r="GU10" s="83" t="s">
        <v>490</v>
      </c>
      <c r="GV10" s="142">
        <f>B221</f>
        <v>4.7</v>
      </c>
      <c r="GW10" s="52" t="s">
        <v>246</v>
      </c>
      <c r="GX10" s="83" t="s">
        <v>490</v>
      </c>
      <c r="GY10" s="142">
        <f>B221</f>
        <v>4.7</v>
      </c>
      <c r="GZ10" s="52" t="s">
        <v>246</v>
      </c>
      <c r="HA10" s="83" t="s">
        <v>490</v>
      </c>
      <c r="HB10" s="142">
        <f>B221</f>
        <v>4.7</v>
      </c>
      <c r="HC10" s="52" t="s">
        <v>246</v>
      </c>
      <c r="HD10" s="84" t="s">
        <v>38</v>
      </c>
      <c r="HE10" s="163">
        <f>B93</f>
        <v>0.3</v>
      </c>
    </row>
    <row r="11" spans="1:214" x14ac:dyDescent="0.2">
      <c r="A11" s="116" t="s">
        <v>244</v>
      </c>
      <c r="B11" s="229">
        <v>0.751</v>
      </c>
      <c r="C11" s="117"/>
      <c r="D11" s="52" t="s">
        <v>247</v>
      </c>
      <c r="E11" s="139">
        <f>B18</f>
        <v>3.8043873993229303E-2</v>
      </c>
      <c r="F11" s="84" t="s">
        <v>259</v>
      </c>
      <c r="G11" s="83" t="s">
        <v>261</v>
      </c>
      <c r="H11" s="144">
        <f>H5/(H7*H16*H28)</f>
        <v>3.9601417494126413E-2</v>
      </c>
      <c r="I11" s="92" t="s">
        <v>11</v>
      </c>
      <c r="J11" s="84" t="s">
        <v>16</v>
      </c>
      <c r="K11" s="137">
        <f>(K43*K12)/(1-EXP(-K12*K43))</f>
        <v>1.0002165781331087</v>
      </c>
      <c r="M11" s="52" t="s">
        <v>299</v>
      </c>
      <c r="N11" s="138">
        <f>B73</f>
        <v>1</v>
      </c>
      <c r="P11" s="52" t="s">
        <v>299</v>
      </c>
      <c r="Q11" s="138">
        <f>B73</f>
        <v>1</v>
      </c>
      <c r="S11" s="52" t="s">
        <v>299</v>
      </c>
      <c r="T11" s="138">
        <f>B73</f>
        <v>1</v>
      </c>
      <c r="V11" s="52" t="s">
        <v>247</v>
      </c>
      <c r="W11" s="139">
        <f>B18</f>
        <v>3.8043873993229303E-2</v>
      </c>
      <c r="X11" s="84" t="s">
        <v>39</v>
      </c>
      <c r="Y11" s="52" t="s">
        <v>247</v>
      </c>
      <c r="Z11" s="139">
        <f>B18</f>
        <v>3.8043873993229303E-2</v>
      </c>
      <c r="AA11" s="84" t="s">
        <v>39</v>
      </c>
      <c r="AB11" s="83" t="s">
        <v>220</v>
      </c>
      <c r="AC11" s="146"/>
      <c r="AD11" s="146"/>
      <c r="AE11" s="146"/>
      <c r="AF11" s="146">
        <f>B266</f>
        <v>25</v>
      </c>
      <c r="AG11" s="146">
        <f>B277</f>
        <v>25</v>
      </c>
      <c r="AH11" s="83" t="s">
        <v>113</v>
      </c>
      <c r="AI11" s="52" t="s">
        <v>299</v>
      </c>
      <c r="AJ11" s="138">
        <f>B241</f>
        <v>1</v>
      </c>
      <c r="AL11" s="52" t="s">
        <v>299</v>
      </c>
      <c r="AM11" s="138">
        <f>B241</f>
        <v>1</v>
      </c>
      <c r="AO11" s="52" t="s">
        <v>299</v>
      </c>
      <c r="AP11" s="138">
        <f>B241</f>
        <v>1</v>
      </c>
      <c r="AR11" s="52" t="s">
        <v>299</v>
      </c>
      <c r="AS11" s="138">
        <f>B251</f>
        <v>1</v>
      </c>
      <c r="AU11" s="52" t="s">
        <v>299</v>
      </c>
      <c r="AV11" s="138">
        <f>B251</f>
        <v>1</v>
      </c>
      <c r="AX11" s="52" t="s">
        <v>299</v>
      </c>
      <c r="AY11" s="138">
        <f>B251</f>
        <v>1</v>
      </c>
      <c r="BA11" s="52" t="s">
        <v>299</v>
      </c>
      <c r="BB11" s="138">
        <f>B231</f>
        <v>1</v>
      </c>
      <c r="BD11" s="52" t="s">
        <v>299</v>
      </c>
      <c r="BE11" s="138">
        <f>B231</f>
        <v>1</v>
      </c>
      <c r="BG11" s="52" t="s">
        <v>299</v>
      </c>
      <c r="BH11" s="138">
        <f>B231</f>
        <v>1</v>
      </c>
      <c r="BJ11" s="52" t="s">
        <v>219</v>
      </c>
      <c r="BK11" s="138">
        <f>B265</f>
        <v>3</v>
      </c>
      <c r="BL11" s="52" t="s">
        <v>112</v>
      </c>
      <c r="BM11" s="52" t="s">
        <v>219</v>
      </c>
      <c r="BN11" s="138">
        <f>B265</f>
        <v>3</v>
      </c>
      <c r="BO11" s="52" t="s">
        <v>112</v>
      </c>
      <c r="BP11" s="52" t="s">
        <v>219</v>
      </c>
      <c r="BQ11" s="138">
        <f>B265</f>
        <v>3</v>
      </c>
      <c r="BR11" s="52" t="s">
        <v>112</v>
      </c>
      <c r="BS11" s="83" t="s">
        <v>429</v>
      </c>
      <c r="BT11" s="141">
        <f>B103</f>
        <v>5</v>
      </c>
      <c r="BU11" s="92" t="s">
        <v>407</v>
      </c>
      <c r="BV11" s="83" t="s">
        <v>261</v>
      </c>
      <c r="BW11" s="159"/>
      <c r="BX11" s="92" t="s">
        <v>11</v>
      </c>
      <c r="BY11" s="83" t="s">
        <v>22</v>
      </c>
      <c r="BZ11" s="137">
        <f>0.693/BZ12</f>
        <v>4.3312499999999997E-4</v>
      </c>
      <c r="CB11" s="52" t="s">
        <v>300</v>
      </c>
      <c r="CC11" s="136">
        <f>B3</f>
        <v>0.124</v>
      </c>
      <c r="CE11" s="52" t="s">
        <v>300</v>
      </c>
      <c r="CF11" s="136">
        <f>B6</f>
        <v>5.8099999999999999E-2</v>
      </c>
      <c r="CH11" s="52" t="s">
        <v>300</v>
      </c>
      <c r="CI11" s="136">
        <f>B10</f>
        <v>0.10100000000000001</v>
      </c>
      <c r="CN11" s="84" t="s">
        <v>161</v>
      </c>
      <c r="CO11" s="162">
        <f>B130</f>
        <v>2</v>
      </c>
      <c r="CP11" s="52" t="s">
        <v>246</v>
      </c>
      <c r="CT11" s="84" t="s">
        <v>16</v>
      </c>
      <c r="CU11" s="137">
        <f>(CU43*CU12)/(1-EXP(-CU12*CU43))</f>
        <v>1.0002165781331087</v>
      </c>
      <c r="CW11" s="52" t="s">
        <v>247</v>
      </c>
      <c r="CX11" s="139">
        <f>B18</f>
        <v>3.8043873993229303E-2</v>
      </c>
      <c r="CY11" s="84" t="s">
        <v>259</v>
      </c>
      <c r="CZ11" s="83" t="s">
        <v>22</v>
      </c>
      <c r="DA11" s="137">
        <f>0.693/DA12</f>
        <v>4.3312499999999997E-4</v>
      </c>
      <c r="DC11" s="83" t="s">
        <v>515</v>
      </c>
      <c r="DD11" s="149">
        <f>(DD12*DD15*DD20)+(DD13*DD14*DD21)</f>
        <v>8250</v>
      </c>
      <c r="DE11" s="92" t="s">
        <v>347</v>
      </c>
      <c r="DF11" s="92" t="s">
        <v>49</v>
      </c>
      <c r="DG11" s="137">
        <f>DG19+DG20</f>
        <v>2.8186643835616437E-5</v>
      </c>
      <c r="DI11" s="91" t="s">
        <v>231</v>
      </c>
      <c r="DJ11" s="136">
        <f>B30</f>
        <v>1600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B166</f>
        <v>150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B166</f>
        <v>150</v>
      </c>
      <c r="EI11" s="83" t="s">
        <v>24</v>
      </c>
      <c r="EJ11" s="92"/>
      <c r="EM11" s="83" t="s">
        <v>495</v>
      </c>
      <c r="EN11" s="138">
        <f>B207</f>
        <v>0.5</v>
      </c>
      <c r="EO11" s="52" t="s">
        <v>246</v>
      </c>
      <c r="EP11" s="83" t="s">
        <v>495</v>
      </c>
      <c r="EQ11" s="138">
        <f>B207</f>
        <v>0.5</v>
      </c>
      <c r="ER11" s="52" t="s">
        <v>246</v>
      </c>
      <c r="ES11" s="83" t="s">
        <v>495</v>
      </c>
      <c r="ET11" s="138">
        <f>B207</f>
        <v>0.5</v>
      </c>
      <c r="EU11" s="52" t="s">
        <v>246</v>
      </c>
      <c r="EV11" s="83" t="s">
        <v>456</v>
      </c>
      <c r="EW11" s="150">
        <f>B166</f>
        <v>150</v>
      </c>
      <c r="EX11" s="83" t="s">
        <v>24</v>
      </c>
      <c r="EY11" s="83"/>
      <c r="EZ11" s="83"/>
      <c r="FA11" s="83"/>
      <c r="FB11" s="83" t="s">
        <v>151</v>
      </c>
      <c r="FC11" s="142">
        <f>B212</f>
        <v>2.1999999999999999E-2</v>
      </c>
      <c r="FD11" s="52" t="s">
        <v>246</v>
      </c>
      <c r="FE11" s="83" t="s">
        <v>151</v>
      </c>
      <c r="FF11" s="142">
        <f>B212</f>
        <v>2.1999999999999999E-2</v>
      </c>
      <c r="FG11" s="52" t="s">
        <v>246</v>
      </c>
      <c r="FH11" s="83" t="s">
        <v>151</v>
      </c>
      <c r="FI11" s="142">
        <f>B212</f>
        <v>2.1999999999999999E-2</v>
      </c>
      <c r="FJ11" s="52" t="s">
        <v>246</v>
      </c>
      <c r="FK11" s="83" t="s">
        <v>456</v>
      </c>
      <c r="FL11" s="150">
        <f>B166</f>
        <v>150</v>
      </c>
      <c r="FM11" s="83" t="s">
        <v>24</v>
      </c>
      <c r="FN11" s="83"/>
      <c r="FO11" s="83"/>
      <c r="FP11" s="83"/>
      <c r="FQ11" s="88"/>
      <c r="FR11" s="86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B166</f>
        <v>150</v>
      </c>
      <c r="GB11" s="83" t="s">
        <v>24</v>
      </c>
      <c r="GC11" s="83"/>
      <c r="GD11" s="83"/>
      <c r="GE11" s="83"/>
      <c r="GF11" s="83" t="s">
        <v>487</v>
      </c>
      <c r="GG11" s="142">
        <f>B217</f>
        <v>2.1999999999999999E-2</v>
      </c>
      <c r="GH11" s="52" t="s">
        <v>246</v>
      </c>
      <c r="GI11" s="83" t="s">
        <v>487</v>
      </c>
      <c r="GJ11" s="142">
        <f>B217</f>
        <v>2.1999999999999999E-2</v>
      </c>
      <c r="GK11" s="52" t="s">
        <v>246</v>
      </c>
      <c r="GL11" s="83" t="s">
        <v>487</v>
      </c>
      <c r="GM11" s="142">
        <f>B217</f>
        <v>2.1999999999999999E-2</v>
      </c>
      <c r="GN11" s="52" t="s">
        <v>246</v>
      </c>
      <c r="GO11" s="83" t="s">
        <v>456</v>
      </c>
      <c r="GP11" s="150">
        <f>B166</f>
        <v>150</v>
      </c>
      <c r="GQ11" s="83" t="s">
        <v>24</v>
      </c>
      <c r="GR11" s="83"/>
      <c r="GS11" s="83"/>
      <c r="GT11" s="83"/>
      <c r="GU11" s="83" t="s">
        <v>491</v>
      </c>
      <c r="GV11" s="142">
        <f>B222</f>
        <v>0.37</v>
      </c>
      <c r="GW11" s="52" t="s">
        <v>246</v>
      </c>
      <c r="GX11" s="83" t="s">
        <v>491</v>
      </c>
      <c r="GY11" s="142">
        <f>B222</f>
        <v>0.37</v>
      </c>
      <c r="GZ11" s="52" t="s">
        <v>246</v>
      </c>
      <c r="HA11" s="83" t="s">
        <v>491</v>
      </c>
      <c r="HB11" s="142">
        <f>B222</f>
        <v>0.37</v>
      </c>
      <c r="HC11" s="52" t="s">
        <v>246</v>
      </c>
      <c r="HD11" s="84" t="s">
        <v>42</v>
      </c>
      <c r="HE11" s="150">
        <f>B94</f>
        <v>1.5</v>
      </c>
    </row>
    <row r="12" spans="1:214" x14ac:dyDescent="0.2">
      <c r="A12" s="116" t="s">
        <v>342</v>
      </c>
      <c r="B12" s="229">
        <v>3.44E-2</v>
      </c>
      <c r="C12" s="117"/>
      <c r="D12" s="83" t="s">
        <v>43</v>
      </c>
      <c r="E12" s="140">
        <f>((E15/E16)*E23*E13*E25)+((E15/E16)*E24*E14*E26)</f>
        <v>1327.5</v>
      </c>
      <c r="F12" s="52" t="s">
        <v>426</v>
      </c>
      <c r="G12" s="83" t="s">
        <v>266</v>
      </c>
      <c r="H12" s="144">
        <f>H5/(H8*(1/H43)*H21)</f>
        <v>0.55009692161429713</v>
      </c>
      <c r="I12" s="92" t="s">
        <v>11</v>
      </c>
      <c r="J12" s="83" t="s">
        <v>22</v>
      </c>
      <c r="K12" s="137">
        <f>0.693/K13</f>
        <v>4.3312499999999997E-4</v>
      </c>
      <c r="M12" s="52" t="s">
        <v>300</v>
      </c>
      <c r="N12" s="136">
        <f>B3</f>
        <v>0.124</v>
      </c>
      <c r="P12" s="52" t="s">
        <v>300</v>
      </c>
      <c r="Q12" s="136">
        <f>B6</f>
        <v>5.8099999999999999E-2</v>
      </c>
      <c r="S12" s="52" t="s">
        <v>300</v>
      </c>
      <c r="T12" s="136">
        <f>B10</f>
        <v>0.10100000000000001</v>
      </c>
      <c r="V12" s="52" t="s">
        <v>44</v>
      </c>
      <c r="W12" s="150">
        <f>B252</f>
        <v>5</v>
      </c>
      <c r="X12" s="84" t="s">
        <v>194</v>
      </c>
      <c r="Y12" s="52" t="s">
        <v>44</v>
      </c>
      <c r="Z12" s="150">
        <f>B233</f>
        <v>5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B262</f>
        <v>5</v>
      </c>
      <c r="AG12" s="150">
        <f>B273</f>
        <v>5</v>
      </c>
      <c r="AH12" s="83" t="s">
        <v>194</v>
      </c>
      <c r="AI12" s="52" t="s">
        <v>300</v>
      </c>
      <c r="AJ12" s="136">
        <f>B3</f>
        <v>0.124</v>
      </c>
      <c r="AL12" s="52" t="s">
        <v>300</v>
      </c>
      <c r="AM12" s="136">
        <f>B6</f>
        <v>5.8099999999999999E-2</v>
      </c>
      <c r="AO12" s="52" t="s">
        <v>300</v>
      </c>
      <c r="AP12" s="136">
        <f>B10</f>
        <v>0.10100000000000001</v>
      </c>
      <c r="AR12" s="52" t="s">
        <v>300</v>
      </c>
      <c r="AS12" s="136">
        <f>B3</f>
        <v>0.124</v>
      </c>
      <c r="AU12" s="52" t="s">
        <v>300</v>
      </c>
      <c r="AV12" s="136">
        <f>B6</f>
        <v>5.8099999999999999E-2</v>
      </c>
      <c r="AX12" s="52" t="s">
        <v>300</v>
      </c>
      <c r="AY12" s="136">
        <f>B10</f>
        <v>0.10100000000000001</v>
      </c>
      <c r="BA12" s="52" t="s">
        <v>300</v>
      </c>
      <c r="BB12" s="136">
        <f>B3</f>
        <v>0.124</v>
      </c>
      <c r="BD12" s="52" t="s">
        <v>300</v>
      </c>
      <c r="BE12" s="136">
        <f>B6</f>
        <v>5.8099999999999999E-2</v>
      </c>
      <c r="BG12" s="52" t="s">
        <v>300</v>
      </c>
      <c r="BH12" s="136">
        <f>B10</f>
        <v>0.10100000000000001</v>
      </c>
      <c r="BJ12" s="52" t="s">
        <v>158</v>
      </c>
      <c r="BK12" s="138">
        <f>B258</f>
        <v>1</v>
      </c>
      <c r="BL12" s="52" t="s">
        <v>146</v>
      </c>
      <c r="BM12" s="52" t="s">
        <v>158</v>
      </c>
      <c r="BN12" s="138">
        <f>B258</f>
        <v>1</v>
      </c>
      <c r="BO12" s="52" t="s">
        <v>146</v>
      </c>
      <c r="BP12" s="52" t="s">
        <v>158</v>
      </c>
      <c r="BQ12" s="138">
        <f>B258</f>
        <v>1</v>
      </c>
      <c r="BR12" s="52" t="s">
        <v>146</v>
      </c>
      <c r="BS12" s="83" t="s">
        <v>430</v>
      </c>
      <c r="BT12" s="141">
        <f>B104</f>
        <v>10</v>
      </c>
      <c r="BU12" s="92" t="s">
        <v>407</v>
      </c>
      <c r="BV12" s="83" t="s">
        <v>266</v>
      </c>
      <c r="BW12" s="145">
        <f>BW5/(BW8*(1/BW29)*BW16)</f>
        <v>0.1905335701227702</v>
      </c>
      <c r="BX12" s="92" t="s">
        <v>11</v>
      </c>
      <c r="BY12" s="91" t="s">
        <v>231</v>
      </c>
      <c r="BZ12" s="136">
        <f>B30</f>
        <v>1600</v>
      </c>
      <c r="CA12" s="52" t="s">
        <v>60</v>
      </c>
      <c r="CB12" s="52" t="s">
        <v>413</v>
      </c>
      <c r="CC12" s="136">
        <f>B4</f>
        <v>0.79200000000000004</v>
      </c>
      <c r="CE12" s="52" t="s">
        <v>414</v>
      </c>
      <c r="CF12" s="136">
        <f>B7</f>
        <v>0.624</v>
      </c>
      <c r="CH12" s="52" t="s">
        <v>416</v>
      </c>
      <c r="CI12" s="136">
        <f>B11</f>
        <v>0.751</v>
      </c>
      <c r="CN12" s="84" t="s">
        <v>162</v>
      </c>
      <c r="CO12" s="162">
        <f>B131</f>
        <v>2</v>
      </c>
      <c r="CP12" s="52" t="s">
        <v>41</v>
      </c>
      <c r="CT12" s="83" t="s">
        <v>22</v>
      </c>
      <c r="CU12" s="137">
        <f>0.693/CU13</f>
        <v>4.3312499999999997E-4</v>
      </c>
      <c r="CW12" s="83" t="s">
        <v>506</v>
      </c>
      <c r="CX12" s="140">
        <f>((CX16/24)*CX23*CX13*CX25)+((CX15/24)*CX24*CX14*CX26)</f>
        <v>1387.5</v>
      </c>
      <c r="CY12" s="52" t="s">
        <v>426</v>
      </c>
      <c r="CZ12" s="91" t="s">
        <v>231</v>
      </c>
      <c r="DA12" s="136">
        <f>B30</f>
        <v>1600</v>
      </c>
      <c r="DB12" s="52" t="s">
        <v>60</v>
      </c>
      <c r="DC12" s="83" t="s">
        <v>467</v>
      </c>
      <c r="DD12" s="146">
        <f>B147</f>
        <v>55</v>
      </c>
      <c r="DE12" s="92" t="s">
        <v>221</v>
      </c>
      <c r="DF12" s="92" t="s">
        <v>52</v>
      </c>
      <c r="DG12" s="138">
        <f>B191</f>
        <v>10950</v>
      </c>
      <c r="DH12" s="52" t="s">
        <v>53</v>
      </c>
      <c r="DI12" s="84" t="s">
        <v>16</v>
      </c>
      <c r="DJ12" s="137">
        <f>(DJ9*DJ10)/(1-EXP(-DJ10*DJ9))</f>
        <v>1.0002165781331087</v>
      </c>
      <c r="DL12" s="92"/>
      <c r="DO12" s="92" t="s">
        <v>52</v>
      </c>
      <c r="DP12" s="138">
        <f>B191</f>
        <v>10950</v>
      </c>
      <c r="DQ12" s="52" t="s">
        <v>53</v>
      </c>
      <c r="DR12" s="83" t="s">
        <v>465</v>
      </c>
      <c r="DS12" s="150">
        <f>B166</f>
        <v>150</v>
      </c>
      <c r="DT12" s="83" t="s">
        <v>24</v>
      </c>
      <c r="DU12" s="92"/>
      <c r="DX12" s="83" t="s">
        <v>500</v>
      </c>
      <c r="DY12" s="138">
        <f>B203</f>
        <v>1</v>
      </c>
      <c r="EA12" s="83" t="s">
        <v>500</v>
      </c>
      <c r="EB12" s="138">
        <f>B203</f>
        <v>1</v>
      </c>
      <c r="EC12" s="84"/>
      <c r="ED12" s="83" t="s">
        <v>500</v>
      </c>
      <c r="EE12" s="138">
        <f>B203</f>
        <v>1</v>
      </c>
      <c r="EF12" s="84"/>
      <c r="EG12" s="83" t="s">
        <v>465</v>
      </c>
      <c r="EH12" s="150">
        <f>B166</f>
        <v>150</v>
      </c>
      <c r="EI12" s="83" t="s">
        <v>24</v>
      </c>
      <c r="EJ12" s="92"/>
      <c r="EM12" s="83" t="s">
        <v>496</v>
      </c>
      <c r="EN12" s="138">
        <f>B208</f>
        <v>1</v>
      </c>
      <c r="EP12" s="83" t="s">
        <v>496</v>
      </c>
      <c r="EQ12" s="138">
        <f>B208</f>
        <v>1</v>
      </c>
      <c r="ER12" s="84"/>
      <c r="ES12" s="83" t="s">
        <v>496</v>
      </c>
      <c r="ET12" s="138">
        <f>B208</f>
        <v>1</v>
      </c>
      <c r="EU12" s="84"/>
      <c r="EV12" s="83" t="s">
        <v>465</v>
      </c>
      <c r="EW12" s="150">
        <f>B166</f>
        <v>150</v>
      </c>
      <c r="EX12" s="83" t="s">
        <v>24</v>
      </c>
      <c r="EY12" s="83"/>
      <c r="EZ12" s="83"/>
      <c r="FA12" s="83"/>
      <c r="FB12" s="83" t="s">
        <v>153</v>
      </c>
      <c r="FC12" s="164">
        <f>B213</f>
        <v>1</v>
      </c>
      <c r="FD12" s="83"/>
      <c r="FE12" s="83" t="s">
        <v>153</v>
      </c>
      <c r="FF12" s="164">
        <f>B213</f>
        <v>1</v>
      </c>
      <c r="FG12" s="83"/>
      <c r="FH12" s="83" t="s">
        <v>153</v>
      </c>
      <c r="FI12" s="164">
        <f>B213</f>
        <v>1</v>
      </c>
      <c r="FJ12" s="84"/>
      <c r="FK12" s="83" t="s">
        <v>465</v>
      </c>
      <c r="FL12" s="150">
        <f>B166</f>
        <v>150</v>
      </c>
      <c r="FM12" s="83" t="s">
        <v>24</v>
      </c>
      <c r="FN12" s="83"/>
      <c r="FO12" s="83"/>
      <c r="FP12" s="83"/>
      <c r="FQ12" s="88"/>
      <c r="FR12" s="88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B166</f>
        <v>150</v>
      </c>
      <c r="GB12" s="83" t="s">
        <v>24</v>
      </c>
      <c r="GC12" s="83"/>
      <c r="GD12" s="83"/>
      <c r="GE12" s="83"/>
      <c r="GF12" s="83" t="s">
        <v>488</v>
      </c>
      <c r="GG12" s="142">
        <f>B218</f>
        <v>1</v>
      </c>
      <c r="GH12" s="83"/>
      <c r="GI12" s="83" t="s">
        <v>488</v>
      </c>
      <c r="GJ12" s="142">
        <f>B218</f>
        <v>1</v>
      </c>
      <c r="GK12" s="83"/>
      <c r="GL12" s="83" t="s">
        <v>488</v>
      </c>
      <c r="GM12" s="142">
        <f>B218</f>
        <v>1</v>
      </c>
      <c r="GN12" s="84"/>
      <c r="GO12" s="83" t="s">
        <v>465</v>
      </c>
      <c r="GP12" s="150">
        <f>B166</f>
        <v>150</v>
      </c>
      <c r="GQ12" s="83" t="s">
        <v>24</v>
      </c>
      <c r="GR12" s="83"/>
      <c r="GS12" s="83"/>
      <c r="GT12" s="83"/>
      <c r="GU12" s="83" t="s">
        <v>492</v>
      </c>
      <c r="GV12" s="142">
        <f>B223</f>
        <v>1</v>
      </c>
      <c r="GW12" s="83"/>
      <c r="GX12" s="83" t="s">
        <v>492</v>
      </c>
      <c r="GY12" s="142">
        <f>B223</f>
        <v>1</v>
      </c>
      <c r="GZ12" s="83"/>
      <c r="HA12" s="83" t="s">
        <v>492</v>
      </c>
      <c r="HB12" s="142">
        <f>B223</f>
        <v>1</v>
      </c>
      <c r="HC12" s="84"/>
      <c r="HD12" s="84" t="s">
        <v>47</v>
      </c>
      <c r="HE12" s="163">
        <v>1</v>
      </c>
    </row>
    <row r="13" spans="1:214" ht="13.5" customHeight="1" thickBot="1" x14ac:dyDescent="0.25">
      <c r="A13" s="118" t="s">
        <v>245</v>
      </c>
      <c r="B13" s="230">
        <v>3.44E-2</v>
      </c>
      <c r="C13" s="119"/>
      <c r="D13" s="83" t="s">
        <v>366</v>
      </c>
      <c r="E13" s="141">
        <f>B50</f>
        <v>5</v>
      </c>
      <c r="F13" s="92" t="s">
        <v>407</v>
      </c>
      <c r="G13" s="83" t="s">
        <v>263</v>
      </c>
      <c r="H13" s="144">
        <f>H14/((1/H40)*(H48+H49+H50))</f>
        <v>10.770326269644158</v>
      </c>
      <c r="I13" s="92" t="s">
        <v>11</v>
      </c>
      <c r="J13" s="91" t="s">
        <v>231</v>
      </c>
      <c r="K13" s="136">
        <f>B30</f>
        <v>1600</v>
      </c>
      <c r="L13" s="52" t="s">
        <v>60</v>
      </c>
      <c r="M13" s="52" t="s">
        <v>54</v>
      </c>
      <c r="N13" s="136">
        <f>B4</f>
        <v>0.79200000000000004</v>
      </c>
      <c r="P13" s="52" t="s">
        <v>54</v>
      </c>
      <c r="Q13" s="136">
        <f>B7</f>
        <v>0.624</v>
      </c>
      <c r="S13" s="52" t="s">
        <v>54</v>
      </c>
      <c r="T13" s="136">
        <f>B11</f>
        <v>0.751</v>
      </c>
      <c r="V13" s="52" t="s">
        <v>50</v>
      </c>
      <c r="W13" s="146">
        <f>B246</f>
        <v>50</v>
      </c>
      <c r="X13" s="84" t="s">
        <v>407</v>
      </c>
      <c r="Y13" s="52" t="s">
        <v>50</v>
      </c>
      <c r="Z13" s="146">
        <f>B226</f>
        <v>50</v>
      </c>
      <c r="AA13" s="84" t="s">
        <v>407</v>
      </c>
      <c r="AB13" s="83" t="s">
        <v>349</v>
      </c>
      <c r="AC13" s="146">
        <f>B229</f>
        <v>50</v>
      </c>
      <c r="AD13" s="146">
        <f>B239</f>
        <v>50</v>
      </c>
      <c r="AE13" s="146">
        <f>B249</f>
        <v>50</v>
      </c>
      <c r="AF13" s="146">
        <f>B259</f>
        <v>200</v>
      </c>
      <c r="AG13" s="146">
        <f>B271</f>
        <v>200</v>
      </c>
      <c r="AH13" s="52" t="s">
        <v>48</v>
      </c>
      <c r="AI13" s="52" t="s">
        <v>54</v>
      </c>
      <c r="AJ13" s="136">
        <f>B4</f>
        <v>0.79200000000000004</v>
      </c>
      <c r="AL13" s="52" t="s">
        <v>54</v>
      </c>
      <c r="AM13" s="136">
        <f>B7</f>
        <v>0.624</v>
      </c>
      <c r="AO13" s="52" t="s">
        <v>54</v>
      </c>
      <c r="AP13" s="136">
        <f>B11</f>
        <v>0.751</v>
      </c>
      <c r="AR13" s="52" t="s">
        <v>54</v>
      </c>
      <c r="AS13" s="136">
        <f>B4</f>
        <v>0.79200000000000004</v>
      </c>
      <c r="AU13" s="52" t="s">
        <v>54</v>
      </c>
      <c r="AV13" s="136">
        <f>B7</f>
        <v>0.624</v>
      </c>
      <c r="AX13" s="52" t="s">
        <v>54</v>
      </c>
      <c r="AY13" s="136">
        <f>B11</f>
        <v>0.751</v>
      </c>
      <c r="BA13" s="52" t="s">
        <v>54</v>
      </c>
      <c r="BB13" s="136">
        <f>B4</f>
        <v>0.79200000000000004</v>
      </c>
      <c r="BD13" s="52" t="s">
        <v>54</v>
      </c>
      <c r="BE13" s="136">
        <f>B7</f>
        <v>0.624</v>
      </c>
      <c r="BG13" s="52" t="s">
        <v>54</v>
      </c>
      <c r="BH13" s="136">
        <f>B11</f>
        <v>0.751</v>
      </c>
      <c r="BJ13" s="52" t="s">
        <v>300</v>
      </c>
      <c r="BK13" s="136">
        <f>B3</f>
        <v>0.124</v>
      </c>
      <c r="BM13" s="52" t="s">
        <v>300</v>
      </c>
      <c r="BN13" s="136">
        <f>B6</f>
        <v>5.8099999999999999E-2</v>
      </c>
      <c r="BP13" s="52" t="s">
        <v>300</v>
      </c>
      <c r="BQ13" s="136">
        <f>B10</f>
        <v>0.10100000000000001</v>
      </c>
      <c r="BS13" s="52" t="s">
        <v>431</v>
      </c>
      <c r="BT13" s="141">
        <f>B116</f>
        <v>5</v>
      </c>
      <c r="BU13" s="52" t="s">
        <v>194</v>
      </c>
      <c r="BV13" s="83" t="s">
        <v>440</v>
      </c>
      <c r="BW13" s="160">
        <f>((BW18*BW20*BW23*BW14*BW30)+(BW19*BW21*BW24*BW15*BW31))</f>
        <v>2750</v>
      </c>
      <c r="BX13" s="83" t="s">
        <v>345</v>
      </c>
      <c r="BY13" s="83" t="s">
        <v>260</v>
      </c>
      <c r="BZ13" s="143">
        <f>(BZ5/(BZ6*BZ16*(1/BZ33)))*BZ10</f>
        <v>176.10718016999286</v>
      </c>
      <c r="CA13" s="92" t="s">
        <v>10</v>
      </c>
      <c r="CB13" s="52" t="s">
        <v>90</v>
      </c>
      <c r="CC13" s="138">
        <f>B118</f>
        <v>5</v>
      </c>
      <c r="CD13" s="52" t="s">
        <v>194</v>
      </c>
      <c r="CE13" s="52" t="s">
        <v>90</v>
      </c>
      <c r="CF13" s="138">
        <f>B118</f>
        <v>5</v>
      </c>
      <c r="CG13" s="52" t="s">
        <v>194</v>
      </c>
      <c r="CH13" s="52" t="s">
        <v>90</v>
      </c>
      <c r="CI13" s="138">
        <f>B118</f>
        <v>5</v>
      </c>
      <c r="CJ13" s="52" t="s">
        <v>194</v>
      </c>
      <c r="CN13" s="84" t="s">
        <v>163</v>
      </c>
      <c r="CO13" s="162">
        <f>B132</f>
        <v>2</v>
      </c>
      <c r="CP13" s="52" t="s">
        <v>41</v>
      </c>
      <c r="CT13" s="91" t="s">
        <v>231</v>
      </c>
      <c r="CU13" s="136">
        <f>B30</f>
        <v>1600</v>
      </c>
      <c r="CV13" s="52" t="s">
        <v>60</v>
      </c>
      <c r="CW13" s="83" t="s">
        <v>450</v>
      </c>
      <c r="CX13" s="141">
        <f>B145</f>
        <v>5</v>
      </c>
      <c r="CY13" s="92" t="s">
        <v>407</v>
      </c>
      <c r="CZ13" s="83" t="s">
        <v>260</v>
      </c>
      <c r="DA13" s="143">
        <f>DA5/(DA6*DA24)</f>
        <v>3.0250339202454115</v>
      </c>
      <c r="DB13" s="83" t="s">
        <v>11</v>
      </c>
      <c r="DC13" s="83" t="s">
        <v>468</v>
      </c>
      <c r="DD13" s="146">
        <f>B148</f>
        <v>55</v>
      </c>
      <c r="DE13" s="92" t="s">
        <v>221</v>
      </c>
      <c r="DF13" s="92" t="s">
        <v>55</v>
      </c>
      <c r="DG13" s="138">
        <f>B192</f>
        <v>240</v>
      </c>
      <c r="DH13" s="52" t="s">
        <v>56</v>
      </c>
      <c r="DL13" s="92"/>
      <c r="DO13" s="92" t="s">
        <v>55</v>
      </c>
      <c r="DP13" s="138">
        <f>B192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B204</f>
        <v>1</v>
      </c>
      <c r="EA13" s="83" t="s">
        <v>501</v>
      </c>
      <c r="EB13" s="138">
        <f>B204</f>
        <v>1</v>
      </c>
      <c r="EC13" s="84"/>
      <c r="ED13" s="83" t="s">
        <v>501</v>
      </c>
      <c r="EE13" s="138">
        <f>B204</f>
        <v>1</v>
      </c>
      <c r="EF13" s="84"/>
      <c r="EG13" s="83" t="s">
        <v>363</v>
      </c>
      <c r="EH13" s="150">
        <f>B168</f>
        <v>1</v>
      </c>
      <c r="EI13" s="84" t="s">
        <v>60</v>
      </c>
      <c r="EJ13" s="92"/>
      <c r="EM13" s="83" t="s">
        <v>497</v>
      </c>
      <c r="EN13" s="138">
        <f>B209</f>
        <v>1</v>
      </c>
      <c r="EP13" s="83" t="s">
        <v>497</v>
      </c>
      <c r="EQ13" s="138">
        <f>B209</f>
        <v>1</v>
      </c>
      <c r="ER13" s="84"/>
      <c r="ES13" s="83" t="s">
        <v>497</v>
      </c>
      <c r="ET13" s="138">
        <f>B209</f>
        <v>1</v>
      </c>
      <c r="EU13" s="84"/>
      <c r="EV13" s="83" t="s">
        <v>363</v>
      </c>
      <c r="EW13" s="150">
        <f>B168</f>
        <v>1</v>
      </c>
      <c r="EX13" s="84" t="s">
        <v>60</v>
      </c>
      <c r="EY13" s="83"/>
      <c r="EZ13" s="83"/>
      <c r="FA13" s="83"/>
      <c r="FB13" s="83" t="s">
        <v>154</v>
      </c>
      <c r="FC13" s="164">
        <f>B214</f>
        <v>1</v>
      </c>
      <c r="FD13" s="83"/>
      <c r="FE13" s="83" t="s">
        <v>154</v>
      </c>
      <c r="FF13" s="164">
        <f>B214</f>
        <v>1</v>
      </c>
      <c r="FG13" s="83"/>
      <c r="FH13" s="83" t="s">
        <v>154</v>
      </c>
      <c r="FI13" s="164">
        <f>B214</f>
        <v>1</v>
      </c>
      <c r="FJ13" s="84"/>
      <c r="FK13" s="83" t="s">
        <v>363</v>
      </c>
      <c r="FL13" s="141">
        <f>B168</f>
        <v>1</v>
      </c>
      <c r="FM13" s="92" t="s">
        <v>60</v>
      </c>
      <c r="FN13" s="83"/>
      <c r="FO13" s="83"/>
      <c r="FP13" s="83"/>
      <c r="FQ13" s="88"/>
      <c r="FR13" s="88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B168</f>
        <v>1</v>
      </c>
      <c r="GB13" s="92" t="s">
        <v>60</v>
      </c>
      <c r="GC13" s="83"/>
      <c r="GD13" s="83"/>
      <c r="GE13" s="83"/>
      <c r="GF13" s="83" t="s">
        <v>489</v>
      </c>
      <c r="GG13" s="142">
        <f>B219</f>
        <v>1</v>
      </c>
      <c r="GH13" s="83"/>
      <c r="GI13" s="83" t="s">
        <v>489</v>
      </c>
      <c r="GJ13" s="142">
        <f>B219</f>
        <v>1</v>
      </c>
      <c r="GK13" s="83"/>
      <c r="GL13" s="83" t="s">
        <v>489</v>
      </c>
      <c r="GM13" s="142">
        <f>B219</f>
        <v>1</v>
      </c>
      <c r="GN13" s="84"/>
      <c r="GO13" s="83" t="s">
        <v>363</v>
      </c>
      <c r="GP13" s="141">
        <f>B168</f>
        <v>1</v>
      </c>
      <c r="GQ13" s="92" t="s">
        <v>60</v>
      </c>
      <c r="GR13" s="83"/>
      <c r="GS13" s="83"/>
      <c r="GT13" s="83"/>
      <c r="GU13" s="83" t="s">
        <v>493</v>
      </c>
      <c r="GV13" s="142">
        <f>B224</f>
        <v>1</v>
      </c>
      <c r="GW13" s="83"/>
      <c r="GX13" s="83" t="s">
        <v>493</v>
      </c>
      <c r="GY13" s="142">
        <f>B224</f>
        <v>1</v>
      </c>
      <c r="GZ13" s="83"/>
      <c r="HA13" s="83" t="s">
        <v>493</v>
      </c>
      <c r="HB13" s="142">
        <f>B224</f>
        <v>1</v>
      </c>
      <c r="HC13" s="84"/>
      <c r="HD13" s="84" t="s">
        <v>59</v>
      </c>
      <c r="HE13" s="150">
        <f>B45</f>
        <v>1</v>
      </c>
    </row>
    <row r="14" spans="1:214" ht="13.5" thickTop="1" x14ac:dyDescent="0.2">
      <c r="A14" s="375" t="s">
        <v>233</v>
      </c>
      <c r="B14" s="376"/>
      <c r="C14" s="377"/>
      <c r="D14" s="83" t="s">
        <v>367</v>
      </c>
      <c r="E14" s="141">
        <f>B51</f>
        <v>10</v>
      </c>
      <c r="F14" s="92" t="s">
        <v>407</v>
      </c>
      <c r="G14" s="83" t="s">
        <v>264</v>
      </c>
      <c r="H14" s="145">
        <f>H5/(H9*(H22+H25)*H41)</f>
        <v>0.14437661892080372</v>
      </c>
      <c r="I14" s="92" t="s">
        <v>10</v>
      </c>
      <c r="J14" s="83" t="s">
        <v>260</v>
      </c>
      <c r="K14" s="143">
        <f>(K5/(K6*K19*(1/K46)))*K11</f>
        <v>64.572632728997377</v>
      </c>
      <c r="L14" s="92" t="s">
        <v>10</v>
      </c>
      <c r="M14" s="52" t="s">
        <v>408</v>
      </c>
      <c r="N14" s="150">
        <f>B88</f>
        <v>5</v>
      </c>
      <c r="O14" s="52" t="s">
        <v>194</v>
      </c>
      <c r="P14" s="52" t="s">
        <v>408</v>
      </c>
      <c r="Q14" s="150">
        <f>B88</f>
        <v>5</v>
      </c>
      <c r="R14" s="52" t="s">
        <v>194</v>
      </c>
      <c r="S14" s="52" t="s">
        <v>408</v>
      </c>
      <c r="T14" s="150">
        <f>B88</f>
        <v>5</v>
      </c>
      <c r="U14" s="52" t="s">
        <v>194</v>
      </c>
      <c r="V14" s="83" t="s">
        <v>256</v>
      </c>
      <c r="W14" s="136">
        <f>B27</f>
        <v>15429.68</v>
      </c>
      <c r="X14" s="83" t="s">
        <v>343</v>
      </c>
      <c r="Y14" s="83" t="s">
        <v>256</v>
      </c>
      <c r="Z14" s="136">
        <f>B27</f>
        <v>15429.68</v>
      </c>
      <c r="AA14" s="83" t="s">
        <v>343</v>
      </c>
      <c r="AB14" s="83" t="s">
        <v>300</v>
      </c>
      <c r="AC14" s="161">
        <f>B3</f>
        <v>0.124</v>
      </c>
      <c r="AD14" s="161">
        <f>B3</f>
        <v>0.124</v>
      </c>
      <c r="AE14" s="161">
        <f>B3</f>
        <v>0.124</v>
      </c>
      <c r="AF14" s="161">
        <f>B3</f>
        <v>0.124</v>
      </c>
      <c r="AG14" s="161">
        <f>B3</f>
        <v>0.124</v>
      </c>
      <c r="AH14" s="92"/>
      <c r="AI14" s="52" t="s">
        <v>57</v>
      </c>
      <c r="AJ14" s="136">
        <f>B242</f>
        <v>5</v>
      </c>
      <c r="AK14" s="52" t="s">
        <v>194</v>
      </c>
      <c r="AL14" s="52" t="s">
        <v>57</v>
      </c>
      <c r="AM14" s="136">
        <f>B242</f>
        <v>5</v>
      </c>
      <c r="AN14" s="52" t="s">
        <v>194</v>
      </c>
      <c r="AO14" s="52" t="s">
        <v>57</v>
      </c>
      <c r="AP14" s="136">
        <f>B242</f>
        <v>5</v>
      </c>
      <c r="AQ14" s="52" t="s">
        <v>194</v>
      </c>
      <c r="AR14" s="52" t="s">
        <v>57</v>
      </c>
      <c r="AS14" s="136">
        <f>B252</f>
        <v>5</v>
      </c>
      <c r="AT14" s="52" t="s">
        <v>194</v>
      </c>
      <c r="AU14" s="52" t="s">
        <v>57</v>
      </c>
      <c r="AV14" s="136">
        <f>B252</f>
        <v>5</v>
      </c>
      <c r="AW14" s="52" t="s">
        <v>194</v>
      </c>
      <c r="AX14" s="52" t="s">
        <v>57</v>
      </c>
      <c r="AY14" s="136">
        <f>B252</f>
        <v>5</v>
      </c>
      <c r="AZ14" s="52" t="s">
        <v>194</v>
      </c>
      <c r="BA14" s="52" t="s">
        <v>57</v>
      </c>
      <c r="BB14" s="136">
        <f>B232</f>
        <v>5</v>
      </c>
      <c r="BC14" s="52" t="s">
        <v>194</v>
      </c>
      <c r="BD14" s="52" t="s">
        <v>57</v>
      </c>
      <c r="BE14" s="136">
        <f>B232</f>
        <v>5</v>
      </c>
      <c r="BF14" s="52" t="s">
        <v>194</v>
      </c>
      <c r="BG14" s="52" t="s">
        <v>58</v>
      </c>
      <c r="BH14" s="136">
        <f>B232</f>
        <v>5</v>
      </c>
      <c r="BI14" s="52" t="s">
        <v>194</v>
      </c>
      <c r="BJ14" s="52" t="s">
        <v>413</v>
      </c>
      <c r="BK14" s="136">
        <f>B4</f>
        <v>0.79200000000000004</v>
      </c>
      <c r="BM14" s="52" t="s">
        <v>414</v>
      </c>
      <c r="BN14" s="136">
        <f>B7</f>
        <v>0.624</v>
      </c>
      <c r="BP14" s="52" t="s">
        <v>416</v>
      </c>
      <c r="BQ14" s="136">
        <f>B11</f>
        <v>0.751</v>
      </c>
      <c r="BS14" s="52" t="s">
        <v>432</v>
      </c>
      <c r="BT14" s="141">
        <f>B117</f>
        <v>5</v>
      </c>
      <c r="BU14" s="52" t="s">
        <v>194</v>
      </c>
      <c r="BV14" s="83" t="s">
        <v>439</v>
      </c>
      <c r="BW14" s="146">
        <f>B105</f>
        <v>2</v>
      </c>
      <c r="BX14" s="83" t="s">
        <v>357</v>
      </c>
      <c r="BY14" s="83" t="s">
        <v>261</v>
      </c>
      <c r="BZ14" s="144">
        <f>(BZ5/(BZ7*BZ17*(1/BZ9)*BZ32))*BZ10</f>
        <v>352431.01206828956</v>
      </c>
      <c r="CA14" s="92" t="s">
        <v>10</v>
      </c>
      <c r="CB14" s="52" t="s">
        <v>412</v>
      </c>
      <c r="CC14" s="139">
        <f>B22</f>
        <v>10.423439999999999</v>
      </c>
      <c r="CD14" s="84" t="s">
        <v>353</v>
      </c>
      <c r="CE14" s="52" t="s">
        <v>415</v>
      </c>
      <c r="CF14" s="139">
        <f>B24</f>
        <v>1.92404</v>
      </c>
      <c r="CG14" s="84" t="s">
        <v>353</v>
      </c>
      <c r="CH14" s="52" t="s">
        <v>417</v>
      </c>
      <c r="CI14" s="139">
        <f>B26</f>
        <v>8.8356399999999997</v>
      </c>
      <c r="CJ14" s="84" t="s">
        <v>353</v>
      </c>
      <c r="CK14" s="84"/>
      <c r="CL14" s="84"/>
      <c r="CM14" s="84"/>
      <c r="CN14" s="52" t="s">
        <v>95</v>
      </c>
      <c r="CO14" s="164">
        <f>B127</f>
        <v>1</v>
      </c>
      <c r="CQ14" s="84"/>
      <c r="CR14" s="84"/>
      <c r="CS14" s="84"/>
      <c r="CT14" s="83" t="s">
        <v>260</v>
      </c>
      <c r="CU14" s="143">
        <f>(CU5/(CU6*CU25*(1/CU46)))*CU11</f>
        <v>69.064641962318944</v>
      </c>
      <c r="CV14" s="92" t="s">
        <v>10</v>
      </c>
      <c r="CW14" s="83" t="s">
        <v>459</v>
      </c>
      <c r="CX14" s="141">
        <f>B146</f>
        <v>10</v>
      </c>
      <c r="CY14" s="92" t="s">
        <v>407</v>
      </c>
      <c r="CZ14" s="83" t="s">
        <v>261</v>
      </c>
      <c r="DA14" s="144">
        <f>DA5/(DA7*DA25*DA45)</f>
        <v>3.7888923764650674E-2</v>
      </c>
      <c r="DB14" s="83" t="s">
        <v>11</v>
      </c>
      <c r="DC14" s="83" t="s">
        <v>465</v>
      </c>
      <c r="DD14" s="146">
        <f>B166</f>
        <v>150</v>
      </c>
      <c r="DE14" s="83" t="s">
        <v>24</v>
      </c>
      <c r="DF14" s="92" t="s">
        <v>393</v>
      </c>
      <c r="DG14" s="138">
        <f>B47</f>
        <v>0.26</v>
      </c>
      <c r="DL14" s="92"/>
      <c r="DO14" s="92" t="s">
        <v>393</v>
      </c>
      <c r="DP14" s="138">
        <f>B47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B200</f>
        <v>1.03</v>
      </c>
      <c r="DZ14" s="52" t="s">
        <v>286</v>
      </c>
      <c r="EA14" s="52" t="s">
        <v>518</v>
      </c>
      <c r="EB14" s="146">
        <f>B200</f>
        <v>1.03</v>
      </c>
      <c r="EC14" s="52" t="s">
        <v>286</v>
      </c>
      <c r="ED14" s="92" t="s">
        <v>392</v>
      </c>
      <c r="EE14" s="163">
        <f>B48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B168</f>
        <v>1</v>
      </c>
      <c r="EP14" s="92"/>
      <c r="EQ14" s="84"/>
      <c r="ER14" s="84"/>
      <c r="ES14" s="92" t="s">
        <v>392</v>
      </c>
      <c r="ET14" s="163">
        <f>B48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B168</f>
        <v>1</v>
      </c>
      <c r="FE14" s="83"/>
      <c r="FF14" s="83"/>
      <c r="FG14" s="83"/>
      <c r="FH14" s="83" t="s">
        <v>392</v>
      </c>
      <c r="FI14" s="142">
        <f>B48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88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B168</f>
        <v>1</v>
      </c>
      <c r="GI14" s="83"/>
      <c r="GJ14" s="83"/>
      <c r="GK14" s="83"/>
      <c r="GL14" s="83" t="s">
        <v>392</v>
      </c>
      <c r="GM14" s="142">
        <f>B48</f>
        <v>0.25</v>
      </c>
      <c r="GN14" s="84"/>
      <c r="GO14" s="92" t="s">
        <v>484</v>
      </c>
      <c r="GP14" s="146">
        <f>B188</f>
        <v>1</v>
      </c>
      <c r="GR14" s="83"/>
      <c r="GS14" s="83"/>
      <c r="GT14" s="83"/>
      <c r="GU14" s="52" t="s">
        <v>350</v>
      </c>
      <c r="GV14" s="164">
        <f>B168</f>
        <v>1</v>
      </c>
      <c r="GX14" s="83"/>
      <c r="GY14" s="83"/>
      <c r="GZ14" s="83"/>
      <c r="HA14" s="83" t="s">
        <v>392</v>
      </c>
      <c r="HB14" s="142">
        <f>B48</f>
        <v>0.25</v>
      </c>
      <c r="HC14" s="84"/>
      <c r="HD14" s="52" t="s">
        <v>225</v>
      </c>
      <c r="HE14" s="138">
        <v>1</v>
      </c>
    </row>
    <row r="15" spans="1:214" x14ac:dyDescent="0.2">
      <c r="A15" s="375"/>
      <c r="B15" s="376"/>
      <c r="C15" s="377"/>
      <c r="D15" s="52" t="s">
        <v>384</v>
      </c>
      <c r="E15" s="138">
        <f>B71</f>
        <v>24</v>
      </c>
      <c r="F15" s="52" t="s">
        <v>194</v>
      </c>
      <c r="G15" s="83" t="s">
        <v>395</v>
      </c>
      <c r="H15" s="147">
        <f>(H29*H17*H68)+(H30*H18*H69)</f>
        <v>181.875</v>
      </c>
      <c r="I15" s="83" t="s">
        <v>345</v>
      </c>
      <c r="J15" s="83" t="s">
        <v>261</v>
      </c>
      <c r="K15" s="144">
        <f>(K5/(K7*K20*(1/K10)*K45))*K11</f>
        <v>26921.813421883227</v>
      </c>
      <c r="L15" s="92" t="s">
        <v>10</v>
      </c>
      <c r="M15" s="52" t="s">
        <v>412</v>
      </c>
      <c r="N15" s="139">
        <f>B22</f>
        <v>10.423439999999999</v>
      </c>
      <c r="O15" s="84" t="s">
        <v>353</v>
      </c>
      <c r="P15" s="52" t="s">
        <v>415</v>
      </c>
      <c r="Q15" s="139">
        <f>B24</f>
        <v>1.92404</v>
      </c>
      <c r="R15" s="84" t="s">
        <v>353</v>
      </c>
      <c r="S15" s="52" t="s">
        <v>417</v>
      </c>
      <c r="T15" s="139">
        <f>B26</f>
        <v>8.8356399999999997</v>
      </c>
      <c r="U15" s="84" t="s">
        <v>353</v>
      </c>
      <c r="V15" s="83" t="s">
        <v>301</v>
      </c>
      <c r="W15" s="142">
        <f>B250</f>
        <v>2</v>
      </c>
      <c r="Y15" s="83" t="s">
        <v>301</v>
      </c>
      <c r="Z15" s="142">
        <f>B230</f>
        <v>2</v>
      </c>
      <c r="AB15" s="83" t="s">
        <v>232</v>
      </c>
      <c r="AC15" s="141">
        <f>B226</f>
        <v>50</v>
      </c>
      <c r="AD15" s="141">
        <f>B236</f>
        <v>50</v>
      </c>
      <c r="AE15" s="141">
        <f>B246</f>
        <v>50</v>
      </c>
      <c r="AF15" s="141">
        <f>B256</f>
        <v>50</v>
      </c>
      <c r="AG15" s="141">
        <f>B268</f>
        <v>50</v>
      </c>
      <c r="AH15" s="92" t="s">
        <v>407</v>
      </c>
      <c r="AI15" s="52" t="s">
        <v>412</v>
      </c>
      <c r="AJ15" s="139">
        <f>B22</f>
        <v>10.423439999999999</v>
      </c>
      <c r="AK15" s="84" t="s">
        <v>353</v>
      </c>
      <c r="AL15" s="52" t="s">
        <v>415</v>
      </c>
      <c r="AM15" s="139">
        <f>B24</f>
        <v>1.92404</v>
      </c>
      <c r="AN15" s="84" t="s">
        <v>353</v>
      </c>
      <c r="AO15" s="52" t="s">
        <v>417</v>
      </c>
      <c r="AP15" s="139">
        <f>B26</f>
        <v>8.8356399999999997</v>
      </c>
      <c r="AQ15" s="84" t="s">
        <v>353</v>
      </c>
      <c r="AR15" s="52" t="s">
        <v>412</v>
      </c>
      <c r="AS15" s="139">
        <f>B22</f>
        <v>10.423439999999999</v>
      </c>
      <c r="AT15" s="84" t="s">
        <v>353</v>
      </c>
      <c r="AU15" s="52" t="s">
        <v>415</v>
      </c>
      <c r="AV15" s="139">
        <f>B24</f>
        <v>1.92404</v>
      </c>
      <c r="AW15" s="84" t="s">
        <v>353</v>
      </c>
      <c r="AX15" s="52" t="s">
        <v>417</v>
      </c>
      <c r="AY15" s="139">
        <f>B26</f>
        <v>8.8356399999999997</v>
      </c>
      <c r="AZ15" s="84" t="s">
        <v>353</v>
      </c>
      <c r="BA15" s="52" t="s">
        <v>412</v>
      </c>
      <c r="BB15" s="139">
        <f>B22</f>
        <v>10.423439999999999</v>
      </c>
      <c r="BC15" s="84" t="s">
        <v>353</v>
      </c>
      <c r="BD15" s="52" t="s">
        <v>415</v>
      </c>
      <c r="BE15" s="139">
        <f>B24</f>
        <v>1.92404</v>
      </c>
      <c r="BF15" s="84" t="s">
        <v>353</v>
      </c>
      <c r="BG15" s="52" t="s">
        <v>417</v>
      </c>
      <c r="BH15" s="139">
        <f>B26</f>
        <v>8.8356399999999997</v>
      </c>
      <c r="BI15" s="84" t="s">
        <v>353</v>
      </c>
      <c r="BJ15" s="52" t="s">
        <v>57</v>
      </c>
      <c r="BK15" s="136">
        <f>B262</f>
        <v>5</v>
      </c>
      <c r="BL15" s="52" t="s">
        <v>194</v>
      </c>
      <c r="BM15" s="52" t="s">
        <v>57</v>
      </c>
      <c r="BN15" s="136">
        <f>B262</f>
        <v>5</v>
      </c>
      <c r="BO15" s="52" t="s">
        <v>194</v>
      </c>
      <c r="BP15" s="52" t="s">
        <v>57</v>
      </c>
      <c r="BQ15" s="136">
        <f>B262</f>
        <v>5</v>
      </c>
      <c r="BR15" s="52" t="s">
        <v>194</v>
      </c>
      <c r="BS15" s="52" t="s">
        <v>90</v>
      </c>
      <c r="BT15" s="138">
        <f>B118</f>
        <v>5</v>
      </c>
      <c r="BU15" s="52" t="s">
        <v>194</v>
      </c>
      <c r="BV15" s="83" t="s">
        <v>438</v>
      </c>
      <c r="BW15" s="146">
        <f>B106</f>
        <v>2</v>
      </c>
      <c r="BX15" s="83" t="s">
        <v>357</v>
      </c>
      <c r="BY15" s="83" t="s">
        <v>262</v>
      </c>
      <c r="BZ15" s="145">
        <f>((BZ5)/(BZ8*BZ22*(1/BZ31)*BZ25*(1/24)*BZ28*BZ29))*BZ10</f>
        <v>31.124868357320779</v>
      </c>
      <c r="CA15" s="92" t="s">
        <v>10</v>
      </c>
      <c r="CN15" s="83" t="s">
        <v>22</v>
      </c>
      <c r="CO15" s="137">
        <f>0.693/CO16</f>
        <v>4.3312499999999997E-4</v>
      </c>
      <c r="CT15" s="83" t="s">
        <v>261</v>
      </c>
      <c r="CU15" s="144">
        <f>(CU5/(CU7*CU26*(1/CU10)*CU45))*CU11</f>
        <v>25757.626895531517</v>
      </c>
      <c r="CV15" s="92" t="s">
        <v>10</v>
      </c>
      <c r="CW15" s="52" t="s">
        <v>365</v>
      </c>
      <c r="CX15" s="138">
        <f>B170</f>
        <v>24</v>
      </c>
      <c r="CY15" s="52" t="s">
        <v>194</v>
      </c>
      <c r="CZ15" s="83" t="s">
        <v>266</v>
      </c>
      <c r="DA15" s="153">
        <f>DA5/(DA8*DA26*(DA46/DA47))</f>
        <v>0.45962045424352455</v>
      </c>
      <c r="DB15" s="83" t="s">
        <v>11</v>
      </c>
      <c r="DC15" s="83" t="s">
        <v>456</v>
      </c>
      <c r="DD15" s="146">
        <f>B165</f>
        <v>150</v>
      </c>
      <c r="DE15" s="83" t="s">
        <v>24</v>
      </c>
      <c r="DF15" s="92" t="s">
        <v>61</v>
      </c>
      <c r="DG15" s="138">
        <f>B193</f>
        <v>0.42</v>
      </c>
      <c r="DH15" s="52" t="s">
        <v>41</v>
      </c>
      <c r="DL15" s="92"/>
      <c r="DO15" s="92" t="s">
        <v>61</v>
      </c>
      <c r="DP15" s="138">
        <f>B193</f>
        <v>0.42</v>
      </c>
      <c r="DQ15" s="52" t="s">
        <v>41</v>
      </c>
      <c r="DR15" s="92" t="s">
        <v>479</v>
      </c>
      <c r="DS15" s="146">
        <f>B183</f>
        <v>1</v>
      </c>
      <c r="DU15" s="92"/>
      <c r="DX15" s="52" t="s">
        <v>350</v>
      </c>
      <c r="DY15" s="164">
        <f>B168</f>
        <v>1</v>
      </c>
      <c r="EA15" s="92"/>
      <c r="EB15" s="84"/>
      <c r="EC15" s="84"/>
      <c r="ED15" s="83" t="s">
        <v>27</v>
      </c>
      <c r="EE15" s="142">
        <f>B199</f>
        <v>92</v>
      </c>
      <c r="EF15" s="83" t="s">
        <v>28</v>
      </c>
      <c r="EG15" s="92" t="s">
        <v>480</v>
      </c>
      <c r="EH15" s="146">
        <f>B184</f>
        <v>1</v>
      </c>
      <c r="EJ15" s="92"/>
      <c r="EM15" s="83" t="s">
        <v>22</v>
      </c>
      <c r="EN15" s="137">
        <f>0.693/EN16</f>
        <v>4.3312499999999997E-4</v>
      </c>
      <c r="EP15" s="92"/>
      <c r="EQ15" s="84"/>
      <c r="ER15" s="84"/>
      <c r="ES15" s="83" t="s">
        <v>29</v>
      </c>
      <c r="ET15" s="142">
        <f>B205</f>
        <v>53</v>
      </c>
      <c r="EU15" s="83" t="s">
        <v>28</v>
      </c>
      <c r="EV15" s="92" t="s">
        <v>481</v>
      </c>
      <c r="EW15" s="146">
        <f>B185</f>
        <v>1</v>
      </c>
      <c r="EY15" s="83"/>
      <c r="EZ15" s="83"/>
      <c r="FA15" s="83"/>
      <c r="FB15" s="83" t="s">
        <v>22</v>
      </c>
      <c r="FC15" s="137">
        <f>0.693/FC16</f>
        <v>4.3312499999999997E-4</v>
      </c>
      <c r="FE15" s="83"/>
      <c r="FF15" s="83"/>
      <c r="FG15" s="83"/>
      <c r="FH15" s="83" t="s">
        <v>148</v>
      </c>
      <c r="FI15" s="164">
        <f>B210</f>
        <v>0.4</v>
      </c>
      <c r="FJ15" s="83" t="s">
        <v>28</v>
      </c>
      <c r="FK15" s="92" t="s">
        <v>482</v>
      </c>
      <c r="FL15" s="146">
        <f>B186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B187</f>
        <v>1</v>
      </c>
      <c r="GC15" s="83"/>
      <c r="GD15" s="83"/>
      <c r="GE15" s="83"/>
      <c r="GF15" s="83" t="s">
        <v>22</v>
      </c>
      <c r="GG15" s="137">
        <f>0.693/GG16</f>
        <v>4.3312499999999997E-4</v>
      </c>
      <c r="GI15" s="83"/>
      <c r="GJ15" s="83"/>
      <c r="GK15" s="83"/>
      <c r="GL15" s="83" t="s">
        <v>149</v>
      </c>
      <c r="GM15" s="164">
        <f>B215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4.3312499999999997E-4</v>
      </c>
      <c r="GX15" s="83"/>
      <c r="GY15" s="83"/>
      <c r="GZ15" s="83"/>
      <c r="HA15" s="83" t="s">
        <v>150</v>
      </c>
      <c r="HB15" s="142">
        <f>B220</f>
        <v>11.4</v>
      </c>
      <c r="HC15" s="83" t="s">
        <v>28</v>
      </c>
      <c r="HD15" s="84"/>
    </row>
    <row r="16" spans="1:214" s="83" customFormat="1" ht="13.5" thickBot="1" x14ac:dyDescent="0.25">
      <c r="A16" s="378"/>
      <c r="B16" s="379"/>
      <c r="C16" s="380"/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1327.5</v>
      </c>
      <c r="I16" s="83" t="s">
        <v>426</v>
      </c>
      <c r="J16" s="83" t="s">
        <v>262</v>
      </c>
      <c r="K16" s="144">
        <f>(K5/(K8*K42*((K37*K41*(1/K35))+(K38*K40*(1/K35)))*K32*(1/K44)*K33))*K11</f>
        <v>0.66626366037955964</v>
      </c>
      <c r="L16" s="92" t="s">
        <v>10</v>
      </c>
      <c r="M16" s="52" t="s">
        <v>409</v>
      </c>
      <c r="N16" s="150">
        <f>B89</f>
        <v>25</v>
      </c>
      <c r="O16" s="52" t="s">
        <v>194</v>
      </c>
      <c r="P16" s="52" t="s">
        <v>409</v>
      </c>
      <c r="Q16" s="150">
        <f>B89</f>
        <v>25</v>
      </c>
      <c r="R16" s="52" t="s">
        <v>194</v>
      </c>
      <c r="S16" s="52" t="s">
        <v>409</v>
      </c>
      <c r="T16" s="150">
        <f>B89</f>
        <v>25</v>
      </c>
      <c r="U16" s="52" t="s">
        <v>194</v>
      </c>
      <c r="V16" s="52" t="s">
        <v>261</v>
      </c>
      <c r="W16" s="143">
        <f>(W5)/((W12/24)*W9*W10*W11*W13)</f>
        <v>2.0187218581805878E-2</v>
      </c>
      <c r="X16" s="52" t="s">
        <v>15</v>
      </c>
      <c r="Y16" s="52" t="s">
        <v>261</v>
      </c>
      <c r="Z16" s="143">
        <f>(Z5)/((Z12/24)*Z9*Z10*Z11*Z13)</f>
        <v>2.0187218581805878E-2</v>
      </c>
      <c r="AA16" s="52" t="s">
        <v>15</v>
      </c>
      <c r="AB16" s="83" t="s">
        <v>299</v>
      </c>
      <c r="AC16" s="141">
        <f>B231</f>
        <v>1</v>
      </c>
      <c r="AD16" s="141">
        <f>B241</f>
        <v>1</v>
      </c>
      <c r="AE16" s="141">
        <f>B251</f>
        <v>1</v>
      </c>
      <c r="AF16" s="141">
        <f>B261</f>
        <v>1</v>
      </c>
      <c r="AG16" s="141">
        <f>B272</f>
        <v>1</v>
      </c>
      <c r="AH16" s="92"/>
      <c r="AI16" s="52" t="s">
        <v>69</v>
      </c>
      <c r="AJ16" s="136">
        <f>B243</f>
        <v>5</v>
      </c>
      <c r="AK16" s="52" t="s">
        <v>194</v>
      </c>
      <c r="AL16" s="52" t="s">
        <v>69</v>
      </c>
      <c r="AM16" s="136">
        <f>B243</f>
        <v>5</v>
      </c>
      <c r="AN16" s="52" t="s">
        <v>194</v>
      </c>
      <c r="AO16" s="52" t="s">
        <v>69</v>
      </c>
      <c r="AP16" s="136">
        <f>B243</f>
        <v>5</v>
      </c>
      <c r="AQ16" s="52" t="s">
        <v>194</v>
      </c>
      <c r="AR16" s="52" t="s">
        <v>69</v>
      </c>
      <c r="AS16" s="136">
        <f>B253</f>
        <v>5</v>
      </c>
      <c r="AT16" s="52" t="s">
        <v>194</v>
      </c>
      <c r="AU16" s="52" t="s">
        <v>69</v>
      </c>
      <c r="AV16" s="136">
        <f>B253</f>
        <v>5</v>
      </c>
      <c r="AW16" s="52" t="s">
        <v>194</v>
      </c>
      <c r="AX16" s="52" t="s">
        <v>69</v>
      </c>
      <c r="AY16" s="136">
        <f>B253</f>
        <v>5</v>
      </c>
      <c r="AZ16" s="52" t="s">
        <v>194</v>
      </c>
      <c r="BA16" s="52" t="s">
        <v>69</v>
      </c>
      <c r="BB16" s="136">
        <f>B233</f>
        <v>5</v>
      </c>
      <c r="BC16" s="52" t="s">
        <v>194</v>
      </c>
      <c r="BD16" s="52" t="s">
        <v>69</v>
      </c>
      <c r="BE16" s="136">
        <f>B233</f>
        <v>5</v>
      </c>
      <c r="BF16" s="52" t="s">
        <v>194</v>
      </c>
      <c r="BG16" s="52" t="s">
        <v>69</v>
      </c>
      <c r="BH16" s="136">
        <f>B233</f>
        <v>5</v>
      </c>
      <c r="BI16" s="52" t="s">
        <v>194</v>
      </c>
      <c r="BJ16" s="52" t="s">
        <v>412</v>
      </c>
      <c r="BK16" s="139">
        <f>B22</f>
        <v>10.423439999999999</v>
      </c>
      <c r="BL16" s="84" t="s">
        <v>353</v>
      </c>
      <c r="BM16" s="52" t="s">
        <v>415</v>
      </c>
      <c r="BN16" s="139">
        <f>B24</f>
        <v>1.92404</v>
      </c>
      <c r="BO16" s="84" t="s">
        <v>353</v>
      </c>
      <c r="BP16" s="52" t="s">
        <v>417</v>
      </c>
      <c r="BQ16" s="139">
        <f>B26</f>
        <v>8.8356399999999997</v>
      </c>
      <c r="BR16" s="84" t="s">
        <v>353</v>
      </c>
      <c r="BS16" s="83" t="s">
        <v>256</v>
      </c>
      <c r="BT16" s="136">
        <f>E17</f>
        <v>15429.68</v>
      </c>
      <c r="BU16" s="83" t="s">
        <v>343</v>
      </c>
      <c r="BV16" s="83" t="s">
        <v>437</v>
      </c>
      <c r="BW16" s="140">
        <f>((BW18*BW20*BW23*BW30)+(BW19*BW21*BW24*BW31))</f>
        <v>1375</v>
      </c>
      <c r="BX16" s="83" t="s">
        <v>356</v>
      </c>
      <c r="BY16" s="83" t="s">
        <v>46</v>
      </c>
      <c r="BZ16" s="149">
        <f>(BZ18*BZ22*BZ34)+(BZ19*BZ23*BZ35)</f>
        <v>3382.5</v>
      </c>
      <c r="CA16" s="83" t="s">
        <v>346</v>
      </c>
      <c r="CN16" s="91" t="s">
        <v>231</v>
      </c>
      <c r="CO16" s="136">
        <f>B30</f>
        <v>1600</v>
      </c>
      <c r="CP16" s="52" t="s">
        <v>60</v>
      </c>
      <c r="CT16" s="83" t="s">
        <v>262</v>
      </c>
      <c r="CU16" s="144">
        <f>(CU5/(CU8*CU42*((CU37*CU41*(1/24))+(CU38*CU40*(1/24)))*CU32*(1/CU44)))*CU11</f>
        <v>1.0314460748150036</v>
      </c>
      <c r="CV16" s="92" t="s">
        <v>10</v>
      </c>
      <c r="CW16" s="52" t="s">
        <v>364</v>
      </c>
      <c r="CX16" s="138">
        <f>B169</f>
        <v>24</v>
      </c>
      <c r="CY16" s="52" t="s">
        <v>194</v>
      </c>
      <c r="CZ16" s="83" t="s">
        <v>512</v>
      </c>
      <c r="DA16" s="153">
        <f>DG2</f>
        <v>2.6925815674110396</v>
      </c>
      <c r="DB16" s="83" t="s">
        <v>11</v>
      </c>
      <c r="DC16" s="83" t="s">
        <v>363</v>
      </c>
      <c r="DD16" s="146">
        <f>B168</f>
        <v>1</v>
      </c>
      <c r="DE16" s="83" t="s">
        <v>60</v>
      </c>
      <c r="DF16" s="92" t="s">
        <v>63</v>
      </c>
      <c r="DG16" s="151">
        <f>DG20+(0.693/DG22)</f>
        <v>4.9501186643835612E-2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4.3312499999999997E-4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B30</f>
        <v>1600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B30</f>
        <v>1600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B30</f>
        <v>1600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B163</f>
        <v>0.15</v>
      </c>
      <c r="GQ16" s="52"/>
      <c r="GU16" s="91" t="s">
        <v>231</v>
      </c>
      <c r="GV16" s="136">
        <f>B30</f>
        <v>1600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</row>
    <row r="17" spans="1:214" ht="14.25" thickTop="1" thickBot="1" x14ac:dyDescent="0.25">
      <c r="A17" s="52" t="s">
        <v>267</v>
      </c>
      <c r="B17" s="129">
        <v>1</v>
      </c>
      <c r="C17" s="52" t="s">
        <v>344</v>
      </c>
      <c r="D17" s="83" t="s">
        <v>256</v>
      </c>
      <c r="E17" s="136">
        <f>B27</f>
        <v>15429.68</v>
      </c>
      <c r="F17" s="83" t="s">
        <v>343</v>
      </c>
      <c r="G17" s="83" t="s">
        <v>370</v>
      </c>
      <c r="H17" s="146">
        <f>B54</f>
        <v>0.25</v>
      </c>
      <c r="I17" s="52" t="s">
        <v>28</v>
      </c>
      <c r="J17" s="83" t="s">
        <v>263</v>
      </c>
      <c r="K17" s="153">
        <f>(K18/(K47+K48))*K11</f>
        <v>0.52550177488862504</v>
      </c>
      <c r="L17" s="92" t="s">
        <v>10</v>
      </c>
      <c r="M17" s="83"/>
      <c r="N17" s="83"/>
      <c r="O17" s="83"/>
      <c r="P17" s="83"/>
      <c r="Q17" s="83"/>
      <c r="R17" s="83"/>
      <c r="S17" s="83"/>
      <c r="T17" s="83"/>
      <c r="U17" s="83"/>
      <c r="V17" s="52" t="s">
        <v>271</v>
      </c>
      <c r="W17" s="144">
        <f>(W5)/((W12/24)*W9*W14*(1/365))</f>
        <v>9.0837917571848529E-4</v>
      </c>
      <c r="X17" s="52" t="s">
        <v>15</v>
      </c>
      <c r="Y17" s="52" t="s">
        <v>271</v>
      </c>
      <c r="Z17" s="144">
        <f>(Z5)/((Z12/24)*Z9*Z14*(1/365))</f>
        <v>9.0837917571848529E-4</v>
      </c>
      <c r="AA17" s="52" t="s">
        <v>15</v>
      </c>
      <c r="AB17" s="83" t="s">
        <v>413</v>
      </c>
      <c r="AC17" s="161">
        <f>B4</f>
        <v>0.79200000000000004</v>
      </c>
      <c r="AD17" s="161">
        <f>B4</f>
        <v>0.79200000000000004</v>
      </c>
      <c r="AE17" s="161">
        <f>B4</f>
        <v>0.79200000000000004</v>
      </c>
      <c r="AF17" s="161">
        <f>B4</f>
        <v>0.79200000000000004</v>
      </c>
      <c r="AG17" s="161">
        <f>B4</f>
        <v>0.79200000000000004</v>
      </c>
      <c r="AH17" s="92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K17" s="83"/>
      <c r="BL17" s="83"/>
      <c r="BM17" s="83"/>
      <c r="BN17" s="83"/>
      <c r="BO17" s="83"/>
      <c r="BP17" s="83"/>
      <c r="BQ17" s="83"/>
      <c r="BR17" s="83"/>
      <c r="BS17" s="83" t="s">
        <v>301</v>
      </c>
      <c r="BT17" s="142">
        <f>B121</f>
        <v>2</v>
      </c>
      <c r="BV17" s="83" t="s">
        <v>65</v>
      </c>
      <c r="BW17" s="141">
        <f>B126</f>
        <v>0.5</v>
      </c>
      <c r="BX17" s="52" t="s">
        <v>66</v>
      </c>
      <c r="BY17" s="83" t="s">
        <v>43</v>
      </c>
      <c r="BZ17" s="149">
        <f>(BZ24*BZ20*(BZ26/24)*BZ34)+(BZ23*BZ21*(BZ27/24)*BZ35)</f>
        <v>101.40625</v>
      </c>
      <c r="CA17" s="52" t="s">
        <v>426</v>
      </c>
      <c r="CN17" s="84" t="s">
        <v>16</v>
      </c>
      <c r="CO17" s="137">
        <f>(CO14*CO15)/(1-EXP(-CO15*CO14))</f>
        <v>1.0002165781331087</v>
      </c>
      <c r="CT17" s="83" t="s">
        <v>263</v>
      </c>
      <c r="CU17" s="153">
        <f>DJ2</f>
        <v>0.13137544372215626</v>
      </c>
      <c r="CV17" s="92" t="s">
        <v>10</v>
      </c>
      <c r="CW17" s="83" t="s">
        <v>256</v>
      </c>
      <c r="CX17" s="136">
        <f>B27</f>
        <v>15429.68</v>
      </c>
      <c r="CY17" s="83" t="s">
        <v>343</v>
      </c>
      <c r="CZ17" s="83" t="s">
        <v>511</v>
      </c>
      <c r="DA17" s="153">
        <f>DD2</f>
        <v>3.6094154730200931E-2</v>
      </c>
      <c r="DB17" s="83" t="s">
        <v>10</v>
      </c>
      <c r="DC17" s="93"/>
      <c r="DD17" s="136">
        <v>9.9999999999999995E-7</v>
      </c>
      <c r="DE17" s="88"/>
      <c r="DF17" s="92" t="s">
        <v>67</v>
      </c>
      <c r="DG17" s="142">
        <f>B194</f>
        <v>60</v>
      </c>
      <c r="DH17" s="83" t="s">
        <v>53</v>
      </c>
      <c r="DL17" s="92"/>
      <c r="DM17" s="83"/>
      <c r="DN17" s="83"/>
      <c r="DO17" s="92" t="s">
        <v>67</v>
      </c>
      <c r="DP17" s="142">
        <f>B194</f>
        <v>60</v>
      </c>
      <c r="DQ17" s="83" t="s">
        <v>53</v>
      </c>
      <c r="DR17" s="83" t="s">
        <v>475</v>
      </c>
      <c r="DS17" s="146">
        <f>B163</f>
        <v>0.15</v>
      </c>
      <c r="DU17" s="92"/>
      <c r="DV17" s="87"/>
      <c r="DW17" s="83"/>
      <c r="DX17" s="91" t="s">
        <v>231</v>
      </c>
      <c r="DY17" s="136">
        <f>B30</f>
        <v>1600</v>
      </c>
      <c r="DZ17" s="52" t="s">
        <v>60</v>
      </c>
      <c r="EA17" s="92"/>
      <c r="EB17" s="83"/>
      <c r="EC17" s="83"/>
      <c r="ED17" s="92" t="s">
        <v>67</v>
      </c>
      <c r="EE17" s="142">
        <f>B194</f>
        <v>60</v>
      </c>
      <c r="EF17" s="83" t="s">
        <v>53</v>
      </c>
      <c r="EG17" s="83" t="s">
        <v>475</v>
      </c>
      <c r="EH17" s="146">
        <f>B163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1.0002165781331087</v>
      </c>
      <c r="EP17" s="92"/>
      <c r="EQ17" s="83"/>
      <c r="ER17" s="83"/>
      <c r="ES17" s="92" t="s">
        <v>67</v>
      </c>
      <c r="ET17" s="142">
        <f>B194</f>
        <v>60</v>
      </c>
      <c r="EU17" s="83" t="s">
        <v>53</v>
      </c>
      <c r="EV17" s="83" t="s">
        <v>475</v>
      </c>
      <c r="EW17" s="141">
        <f>B163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1.0002165781331087</v>
      </c>
      <c r="FE17" s="83"/>
      <c r="FF17" s="83"/>
      <c r="FG17" s="83"/>
      <c r="FH17" s="83" t="s">
        <v>67</v>
      </c>
      <c r="FI17" s="142">
        <f>B194</f>
        <v>60</v>
      </c>
      <c r="FJ17" s="83" t="s">
        <v>53</v>
      </c>
      <c r="FK17" s="83" t="s">
        <v>475</v>
      </c>
      <c r="FL17" s="141">
        <f>B163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B163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1.0002165781331087</v>
      </c>
      <c r="GI17" s="83"/>
      <c r="GJ17" s="83"/>
      <c r="GK17" s="83"/>
      <c r="GL17" s="83" t="s">
        <v>67</v>
      </c>
      <c r="GM17" s="142">
        <f>B194</f>
        <v>60</v>
      </c>
      <c r="GN17" s="83" t="s">
        <v>53</v>
      </c>
      <c r="GO17" s="83" t="s">
        <v>476</v>
      </c>
      <c r="GP17" s="141">
        <f>B164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1.0002165781331087</v>
      </c>
      <c r="GX17" s="83"/>
      <c r="GY17" s="83"/>
      <c r="GZ17" s="83"/>
      <c r="HA17" s="83" t="s">
        <v>67</v>
      </c>
      <c r="HB17" s="142">
        <f>B194</f>
        <v>60</v>
      </c>
      <c r="HC17" s="83" t="s">
        <v>53</v>
      </c>
      <c r="HD17" s="84"/>
      <c r="HE17" s="84"/>
    </row>
    <row r="18" spans="1:214" ht="19.5" thickTop="1" thickBot="1" x14ac:dyDescent="0.25">
      <c r="A18" s="83" t="s">
        <v>247</v>
      </c>
      <c r="B18" s="184">
        <v>3.8043873993229303E-2</v>
      </c>
      <c r="C18" s="84" t="s">
        <v>259</v>
      </c>
      <c r="D18" s="83" t="s">
        <v>301</v>
      </c>
      <c r="E18" s="142">
        <f>B72</f>
        <v>2</v>
      </c>
      <c r="G18" s="83" t="s">
        <v>371</v>
      </c>
      <c r="H18" s="146">
        <f>B55</f>
        <v>1.5</v>
      </c>
      <c r="I18" s="52" t="s">
        <v>28</v>
      </c>
      <c r="J18" s="83" t="s">
        <v>264</v>
      </c>
      <c r="K18" s="154">
        <f>K5/(K9*(K25+K28)*K36)</f>
        <v>0.14437661892080372</v>
      </c>
      <c r="L18" s="92" t="s">
        <v>10</v>
      </c>
      <c r="V18" s="52" t="s">
        <v>261</v>
      </c>
      <c r="W18" s="144">
        <f>(W5*W7*W6)/((W12/24)*(1-EXP(-W7*W10))*W11*W13*W9*W10)</f>
        <v>2.0191590691918986E-2</v>
      </c>
      <c r="X18" s="52" t="s">
        <v>16</v>
      </c>
      <c r="Y18" s="52" t="s">
        <v>261</v>
      </c>
      <c r="Z18" s="144">
        <f>(Z5*Z7*Z6)/((Z12/24)*(1-EXP(-Z7*Z10))*Z11*Z13*Z9*Z10)</f>
        <v>2.0191590691918986E-2</v>
      </c>
      <c r="AA18" s="52" t="s">
        <v>16</v>
      </c>
      <c r="AB18" s="83" t="s">
        <v>412</v>
      </c>
      <c r="AC18" s="136">
        <f>B22</f>
        <v>10.423439999999999</v>
      </c>
      <c r="AD18" s="136">
        <f>B22</f>
        <v>10.423439999999999</v>
      </c>
      <c r="AE18" s="136">
        <f>B22</f>
        <v>10.423439999999999</v>
      </c>
      <c r="AF18" s="136">
        <f>B22</f>
        <v>10.423439999999999</v>
      </c>
      <c r="AG18" s="136">
        <f>B22</f>
        <v>10.423439999999999</v>
      </c>
      <c r="AH18" s="83" t="s">
        <v>351</v>
      </c>
      <c r="BS18" s="52" t="s">
        <v>261</v>
      </c>
      <c r="BT18" s="143">
        <f>(BT5)/(BT9*BT10)</f>
        <v>0.25920927814337291</v>
      </c>
      <c r="BU18" s="52" t="s">
        <v>15</v>
      </c>
      <c r="BV18" s="83" t="s">
        <v>433</v>
      </c>
      <c r="BW18" s="150">
        <f>B122</f>
        <v>55</v>
      </c>
      <c r="BX18" s="83" t="s">
        <v>24</v>
      </c>
      <c r="BY18" s="83" t="s">
        <v>441</v>
      </c>
      <c r="BZ18" s="146">
        <f>B107</f>
        <v>100</v>
      </c>
      <c r="CA18" s="84" t="s">
        <v>48</v>
      </c>
      <c r="CB18" s="274" t="s">
        <v>572</v>
      </c>
      <c r="CC18" s="270"/>
      <c r="CD18" s="270"/>
      <c r="CE18" s="271" t="s">
        <v>573</v>
      </c>
      <c r="CF18" s="270"/>
      <c r="CG18" s="273"/>
      <c r="CH18" s="83"/>
      <c r="CI18" s="83"/>
      <c r="CJ18" s="83"/>
      <c r="CT18" s="83" t="s">
        <v>264</v>
      </c>
      <c r="CU18" s="153">
        <f>DD2</f>
        <v>3.6094154730200931E-2</v>
      </c>
      <c r="CV18" s="92" t="s">
        <v>10</v>
      </c>
      <c r="CW18" s="83" t="s">
        <v>301</v>
      </c>
      <c r="CX18" s="142">
        <f>B176</f>
        <v>2</v>
      </c>
      <c r="CZ18" s="91" t="s">
        <v>272</v>
      </c>
      <c r="DA18" s="144" t="e">
        <f>EZ2</f>
        <v>#DIV/0!</v>
      </c>
      <c r="DB18" s="83" t="s">
        <v>10</v>
      </c>
      <c r="DC18" s="88"/>
      <c r="DD18" s="136">
        <v>1000</v>
      </c>
      <c r="DE18" s="92" t="s">
        <v>99</v>
      </c>
      <c r="DF18" s="92" t="s">
        <v>68</v>
      </c>
      <c r="DG18" s="142">
        <f>B195</f>
        <v>2</v>
      </c>
      <c r="DH18" s="83" t="s">
        <v>56</v>
      </c>
      <c r="DL18" s="92"/>
      <c r="DM18" s="83"/>
      <c r="DN18" s="83"/>
      <c r="DO18" s="92" t="s">
        <v>68</v>
      </c>
      <c r="DP18" s="142">
        <f>B195</f>
        <v>2</v>
      </c>
      <c r="DQ18" s="83" t="s">
        <v>56</v>
      </c>
      <c r="DR18" s="83" t="s">
        <v>476</v>
      </c>
      <c r="DS18" s="146">
        <f>B164</f>
        <v>0.85</v>
      </c>
      <c r="DU18" s="92"/>
      <c r="DV18" s="83"/>
      <c r="DW18" s="83"/>
      <c r="DX18" s="84" t="s">
        <v>16</v>
      </c>
      <c r="DY18" s="137">
        <f>(DY15*DY16)/(1-EXP(-DY16*DY15))</f>
        <v>1.0002165781331087</v>
      </c>
      <c r="EA18" s="92"/>
      <c r="EB18" s="83"/>
      <c r="EC18" s="83"/>
      <c r="ED18" s="92" t="s">
        <v>68</v>
      </c>
      <c r="EE18" s="142">
        <f>B195</f>
        <v>2</v>
      </c>
      <c r="EF18" s="83" t="s">
        <v>56</v>
      </c>
      <c r="EG18" s="83" t="s">
        <v>476</v>
      </c>
      <c r="EH18" s="146">
        <f>B164</f>
        <v>0.85</v>
      </c>
      <c r="EJ18" s="92"/>
      <c r="EK18" s="83"/>
      <c r="EL18" s="83"/>
      <c r="EP18" s="92"/>
      <c r="EQ18" s="83"/>
      <c r="ER18" s="83"/>
      <c r="ES18" s="92" t="s">
        <v>68</v>
      </c>
      <c r="ET18" s="142">
        <f>B195</f>
        <v>2</v>
      </c>
      <c r="EU18" s="83" t="s">
        <v>56</v>
      </c>
      <c r="EV18" s="83" t="s">
        <v>476</v>
      </c>
      <c r="EW18" s="141">
        <f>B164</f>
        <v>0.85</v>
      </c>
      <c r="EX18" s="92"/>
      <c r="EY18" s="83"/>
      <c r="EZ18" s="83"/>
      <c r="FA18" s="83"/>
      <c r="FB18" s="83"/>
      <c r="FC18" s="83"/>
      <c r="FD18" s="83"/>
      <c r="FE18" s="83"/>
      <c r="FF18" s="83"/>
      <c r="FG18" s="83"/>
      <c r="FH18" s="83" t="s">
        <v>68</v>
      </c>
      <c r="FI18" s="142">
        <f>B195</f>
        <v>2</v>
      </c>
      <c r="FJ18" s="83" t="s">
        <v>56</v>
      </c>
      <c r="FK18" s="83" t="s">
        <v>476</v>
      </c>
      <c r="FL18" s="141">
        <f>B164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B164</f>
        <v>0.85</v>
      </c>
      <c r="GB18" s="92"/>
      <c r="GC18" s="83"/>
      <c r="GD18" s="83"/>
      <c r="GE18" s="83"/>
      <c r="GF18" s="83"/>
      <c r="GG18" s="83"/>
      <c r="GH18" s="83"/>
      <c r="GI18" s="83"/>
      <c r="GJ18" s="83"/>
      <c r="GK18" s="83"/>
      <c r="GL18" s="83" t="s">
        <v>68</v>
      </c>
      <c r="GM18" s="142">
        <f>B195</f>
        <v>2</v>
      </c>
      <c r="GN18" s="83" t="s">
        <v>56</v>
      </c>
      <c r="GR18" s="83"/>
      <c r="GS18" s="83"/>
      <c r="GT18" s="83"/>
      <c r="GU18" s="83"/>
      <c r="GV18" s="83"/>
      <c r="GW18" s="83"/>
      <c r="GX18" s="83"/>
      <c r="GY18" s="83"/>
      <c r="GZ18" s="83"/>
      <c r="HA18" s="83" t="s">
        <v>68</v>
      </c>
      <c r="HB18" s="142">
        <f>B195</f>
        <v>2</v>
      </c>
      <c r="HC18" s="83" t="s">
        <v>56</v>
      </c>
    </row>
    <row r="19" spans="1:214" ht="19.5" thickTop="1" thickBot="1" x14ac:dyDescent="0.25">
      <c r="A19" s="83" t="s">
        <v>248</v>
      </c>
      <c r="B19" s="183">
        <v>1.67911012348351E-3</v>
      </c>
      <c r="C19" s="84" t="s">
        <v>259</v>
      </c>
      <c r="D19" s="52" t="s">
        <v>261</v>
      </c>
      <c r="E19" s="143">
        <f>(E5)/((E15/E16)*E11*E12)</f>
        <v>1.9800708747063207E-2</v>
      </c>
      <c r="F19" s="52" t="s">
        <v>15</v>
      </c>
      <c r="G19" s="83" t="s">
        <v>366</v>
      </c>
      <c r="H19" s="146">
        <f>B50</f>
        <v>5</v>
      </c>
      <c r="I19" s="52" t="s">
        <v>407</v>
      </c>
      <c r="J19" s="83" t="s">
        <v>445</v>
      </c>
      <c r="K19" s="155">
        <f>K21*K31*K51+K22*K32*K52</f>
        <v>9225</v>
      </c>
      <c r="L19" s="83" t="s">
        <v>346</v>
      </c>
      <c r="V19" s="52" t="s">
        <v>271</v>
      </c>
      <c r="W19" s="145">
        <f>(W5*W7*W6)/((W12/24)*(1-EXP(-W7*W6))*W14*W9*(1/365))</f>
        <v>9.0857591078451726E-4</v>
      </c>
      <c r="X19" s="52" t="s">
        <v>16</v>
      </c>
      <c r="Y19" s="52" t="s">
        <v>271</v>
      </c>
      <c r="Z19" s="145">
        <f>(Z5*Z7*Z6)/((Z12/24)*(1-EXP(-Z7*Z6))*Z14*Z9*(1/365))</f>
        <v>9.0857591078451726E-4</v>
      </c>
      <c r="AA19" s="52" t="s">
        <v>16</v>
      </c>
      <c r="AB19" s="83" t="s">
        <v>247</v>
      </c>
      <c r="AC19" s="139">
        <f>B18</f>
        <v>3.8043873993229303E-2</v>
      </c>
      <c r="AD19" s="139">
        <f>B18</f>
        <v>3.8043873993229303E-2</v>
      </c>
      <c r="AE19" s="139">
        <f>B18</f>
        <v>3.8043873993229303E-2</v>
      </c>
      <c r="AF19" s="139">
        <f>B18</f>
        <v>3.8043873993229303E-2</v>
      </c>
      <c r="AG19" s="139">
        <f>B18</f>
        <v>3.8043873993229303E-2</v>
      </c>
      <c r="AH19" s="84" t="s">
        <v>259</v>
      </c>
      <c r="BS19" s="52" t="s">
        <v>271</v>
      </c>
      <c r="BT19" s="144">
        <f>(BT5)/(BT16*BT8*(1/365)*BT15*(1/24)*BT17)</f>
        <v>1.0322490633164606E-3</v>
      </c>
      <c r="BU19" s="52" t="s">
        <v>15</v>
      </c>
      <c r="BV19" s="83" t="s">
        <v>434</v>
      </c>
      <c r="BW19" s="150">
        <f>B123</f>
        <v>55</v>
      </c>
      <c r="BX19" s="83" t="s">
        <v>24</v>
      </c>
      <c r="BY19" s="83" t="s">
        <v>442</v>
      </c>
      <c r="BZ19" s="146">
        <f>B108</f>
        <v>50</v>
      </c>
      <c r="CA19" s="84" t="s">
        <v>48</v>
      </c>
      <c r="CB19" s="267" t="s">
        <v>537</v>
      </c>
      <c r="CC19" s="261">
        <f>(CC22*CC23*CC24)/((1-EXP(-CC24*CC23))*CC27*CC31*(CC26/365)*CC29*(CC30/24)*CC28)</f>
        <v>13791.693384226912</v>
      </c>
      <c r="CD19" s="278" t="s">
        <v>10</v>
      </c>
      <c r="CE19" s="258" t="s">
        <v>537</v>
      </c>
      <c r="CF19" s="261">
        <f>(CF22*CF23*CF24)/((1-EXP(-CF24*CF23))*CF27*CF31*(CF26/365)*CF29*(CF30/24)*CF28)</f>
        <v>113.9738645580171</v>
      </c>
      <c r="CG19" s="264" t="s">
        <v>10</v>
      </c>
      <c r="CK19" s="274" t="s">
        <v>576</v>
      </c>
      <c r="CL19" s="270"/>
      <c r="CM19" s="270"/>
      <c r="CN19" s="271" t="s">
        <v>576</v>
      </c>
      <c r="CO19" s="270"/>
      <c r="CP19" s="270"/>
      <c r="CQ19" s="271" t="s">
        <v>576</v>
      </c>
      <c r="CR19" s="270"/>
      <c r="CS19" s="273"/>
      <c r="CT19" s="91" t="s">
        <v>272</v>
      </c>
      <c r="CU19" s="144" t="e">
        <f>FC2</f>
        <v>#DIV/0!</v>
      </c>
      <c r="CV19" s="92" t="s">
        <v>10</v>
      </c>
      <c r="CW19" s="52" t="s">
        <v>261</v>
      </c>
      <c r="CX19" s="143">
        <f>(CX5)/((CX15/CX16)*CX11*CX12)</f>
        <v>1.8944461882325337E-2</v>
      </c>
      <c r="CY19" s="52" t="s">
        <v>15</v>
      </c>
      <c r="CZ19" s="91" t="s">
        <v>273</v>
      </c>
      <c r="DA19" s="144" t="e">
        <f>GS2</f>
        <v>#DIV/0!</v>
      </c>
      <c r="DB19" s="83" t="s">
        <v>10</v>
      </c>
      <c r="DC19" s="92" t="s">
        <v>72</v>
      </c>
      <c r="DD19" s="146">
        <f>B182</f>
        <v>1</v>
      </c>
      <c r="DE19" s="93"/>
      <c r="DF19" s="92" t="s">
        <v>70</v>
      </c>
      <c r="DG19" s="138">
        <f>B196</f>
        <v>2.6999999999999999E-5</v>
      </c>
      <c r="DH19" s="52" t="s">
        <v>64</v>
      </c>
      <c r="DL19" s="92"/>
      <c r="DO19" s="92" t="s">
        <v>70</v>
      </c>
      <c r="DP19" s="138">
        <f>B196</f>
        <v>2.6999999999999999E-5</v>
      </c>
      <c r="DQ19" s="52" t="s">
        <v>64</v>
      </c>
      <c r="DU19" s="92"/>
      <c r="EA19" s="92"/>
      <c r="EB19" s="84"/>
      <c r="EC19" s="84"/>
      <c r="ED19" s="92" t="s">
        <v>70</v>
      </c>
      <c r="EE19" s="163">
        <f>B196</f>
        <v>2.6999999999999999E-5</v>
      </c>
      <c r="EF19" s="84" t="s">
        <v>64</v>
      </c>
      <c r="EJ19" s="92"/>
      <c r="EP19" s="92"/>
      <c r="EQ19" s="84"/>
      <c r="ER19" s="84"/>
      <c r="ES19" s="92" t="s">
        <v>70</v>
      </c>
      <c r="ET19" s="163">
        <f>B196</f>
        <v>2.6999999999999999E-5</v>
      </c>
      <c r="EU19" s="84" t="s">
        <v>64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B196</f>
        <v>2.6999999999999999E-5</v>
      </c>
      <c r="FJ19" s="84" t="s">
        <v>64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B196</f>
        <v>2.6999999999999999E-5</v>
      </c>
      <c r="GN19" s="84" t="s">
        <v>64</v>
      </c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B196</f>
        <v>2.6999999999999999E-5</v>
      </c>
      <c r="HC19" s="84" t="s">
        <v>64</v>
      </c>
    </row>
    <row r="20" spans="1:214" ht="19.5" thickTop="1" thickBot="1" x14ac:dyDescent="0.25">
      <c r="A20" s="83" t="s">
        <v>249</v>
      </c>
      <c r="B20" s="183">
        <v>1.67911012348351E-3</v>
      </c>
      <c r="C20" s="83" t="s">
        <v>259</v>
      </c>
      <c r="D20" s="52" t="s">
        <v>271</v>
      </c>
      <c r="E20" s="144">
        <f>(E5)/((E15/E16)*E8*E17*(1/365)*E18)</f>
        <v>7.8852359003340751E-5</v>
      </c>
      <c r="F20" s="52" t="s">
        <v>15</v>
      </c>
      <c r="G20" s="83" t="s">
        <v>367</v>
      </c>
      <c r="H20" s="146">
        <f>B51</f>
        <v>10</v>
      </c>
      <c r="I20" s="52" t="s">
        <v>407</v>
      </c>
      <c r="J20" s="83" t="s">
        <v>396</v>
      </c>
      <c r="K20" s="155">
        <f>(K31*K23*(K34/24)*K51)+(K32*K24*(K35/24)*K52)</f>
        <v>1327.5</v>
      </c>
      <c r="L20" s="52" t="s">
        <v>407</v>
      </c>
      <c r="M20" s="325" t="s">
        <v>566</v>
      </c>
      <c r="N20" s="326"/>
      <c r="O20" s="326"/>
      <c r="P20" s="327" t="s">
        <v>536</v>
      </c>
      <c r="Q20" s="326"/>
      <c r="R20" s="329"/>
      <c r="AB20" s="83" t="s">
        <v>83</v>
      </c>
      <c r="AC20" s="139">
        <f>B232</f>
        <v>5</v>
      </c>
      <c r="AD20" s="139">
        <f>B242</f>
        <v>5</v>
      </c>
      <c r="AE20" s="139">
        <f>B252</f>
        <v>5</v>
      </c>
      <c r="AF20" s="139">
        <f>B262</f>
        <v>5</v>
      </c>
      <c r="AG20" s="139">
        <f>B273</f>
        <v>5</v>
      </c>
      <c r="AH20" s="84" t="s">
        <v>194</v>
      </c>
      <c r="AI20" s="296" t="s">
        <v>558</v>
      </c>
      <c r="AJ20" s="294"/>
      <c r="AK20" s="297"/>
      <c r="AL20" s="293" t="s">
        <v>545</v>
      </c>
      <c r="AM20" s="294"/>
      <c r="AN20" s="295"/>
      <c r="AR20" s="296" t="s">
        <v>560</v>
      </c>
      <c r="AS20" s="294"/>
      <c r="AT20" s="297"/>
      <c r="AU20" s="293" t="s">
        <v>550</v>
      </c>
      <c r="AV20" s="294"/>
      <c r="AW20" s="295"/>
      <c r="BA20" s="296" t="s">
        <v>562</v>
      </c>
      <c r="BB20" s="294"/>
      <c r="BC20" s="297"/>
      <c r="BD20" s="293" t="s">
        <v>553</v>
      </c>
      <c r="BE20" s="294"/>
      <c r="BF20" s="295"/>
      <c r="BJ20" s="296" t="s">
        <v>563</v>
      </c>
      <c r="BK20" s="294"/>
      <c r="BL20" s="297"/>
      <c r="BM20" s="293" t="s">
        <v>556</v>
      </c>
      <c r="BN20" s="294"/>
      <c r="BO20" s="295"/>
      <c r="BS20" s="52" t="s">
        <v>261</v>
      </c>
      <c r="BT20" s="144">
        <f>(BT5*BT24*BT6)/((1-EXP(-BT6*BT24))*BT9*BT10)</f>
        <v>0.25926541720491764</v>
      </c>
      <c r="BU20" s="52" t="s">
        <v>16</v>
      </c>
      <c r="BV20" s="52" t="s">
        <v>443</v>
      </c>
      <c r="BW20" s="138">
        <f>B119</f>
        <v>5</v>
      </c>
      <c r="BX20" s="52" t="s">
        <v>89</v>
      </c>
      <c r="BY20" s="83" t="s">
        <v>429</v>
      </c>
      <c r="BZ20" s="141">
        <f>B103</f>
        <v>5</v>
      </c>
      <c r="CA20" s="92" t="s">
        <v>407</v>
      </c>
      <c r="CB20" s="268"/>
      <c r="CC20" s="262"/>
      <c r="CD20" s="279"/>
      <c r="CE20" s="259"/>
      <c r="CF20" s="262"/>
      <c r="CG20" s="265"/>
      <c r="CK20" s="267" t="s">
        <v>530</v>
      </c>
      <c r="CL20" s="261">
        <f>CL23/(CL24*CL25*CL26)</f>
        <v>3.6094154730200931</v>
      </c>
      <c r="CM20" s="255" t="s">
        <v>10</v>
      </c>
      <c r="CN20" s="258" t="s">
        <v>7</v>
      </c>
      <c r="CO20" s="261">
        <f>(CL20/(CO23*((CO28*CO30*CO31*(CO24+CO25))+(CO29*CO30))))*CO34</f>
        <v>346.17100878155304</v>
      </c>
      <c r="CP20" s="255" t="s">
        <v>10</v>
      </c>
      <c r="CQ20" s="258" t="s">
        <v>6</v>
      </c>
      <c r="CR20" s="261">
        <f>CL20/(CR23*CR24*(1/CR25))</f>
        <v>1061592.7861823803</v>
      </c>
      <c r="CS20" s="264" t="s">
        <v>10</v>
      </c>
      <c r="CT20" s="91" t="s">
        <v>273</v>
      </c>
      <c r="CU20" s="144" t="e">
        <f>GV2</f>
        <v>#DIV/0!</v>
      </c>
      <c r="CV20" s="92" t="s">
        <v>10</v>
      </c>
      <c r="CW20" s="52" t="s">
        <v>271</v>
      </c>
      <c r="CX20" s="144">
        <f>(CX5)/((CX15/CX16)*CX8*CX17*(1/365)*CX18)</f>
        <v>7.8852359003340751E-5</v>
      </c>
      <c r="CY20" s="52" t="s">
        <v>15</v>
      </c>
      <c r="CZ20" s="91" t="s">
        <v>274</v>
      </c>
      <c r="DA20" s="144">
        <f>EK2</f>
        <v>0.80120210277915493</v>
      </c>
      <c r="DB20" s="83" t="s">
        <v>10</v>
      </c>
      <c r="DC20" s="83" t="s">
        <v>475</v>
      </c>
      <c r="DD20" s="146">
        <f>B163</f>
        <v>0.15</v>
      </c>
      <c r="DF20" s="92" t="s">
        <v>71</v>
      </c>
      <c r="DG20" s="137">
        <f>0.693/DG23</f>
        <v>1.1866438356164383E-6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83" t="s">
        <v>250</v>
      </c>
      <c r="B21" s="183">
        <v>1.036E-3</v>
      </c>
      <c r="C21" s="83" t="s">
        <v>259</v>
      </c>
      <c r="D21" s="52" t="s">
        <v>261</v>
      </c>
      <c r="E21" s="144">
        <f>(E5*E10*E6)/((1-EXP(-E6*E10))*E11*E12)</f>
        <v>1.9804997147597873E-2</v>
      </c>
      <c r="F21" s="52" t="s">
        <v>16</v>
      </c>
      <c r="G21" s="83" t="s">
        <v>397</v>
      </c>
      <c r="H21" s="148">
        <f>(H29*H36*H32*H68)+(H30*H37*H33*H69)</f>
        <v>476.25</v>
      </c>
      <c r="I21" s="83" t="s">
        <v>356</v>
      </c>
      <c r="J21" s="83" t="s">
        <v>368</v>
      </c>
      <c r="K21" s="146">
        <f>B52</f>
        <v>100</v>
      </c>
      <c r="L21" s="84" t="s">
        <v>48</v>
      </c>
      <c r="M21" s="330" t="s">
        <v>537</v>
      </c>
      <c r="N21" s="333">
        <f>(N24*N25*N26)/((1-EXP(-N26*N25))*N34*N32*(N28/365)*(((N33/24)*N31)+((N35/24)*N30)))</f>
        <v>34.554112880657499</v>
      </c>
      <c r="O21" s="336" t="s">
        <v>76</v>
      </c>
      <c r="P21" s="339" t="s">
        <v>537</v>
      </c>
      <c r="Q21" s="333">
        <f>(Q24*Q25*Q26)/((1-EXP(-Q26*Q25))*Q34*Q32*(Q28/365)*(((Q33/24)*Q31)+((Q35/24)*Q30)))</f>
        <v>0.56560442854357995</v>
      </c>
      <c r="R21" s="342" t="s">
        <v>10</v>
      </c>
      <c r="AB21" s="83" t="s">
        <v>85</v>
      </c>
      <c r="AC21" s="139">
        <f>B233</f>
        <v>5</v>
      </c>
      <c r="AD21" s="139">
        <f>B243</f>
        <v>5</v>
      </c>
      <c r="AE21" s="139">
        <f>B253</f>
        <v>5</v>
      </c>
      <c r="AF21" s="139">
        <f>B263</f>
        <v>5</v>
      </c>
      <c r="AG21" s="139">
        <f>B274</f>
        <v>5</v>
      </c>
      <c r="AH21" s="84" t="s">
        <v>194</v>
      </c>
      <c r="AI21" s="306" t="s">
        <v>537</v>
      </c>
      <c r="AJ21" s="303">
        <f>(AJ24*AJ25*AJ26)/((1-EXP(-AJ26*AJ25))*AJ34*(AJ28/365)*AJ29*(AJ35/24)*AJ30*AJ32)</f>
        <v>208.75107106365854</v>
      </c>
      <c r="AK21" s="290" t="s">
        <v>76</v>
      </c>
      <c r="AL21" s="287" t="s">
        <v>537</v>
      </c>
      <c r="AM21" s="303">
        <f>(AM24*AM25*AM26)/((1-EXP(-AM26*AM25))*AM34*(AM28/365)*AM29*(AM35/24)*AM30*AM32)</f>
        <v>3.4401871278191871</v>
      </c>
      <c r="AN21" s="281" t="s">
        <v>10</v>
      </c>
      <c r="AR21" s="306" t="s">
        <v>537</v>
      </c>
      <c r="AS21" s="303">
        <f>(AS24*AS25*AS26)/((1-EXP(-AS26*AS25))*AS34*(AS28/365)*AS29*(AS33/24)*AS31*AS32)</f>
        <v>6068.3450890598415</v>
      </c>
      <c r="AT21" s="290" t="s">
        <v>76</v>
      </c>
      <c r="AU21" s="287" t="s">
        <v>537</v>
      </c>
      <c r="AV21" s="303">
        <f>(AV24*AV25*AV26)/((1-EXP(-AV26*AV25))*AV34*(AV28/365)*AV29*(AV33/24)*AV31*AV32)</f>
        <v>50.148500405527514</v>
      </c>
      <c r="AW21" s="281" t="s">
        <v>10</v>
      </c>
      <c r="BA21" s="306" t="s">
        <v>537</v>
      </c>
      <c r="BB21" s="303">
        <f>(BB24*BB25*BB26)/((1-EXP(-BB26*BB25))*BB34*(BB28/365)*(BB33/24)*BB31*BB32)</f>
        <v>6068.3450890598415</v>
      </c>
      <c r="BC21" s="290" t="s">
        <v>76</v>
      </c>
      <c r="BD21" s="287" t="s">
        <v>537</v>
      </c>
      <c r="BE21" s="303">
        <f>(BE24*BE25*BE26)/((1-EXP(-BE26*BE25))*BE34*(BE28/365)*(BE33/24)*BE31*BE32)</f>
        <v>50.148500405527514</v>
      </c>
      <c r="BF21" s="281" t="s">
        <v>10</v>
      </c>
      <c r="BJ21" s="306" t="s">
        <v>537</v>
      </c>
      <c r="BK21" s="284">
        <f>(BK24*BK25*BK26)/((1-EXP(-BK26*BK25))*BK35*(BK28/365)*(BK34/24)*BK32*BK33)</f>
        <v>10113.908481766406</v>
      </c>
      <c r="BL21" s="290" t="s">
        <v>76</v>
      </c>
      <c r="BM21" s="287" t="s">
        <v>537</v>
      </c>
      <c r="BN21" s="284">
        <f>(BN24*BN25*BN26)/((1-EXP(-BN26*BN25))*BN35*(BN28/365)*(BN34/24)*BN32*BN33)</f>
        <v>83.580834009212523</v>
      </c>
      <c r="BO21" s="281" t="s">
        <v>10</v>
      </c>
      <c r="BS21" s="52" t="s">
        <v>271</v>
      </c>
      <c r="BT21" s="145">
        <f>(BT5*BT24*BT6)/((1-EXP(-BT6*BT24))*BT16*BT8*(1/365)*BT15*(1/24)*BT17)</f>
        <v>1.032472625891497E-3</v>
      </c>
      <c r="BU21" s="52" t="s">
        <v>16</v>
      </c>
      <c r="BV21" s="52" t="s">
        <v>444</v>
      </c>
      <c r="BW21" s="138">
        <f>B120</f>
        <v>5</v>
      </c>
      <c r="BX21" s="52" t="s">
        <v>89</v>
      </c>
      <c r="BY21" s="83" t="s">
        <v>430</v>
      </c>
      <c r="BZ21" s="141">
        <f>B104</f>
        <v>10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56"/>
      <c r="CN21" s="259"/>
      <c r="CO21" s="262"/>
      <c r="CP21" s="256"/>
      <c r="CQ21" s="259"/>
      <c r="CR21" s="262"/>
      <c r="CS21" s="265"/>
      <c r="CT21" s="91" t="s">
        <v>274</v>
      </c>
      <c r="CU21" s="144">
        <f>EN2</f>
        <v>11.660084763491179</v>
      </c>
      <c r="CV21" s="92" t="s">
        <v>10</v>
      </c>
      <c r="CW21" s="52" t="s">
        <v>261</v>
      </c>
      <c r="CX21" s="144">
        <f>(CX5*CX10*CX6)/((CX15/CX16)*(1-EXP(-CX6*CX9))*CX11*CX12)</f>
        <v>1.8948564838512559E-2</v>
      </c>
      <c r="CY21" s="52" t="s">
        <v>16</v>
      </c>
      <c r="CZ21" s="91" t="s">
        <v>509</v>
      </c>
      <c r="DA21" s="144">
        <f>DV2</f>
        <v>2126.8294835301463</v>
      </c>
      <c r="DB21" s="83" t="s">
        <v>10</v>
      </c>
      <c r="DC21" s="83" t="s">
        <v>476</v>
      </c>
      <c r="DD21" s="146">
        <f>B164</f>
        <v>0.85</v>
      </c>
      <c r="DF21" s="92" t="s">
        <v>73</v>
      </c>
      <c r="DG21" s="138">
        <f>B197</f>
        <v>1</v>
      </c>
      <c r="DH21" s="52" t="s">
        <v>41</v>
      </c>
      <c r="DL21" s="92"/>
      <c r="DO21" s="92" t="s">
        <v>73</v>
      </c>
      <c r="DP21" s="138">
        <f>B197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B197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B197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B197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B197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B197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83" t="s">
        <v>251</v>
      </c>
      <c r="B22" s="183">
        <v>10.423439999999999</v>
      </c>
      <c r="C22" s="83" t="s">
        <v>351</v>
      </c>
      <c r="D22" s="52" t="s">
        <v>271</v>
      </c>
      <c r="E22" s="145">
        <f>(E5*E10*E6)/((E15/E16)*E8*(1-EXP(-E6*E10))*E17*(1/365)*E18)</f>
        <v>7.8869436700044907E-5</v>
      </c>
      <c r="F22" s="52" t="s">
        <v>16</v>
      </c>
      <c r="G22" s="83" t="s">
        <v>398</v>
      </c>
      <c r="H22" s="149">
        <f>(H29*H23*H68)+(H30*H24*H69)</f>
        <v>8250</v>
      </c>
      <c r="I22" s="92" t="s">
        <v>347</v>
      </c>
      <c r="J22" s="83" t="s">
        <v>369</v>
      </c>
      <c r="K22" s="146">
        <f>B53</f>
        <v>50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B234</f>
        <v>0.4</v>
      </c>
      <c r="AD22" s="150">
        <f>B244</f>
        <v>0.4</v>
      </c>
      <c r="AE22" s="150">
        <f>B254</f>
        <v>0.4</v>
      </c>
      <c r="AF22" s="150">
        <f>B264</f>
        <v>0.4</v>
      </c>
      <c r="AG22" s="150">
        <f>B275</f>
        <v>0.4</v>
      </c>
      <c r="AI22" s="307"/>
      <c r="AJ22" s="304"/>
      <c r="AK22" s="291"/>
      <c r="AL22" s="288"/>
      <c r="AM22" s="304"/>
      <c r="AN22" s="282"/>
      <c r="AR22" s="307"/>
      <c r="AS22" s="304"/>
      <c r="AT22" s="291"/>
      <c r="AU22" s="288"/>
      <c r="AV22" s="304"/>
      <c r="AW22" s="282"/>
      <c r="BA22" s="307"/>
      <c r="BB22" s="304"/>
      <c r="BC22" s="291"/>
      <c r="BD22" s="288"/>
      <c r="BE22" s="304"/>
      <c r="BF22" s="282"/>
      <c r="BJ22" s="307"/>
      <c r="BK22" s="285"/>
      <c r="BL22" s="291"/>
      <c r="BM22" s="288"/>
      <c r="BN22" s="285"/>
      <c r="BO22" s="282"/>
      <c r="BS22" s="52" t="s">
        <v>433</v>
      </c>
      <c r="BT22" s="138">
        <f>B114</f>
        <v>55</v>
      </c>
      <c r="BU22" s="52" t="s">
        <v>24</v>
      </c>
      <c r="BV22" s="83" t="s">
        <v>90</v>
      </c>
      <c r="BW22" s="150">
        <f>B118</f>
        <v>5</v>
      </c>
      <c r="BX22" s="52" t="s">
        <v>194</v>
      </c>
      <c r="BY22" s="83" t="s">
        <v>140</v>
      </c>
      <c r="BZ22" s="150">
        <f>B113</f>
        <v>55</v>
      </c>
      <c r="CA22" s="83" t="s">
        <v>24</v>
      </c>
      <c r="CB22" s="52" t="s">
        <v>267</v>
      </c>
      <c r="CC22" s="136">
        <f>B17</f>
        <v>1</v>
      </c>
      <c r="CD22" s="52" t="s">
        <v>344</v>
      </c>
      <c r="CE22" s="52" t="s">
        <v>267</v>
      </c>
      <c r="CF22" s="136">
        <f>B17</f>
        <v>1</v>
      </c>
      <c r="CG22" s="52" t="s">
        <v>344</v>
      </c>
      <c r="CK22" s="269"/>
      <c r="CL22" s="263"/>
      <c r="CM22" s="257"/>
      <c r="CN22" s="260"/>
      <c r="CO22" s="263"/>
      <c r="CP22" s="257"/>
      <c r="CQ22" s="260"/>
      <c r="CR22" s="263"/>
      <c r="CS22" s="266"/>
      <c r="CT22" s="91" t="s">
        <v>275</v>
      </c>
      <c r="CU22" s="144">
        <f>DY2</f>
        <v>33.626688538444341</v>
      </c>
      <c r="CV22" s="92" t="s">
        <v>10</v>
      </c>
      <c r="CW22" s="52" t="s">
        <v>271</v>
      </c>
      <c r="CX22" s="145">
        <f>(CX5*CX10*CX6)/((CX15/CX16)*CX8*(1-EXP(-CX6*CX10))*CX17*(1/365)*CX18)</f>
        <v>7.8869436700044907E-5</v>
      </c>
      <c r="CY22" s="52" t="s">
        <v>16</v>
      </c>
      <c r="CZ22" s="91" t="s">
        <v>510</v>
      </c>
      <c r="DA22" s="144" t="e">
        <f>GD2</f>
        <v>#DIV/0!</v>
      </c>
      <c r="DB22" s="83" t="s">
        <v>10</v>
      </c>
      <c r="DF22" s="92" t="s">
        <v>74</v>
      </c>
      <c r="DG22" s="138">
        <f>B198</f>
        <v>14</v>
      </c>
      <c r="DH22" s="52" t="s">
        <v>75</v>
      </c>
      <c r="DL22" s="92"/>
      <c r="DO22" s="92" t="s">
        <v>74</v>
      </c>
      <c r="DP22" s="138">
        <f>B198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B198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B198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B198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B198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B198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252</v>
      </c>
      <c r="B23" s="183">
        <v>1.9522299999999999</v>
      </c>
      <c r="C23" s="83" t="s">
        <v>352</v>
      </c>
      <c r="D23" s="52" t="s">
        <v>380</v>
      </c>
      <c r="E23" s="138">
        <f>B66</f>
        <v>150</v>
      </c>
      <c r="F23" s="52" t="s">
        <v>24</v>
      </c>
      <c r="G23" s="83" t="s">
        <v>399</v>
      </c>
      <c r="H23" s="146">
        <f>B147</f>
        <v>55</v>
      </c>
      <c r="I23" s="92" t="s">
        <v>221</v>
      </c>
      <c r="J23" s="83" t="s">
        <v>366</v>
      </c>
      <c r="K23" s="141">
        <f>B50</f>
        <v>5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308"/>
      <c r="AS23" s="305"/>
      <c r="AT23" s="292"/>
      <c r="AU23" s="289"/>
      <c r="AV23" s="305"/>
      <c r="AW23" s="283"/>
      <c r="BA23" s="308"/>
      <c r="BB23" s="305"/>
      <c r="BC23" s="292"/>
      <c r="BD23" s="289"/>
      <c r="BE23" s="305"/>
      <c r="BF23" s="283"/>
      <c r="BJ23" s="308"/>
      <c r="BK23" s="286"/>
      <c r="BL23" s="292"/>
      <c r="BM23" s="289"/>
      <c r="BN23" s="286"/>
      <c r="BO23" s="283"/>
      <c r="BS23" s="52" t="s">
        <v>434</v>
      </c>
      <c r="BT23" s="138">
        <f>B115</f>
        <v>55</v>
      </c>
      <c r="BU23" s="52" t="s">
        <v>24</v>
      </c>
      <c r="BV23" s="83" t="s">
        <v>435</v>
      </c>
      <c r="BW23" s="138">
        <f>B124</f>
        <v>5</v>
      </c>
      <c r="BX23" s="52" t="s">
        <v>80</v>
      </c>
      <c r="BY23" s="83" t="s">
        <v>434</v>
      </c>
      <c r="BZ23" s="150">
        <f>B115</f>
        <v>55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B17</f>
        <v>1</v>
      </c>
      <c r="CM23" s="52" t="s">
        <v>344</v>
      </c>
      <c r="CN23" s="52" t="s">
        <v>229</v>
      </c>
      <c r="CO23" s="136">
        <f>B41</f>
        <v>1.6999999999999999E-3</v>
      </c>
      <c r="CP23" s="52" t="s">
        <v>268</v>
      </c>
      <c r="CQ23" s="83" t="s">
        <v>229</v>
      </c>
      <c r="CR23" s="136">
        <f>CO23</f>
        <v>1.6999999999999999E-3</v>
      </c>
      <c r="CS23" s="52" t="s">
        <v>268</v>
      </c>
      <c r="CT23" s="91" t="s">
        <v>276</v>
      </c>
      <c r="CU23" s="144" t="e">
        <f>GG2</f>
        <v>#DIV/0!</v>
      </c>
      <c r="CV23" s="92" t="s">
        <v>10</v>
      </c>
      <c r="CW23" s="52" t="s">
        <v>456</v>
      </c>
      <c r="CX23" s="138">
        <f>B165</f>
        <v>150</v>
      </c>
      <c r="CY23" s="52" t="s">
        <v>24</v>
      </c>
      <c r="CZ23" s="91" t="s">
        <v>277</v>
      </c>
      <c r="DA23" s="145">
        <f>FO2</f>
        <v>18.047077365100463</v>
      </c>
      <c r="DB23" s="83" t="s">
        <v>10</v>
      </c>
      <c r="DF23" s="83" t="s">
        <v>267</v>
      </c>
      <c r="DG23" s="136">
        <f>B34</f>
        <v>584000</v>
      </c>
      <c r="DH23" s="52" t="s">
        <v>222</v>
      </c>
      <c r="DO23" s="83" t="s">
        <v>19</v>
      </c>
      <c r="DP23" s="161">
        <f>DP25</f>
        <v>1.4800000000000001E-2</v>
      </c>
      <c r="EA23" s="83"/>
      <c r="EB23" s="83"/>
      <c r="EC23" s="84"/>
      <c r="ED23" s="83" t="s">
        <v>19</v>
      </c>
      <c r="EE23" s="161">
        <f>EE25</f>
        <v>1.7000000000000001E-2</v>
      </c>
      <c r="EF23" s="84"/>
      <c r="EP23" s="83"/>
      <c r="EQ23" s="83"/>
      <c r="ER23" s="84"/>
      <c r="ES23" s="83" t="s">
        <v>19</v>
      </c>
      <c r="ET23" s="161">
        <f>ET25</f>
        <v>1.7000000000000001E-2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1.7000000000000001E-2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1.7000000000000001E-2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1.7000000000000001E-2</v>
      </c>
      <c r="HC23" s="84"/>
      <c r="HD23" s="67" t="s">
        <v>14</v>
      </c>
      <c r="HE23" s="126">
        <f>((HE25*HE42)*HE38*HE33*10^-3*HE32*HE27)/(HE31*HE41*(1-EXP(-HE27*HE32)))</f>
        <v>2.6554761978862779E-2</v>
      </c>
      <c r="HF23" s="220" t="s">
        <v>592</v>
      </c>
    </row>
    <row r="24" spans="1:214" ht="14.25" thickTop="1" thickBot="1" x14ac:dyDescent="0.25">
      <c r="A24" s="83" t="s">
        <v>253</v>
      </c>
      <c r="B24" s="183">
        <v>1.92404</v>
      </c>
      <c r="C24" s="83" t="s">
        <v>351</v>
      </c>
      <c r="D24" s="52" t="s">
        <v>381</v>
      </c>
      <c r="E24" s="138">
        <f>B67</f>
        <v>150</v>
      </c>
      <c r="F24" s="52" t="s">
        <v>24</v>
      </c>
      <c r="G24" s="83" t="s">
        <v>310</v>
      </c>
      <c r="H24" s="146">
        <f>B58</f>
        <v>55</v>
      </c>
      <c r="I24" s="92" t="s">
        <v>221</v>
      </c>
      <c r="J24" s="83" t="s">
        <v>367</v>
      </c>
      <c r="K24" s="141">
        <f>B51</f>
        <v>10</v>
      </c>
      <c r="L24" s="52" t="s">
        <v>407</v>
      </c>
      <c r="M24" s="52" t="s">
        <v>267</v>
      </c>
      <c r="N24" s="136">
        <f>B17</f>
        <v>1</v>
      </c>
      <c r="O24" s="52" t="s">
        <v>344</v>
      </c>
      <c r="P24" s="52" t="s">
        <v>267</v>
      </c>
      <c r="Q24" s="136">
        <f>B17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4.3312499999999997E-4</v>
      </c>
      <c r="AD24" s="137">
        <f>0.693/AD25</f>
        <v>4.3312499999999997E-4</v>
      </c>
      <c r="AE24" s="137">
        <f>0.693/AE25</f>
        <v>4.3312499999999997E-4</v>
      </c>
      <c r="AF24" s="137">
        <f>0.693/AF25</f>
        <v>4.3312499999999997E-4</v>
      </c>
      <c r="AG24" s="137">
        <f>0.693/AG25</f>
        <v>4.3312499999999997E-4</v>
      </c>
      <c r="AI24" s="52" t="s">
        <v>267</v>
      </c>
      <c r="AJ24" s="136">
        <f>B17</f>
        <v>1</v>
      </c>
      <c r="AK24" s="52" t="s">
        <v>344</v>
      </c>
      <c r="AL24" s="52" t="s">
        <v>267</v>
      </c>
      <c r="AM24" s="136">
        <f>B17</f>
        <v>1</v>
      </c>
      <c r="AN24" s="52" t="s">
        <v>344</v>
      </c>
      <c r="AR24" s="52" t="s">
        <v>267</v>
      </c>
      <c r="AS24" s="136">
        <f>B17</f>
        <v>1</v>
      </c>
      <c r="AT24" s="52" t="s">
        <v>344</v>
      </c>
      <c r="AU24" s="52" t="s">
        <v>267</v>
      </c>
      <c r="AV24" s="136">
        <f>B17</f>
        <v>1</v>
      </c>
      <c r="AW24" s="52" t="s">
        <v>344</v>
      </c>
      <c r="BA24" s="52" t="s">
        <v>267</v>
      </c>
      <c r="BB24" s="136">
        <f>B17</f>
        <v>1</v>
      </c>
      <c r="BC24" s="52" t="s">
        <v>344</v>
      </c>
      <c r="BD24" s="52" t="s">
        <v>267</v>
      </c>
      <c r="BE24" s="136">
        <f>B17</f>
        <v>1</v>
      </c>
      <c r="BF24" s="52" t="s">
        <v>344</v>
      </c>
      <c r="BJ24" s="52" t="s">
        <v>267</v>
      </c>
      <c r="BK24" s="136">
        <f>B17</f>
        <v>1</v>
      </c>
      <c r="BL24" s="52" t="s">
        <v>344</v>
      </c>
      <c r="BM24" s="52" t="s">
        <v>267</v>
      </c>
      <c r="BN24" s="136">
        <f>B17</f>
        <v>1</v>
      </c>
      <c r="BO24" s="52" t="s">
        <v>344</v>
      </c>
      <c r="BS24" s="91" t="s">
        <v>95</v>
      </c>
      <c r="BT24" s="158">
        <f>B127</f>
        <v>1</v>
      </c>
      <c r="BU24" s="91" t="s">
        <v>60</v>
      </c>
      <c r="BV24" s="83" t="s">
        <v>436</v>
      </c>
      <c r="BW24" s="138">
        <f>B125</f>
        <v>5</v>
      </c>
      <c r="BX24" s="52" t="s">
        <v>80</v>
      </c>
      <c r="BY24" s="83" t="s">
        <v>433</v>
      </c>
      <c r="BZ24" s="150">
        <f>B114</f>
        <v>55</v>
      </c>
      <c r="CA24" s="83" t="s">
        <v>24</v>
      </c>
      <c r="CB24" s="83" t="s">
        <v>22</v>
      </c>
      <c r="CC24" s="137">
        <f>0.693/CC25</f>
        <v>4.3312499999999997E-4</v>
      </c>
      <c r="CE24" s="83" t="s">
        <v>22</v>
      </c>
      <c r="CF24" s="137">
        <f>0.693/CF25</f>
        <v>4.3312499999999997E-4</v>
      </c>
      <c r="CK24" s="52" t="s">
        <v>258</v>
      </c>
      <c r="CL24" s="136">
        <f>B29</f>
        <v>1.67911012348351E-3</v>
      </c>
      <c r="CM24" s="91" t="s">
        <v>10</v>
      </c>
      <c r="CN24" s="52" t="s">
        <v>20</v>
      </c>
      <c r="CO24" s="139">
        <f>CO26</f>
        <v>1.7000000000000001E-2</v>
      </c>
      <c r="CQ24" s="84" t="s">
        <v>170</v>
      </c>
      <c r="CR24" s="162">
        <f>B139</f>
        <v>2</v>
      </c>
      <c r="CS24" s="52" t="s">
        <v>28</v>
      </c>
      <c r="CT24" s="91" t="s">
        <v>277</v>
      </c>
      <c r="CU24" s="145">
        <f>FR2</f>
        <v>1.8050985967424268E-2</v>
      </c>
      <c r="CV24" s="92" t="s">
        <v>10</v>
      </c>
      <c r="CW24" s="52" t="s">
        <v>465</v>
      </c>
      <c r="CX24" s="138">
        <f>B166</f>
        <v>150</v>
      </c>
      <c r="CY24" s="52" t="s">
        <v>24</v>
      </c>
      <c r="CZ24" s="83" t="s">
        <v>45</v>
      </c>
      <c r="DA24" s="149">
        <f>(DA35*DA27*DA49)+(DA36*DA28*DA50)</f>
        <v>196.875</v>
      </c>
      <c r="DB24" s="52" t="s">
        <v>345</v>
      </c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128">
        <f>((HE26*HE42)*HE38*HE33*10^-3*HE32*HE27)/(HE31*HE41*(1-EXP(-HE27*HE32)))</f>
        <v>2.3965339146876825E-3</v>
      </c>
      <c r="HF24" s="221" t="s">
        <v>593</v>
      </c>
    </row>
    <row r="25" spans="1:214" ht="15" thickTop="1" x14ac:dyDescent="0.2">
      <c r="A25" s="83" t="s">
        <v>254</v>
      </c>
      <c r="B25" s="183">
        <v>5.52928</v>
      </c>
      <c r="C25" s="83" t="s">
        <v>351</v>
      </c>
      <c r="D25" s="83" t="s">
        <v>376</v>
      </c>
      <c r="E25" s="146">
        <f>B61</f>
        <v>0.23</v>
      </c>
      <c r="G25" s="83" t="s">
        <v>400</v>
      </c>
      <c r="H25" s="149">
        <f>(H29*H26*H68)+(H30*H27*H69)</f>
        <v>8250</v>
      </c>
      <c r="I25" s="92" t="s">
        <v>347</v>
      </c>
      <c r="J25" s="83" t="s">
        <v>446</v>
      </c>
      <c r="K25" s="149">
        <f>(K31*K26*K51)+(K32*K27*K52)</f>
        <v>8250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8.69452514216068E-4</v>
      </c>
      <c r="X25" s="62" t="s">
        <v>9</v>
      </c>
      <c r="Y25" s="202" t="s">
        <v>16</v>
      </c>
      <c r="Z25" s="187">
        <f>1/((1/Z41)+(1/Z40))</f>
        <v>8.69452514216068E-4</v>
      </c>
      <c r="AA25" s="63" t="s">
        <v>9</v>
      </c>
      <c r="AB25" s="91" t="s">
        <v>231</v>
      </c>
      <c r="AC25" s="136">
        <f>B30</f>
        <v>1600</v>
      </c>
      <c r="AD25" s="136">
        <f>B30</f>
        <v>1600</v>
      </c>
      <c r="AE25" s="136">
        <f>B30</f>
        <v>1600</v>
      </c>
      <c r="AF25" s="136">
        <f>B30</f>
        <v>1600</v>
      </c>
      <c r="AG25" s="136">
        <f>B30</f>
        <v>1600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B111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B118</f>
        <v>5</v>
      </c>
      <c r="CA25" s="94" t="s">
        <v>194</v>
      </c>
      <c r="CB25" s="91" t="s">
        <v>231</v>
      </c>
      <c r="CC25" s="136">
        <f>B30</f>
        <v>1600</v>
      </c>
      <c r="CD25" s="52" t="s">
        <v>60</v>
      </c>
      <c r="CE25" s="91" t="s">
        <v>231</v>
      </c>
      <c r="CF25" s="136">
        <f>B30</f>
        <v>1600</v>
      </c>
      <c r="CG25" s="52" t="s">
        <v>60</v>
      </c>
      <c r="CK25" s="52" t="s">
        <v>140</v>
      </c>
      <c r="CL25" s="138">
        <f>B113</f>
        <v>55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8625</v>
      </c>
      <c r="CV25" s="83" t="s">
        <v>346</v>
      </c>
      <c r="CW25" s="83" t="s">
        <v>475</v>
      </c>
      <c r="CX25" s="146">
        <f>B163</f>
        <v>0.15</v>
      </c>
      <c r="CZ25" s="83" t="s">
        <v>43</v>
      </c>
      <c r="DA25" s="140">
        <f>(DA35*DA29*(DA38/24)*DA49)+(DA36*DA30*(DA39/24)*DA50)</f>
        <v>1387.5</v>
      </c>
      <c r="DB25" s="83" t="s">
        <v>426</v>
      </c>
      <c r="DF25" s="52" t="s">
        <v>33</v>
      </c>
      <c r="DG25" s="136">
        <f>B44</f>
        <v>1.7000000000000001E-2</v>
      </c>
      <c r="DO25" s="83" t="s">
        <v>32</v>
      </c>
      <c r="DP25" s="136">
        <f>B43</f>
        <v>1.4800000000000001E-2</v>
      </c>
      <c r="EA25" s="83"/>
      <c r="EC25" s="84"/>
      <c r="ED25" s="83" t="s">
        <v>33</v>
      </c>
      <c r="EE25" s="136">
        <f>B44</f>
        <v>1.7000000000000001E-2</v>
      </c>
      <c r="EF25" s="84"/>
      <c r="EP25" s="83"/>
      <c r="ER25" s="84"/>
      <c r="ES25" s="83" t="s">
        <v>33</v>
      </c>
      <c r="ET25" s="136">
        <f>B44</f>
        <v>1.7000000000000001E-2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B44</f>
        <v>1.7000000000000001E-2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B44</f>
        <v>1.7000000000000001E-2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B44</f>
        <v>1.7000000000000001E-2</v>
      </c>
      <c r="HC25" s="84"/>
      <c r="HD25" s="89" t="s">
        <v>21</v>
      </c>
      <c r="HE25" s="150">
        <f>B46</f>
        <v>5</v>
      </c>
      <c r="HF25" s="83" t="s">
        <v>11</v>
      </c>
    </row>
    <row r="26" spans="1:214" ht="13.5" thickBot="1" x14ac:dyDescent="0.25">
      <c r="A26" s="83" t="s">
        <v>255</v>
      </c>
      <c r="B26" s="183">
        <v>8.8356399999999997</v>
      </c>
      <c r="C26" s="83" t="s">
        <v>351</v>
      </c>
      <c r="D26" s="83" t="s">
        <v>377</v>
      </c>
      <c r="E26" s="146">
        <f>B62</f>
        <v>0.77</v>
      </c>
      <c r="G26" s="83" t="s">
        <v>401</v>
      </c>
      <c r="H26" s="146">
        <f>B149</f>
        <v>55</v>
      </c>
      <c r="I26" s="92" t="s">
        <v>221</v>
      </c>
      <c r="J26" s="83" t="s">
        <v>399</v>
      </c>
      <c r="K26" s="146">
        <f>B57</f>
        <v>55</v>
      </c>
      <c r="L26" s="92" t="s">
        <v>221</v>
      </c>
      <c r="M26" s="83" t="s">
        <v>22</v>
      </c>
      <c r="N26" s="137">
        <f>0.693/N27</f>
        <v>4.3312499999999997E-4</v>
      </c>
      <c r="P26" s="83" t="s">
        <v>22</v>
      </c>
      <c r="Q26" s="137">
        <f>0.693/Q27</f>
        <v>4.3312499999999997E-4</v>
      </c>
      <c r="V26" s="201" t="s">
        <v>15</v>
      </c>
      <c r="W26" s="75">
        <f>1/((1/W38)+(1/W39))</f>
        <v>8.6926425058749771E-4</v>
      </c>
      <c r="X26" s="76" t="s">
        <v>9</v>
      </c>
      <c r="Y26" s="203" t="s">
        <v>15</v>
      </c>
      <c r="Z26" s="185">
        <f>1/((1/Z38)+(1/Z39))</f>
        <v>8.6926425058749771E-4</v>
      </c>
      <c r="AA26" s="77" t="s">
        <v>9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4.3312499999999997E-4</v>
      </c>
      <c r="AL26" s="83" t="s">
        <v>22</v>
      </c>
      <c r="AM26" s="137">
        <f>0.693/AM27</f>
        <v>4.3312499999999997E-4</v>
      </c>
      <c r="AR26" s="83" t="s">
        <v>22</v>
      </c>
      <c r="AS26" s="137">
        <f>0.693/AS27</f>
        <v>4.3312499999999997E-4</v>
      </c>
      <c r="AU26" s="83" t="s">
        <v>22</v>
      </c>
      <c r="AV26" s="137">
        <f>0.693/AV27</f>
        <v>4.3312499999999997E-4</v>
      </c>
      <c r="BA26" s="83" t="s">
        <v>22</v>
      </c>
      <c r="BB26" s="137">
        <f>0.693/BB27</f>
        <v>4.3312499999999997E-4</v>
      </c>
      <c r="BD26" s="83" t="s">
        <v>22</v>
      </c>
      <c r="BE26" s="137">
        <f>0.693/BE27</f>
        <v>4.3312499999999997E-4</v>
      </c>
      <c r="BJ26" s="83" t="s">
        <v>22</v>
      </c>
      <c r="BK26" s="137">
        <f>0.693/BK27</f>
        <v>4.3312499999999997E-4</v>
      </c>
      <c r="BM26" s="83" t="s">
        <v>22</v>
      </c>
      <c r="BN26" s="137">
        <f>0.693/BN27</f>
        <v>4.3312499999999997E-4</v>
      </c>
      <c r="BS26" s="91" t="s">
        <v>309</v>
      </c>
      <c r="BT26" s="177">
        <f>B112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B116</f>
        <v>5</v>
      </c>
      <c r="CA26" s="94" t="s">
        <v>194</v>
      </c>
      <c r="CB26" s="52" t="s">
        <v>140</v>
      </c>
      <c r="CC26" s="138">
        <f>B113</f>
        <v>55</v>
      </c>
      <c r="CD26" s="52" t="s">
        <v>24</v>
      </c>
      <c r="CE26" s="52" t="s">
        <v>140</v>
      </c>
      <c r="CF26" s="138">
        <f>B113</f>
        <v>55</v>
      </c>
      <c r="CG26" s="52" t="s">
        <v>24</v>
      </c>
      <c r="CK26" s="52" t="s">
        <v>160</v>
      </c>
      <c r="CL26" s="162">
        <f>B134</f>
        <v>3</v>
      </c>
      <c r="CM26" s="52" t="s">
        <v>221</v>
      </c>
      <c r="CN26" s="52" t="s">
        <v>33</v>
      </c>
      <c r="CO26" s="136">
        <f>B44</f>
        <v>1.7000000000000001E-2</v>
      </c>
      <c r="CT26" s="83" t="s">
        <v>506</v>
      </c>
      <c r="CU26" s="155">
        <f>((CU31*CU29*CU47)+(CU32*CU30*CU48))</f>
        <v>1387.5</v>
      </c>
      <c r="CV26" s="52" t="s">
        <v>426</v>
      </c>
      <c r="CW26" s="83" t="s">
        <v>476</v>
      </c>
      <c r="CX26" s="141">
        <f>B164</f>
        <v>0.85</v>
      </c>
      <c r="CY26" s="83"/>
      <c r="CZ26" s="83" t="s">
        <v>142</v>
      </c>
      <c r="DA26" s="149">
        <f>(DA35*DA40*DA42*DA49)+(DA36*DA41*DA43*DA50)</f>
        <v>570</v>
      </c>
      <c r="DB26" s="52" t="s">
        <v>356</v>
      </c>
      <c r="DO26" s="83" t="s">
        <v>393</v>
      </c>
      <c r="DP26" s="138">
        <f>B47</f>
        <v>0.26</v>
      </c>
      <c r="EA26" s="83"/>
      <c r="EB26" s="84"/>
      <c r="EC26" s="84"/>
      <c r="ED26" s="83" t="s">
        <v>392</v>
      </c>
      <c r="EE26" s="163">
        <f>B48</f>
        <v>0.25</v>
      </c>
      <c r="EF26" s="84"/>
      <c r="EP26" s="83"/>
      <c r="EQ26" s="84"/>
      <c r="ER26" s="84"/>
      <c r="ES26" s="83" t="s">
        <v>392</v>
      </c>
      <c r="ET26" s="163">
        <f>B48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B48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B48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B48</f>
        <v>0.25</v>
      </c>
      <c r="HC26" s="84"/>
      <c r="HD26" s="84" t="s">
        <v>265</v>
      </c>
      <c r="HE26" s="139">
        <f>H3</f>
        <v>0.45124371978843009</v>
      </c>
      <c r="HF26" s="83" t="s">
        <v>11</v>
      </c>
    </row>
    <row r="27" spans="1:214" ht="12.75" customHeight="1" thickTop="1" x14ac:dyDescent="0.2">
      <c r="A27" s="83" t="s">
        <v>256</v>
      </c>
      <c r="B27" s="183">
        <v>15429.68</v>
      </c>
      <c r="C27" s="83" t="s">
        <v>351</v>
      </c>
      <c r="G27" s="83" t="s">
        <v>402</v>
      </c>
      <c r="H27" s="146">
        <f>B60</f>
        <v>55</v>
      </c>
      <c r="I27" s="92" t="s">
        <v>221</v>
      </c>
      <c r="J27" s="83" t="s">
        <v>310</v>
      </c>
      <c r="K27" s="146">
        <f>B58</f>
        <v>55</v>
      </c>
      <c r="L27" s="92" t="s">
        <v>221</v>
      </c>
      <c r="M27" s="91" t="s">
        <v>231</v>
      </c>
      <c r="N27" s="136">
        <f>B30</f>
        <v>1600</v>
      </c>
      <c r="O27" s="52" t="s">
        <v>60</v>
      </c>
      <c r="P27" s="91" t="s">
        <v>231</v>
      </c>
      <c r="Q27" s="136">
        <f>B30</f>
        <v>1600</v>
      </c>
      <c r="R27" s="52" t="s">
        <v>60</v>
      </c>
      <c r="V27" s="52" t="s">
        <v>267</v>
      </c>
      <c r="W27" s="136">
        <f>B17</f>
        <v>1</v>
      </c>
      <c r="X27" s="52" t="s">
        <v>344</v>
      </c>
      <c r="Y27" s="52" t="s">
        <v>267</v>
      </c>
      <c r="Z27" s="136">
        <f>B17</f>
        <v>1</v>
      </c>
      <c r="AA27" s="52" t="s">
        <v>344</v>
      </c>
      <c r="AB27" s="84" t="s">
        <v>16</v>
      </c>
      <c r="AC27" s="156">
        <f>(AC23*AC24)/(1-EXP(-AC24*AC23))</f>
        <v>1.0002165781331087</v>
      </c>
      <c r="AD27" s="156">
        <f>(AD23*AD24)/(1-EXP(-AD24*AD23))</f>
        <v>1.0002165781331087</v>
      </c>
      <c r="AE27" s="156">
        <f>(AE23*AE24)/(1-EXP(-AE24*AE23))</f>
        <v>1.0002165781331087</v>
      </c>
      <c r="AF27" s="156">
        <f>(AF23*AF24)/(1-EXP(-AF24*AF23))</f>
        <v>1.0002165781331087</v>
      </c>
      <c r="AG27" s="156">
        <f>(AG23*AG24)/(1-EXP(-AG24*AG23))</f>
        <v>1.0002165781331087</v>
      </c>
      <c r="AI27" s="91" t="s">
        <v>231</v>
      </c>
      <c r="AJ27" s="136">
        <f>B30</f>
        <v>1600</v>
      </c>
      <c r="AK27" s="52" t="s">
        <v>60</v>
      </c>
      <c r="AL27" s="91" t="s">
        <v>231</v>
      </c>
      <c r="AM27" s="136">
        <f>B30</f>
        <v>1600</v>
      </c>
      <c r="AN27" s="52" t="s">
        <v>60</v>
      </c>
      <c r="AR27" s="91" t="s">
        <v>231</v>
      </c>
      <c r="AS27" s="136">
        <f>B30</f>
        <v>1600</v>
      </c>
      <c r="AT27" s="52" t="s">
        <v>60</v>
      </c>
      <c r="AU27" s="91" t="s">
        <v>231</v>
      </c>
      <c r="AV27" s="136">
        <f>B30</f>
        <v>1600</v>
      </c>
      <c r="AW27" s="52" t="s">
        <v>60</v>
      </c>
      <c r="BA27" s="91" t="s">
        <v>231</v>
      </c>
      <c r="BB27" s="136">
        <f>B30</f>
        <v>1600</v>
      </c>
      <c r="BC27" s="52" t="s">
        <v>60</v>
      </c>
      <c r="BD27" s="91" t="s">
        <v>231</v>
      </c>
      <c r="BE27" s="136">
        <f>B30</f>
        <v>1600</v>
      </c>
      <c r="BF27" s="52" t="s">
        <v>60</v>
      </c>
      <c r="BJ27" s="91" t="s">
        <v>231</v>
      </c>
      <c r="BK27" s="136">
        <f>B30</f>
        <v>1600</v>
      </c>
      <c r="BL27" s="52" t="s">
        <v>60</v>
      </c>
      <c r="BM27" s="91" t="s">
        <v>231</v>
      </c>
      <c r="BN27" s="136">
        <f>B30</f>
        <v>1600</v>
      </c>
      <c r="BO27" s="52" t="s">
        <v>60</v>
      </c>
      <c r="BT27" s="90"/>
      <c r="BW27" s="138">
        <v>1000</v>
      </c>
      <c r="BX27" s="52" t="s">
        <v>218</v>
      </c>
      <c r="BY27" s="83" t="s">
        <v>90</v>
      </c>
      <c r="BZ27" s="150">
        <f>B117</f>
        <v>5</v>
      </c>
      <c r="CA27" s="52" t="s">
        <v>194</v>
      </c>
      <c r="CB27" s="52" t="s">
        <v>51</v>
      </c>
      <c r="CC27" s="138">
        <f>B127</f>
        <v>1</v>
      </c>
      <c r="CD27" s="52" t="s">
        <v>146</v>
      </c>
      <c r="CE27" s="52" t="s">
        <v>51</v>
      </c>
      <c r="CF27" s="138">
        <f>B127</f>
        <v>1</v>
      </c>
      <c r="CG27" s="52" t="s">
        <v>146</v>
      </c>
      <c r="CN27" s="52" t="s">
        <v>392</v>
      </c>
      <c r="CO27" s="162">
        <f>B48</f>
        <v>0.25</v>
      </c>
      <c r="CT27" s="83" t="s">
        <v>449</v>
      </c>
      <c r="CU27" s="146">
        <f>B141</f>
        <v>100</v>
      </c>
      <c r="CV27" s="84" t="s">
        <v>48</v>
      </c>
      <c r="CZ27" s="92" t="s">
        <v>451</v>
      </c>
      <c r="DA27" s="142">
        <f t="shared" ref="DA27:DA34" si="0">B143</f>
        <v>0.25</v>
      </c>
      <c r="DB27" s="83" t="s">
        <v>28</v>
      </c>
      <c r="DW27" s="88"/>
      <c r="DX27" s="88"/>
      <c r="DY27" s="88"/>
      <c r="DZ27" s="88"/>
      <c r="EA27" s="83"/>
      <c r="EB27" s="85"/>
      <c r="ED27" s="83" t="s">
        <v>517</v>
      </c>
      <c r="EE27" s="136">
        <f>B36</f>
        <v>3.8000000000000002E-4</v>
      </c>
      <c r="EF27" s="52" t="s">
        <v>601</v>
      </c>
      <c r="EP27" s="83"/>
      <c r="EQ27" s="86"/>
      <c r="ES27" s="83" t="s">
        <v>236</v>
      </c>
      <c r="ET27" s="169">
        <f>B37</f>
        <v>1.6999999999999999E-3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B39</f>
        <v>0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B38</f>
        <v>0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B40</f>
        <v>0</v>
      </c>
      <c r="HC27" s="52" t="s">
        <v>388</v>
      </c>
      <c r="HD27" s="83" t="s">
        <v>22</v>
      </c>
      <c r="HE27" s="137">
        <f>0.693/HE29</f>
        <v>4.3312499999999997E-4</v>
      </c>
    </row>
    <row r="28" spans="1:214" x14ac:dyDescent="0.2">
      <c r="A28" s="91" t="s">
        <v>257</v>
      </c>
      <c r="B28" s="183">
        <v>33.437199999999997</v>
      </c>
      <c r="C28" s="84" t="s">
        <v>259</v>
      </c>
      <c r="G28" s="83" t="s">
        <v>65</v>
      </c>
      <c r="H28" s="141">
        <f>B75</f>
        <v>0.5</v>
      </c>
      <c r="I28" s="52" t="s">
        <v>66</v>
      </c>
      <c r="J28" s="83" t="s">
        <v>447</v>
      </c>
      <c r="K28" s="149">
        <f>(K31*K29*K51)+(K32*K30*K52)</f>
        <v>8250</v>
      </c>
      <c r="L28" s="92" t="s">
        <v>347</v>
      </c>
      <c r="M28" s="52" t="s">
        <v>382</v>
      </c>
      <c r="N28" s="138">
        <f>B68</f>
        <v>150</v>
      </c>
      <c r="O28" s="52" t="s">
        <v>24</v>
      </c>
      <c r="P28" s="52" t="s">
        <v>382</v>
      </c>
      <c r="Q28" s="138">
        <f>B68</f>
        <v>150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B237</f>
        <v>125</v>
      </c>
      <c r="AK28" s="52" t="s">
        <v>24</v>
      </c>
      <c r="AL28" s="52" t="s">
        <v>35</v>
      </c>
      <c r="AM28" s="138">
        <f>B237</f>
        <v>125</v>
      </c>
      <c r="AN28" s="52" t="s">
        <v>24</v>
      </c>
      <c r="AR28" s="52" t="s">
        <v>423</v>
      </c>
      <c r="AS28" s="138">
        <f>B247</f>
        <v>125</v>
      </c>
      <c r="AT28" s="52" t="s">
        <v>24</v>
      </c>
      <c r="AU28" s="52" t="s">
        <v>423</v>
      </c>
      <c r="AV28" s="138">
        <f>B247</f>
        <v>125</v>
      </c>
      <c r="AW28" s="52" t="s">
        <v>24</v>
      </c>
      <c r="BA28" s="52" t="s">
        <v>316</v>
      </c>
      <c r="BB28" s="138">
        <f>B227</f>
        <v>125</v>
      </c>
      <c r="BC28" s="52" t="s">
        <v>24</v>
      </c>
      <c r="BD28" s="52" t="s">
        <v>316</v>
      </c>
      <c r="BE28" s="138">
        <f>B227</f>
        <v>125</v>
      </c>
      <c r="BF28" s="52" t="s">
        <v>24</v>
      </c>
      <c r="BJ28" s="52" t="s">
        <v>191</v>
      </c>
      <c r="BK28" s="138">
        <f>BK29*BK30</f>
        <v>75</v>
      </c>
      <c r="BL28" s="52" t="s">
        <v>24</v>
      </c>
      <c r="BM28" s="52" t="s">
        <v>191</v>
      </c>
      <c r="BN28" s="138">
        <f>BN29*BN30</f>
        <v>75</v>
      </c>
      <c r="BO28" s="52" t="s">
        <v>24</v>
      </c>
      <c r="BS28" s="96"/>
      <c r="BV28" s="83"/>
      <c r="BW28" s="146">
        <v>365</v>
      </c>
      <c r="BX28" s="84" t="s">
        <v>24</v>
      </c>
      <c r="BY28" s="83" t="s">
        <v>302</v>
      </c>
      <c r="BZ28" s="161">
        <f>B3</f>
        <v>0.124</v>
      </c>
      <c r="CB28" s="52" t="s">
        <v>300</v>
      </c>
      <c r="CC28" s="136">
        <f>B12</f>
        <v>3.44E-2</v>
      </c>
      <c r="CE28" s="52" t="s">
        <v>300</v>
      </c>
      <c r="CF28" s="136">
        <f>B8</f>
        <v>6.8599999999999994E-2</v>
      </c>
      <c r="CN28" s="52" t="s">
        <v>165</v>
      </c>
      <c r="CO28" s="162">
        <f>B135</f>
        <v>2</v>
      </c>
      <c r="CP28" s="52" t="s">
        <v>246</v>
      </c>
      <c r="CT28" s="83" t="s">
        <v>458</v>
      </c>
      <c r="CU28" s="146">
        <f>B142</f>
        <v>50</v>
      </c>
      <c r="CV28" s="84" t="s">
        <v>48</v>
      </c>
      <c r="CZ28" s="92" t="s">
        <v>460</v>
      </c>
      <c r="DA28" s="142">
        <f t="shared" si="0"/>
        <v>1.5</v>
      </c>
      <c r="DB28" s="83" t="s">
        <v>28</v>
      </c>
      <c r="DW28" s="88"/>
      <c r="DX28" s="88"/>
      <c r="DY28" s="88"/>
      <c r="DZ28" s="88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D28" s="52" t="s">
        <v>16</v>
      </c>
      <c r="HE28" s="123">
        <f>1-EXP(-HE27*HE32)</f>
        <v>4.3303121490789742E-4</v>
      </c>
    </row>
    <row r="29" spans="1:214" ht="15.75" thickBot="1" x14ac:dyDescent="0.25">
      <c r="A29" s="83" t="s">
        <v>258</v>
      </c>
      <c r="B29" s="183">
        <v>1.67911012348351E-3</v>
      </c>
      <c r="C29" s="92" t="s">
        <v>259</v>
      </c>
      <c r="G29" s="83" t="s">
        <v>380</v>
      </c>
      <c r="H29" s="150">
        <f>B66</f>
        <v>150</v>
      </c>
      <c r="I29" s="83" t="s">
        <v>24</v>
      </c>
      <c r="J29" s="83" t="s">
        <v>401</v>
      </c>
      <c r="K29" s="146">
        <f>B59</f>
        <v>55</v>
      </c>
      <c r="L29" s="92" t="s">
        <v>221</v>
      </c>
      <c r="M29" s="52" t="s">
        <v>379</v>
      </c>
      <c r="N29" s="138">
        <f>B65</f>
        <v>1</v>
      </c>
      <c r="O29" s="52" t="s">
        <v>146</v>
      </c>
      <c r="P29" s="52" t="s">
        <v>379</v>
      </c>
      <c r="Q29" s="138">
        <f>B65</f>
        <v>1</v>
      </c>
      <c r="R29" s="52" t="s">
        <v>146</v>
      </c>
      <c r="V29" s="83" t="s">
        <v>22</v>
      </c>
      <c r="W29" s="137">
        <f>0.693/W30</f>
        <v>4.3312499999999997E-4</v>
      </c>
      <c r="Y29" s="83" t="s">
        <v>22</v>
      </c>
      <c r="Z29" s="137">
        <f>0.693/Z30</f>
        <v>4.3312499999999997E-4</v>
      </c>
      <c r="AB29" s="83" t="s">
        <v>260</v>
      </c>
      <c r="AC29" s="143">
        <f>(AC5/(AC8*AC13*AC7*AC9*(1/AC6)))*AC27</f>
        <v>154.47360280048011</v>
      </c>
      <c r="AD29" s="143">
        <f>(AD5/(AD8*AD13*AD7*AD9*(1/AD6)))*AD27</f>
        <v>154.47360280048011</v>
      </c>
      <c r="AE29" s="143">
        <f>(AE5/(AE8*AE13*AE7*AE9*(1/AE6)))*AE27</f>
        <v>154.47360280048011</v>
      </c>
      <c r="AF29" s="143">
        <f>(AF5*AF23*AF24)/((1-EXP(-AF24*AF23))*AF8*AF7*AF9*AF13*(1/AF28))</f>
        <v>38.618400700120027</v>
      </c>
      <c r="AG29" s="143">
        <f>(AG5*AG23*AG24)/((1-EXP(-AG24*AG23))*AG8*AG7*AG9*AG13*(1/AG28))</f>
        <v>38.618400700120027</v>
      </c>
      <c r="AH29" s="83" t="s">
        <v>10</v>
      </c>
      <c r="AI29" s="52" t="s">
        <v>420</v>
      </c>
      <c r="AJ29" s="138">
        <f>B238</f>
        <v>1</v>
      </c>
      <c r="AK29" s="52" t="s">
        <v>146</v>
      </c>
      <c r="AL29" s="52" t="s">
        <v>420</v>
      </c>
      <c r="AM29" s="138">
        <f>B238</f>
        <v>1</v>
      </c>
      <c r="AN29" s="52" t="s">
        <v>146</v>
      </c>
      <c r="AR29" s="52" t="s">
        <v>424</v>
      </c>
      <c r="AS29" s="138">
        <f>B248</f>
        <v>1</v>
      </c>
      <c r="AT29" s="52" t="s">
        <v>146</v>
      </c>
      <c r="AU29" s="52" t="s">
        <v>424</v>
      </c>
      <c r="AV29" s="138">
        <f>B248</f>
        <v>1</v>
      </c>
      <c r="AW29" s="52" t="s">
        <v>146</v>
      </c>
      <c r="BA29" s="52" t="s">
        <v>422</v>
      </c>
      <c r="BB29" s="138">
        <f>B228</f>
        <v>1</v>
      </c>
      <c r="BC29" s="52" t="s">
        <v>146</v>
      </c>
      <c r="BD29" s="52" t="s">
        <v>422</v>
      </c>
      <c r="BE29" s="138">
        <f>B228</f>
        <v>1</v>
      </c>
      <c r="BF29" s="52" t="s">
        <v>146</v>
      </c>
      <c r="BJ29" s="52" t="s">
        <v>220</v>
      </c>
      <c r="BK29" s="138">
        <f>B266</f>
        <v>25</v>
      </c>
      <c r="BL29" s="52" t="s">
        <v>113</v>
      </c>
      <c r="BM29" s="52" t="s">
        <v>220</v>
      </c>
      <c r="BN29" s="138">
        <f>B266</f>
        <v>25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61">
        <f>B4</f>
        <v>0.79200000000000004</v>
      </c>
      <c r="CB29" s="52" t="s">
        <v>411</v>
      </c>
      <c r="CC29" s="136">
        <f>B13</f>
        <v>3.44E-2</v>
      </c>
      <c r="CE29" s="52" t="s">
        <v>418</v>
      </c>
      <c r="CF29" s="136">
        <f>B9</f>
        <v>0.73699999999999999</v>
      </c>
      <c r="CN29" s="52" t="s">
        <v>166</v>
      </c>
      <c r="CO29" s="162">
        <f>B136</f>
        <v>2</v>
      </c>
      <c r="CP29" s="52" t="s">
        <v>246</v>
      </c>
      <c r="CT29" s="83" t="s">
        <v>450</v>
      </c>
      <c r="CU29" s="141">
        <f>B145</f>
        <v>5</v>
      </c>
      <c r="CV29" s="92" t="s">
        <v>407</v>
      </c>
      <c r="CZ29" s="92" t="s">
        <v>450</v>
      </c>
      <c r="DA29" s="142">
        <f t="shared" si="0"/>
        <v>5</v>
      </c>
      <c r="DB29" s="83" t="s">
        <v>143</v>
      </c>
      <c r="DW29" s="88"/>
      <c r="DX29" s="88"/>
      <c r="DY29" s="88"/>
      <c r="DZ29" s="8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B30</f>
        <v>1600</v>
      </c>
      <c r="HF29" s="52" t="s">
        <v>60</v>
      </c>
    </row>
    <row r="30" spans="1:214" ht="19.5" thickTop="1" thickBot="1" x14ac:dyDescent="0.25">
      <c r="A30" s="91" t="s">
        <v>231</v>
      </c>
      <c r="B30" s="183">
        <v>1600</v>
      </c>
      <c r="C30" s="52" t="s">
        <v>235</v>
      </c>
      <c r="D30" s="353" t="s">
        <v>528</v>
      </c>
      <c r="E30" s="354"/>
      <c r="F30" s="355"/>
      <c r="G30" s="83" t="s">
        <v>381</v>
      </c>
      <c r="H30" s="150">
        <f>B67</f>
        <v>150</v>
      </c>
      <c r="I30" s="83" t="s">
        <v>24</v>
      </c>
      <c r="J30" s="83" t="s">
        <v>402</v>
      </c>
      <c r="K30" s="146">
        <f>B60</f>
        <v>55</v>
      </c>
      <c r="L30" s="92" t="s">
        <v>221</v>
      </c>
      <c r="M30" s="52" t="s">
        <v>299</v>
      </c>
      <c r="N30" s="138">
        <f>B73</f>
        <v>1</v>
      </c>
      <c r="P30" s="52" t="s">
        <v>299</v>
      </c>
      <c r="Q30" s="138">
        <f>B73</f>
        <v>1</v>
      </c>
      <c r="V30" s="91" t="s">
        <v>231</v>
      </c>
      <c r="W30" s="136">
        <f>B30</f>
        <v>1600</v>
      </c>
      <c r="X30" s="52" t="s">
        <v>60</v>
      </c>
      <c r="Y30" s="91" t="s">
        <v>231</v>
      </c>
      <c r="Z30" s="136">
        <f>B30</f>
        <v>1600</v>
      </c>
      <c r="AA30" s="52" t="s">
        <v>60</v>
      </c>
      <c r="AB30" s="83" t="s">
        <v>261</v>
      </c>
      <c r="AC30" s="144">
        <f>(AC5/(AC19*AC15*AC7*AC9*(1/AC32)*((8/1)/(24/1))*AC28))*AC27</f>
        <v>17154.579512423992</v>
      </c>
      <c r="AD30" s="144">
        <f>(AD5/(AD19*AD15*AD7*((8/1)/(24/1))*AD9*(1/AD32)*AD28))*AD27</f>
        <v>17154.579512423992</v>
      </c>
      <c r="AE30" s="144">
        <f>(AE5/(AE19*AE15*AE7*((8/1)/(24/1))*AE9*(1/AE32)*AE28))*AE27</f>
        <v>17154.579512423992</v>
      </c>
      <c r="AF30" s="144">
        <f>(AF5*AF23*AF24)/((1-EXP(-AF24*AF23))*AF19*AF7*AF9*(AF12/24)*AF15*(1/AF33)*AF28)</f>
        <v>15.671287326330564</v>
      </c>
      <c r="AG30" s="144">
        <f>(AG5*AG23*AG24)/((1-EXP(-AG24*AG23))*AG19*AG7*AG9*(AG12/24)*AG15*(1/AG34)*AG28)</f>
        <v>1404.4778983193098</v>
      </c>
      <c r="AH30" s="83" t="s">
        <v>10</v>
      </c>
      <c r="AI30" s="52" t="s">
        <v>299</v>
      </c>
      <c r="AJ30" s="138">
        <f>B241</f>
        <v>1</v>
      </c>
      <c r="AL30" s="52" t="s">
        <v>299</v>
      </c>
      <c r="AM30" s="138">
        <f>B241</f>
        <v>1</v>
      </c>
      <c r="AR30" s="52" t="s">
        <v>299</v>
      </c>
      <c r="AS30" s="138">
        <f>B251</f>
        <v>1</v>
      </c>
      <c r="AV30" s="138"/>
      <c r="BA30" s="52" t="s">
        <v>299</v>
      </c>
      <c r="BB30" s="138">
        <f>B231</f>
        <v>1</v>
      </c>
      <c r="BD30" s="52" t="s">
        <v>299</v>
      </c>
      <c r="BE30" s="138">
        <f>B231</f>
        <v>1</v>
      </c>
      <c r="BJ30" s="52" t="s">
        <v>219</v>
      </c>
      <c r="BK30" s="138">
        <f>B265</f>
        <v>3</v>
      </c>
      <c r="BL30" s="52" t="s">
        <v>112</v>
      </c>
      <c r="BM30" s="52" t="s">
        <v>219</v>
      </c>
      <c r="BN30" s="138">
        <f>B265</f>
        <v>3</v>
      </c>
      <c r="BO30" s="52" t="s">
        <v>112</v>
      </c>
      <c r="BS30" s="91"/>
      <c r="BT30" s="97"/>
      <c r="BU30" s="91"/>
      <c r="BV30" s="91" t="s">
        <v>308</v>
      </c>
      <c r="BW30" s="146">
        <f>B111</f>
        <v>0.23</v>
      </c>
      <c r="BY30" s="94" t="s">
        <v>95</v>
      </c>
      <c r="BZ30" s="150">
        <f>B127</f>
        <v>1</v>
      </c>
      <c r="CA30" s="94" t="s">
        <v>60</v>
      </c>
      <c r="CB30" s="52" t="s">
        <v>90</v>
      </c>
      <c r="CC30" s="138">
        <f>B118</f>
        <v>5</v>
      </c>
      <c r="CD30" s="52" t="s">
        <v>194</v>
      </c>
      <c r="CE30" s="52" t="s">
        <v>90</v>
      </c>
      <c r="CF30" s="138">
        <f>B118</f>
        <v>5</v>
      </c>
      <c r="CG30" s="52" t="s">
        <v>194</v>
      </c>
      <c r="CM30" s="83"/>
      <c r="CN30" s="93" t="s">
        <v>167</v>
      </c>
      <c r="CO30" s="162">
        <f>B137</f>
        <v>2</v>
      </c>
      <c r="CP30" s="52" t="s">
        <v>41</v>
      </c>
      <c r="CQ30" s="88"/>
      <c r="CR30" s="83"/>
      <c r="CS30" s="83"/>
      <c r="CT30" s="83" t="s">
        <v>459</v>
      </c>
      <c r="CU30" s="141">
        <f>B146</f>
        <v>10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10</v>
      </c>
      <c r="DB30" s="83" t="s">
        <v>143</v>
      </c>
      <c r="DW30" s="88"/>
      <c r="DX30" s="88"/>
      <c r="DY30" s="88"/>
      <c r="DZ30" s="8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B93</f>
        <v>0.3</v>
      </c>
    </row>
    <row r="31" spans="1:214" x14ac:dyDescent="0.2">
      <c r="A31" s="91" t="s">
        <v>77</v>
      </c>
      <c r="B31" s="183">
        <f>PEF!D3</f>
        <v>1359344473.5814338</v>
      </c>
      <c r="C31" s="52" t="s">
        <v>524</v>
      </c>
      <c r="D31" s="323" t="s">
        <v>530</v>
      </c>
      <c r="E31" s="347">
        <f>E38</f>
        <v>0.11343877200920292</v>
      </c>
      <c r="F31" s="345" t="s">
        <v>10</v>
      </c>
      <c r="G31" s="83" t="s">
        <v>379</v>
      </c>
      <c r="H31" s="150">
        <f>B65</f>
        <v>1</v>
      </c>
      <c r="I31" s="84" t="s">
        <v>60</v>
      </c>
      <c r="J31" s="83" t="s">
        <v>380</v>
      </c>
      <c r="K31" s="150">
        <f>B66</f>
        <v>150</v>
      </c>
      <c r="L31" s="83" t="s">
        <v>24</v>
      </c>
      <c r="M31" s="52" t="s">
        <v>300</v>
      </c>
      <c r="N31" s="136">
        <f>B12</f>
        <v>3.44E-2</v>
      </c>
      <c r="P31" s="52" t="s">
        <v>300</v>
      </c>
      <c r="Q31" s="136">
        <f>B8</f>
        <v>6.8599999999999994E-2</v>
      </c>
      <c r="V31" s="52" t="s">
        <v>35</v>
      </c>
      <c r="W31" s="138">
        <f>B237</f>
        <v>125</v>
      </c>
      <c r="X31" s="52" t="s">
        <v>24</v>
      </c>
      <c r="Y31" s="52" t="s">
        <v>191</v>
      </c>
      <c r="Z31" s="138">
        <f>B257</f>
        <v>125</v>
      </c>
      <c r="AA31" s="52" t="s">
        <v>24</v>
      </c>
      <c r="AB31" s="83" t="s">
        <v>262</v>
      </c>
      <c r="AC31" s="145">
        <f>(AC5*AC23*AC24)/((1-EXP(-AC24*AC23))*AC18*AC7*(1/365)*AC12*(1/24)*AC14*AC17)</f>
        <v>8.5593387982632123</v>
      </c>
      <c r="AD31" s="145">
        <f>(AD5*AD23*AD24)/((1-EXP(-AD24*AD23))*AD18*AD7*(1/365)*AD12*(1/24)*AD16*AD17)</f>
        <v>1.0613580109846383</v>
      </c>
      <c r="AE31" s="145">
        <f>(AE5*AE23*AE24)/((1-EXP(-AE24*AE23))*AE18*AE7*(1/365)*AE12*(1/24)*AE14*AE17)</f>
        <v>8.5593387982632123</v>
      </c>
      <c r="AF31" s="145">
        <f>(AF5*AF23*AF24)/((1-EXP(-AF24*AF23))*AF18*(AF11*AF10)*(1/365)*AF12*(1/24)*AF14*AF17)</f>
        <v>22.824903462035234</v>
      </c>
      <c r="AG31" s="145">
        <f>(AG5*AG23*AG24)/((1-EXP(-AG24*AG23))*AG18*AG7*(1/365)*AG9*(AG12/24)*AG14*AG17)</f>
        <v>13.694942077221139</v>
      </c>
      <c r="AH31" s="83" t="s">
        <v>10</v>
      </c>
      <c r="AI31" s="52" t="s">
        <v>300</v>
      </c>
      <c r="AJ31" s="136">
        <f>B12</f>
        <v>3.44E-2</v>
      </c>
      <c r="AL31" s="52" t="s">
        <v>300</v>
      </c>
      <c r="AM31" s="136">
        <f>B8</f>
        <v>6.8599999999999994E-2</v>
      </c>
      <c r="AR31" s="52" t="s">
        <v>300</v>
      </c>
      <c r="AS31" s="136">
        <f>B12</f>
        <v>3.44E-2</v>
      </c>
      <c r="AU31" s="52" t="s">
        <v>300</v>
      </c>
      <c r="AV31" s="136">
        <f>B8</f>
        <v>6.8599999999999994E-2</v>
      </c>
      <c r="BA31" s="52" t="s">
        <v>300</v>
      </c>
      <c r="BB31" s="136">
        <f>B12</f>
        <v>3.44E-2</v>
      </c>
      <c r="BD31" s="52" t="s">
        <v>300</v>
      </c>
      <c r="BE31" s="136">
        <f>B8</f>
        <v>6.8599999999999994E-2</v>
      </c>
      <c r="BJ31" s="52" t="s">
        <v>158</v>
      </c>
      <c r="BK31" s="138">
        <f>B258</f>
        <v>1</v>
      </c>
      <c r="BL31" s="52" t="s">
        <v>146</v>
      </c>
      <c r="BM31" s="52" t="s">
        <v>158</v>
      </c>
      <c r="BN31" s="138">
        <f>B258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B112</f>
        <v>0.77</v>
      </c>
      <c r="BZ31" s="150">
        <v>365</v>
      </c>
      <c r="CA31" s="52" t="s">
        <v>24</v>
      </c>
      <c r="CB31" s="52" t="s">
        <v>410</v>
      </c>
      <c r="CC31" s="139">
        <f>B23</f>
        <v>1.9522299999999999</v>
      </c>
      <c r="CD31" s="84" t="s">
        <v>353</v>
      </c>
      <c r="CE31" s="52" t="s">
        <v>419</v>
      </c>
      <c r="CF31" s="139">
        <f>B25</f>
        <v>5.52928</v>
      </c>
      <c r="CG31" s="84" t="s">
        <v>353</v>
      </c>
      <c r="CM31" s="83"/>
      <c r="CN31" s="83" t="s">
        <v>168</v>
      </c>
      <c r="CO31" s="162">
        <f>B138</f>
        <v>2</v>
      </c>
      <c r="CP31" s="52" t="s">
        <v>41</v>
      </c>
      <c r="CQ31" s="83"/>
      <c r="CR31" s="83"/>
      <c r="CS31" s="83"/>
      <c r="CT31" s="83" t="s">
        <v>456</v>
      </c>
      <c r="CU31" s="150">
        <f>B165</f>
        <v>150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55</v>
      </c>
      <c r="DB31" s="83" t="s">
        <v>221</v>
      </c>
      <c r="DW31" s="88"/>
      <c r="DX31" s="88"/>
      <c r="DY31" s="88"/>
      <c r="DZ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B94</f>
        <v>1.5</v>
      </c>
    </row>
    <row r="32" spans="1:214" ht="13.5" thickBot="1" x14ac:dyDescent="0.25">
      <c r="A32" s="91" t="s">
        <v>103</v>
      </c>
      <c r="B32" s="183">
        <f>PEF!G3</f>
        <v>776129.4078035407</v>
      </c>
      <c r="C32" s="52" t="s">
        <v>524</v>
      </c>
      <c r="D32" s="324"/>
      <c r="E32" s="348"/>
      <c r="F32" s="346"/>
      <c r="G32" s="52" t="s">
        <v>403</v>
      </c>
      <c r="H32" s="138">
        <f>B69</f>
        <v>0.25</v>
      </c>
      <c r="I32" s="52" t="s">
        <v>89</v>
      </c>
      <c r="J32" s="83" t="s">
        <v>381</v>
      </c>
      <c r="K32" s="150">
        <f>B67</f>
        <v>150</v>
      </c>
      <c r="L32" s="83" t="s">
        <v>24</v>
      </c>
      <c r="M32" s="52" t="s">
        <v>54</v>
      </c>
      <c r="N32" s="136">
        <f>B13</f>
        <v>3.44E-2</v>
      </c>
      <c r="P32" s="52" t="s">
        <v>54</v>
      </c>
      <c r="Q32" s="136">
        <f>B9</f>
        <v>0.73699999999999999</v>
      </c>
      <c r="V32" s="52" t="s">
        <v>420</v>
      </c>
      <c r="W32" s="138">
        <f>B238</f>
        <v>1</v>
      </c>
      <c r="X32" s="52" t="s">
        <v>146</v>
      </c>
      <c r="Y32" s="52" t="s">
        <v>158</v>
      </c>
      <c r="Z32" s="138">
        <f>B258</f>
        <v>1</v>
      </c>
      <c r="AA32" s="52" t="s">
        <v>146</v>
      </c>
      <c r="AB32" s="83" t="s">
        <v>77</v>
      </c>
      <c r="AC32" s="136">
        <f>B31</f>
        <v>1359344473.5814338</v>
      </c>
      <c r="AD32" s="136">
        <f>B31</f>
        <v>1359344473.5814338</v>
      </c>
      <c r="AE32" s="136">
        <f>B31</f>
        <v>1359344473.5814338</v>
      </c>
      <c r="AF32" s="136"/>
      <c r="AG32" s="136"/>
      <c r="AH32" s="104" t="s">
        <v>78</v>
      </c>
      <c r="AI32" s="52" t="s">
        <v>54</v>
      </c>
      <c r="AJ32" s="136">
        <f>B13</f>
        <v>3.44E-2</v>
      </c>
      <c r="AL32" s="52" t="s">
        <v>54</v>
      </c>
      <c r="AM32" s="136">
        <f>B9</f>
        <v>0.73699999999999999</v>
      </c>
      <c r="AR32" s="52" t="s">
        <v>54</v>
      </c>
      <c r="AS32" s="136">
        <f>B13</f>
        <v>3.44E-2</v>
      </c>
      <c r="AU32" s="52" t="s">
        <v>54</v>
      </c>
      <c r="AV32" s="136">
        <f>B9</f>
        <v>0.73699999999999999</v>
      </c>
      <c r="BA32" s="52" t="s">
        <v>54</v>
      </c>
      <c r="BB32" s="136">
        <f>B13</f>
        <v>3.44E-2</v>
      </c>
      <c r="BD32" s="52" t="s">
        <v>54</v>
      </c>
      <c r="BE32" s="136">
        <f>B9</f>
        <v>0.73699999999999999</v>
      </c>
      <c r="BJ32" s="52" t="s">
        <v>300</v>
      </c>
      <c r="BK32" s="136">
        <f>B12</f>
        <v>3.44E-2</v>
      </c>
      <c r="BM32" s="52" t="s">
        <v>300</v>
      </c>
      <c r="BN32" s="136">
        <f>B8</f>
        <v>6.8599999999999994E-2</v>
      </c>
      <c r="BS32" s="91"/>
      <c r="BT32" s="99"/>
      <c r="BU32" s="100"/>
      <c r="BW32" s="90"/>
      <c r="BZ32" s="138">
        <v>1000</v>
      </c>
      <c r="CA32" s="52" t="s">
        <v>99</v>
      </c>
      <c r="CM32" s="83"/>
      <c r="CN32" s="83" t="s">
        <v>22</v>
      </c>
      <c r="CO32" s="137">
        <f>0.693/CO33</f>
        <v>4.3312499999999997E-4</v>
      </c>
      <c r="CR32" s="83"/>
      <c r="CS32" s="83"/>
      <c r="CT32" s="83" t="s">
        <v>465</v>
      </c>
      <c r="CU32" s="150">
        <f>B166</f>
        <v>150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55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15" customHeight="1" thickTop="1" x14ac:dyDescent="0.2">
      <c r="A33" s="91" t="s">
        <v>104</v>
      </c>
      <c r="B33" s="183">
        <f>PEF!J3</f>
        <v>69557565.807898715</v>
      </c>
      <c r="C33" s="52" t="s">
        <v>524</v>
      </c>
      <c r="D33" s="83" t="s">
        <v>267</v>
      </c>
      <c r="E33" s="136">
        <f>B17</f>
        <v>1</v>
      </c>
      <c r="F33" s="52" t="s">
        <v>344</v>
      </c>
      <c r="G33" s="52" t="s">
        <v>404</v>
      </c>
      <c r="H33" s="138">
        <f>B70</f>
        <v>0.75</v>
      </c>
      <c r="I33" s="52" t="s">
        <v>89</v>
      </c>
      <c r="J33" s="83" t="s">
        <v>379</v>
      </c>
      <c r="K33" s="141">
        <f>B65</f>
        <v>1</v>
      </c>
      <c r="L33" s="92" t="s">
        <v>60</v>
      </c>
      <c r="M33" s="52" t="s">
        <v>408</v>
      </c>
      <c r="N33" s="150">
        <f>B88</f>
        <v>5</v>
      </c>
      <c r="O33" s="52" t="s">
        <v>194</v>
      </c>
      <c r="P33" s="52" t="s">
        <v>408</v>
      </c>
      <c r="Q33" s="150">
        <f>B88</f>
        <v>5</v>
      </c>
      <c r="R33" s="52" t="s">
        <v>194</v>
      </c>
      <c r="V33" s="52" t="s">
        <v>247</v>
      </c>
      <c r="W33" s="139">
        <f>B18</f>
        <v>3.8043873993229303E-2</v>
      </c>
      <c r="X33" s="84" t="s">
        <v>39</v>
      </c>
      <c r="Y33" s="52" t="s">
        <v>247</v>
      </c>
      <c r="Z33" s="139">
        <f>B18</f>
        <v>3.8043873993229303E-2</v>
      </c>
      <c r="AA33" s="84" t="s">
        <v>39</v>
      </c>
      <c r="AB33" s="104" t="s">
        <v>103</v>
      </c>
      <c r="AC33" s="136"/>
      <c r="AD33" s="136"/>
      <c r="AE33" s="136"/>
      <c r="AF33" s="157">
        <f>B32</f>
        <v>776129.4078035407</v>
      </c>
      <c r="AG33" s="136"/>
      <c r="AH33" s="104" t="s">
        <v>78</v>
      </c>
      <c r="AI33" s="52" t="s">
        <v>57</v>
      </c>
      <c r="AJ33" s="136">
        <f>B242</f>
        <v>5</v>
      </c>
      <c r="AK33" s="52" t="s">
        <v>194</v>
      </c>
      <c r="AL33" s="52" t="s">
        <v>57</v>
      </c>
      <c r="AM33" s="136">
        <f>B242</f>
        <v>5</v>
      </c>
      <c r="AN33" s="52" t="s">
        <v>194</v>
      </c>
      <c r="AR33" s="52" t="s">
        <v>57</v>
      </c>
      <c r="AS33" s="136">
        <f>B252</f>
        <v>5</v>
      </c>
      <c r="AT33" s="52" t="s">
        <v>194</v>
      </c>
      <c r="AU33" s="52" t="s">
        <v>57</v>
      </c>
      <c r="AV33" s="136">
        <f>B252</f>
        <v>5</v>
      </c>
      <c r="AW33" s="52" t="s">
        <v>194</v>
      </c>
      <c r="BA33" s="52" t="s">
        <v>58</v>
      </c>
      <c r="BB33" s="136">
        <f>B232</f>
        <v>5</v>
      </c>
      <c r="BC33" s="52" t="s">
        <v>194</v>
      </c>
      <c r="BD33" s="52" t="s">
        <v>57</v>
      </c>
      <c r="BE33" s="136">
        <f>B232</f>
        <v>5</v>
      </c>
      <c r="BF33" s="52" t="s">
        <v>194</v>
      </c>
      <c r="BJ33" s="52" t="s">
        <v>411</v>
      </c>
      <c r="BK33" s="136">
        <f>B13</f>
        <v>3.44E-2</v>
      </c>
      <c r="BM33" s="52" t="s">
        <v>418</v>
      </c>
      <c r="BN33" s="136">
        <f>B9</f>
        <v>0.73699999999999999</v>
      </c>
      <c r="BS33" s="91"/>
      <c r="BT33" s="99"/>
      <c r="BU33" s="100"/>
      <c r="BW33" s="90"/>
      <c r="BZ33" s="146">
        <v>1000</v>
      </c>
      <c r="CA33" s="52" t="s">
        <v>23</v>
      </c>
      <c r="CM33" s="83"/>
      <c r="CN33" s="91" t="s">
        <v>231</v>
      </c>
      <c r="CO33" s="136">
        <f>B30</f>
        <v>1600</v>
      </c>
      <c r="CP33" s="52" t="s">
        <v>60</v>
      </c>
      <c r="CR33" s="83"/>
      <c r="CS33" s="83"/>
      <c r="CT33" s="83" t="s">
        <v>363</v>
      </c>
      <c r="CU33" s="141">
        <f t="shared" ref="CU33:CU40" si="1">B168</f>
        <v>1</v>
      </c>
      <c r="CV33" s="92" t="s">
        <v>60</v>
      </c>
      <c r="CZ33" s="92" t="s">
        <v>513</v>
      </c>
      <c r="DA33" s="141">
        <f t="shared" si="0"/>
        <v>55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B92</f>
        <v>70</v>
      </c>
    </row>
    <row r="34" spans="1:214" ht="13.15" customHeight="1" x14ac:dyDescent="0.2">
      <c r="A34" s="91" t="s">
        <v>231</v>
      </c>
      <c r="B34" s="183">
        <f>B30*365</f>
        <v>584000</v>
      </c>
      <c r="C34" s="52" t="s">
        <v>222</v>
      </c>
      <c r="D34" s="83" t="s">
        <v>382</v>
      </c>
      <c r="E34" s="150">
        <f>B68</f>
        <v>150</v>
      </c>
      <c r="F34" s="83" t="s">
        <v>24</v>
      </c>
      <c r="G34" s="83" t="s">
        <v>383</v>
      </c>
      <c r="H34" s="150">
        <f>B71</f>
        <v>24</v>
      </c>
      <c r="I34" s="94" t="s">
        <v>194</v>
      </c>
      <c r="J34" s="83" t="s">
        <v>383</v>
      </c>
      <c r="K34" s="150">
        <f>B71</f>
        <v>24</v>
      </c>
      <c r="L34" s="94" t="s">
        <v>194</v>
      </c>
      <c r="M34" s="52" t="s">
        <v>410</v>
      </c>
      <c r="N34" s="139">
        <f>B23</f>
        <v>1.9522299999999999</v>
      </c>
      <c r="O34" s="84" t="s">
        <v>354</v>
      </c>
      <c r="P34" s="52" t="s">
        <v>419</v>
      </c>
      <c r="Q34" s="139">
        <f>B25</f>
        <v>5.52928</v>
      </c>
      <c r="R34" s="84" t="s">
        <v>353</v>
      </c>
      <c r="V34" s="52" t="s">
        <v>421</v>
      </c>
      <c r="W34" s="150">
        <f>B243</f>
        <v>5</v>
      </c>
      <c r="X34" s="84" t="s">
        <v>194</v>
      </c>
      <c r="Y34" s="52" t="s">
        <v>192</v>
      </c>
      <c r="Z34" s="150">
        <f>B262</f>
        <v>5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B33</f>
        <v>69557565.807898715</v>
      </c>
      <c r="AH34" s="104" t="s">
        <v>78</v>
      </c>
      <c r="AI34" s="52" t="s">
        <v>410</v>
      </c>
      <c r="AJ34" s="139">
        <f>B23</f>
        <v>1.9522299999999999</v>
      </c>
      <c r="AK34" s="84" t="s">
        <v>353</v>
      </c>
      <c r="AL34" s="52" t="s">
        <v>419</v>
      </c>
      <c r="AM34" s="139">
        <f>B25</f>
        <v>5.52928</v>
      </c>
      <c r="AN34" s="84" t="s">
        <v>353</v>
      </c>
      <c r="AR34" s="52" t="s">
        <v>410</v>
      </c>
      <c r="AS34" s="139">
        <f>B23</f>
        <v>1.9522299999999999</v>
      </c>
      <c r="AT34" s="84" t="s">
        <v>353</v>
      </c>
      <c r="AU34" s="52" t="s">
        <v>419</v>
      </c>
      <c r="AV34" s="139">
        <f>B25</f>
        <v>5.52928</v>
      </c>
      <c r="AW34" s="84" t="s">
        <v>353</v>
      </c>
      <c r="BA34" s="52" t="s">
        <v>410</v>
      </c>
      <c r="BB34" s="139">
        <f>B23</f>
        <v>1.9522299999999999</v>
      </c>
      <c r="BC34" s="84" t="s">
        <v>353</v>
      </c>
      <c r="BD34" s="52" t="s">
        <v>419</v>
      </c>
      <c r="BE34" s="139">
        <f>B25</f>
        <v>5.52928</v>
      </c>
      <c r="BF34" s="84" t="s">
        <v>353</v>
      </c>
      <c r="BJ34" s="52" t="s">
        <v>57</v>
      </c>
      <c r="BK34" s="136">
        <f>B262</f>
        <v>5</v>
      </c>
      <c r="BL34" s="52" t="s">
        <v>194</v>
      </c>
      <c r="BM34" s="52" t="s">
        <v>57</v>
      </c>
      <c r="BN34" s="136">
        <f>B262</f>
        <v>5</v>
      </c>
      <c r="BO34" s="52" t="s">
        <v>194</v>
      </c>
      <c r="BT34" s="102"/>
      <c r="BU34" s="91"/>
      <c r="BY34" s="91" t="s">
        <v>308</v>
      </c>
      <c r="BZ34" s="146">
        <f>B111</f>
        <v>0.23</v>
      </c>
      <c r="CM34" s="83"/>
      <c r="CN34" s="84" t="s">
        <v>16</v>
      </c>
      <c r="CO34" s="137">
        <f>(CO31*CO32)/(1-EXP(-CO32*CO31))</f>
        <v>1.0004331875323664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55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B45</f>
        <v>1</v>
      </c>
    </row>
    <row r="35" spans="1:214" ht="13.15" customHeight="1" x14ac:dyDescent="0.2">
      <c r="A35" s="83" t="s">
        <v>105</v>
      </c>
      <c r="B35" s="182">
        <v>4</v>
      </c>
      <c r="C35" s="84" t="s">
        <v>18</v>
      </c>
      <c r="D35" s="83" t="s">
        <v>258</v>
      </c>
      <c r="E35" s="136">
        <f>B29</f>
        <v>1.67911012348351E-3</v>
      </c>
      <c r="F35" s="83" t="s">
        <v>87</v>
      </c>
      <c r="G35" s="83" t="s">
        <v>384</v>
      </c>
      <c r="H35" s="150">
        <f>B71</f>
        <v>24</v>
      </c>
      <c r="I35" s="52" t="s">
        <v>194</v>
      </c>
      <c r="J35" s="83" t="s">
        <v>384</v>
      </c>
      <c r="K35" s="150">
        <f>B71</f>
        <v>24</v>
      </c>
      <c r="L35" s="52" t="s">
        <v>194</v>
      </c>
      <c r="M35" s="52" t="s">
        <v>409</v>
      </c>
      <c r="N35" s="150">
        <f>B89</f>
        <v>25</v>
      </c>
      <c r="O35" s="52" t="s">
        <v>194</v>
      </c>
      <c r="P35" s="52" t="s">
        <v>409</v>
      </c>
      <c r="Q35" s="150">
        <f>B89</f>
        <v>25</v>
      </c>
      <c r="R35" s="52" t="s">
        <v>194</v>
      </c>
      <c r="V35" s="52" t="s">
        <v>304</v>
      </c>
      <c r="W35" s="146">
        <f>B236</f>
        <v>50</v>
      </c>
      <c r="X35" s="84" t="s">
        <v>407</v>
      </c>
      <c r="Y35" s="52" t="s">
        <v>348</v>
      </c>
      <c r="Z35" s="146">
        <f>B256</f>
        <v>50</v>
      </c>
      <c r="AA35" s="84" t="s">
        <v>407</v>
      </c>
      <c r="AI35" s="52" t="s">
        <v>69</v>
      </c>
      <c r="AJ35" s="136">
        <f>B243</f>
        <v>5</v>
      </c>
      <c r="AK35" s="52" t="s">
        <v>194</v>
      </c>
      <c r="AL35" s="52" t="s">
        <v>69</v>
      </c>
      <c r="AM35" s="136">
        <f>B243</f>
        <v>5</v>
      </c>
      <c r="AN35" s="52" t="s">
        <v>194</v>
      </c>
      <c r="AR35" s="52" t="s">
        <v>69</v>
      </c>
      <c r="AS35" s="136">
        <f>B253</f>
        <v>5</v>
      </c>
      <c r="AT35" s="52" t="s">
        <v>194</v>
      </c>
      <c r="AU35" s="52" t="s">
        <v>69</v>
      </c>
      <c r="AV35" s="136">
        <f>B253</f>
        <v>5</v>
      </c>
      <c r="AW35" s="52" t="s">
        <v>194</v>
      </c>
      <c r="BA35" s="52" t="s">
        <v>69</v>
      </c>
      <c r="BB35" s="136">
        <f>B233</f>
        <v>5</v>
      </c>
      <c r="BC35" s="52" t="s">
        <v>194</v>
      </c>
      <c r="BD35" s="52" t="s">
        <v>69</v>
      </c>
      <c r="BE35" s="136">
        <f>B233</f>
        <v>5</v>
      </c>
      <c r="BF35" s="52" t="s">
        <v>194</v>
      </c>
      <c r="BJ35" s="52" t="s">
        <v>410</v>
      </c>
      <c r="BK35" s="139">
        <f>B23</f>
        <v>1.9522299999999999</v>
      </c>
      <c r="BL35" s="84" t="s">
        <v>353</v>
      </c>
      <c r="BM35" s="52" t="s">
        <v>419</v>
      </c>
      <c r="BN35" s="139">
        <f>B25</f>
        <v>5.52928</v>
      </c>
      <c r="BO35" s="84" t="s">
        <v>353</v>
      </c>
      <c r="BY35" s="91" t="s">
        <v>309</v>
      </c>
      <c r="BZ35" s="146">
        <f>B112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B165</f>
        <v>150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B75</f>
        <v>0.5</v>
      </c>
      <c r="HF35" s="52" t="s">
        <v>355</v>
      </c>
    </row>
    <row r="36" spans="1:214" ht="13.15" customHeight="1" x14ac:dyDescent="0.2">
      <c r="A36" s="83" t="s">
        <v>239</v>
      </c>
      <c r="B36" s="183">
        <v>3.8000000000000002E-4</v>
      </c>
      <c r="C36" s="52" t="s">
        <v>601</v>
      </c>
      <c r="D36" s="83" t="s">
        <v>389</v>
      </c>
      <c r="E36" s="146">
        <f>B90</f>
        <v>1</v>
      </c>
      <c r="G36" s="83" t="s">
        <v>405</v>
      </c>
      <c r="H36" s="138">
        <f>B76</f>
        <v>5</v>
      </c>
      <c r="I36" s="52" t="s">
        <v>80</v>
      </c>
      <c r="J36" s="83" t="s">
        <v>390</v>
      </c>
      <c r="K36" s="141">
        <f>B78</f>
        <v>0.25</v>
      </c>
      <c r="M36" s="121"/>
      <c r="N36" s="121"/>
      <c r="O36" s="121"/>
      <c r="P36" s="121"/>
      <c r="Q36" s="121"/>
      <c r="R36" s="121"/>
      <c r="V36" s="83" t="s">
        <v>256</v>
      </c>
      <c r="W36" s="136">
        <f>B27</f>
        <v>15429.68</v>
      </c>
      <c r="X36" s="83" t="s">
        <v>343</v>
      </c>
      <c r="Y36" s="83" t="s">
        <v>256</v>
      </c>
      <c r="Z36" s="136">
        <f>B27</f>
        <v>15429.68</v>
      </c>
      <c r="AA36" s="83" t="s">
        <v>343</v>
      </c>
      <c r="AI36" s="83"/>
      <c r="AJ36" s="83"/>
      <c r="AK36" s="83"/>
      <c r="AL36" s="83"/>
      <c r="AM36" s="83"/>
      <c r="AN36" s="83"/>
      <c r="AR36" s="83"/>
      <c r="AS36" s="83"/>
      <c r="AT36" s="83"/>
      <c r="AU36" s="83"/>
      <c r="AV36" s="83"/>
      <c r="AW36" s="83"/>
      <c r="BA36" s="83"/>
      <c r="BB36" s="83"/>
      <c r="BC36" s="83"/>
      <c r="BD36" s="83"/>
      <c r="BE36" s="83"/>
      <c r="BF36" s="83"/>
      <c r="BS36" s="100"/>
      <c r="BT36" s="100"/>
      <c r="BU36" s="91"/>
      <c r="BZ36" s="90"/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B166</f>
        <v>150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B97</f>
        <v>5</v>
      </c>
      <c r="HF36" s="52" t="s">
        <v>94</v>
      </c>
    </row>
    <row r="37" spans="1:214" ht="12.75" customHeight="1" x14ac:dyDescent="0.2">
      <c r="A37" s="83" t="s">
        <v>236</v>
      </c>
      <c r="B37" s="183">
        <v>1.6999999999999999E-3</v>
      </c>
      <c r="C37" s="52" t="s">
        <v>388</v>
      </c>
      <c r="D37" s="83" t="s">
        <v>394</v>
      </c>
      <c r="E37" s="146">
        <f>B56</f>
        <v>35</v>
      </c>
      <c r="F37" s="52" t="s">
        <v>48</v>
      </c>
      <c r="G37" s="83" t="s">
        <v>406</v>
      </c>
      <c r="H37" s="138">
        <f>B77</f>
        <v>5</v>
      </c>
      <c r="I37" s="52" t="s">
        <v>80</v>
      </c>
      <c r="J37" s="83" t="s">
        <v>408</v>
      </c>
      <c r="K37" s="150">
        <f>B88</f>
        <v>5</v>
      </c>
      <c r="L37" s="84" t="s">
        <v>194</v>
      </c>
      <c r="V37" s="83" t="s">
        <v>301</v>
      </c>
      <c r="W37" s="142">
        <f>B240</f>
        <v>2</v>
      </c>
      <c r="Y37" s="83" t="s">
        <v>301</v>
      </c>
      <c r="Z37" s="142">
        <f>B260</f>
        <v>2</v>
      </c>
      <c r="BS37" s="91"/>
      <c r="BT37" s="91"/>
      <c r="BU37" s="91"/>
      <c r="BZ37" s="90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15</v>
      </c>
      <c r="CV37" s="84" t="s">
        <v>194</v>
      </c>
      <c r="CZ37" s="92" t="s">
        <v>363</v>
      </c>
      <c r="DA37" s="141">
        <f>B168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4.25" customHeight="1" x14ac:dyDescent="0.2">
      <c r="A38" s="83" t="s">
        <v>237</v>
      </c>
      <c r="B38" s="183">
        <v>0</v>
      </c>
      <c r="C38" s="52" t="s">
        <v>388</v>
      </c>
      <c r="D38" s="83" t="s">
        <v>260</v>
      </c>
      <c r="E38" s="152">
        <f>E33/(E35*E34*E37*E36)</f>
        <v>0.11343877200920292</v>
      </c>
      <c r="F38" s="84" t="s">
        <v>10</v>
      </c>
      <c r="H38" s="138">
        <f>1/1000</f>
        <v>1E-3</v>
      </c>
      <c r="I38" s="52" t="s">
        <v>82</v>
      </c>
      <c r="J38" s="83" t="s">
        <v>409</v>
      </c>
      <c r="K38" s="150">
        <f>B89</f>
        <v>25</v>
      </c>
      <c r="L38" s="84" t="s">
        <v>194</v>
      </c>
      <c r="V38" s="52" t="s">
        <v>261</v>
      </c>
      <c r="W38" s="143">
        <f>(W27)/((W34/24)*W31*W32*W33*W35)</f>
        <v>2.0187218581805878E-2</v>
      </c>
      <c r="X38" s="52" t="s">
        <v>15</v>
      </c>
      <c r="Y38" s="52" t="s">
        <v>261</v>
      </c>
      <c r="Z38" s="143">
        <f>(Z27)/((Z34/24)*Z31*Z32*Z33*Z35)</f>
        <v>2.0187218581805878E-2</v>
      </c>
      <c r="AA38" s="52" t="s">
        <v>15</v>
      </c>
      <c r="AE38" s="352" t="s">
        <v>226</v>
      </c>
      <c r="AF38" s="352"/>
      <c r="AG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5</v>
      </c>
      <c r="CV38" s="84" t="s">
        <v>194</v>
      </c>
      <c r="CZ38" s="92" t="s">
        <v>364</v>
      </c>
      <c r="DA38" s="141">
        <f>B169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B98</f>
        <v>0.18</v>
      </c>
      <c r="HF38" s="52" t="s">
        <v>355</v>
      </c>
    </row>
    <row r="39" spans="1:214" x14ac:dyDescent="0.2">
      <c r="A39" s="83" t="s">
        <v>171</v>
      </c>
      <c r="B39" s="183">
        <v>0</v>
      </c>
      <c r="C39" s="52" t="s">
        <v>388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(W27)/((W34/24)*W31*W36*(1/365))</f>
        <v>9.0837917571848529E-4</v>
      </c>
      <c r="X39" s="52" t="s">
        <v>15</v>
      </c>
      <c r="Y39" s="52" t="s">
        <v>271</v>
      </c>
      <c r="Z39" s="144">
        <f>(Z27)/((Z34/24)*Z31*Z36*(1/365))</f>
        <v>9.0837917571848529E-4</v>
      </c>
      <c r="AA39" s="52" t="s">
        <v>15</v>
      </c>
      <c r="AE39" s="352"/>
      <c r="AF39" s="352"/>
      <c r="AG39" s="352"/>
      <c r="BK39" s="352" t="s">
        <v>230</v>
      </c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B170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B99</f>
        <v>55</v>
      </c>
      <c r="HF39" s="52" t="s">
        <v>97</v>
      </c>
    </row>
    <row r="40" spans="1:214" ht="15" customHeight="1" x14ac:dyDescent="0.2">
      <c r="A40" s="83" t="s">
        <v>238</v>
      </c>
      <c r="B40" s="183">
        <v>0</v>
      </c>
      <c r="C40" s="52" t="s">
        <v>388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(W27*W29*W28)/((W34/24)*(1-EXP(-W29*W32))*W33*W35*W31*W32)</f>
        <v>2.0191590691918986E-2</v>
      </c>
      <c r="X40" s="52" t="s">
        <v>16</v>
      </c>
      <c r="Y40" s="52" t="s">
        <v>261</v>
      </c>
      <c r="Z40" s="144">
        <f>(Z27*Z29*Z28)/((Z34/24)*(1-EXP(-Z29*Z32))*Z33*Z35*Z31*Z32)</f>
        <v>2.0191590691918986E-2</v>
      </c>
      <c r="AA40" s="52" t="s">
        <v>16</v>
      </c>
      <c r="AE40" s="352"/>
      <c r="AF40" s="352"/>
      <c r="AG40" s="352"/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1</v>
      </c>
      <c r="CZ40" s="92" t="s">
        <v>457</v>
      </c>
      <c r="DA40" s="141">
        <f>B177</f>
        <v>5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B100</f>
        <v>5</v>
      </c>
      <c r="HF40" s="52" t="s">
        <v>97</v>
      </c>
    </row>
    <row r="41" spans="1:214" ht="13.5" thickBot="1" x14ac:dyDescent="0.25">
      <c r="A41" s="52" t="s">
        <v>229</v>
      </c>
      <c r="B41" s="183">
        <f>B37</f>
        <v>1.6999999999999999E-3</v>
      </c>
      <c r="C41" s="52" t="s">
        <v>388</v>
      </c>
      <c r="G41" s="83" t="s">
        <v>390</v>
      </c>
      <c r="H41" s="141">
        <f>B78</f>
        <v>0.25</v>
      </c>
      <c r="I41" s="84"/>
      <c r="J41" s="83" t="s">
        <v>302</v>
      </c>
      <c r="K41" s="161">
        <f>B3</f>
        <v>0.124</v>
      </c>
      <c r="V41" s="52" t="s">
        <v>271</v>
      </c>
      <c r="W41" s="145">
        <f>(W27*W29*W28)/((W34/24)*(1-EXP(-W29*W28))*W36*W31*(1/365))</f>
        <v>9.0857591078451726E-4</v>
      </c>
      <c r="X41" s="52" t="s">
        <v>16</v>
      </c>
      <c r="Y41" s="52" t="s">
        <v>271</v>
      </c>
      <c r="Z41" s="145">
        <f>(Z27*Z29*Z28)/((Z34/24)*(1-EXP(-Z29*Z28))*Z36*Z31*(1/365))</f>
        <v>9.0857591078451726E-4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61">
        <f>B3</f>
        <v>0.124</v>
      </c>
      <c r="CZ41" s="92" t="s">
        <v>466</v>
      </c>
      <c r="DA41" s="141">
        <f>B178</f>
        <v>5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B101</f>
        <v>5</v>
      </c>
      <c r="HF41" s="52" t="s">
        <v>97</v>
      </c>
    </row>
    <row r="42" spans="1:214" ht="13.9" customHeight="1" thickTop="1" thickBot="1" x14ac:dyDescent="0.25">
      <c r="A42" s="83" t="s">
        <v>228</v>
      </c>
      <c r="B42" s="183">
        <f>B38</f>
        <v>0</v>
      </c>
      <c r="C42" s="52" t="s">
        <v>388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61">
        <f>B4</f>
        <v>0.79200000000000004</v>
      </c>
      <c r="Y42" s="52" t="s">
        <v>220</v>
      </c>
      <c r="Z42" s="138">
        <f>B266</f>
        <v>25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61">
        <f>B4</f>
        <v>0.79200000000000004</v>
      </c>
      <c r="CW42" s="84"/>
      <c r="CX42" s="84"/>
      <c r="CY42" s="84"/>
      <c r="CZ42" s="52" t="s">
        <v>477</v>
      </c>
      <c r="DA42" s="141">
        <f>B179</f>
        <v>0.25</v>
      </c>
      <c r="DB42" s="92" t="s">
        <v>358</v>
      </c>
      <c r="DW42" s="88"/>
      <c r="DX42" s="88"/>
      <c r="DY42" s="88"/>
      <c r="DZ42" s="88"/>
      <c r="HD42" s="52" t="s">
        <v>225</v>
      </c>
      <c r="HE42" s="138">
        <f>1+((HE35*HE36*HE37)/(HE38*HE39))</f>
        <v>3.1605966718331597</v>
      </c>
    </row>
    <row r="43" spans="1:214" ht="13.15" customHeight="1" x14ac:dyDescent="0.2">
      <c r="A43" s="84" t="s">
        <v>32</v>
      </c>
      <c r="B43" s="183">
        <f>0.0148</f>
        <v>1.4800000000000001E-2</v>
      </c>
      <c r="D43" s="323" t="s">
        <v>530</v>
      </c>
      <c r="E43" s="347">
        <f>E53</f>
        <v>28.359693002300734</v>
      </c>
      <c r="F43" s="345" t="s">
        <v>11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Y43" s="52" t="s">
        <v>219</v>
      </c>
      <c r="Z43" s="138">
        <f>B265</f>
        <v>3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B180</f>
        <v>0.85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52" t="s">
        <v>33</v>
      </c>
      <c r="B44" s="183">
        <v>1.7000000000000001E-2</v>
      </c>
      <c r="D44" s="324"/>
      <c r="E44" s="348"/>
      <c r="F44" s="346"/>
      <c r="G44" s="52" t="s">
        <v>19</v>
      </c>
      <c r="H44" s="136">
        <f>H46</f>
        <v>1.4800000000000001E-2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2.75" customHeight="1" thickTop="1" x14ac:dyDescent="0.2">
      <c r="A45" s="83" t="s">
        <v>156</v>
      </c>
      <c r="B45" s="182">
        <v>1</v>
      </c>
      <c r="C45" s="83" t="s">
        <v>18</v>
      </c>
      <c r="D45" s="83" t="s">
        <v>267</v>
      </c>
      <c r="E45" s="136">
        <f>B17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B181</f>
        <v>0.5</v>
      </c>
      <c r="DB45" s="92" t="s">
        <v>145</v>
      </c>
      <c r="DW45" s="88"/>
      <c r="DX45" s="88"/>
      <c r="DY45" s="88"/>
      <c r="DZ45" s="88"/>
    </row>
    <row r="46" spans="1:214" x14ac:dyDescent="0.2">
      <c r="A46" s="84" t="s">
        <v>21</v>
      </c>
      <c r="B46" s="181">
        <v>5</v>
      </c>
      <c r="C46" s="52" t="s">
        <v>11</v>
      </c>
      <c r="D46" s="83" t="s">
        <v>382</v>
      </c>
      <c r="E46" s="150">
        <f>B68</f>
        <v>150</v>
      </c>
      <c r="F46" s="83" t="s">
        <v>24</v>
      </c>
      <c r="G46" s="84" t="s">
        <v>32</v>
      </c>
      <c r="H46" s="139">
        <f>B43</f>
        <v>1.4800000000000001E-2</v>
      </c>
      <c r="K46" s="146">
        <v>1000</v>
      </c>
      <c r="L46" s="52" t="s">
        <v>23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52" t="s">
        <v>393</v>
      </c>
      <c r="B47" s="131">
        <v>0.26</v>
      </c>
      <c r="D47" s="83" t="s">
        <v>258</v>
      </c>
      <c r="E47" s="136">
        <f>B29</f>
        <v>1.67911012348351E-3</v>
      </c>
      <c r="F47" s="83" t="s">
        <v>87</v>
      </c>
      <c r="G47" s="83" t="s">
        <v>393</v>
      </c>
      <c r="H47" s="142">
        <f>B47</f>
        <v>0.26</v>
      </c>
      <c r="J47" s="52" t="s">
        <v>19</v>
      </c>
      <c r="K47" s="136">
        <f>K49</f>
        <v>1.4800000000000001E-2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B163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52" t="s">
        <v>392</v>
      </c>
      <c r="B48" s="131">
        <v>0.25</v>
      </c>
      <c r="D48" s="83" t="s">
        <v>379</v>
      </c>
      <c r="E48" s="146">
        <f>B65</f>
        <v>1</v>
      </c>
      <c r="F48" s="52" t="s">
        <v>60</v>
      </c>
      <c r="G48" s="52" t="s">
        <v>17</v>
      </c>
      <c r="H48" s="137">
        <f>((H51*H52*H53)*((1-EXP(-H54*H55))))/(H56*H54)</f>
        <v>0.52579260245651049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B164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381" t="s">
        <v>2</v>
      </c>
      <c r="B49" s="382"/>
      <c r="C49" s="383"/>
      <c r="D49" s="83" t="s">
        <v>394</v>
      </c>
      <c r="E49" s="146">
        <f>B56</f>
        <v>35</v>
      </c>
      <c r="F49" s="52" t="s">
        <v>48</v>
      </c>
      <c r="G49" s="52" t="s">
        <v>25</v>
      </c>
      <c r="H49" s="137">
        <f>(H51*H52*H57*((1-EXP(-H54*H55))))/(H56*H54)</f>
        <v>9.2368970701819411</v>
      </c>
      <c r="I49" s="52" t="s">
        <v>18</v>
      </c>
      <c r="J49" s="84" t="s">
        <v>32</v>
      </c>
      <c r="K49" s="139">
        <f>B43</f>
        <v>1.4800000000000001E-2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Z49" s="83" t="s">
        <v>475</v>
      </c>
      <c r="DA49" s="146">
        <f>B163</f>
        <v>0.15</v>
      </c>
      <c r="DW49" s="88"/>
      <c r="DX49" s="88"/>
      <c r="DY49" s="88"/>
      <c r="DZ49" s="88"/>
    </row>
    <row r="50" spans="1:130" x14ac:dyDescent="0.2">
      <c r="A50" s="83" t="s">
        <v>366</v>
      </c>
      <c r="B50" s="130">
        <v>5</v>
      </c>
      <c r="C50" s="92" t="s">
        <v>407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3.6423470278489711</v>
      </c>
      <c r="I50" s="52" t="s">
        <v>18</v>
      </c>
      <c r="J50" s="83" t="s">
        <v>393</v>
      </c>
      <c r="K50" s="142">
        <f>B47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Z50" s="83" t="s">
        <v>476</v>
      </c>
      <c r="DA50" s="146">
        <f>B164</f>
        <v>0.85</v>
      </c>
      <c r="DW50" s="88"/>
      <c r="DX50" s="88"/>
      <c r="DY50" s="88"/>
      <c r="DZ50" s="88"/>
    </row>
    <row r="51" spans="1:130" x14ac:dyDescent="0.2">
      <c r="A51" s="83" t="s">
        <v>367</v>
      </c>
      <c r="B51" s="130">
        <v>10</v>
      </c>
      <c r="C51" s="92" t="s">
        <v>407</v>
      </c>
      <c r="D51" s="83" t="s">
        <v>105</v>
      </c>
      <c r="E51" s="150">
        <f>B35</f>
        <v>4</v>
      </c>
      <c r="F51" s="84" t="s">
        <v>18</v>
      </c>
      <c r="G51" s="83" t="s">
        <v>36</v>
      </c>
      <c r="H51" s="138">
        <f>B79</f>
        <v>3.62</v>
      </c>
      <c r="I51" s="52" t="s">
        <v>37</v>
      </c>
      <c r="J51" s="83" t="s">
        <v>376</v>
      </c>
      <c r="K51" s="146">
        <f>B61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DW51" s="88"/>
      <c r="DX51" s="88"/>
      <c r="DY51" s="88"/>
      <c r="DZ51" s="88"/>
    </row>
    <row r="52" spans="1:130" x14ac:dyDescent="0.2">
      <c r="A52" s="83" t="s">
        <v>368</v>
      </c>
      <c r="B52" s="130">
        <v>100</v>
      </c>
      <c r="C52" s="84" t="s">
        <v>48</v>
      </c>
      <c r="D52" s="83" t="s">
        <v>107</v>
      </c>
      <c r="E52" s="138">
        <f>B74</f>
        <v>1</v>
      </c>
      <c r="F52" s="84" t="s">
        <v>108</v>
      </c>
      <c r="G52" s="83" t="s">
        <v>40</v>
      </c>
      <c r="H52" s="138">
        <f>B80</f>
        <v>0.25</v>
      </c>
      <c r="I52" s="52" t="s">
        <v>41</v>
      </c>
      <c r="J52" s="83" t="s">
        <v>377</v>
      </c>
      <c r="K52" s="146">
        <f>B62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DW52" s="88"/>
      <c r="DX52" s="88"/>
      <c r="DY52" s="88"/>
      <c r="DZ52" s="88"/>
    </row>
    <row r="53" spans="1:130" x14ac:dyDescent="0.2">
      <c r="A53" s="83" t="s">
        <v>369</v>
      </c>
      <c r="B53" s="130">
        <v>50</v>
      </c>
      <c r="C53" s="84" t="s">
        <v>48</v>
      </c>
      <c r="D53" s="83" t="s">
        <v>260</v>
      </c>
      <c r="E53" s="152">
        <f>E45/(E47*E46*E48*E49*E51*E52*(1/E50))</f>
        <v>28.359693002300734</v>
      </c>
      <c r="F53" s="52" t="s">
        <v>11</v>
      </c>
      <c r="G53" s="92" t="s">
        <v>32</v>
      </c>
      <c r="H53" s="136">
        <f>B43</f>
        <v>1.4800000000000001E-2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83" t="s">
        <v>370</v>
      </c>
      <c r="B54" s="130">
        <v>0.25</v>
      </c>
      <c r="C54" s="83" t="s">
        <v>28</v>
      </c>
      <c r="D54" s="95"/>
      <c r="E54" s="176"/>
      <c r="G54" s="92" t="s">
        <v>49</v>
      </c>
      <c r="H54" s="137">
        <f>H62+H63</f>
        <v>2.8186643835616437E-5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83" t="s">
        <v>371</v>
      </c>
      <c r="B55" s="130">
        <v>1.5</v>
      </c>
      <c r="C55" s="52" t="s">
        <v>28</v>
      </c>
      <c r="G55" s="92" t="s">
        <v>52</v>
      </c>
      <c r="H55" s="138">
        <f>B81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83" t="s">
        <v>310</v>
      </c>
      <c r="B56" s="130">
        <v>35</v>
      </c>
      <c r="C56" s="52" t="s">
        <v>48</v>
      </c>
      <c r="G56" s="92" t="s">
        <v>55</v>
      </c>
      <c r="H56" s="138">
        <f>B82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83" t="s">
        <v>372</v>
      </c>
      <c r="B57" s="130">
        <v>55</v>
      </c>
      <c r="C57" s="92" t="s">
        <v>221</v>
      </c>
      <c r="G57" s="92" t="s">
        <v>393</v>
      </c>
      <c r="H57" s="138">
        <f>B47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83" t="s">
        <v>373</v>
      </c>
      <c r="B58" s="130">
        <v>55</v>
      </c>
      <c r="C58" s="92" t="s">
        <v>221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83" t="s">
        <v>374</v>
      </c>
      <c r="B59" s="130">
        <v>55</v>
      </c>
      <c r="C59" s="92" t="s">
        <v>221</v>
      </c>
      <c r="G59" s="92" t="s">
        <v>63</v>
      </c>
      <c r="H59" s="151">
        <f>H63+(0.693/H65)</f>
        <v>4.9501186643835612E-2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83" t="s">
        <v>375</v>
      </c>
      <c r="B60" s="130">
        <v>55</v>
      </c>
      <c r="C60" s="92" t="s">
        <v>221</v>
      </c>
      <c r="G60" s="92" t="s">
        <v>67</v>
      </c>
      <c r="H60" s="142">
        <f>B83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83" t="s">
        <v>376</v>
      </c>
      <c r="B61" s="130">
        <v>0.23</v>
      </c>
      <c r="G61" s="92" t="s">
        <v>68</v>
      </c>
      <c r="H61" s="142">
        <f>B84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83" t="s">
        <v>377</v>
      </c>
      <c r="B62" s="130">
        <v>0.77</v>
      </c>
      <c r="G62" s="92" t="s">
        <v>70</v>
      </c>
      <c r="H62" s="138">
        <f>B85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378</v>
      </c>
      <c r="B63" s="131">
        <v>1</v>
      </c>
      <c r="C63" s="52" t="s">
        <v>60</v>
      </c>
      <c r="G63" s="92" t="s">
        <v>71</v>
      </c>
      <c r="H63" s="137">
        <f>0.693/H67</f>
        <v>1.1866438356164383E-6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52" t="s">
        <v>448</v>
      </c>
      <c r="B64" s="131">
        <v>1</v>
      </c>
      <c r="C64" s="52" t="s">
        <v>60</v>
      </c>
      <c r="G64" s="92" t="s">
        <v>73</v>
      </c>
      <c r="H64" s="138">
        <f>B86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379</v>
      </c>
      <c r="B65" s="131">
        <v>1</v>
      </c>
      <c r="C65" s="52" t="s">
        <v>60</v>
      </c>
      <c r="G65" s="92" t="s">
        <v>74</v>
      </c>
      <c r="H65" s="138">
        <f>B87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380</v>
      </c>
      <c r="B66" s="131">
        <v>150</v>
      </c>
      <c r="C66" s="83" t="s">
        <v>24</v>
      </c>
      <c r="G66" s="52" t="s">
        <v>33</v>
      </c>
      <c r="H66" s="136">
        <f>B44</f>
        <v>1.7000000000000001E-2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381</v>
      </c>
      <c r="B67" s="131">
        <v>150</v>
      </c>
      <c r="C67" s="83" t="s">
        <v>24</v>
      </c>
      <c r="G67" s="83" t="s">
        <v>234</v>
      </c>
      <c r="H67" s="136">
        <f>B34</f>
        <v>584000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382</v>
      </c>
      <c r="B68" s="131">
        <v>150</v>
      </c>
      <c r="C68" s="83" t="s">
        <v>24</v>
      </c>
      <c r="G68" s="83" t="s">
        <v>376</v>
      </c>
      <c r="H68" s="146">
        <f>B61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52" t="s">
        <v>403</v>
      </c>
      <c r="B69" s="131">
        <v>0.25</v>
      </c>
      <c r="C69" s="52" t="s">
        <v>89</v>
      </c>
      <c r="G69" s="83" t="s">
        <v>377</v>
      </c>
      <c r="H69" s="146">
        <f>B62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52" t="s">
        <v>404</v>
      </c>
      <c r="B70" s="131">
        <v>0.75</v>
      </c>
      <c r="C70" s="52" t="s">
        <v>89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52" t="s">
        <v>385</v>
      </c>
      <c r="B71" s="131">
        <v>24</v>
      </c>
      <c r="C71" s="52" t="s">
        <v>194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52" t="s">
        <v>318</v>
      </c>
      <c r="B72" s="131">
        <v>2</v>
      </c>
      <c r="AF72" s="109"/>
      <c r="AG72" s="106"/>
      <c r="AH72" s="106"/>
      <c r="AI72" s="106"/>
      <c r="AJ72" s="106"/>
      <c r="AK72" s="106"/>
    </row>
    <row r="73" spans="1:105" x14ac:dyDescent="0.2">
      <c r="A73" s="52" t="s">
        <v>303</v>
      </c>
      <c r="B73" s="131">
        <v>1</v>
      </c>
      <c r="AF73" s="109"/>
      <c r="AG73" s="106"/>
      <c r="AH73" s="106"/>
      <c r="AI73" s="106"/>
      <c r="AJ73" s="106"/>
      <c r="AK73" s="106"/>
    </row>
    <row r="74" spans="1:105" x14ac:dyDescent="0.2">
      <c r="A74" s="83" t="s">
        <v>107</v>
      </c>
      <c r="B74" s="131">
        <v>1</v>
      </c>
      <c r="C74" s="84" t="s">
        <v>108</v>
      </c>
      <c r="AF74" s="109"/>
      <c r="AG74" s="106"/>
      <c r="AH74" s="106"/>
      <c r="AI74" s="106"/>
      <c r="AJ74" s="106"/>
      <c r="AK74" s="106"/>
    </row>
    <row r="75" spans="1:105" x14ac:dyDescent="0.2">
      <c r="A75" s="52" t="s">
        <v>65</v>
      </c>
      <c r="B75" s="131">
        <v>0.5</v>
      </c>
      <c r="C75" s="52" t="s">
        <v>66</v>
      </c>
      <c r="AF75" s="108"/>
      <c r="AG75" s="106"/>
      <c r="AH75" s="106"/>
      <c r="AI75" s="106"/>
      <c r="AJ75" s="106"/>
      <c r="AK75" s="106"/>
    </row>
    <row r="76" spans="1:105" x14ac:dyDescent="0.2">
      <c r="A76" s="52" t="s">
        <v>79</v>
      </c>
      <c r="B76" s="131">
        <v>5</v>
      </c>
      <c r="C76" s="52" t="s">
        <v>80</v>
      </c>
      <c r="AF76" s="109"/>
      <c r="AG76" s="106"/>
      <c r="AH76" s="106"/>
      <c r="AI76" s="106"/>
      <c r="AJ76" s="106"/>
      <c r="AK76" s="106"/>
    </row>
    <row r="77" spans="1:105" x14ac:dyDescent="0.2">
      <c r="A77" s="52" t="s">
        <v>81</v>
      </c>
      <c r="B77" s="131">
        <v>5</v>
      </c>
      <c r="C77" s="52" t="s">
        <v>80</v>
      </c>
      <c r="AF77" s="109"/>
      <c r="AG77" s="106"/>
      <c r="AH77" s="106"/>
      <c r="AI77" s="106"/>
      <c r="AJ77" s="106"/>
      <c r="AK77" s="106"/>
    </row>
    <row r="78" spans="1:105" ht="12.75" customHeight="1" x14ac:dyDescent="0.2">
      <c r="A78" s="52" t="s">
        <v>390</v>
      </c>
      <c r="B78" s="131">
        <v>0.25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36</v>
      </c>
      <c r="B79" s="131">
        <v>3.62</v>
      </c>
      <c r="C79" s="52" t="s">
        <v>37</v>
      </c>
      <c r="AF79" s="109"/>
      <c r="AG79" s="106"/>
    </row>
    <row r="80" spans="1:105" x14ac:dyDescent="0.2">
      <c r="A80" s="83" t="s">
        <v>40</v>
      </c>
      <c r="B80" s="131">
        <v>0.25</v>
      </c>
      <c r="C80" s="52" t="s">
        <v>41</v>
      </c>
      <c r="AF80" s="109"/>
      <c r="AG80" s="106"/>
      <c r="AH80" s="106"/>
      <c r="AI80" s="106"/>
      <c r="AJ80" s="106"/>
      <c r="AK80" s="106"/>
    </row>
    <row r="81" spans="1:37" x14ac:dyDescent="0.2">
      <c r="A81" s="92" t="s">
        <v>52</v>
      </c>
      <c r="B81" s="131">
        <v>10950</v>
      </c>
      <c r="C81" s="52" t="s">
        <v>53</v>
      </c>
      <c r="AF81" s="109"/>
      <c r="AG81" s="106"/>
      <c r="AH81" s="106"/>
      <c r="AI81" s="106"/>
      <c r="AJ81" s="106"/>
      <c r="AK81" s="106"/>
    </row>
    <row r="82" spans="1:37" x14ac:dyDescent="0.2">
      <c r="A82" s="92" t="s">
        <v>55</v>
      </c>
      <c r="B82" s="131">
        <v>240</v>
      </c>
      <c r="C82" s="52" t="s">
        <v>56</v>
      </c>
      <c r="AF82" s="109"/>
      <c r="AG82" s="106"/>
      <c r="AH82" s="106"/>
      <c r="AI82" s="106"/>
      <c r="AJ82" s="106"/>
      <c r="AK82" s="106"/>
    </row>
    <row r="83" spans="1:37" x14ac:dyDescent="0.2">
      <c r="A83" s="92" t="s">
        <v>67</v>
      </c>
      <c r="B83" s="131">
        <v>60</v>
      </c>
      <c r="C83" s="83" t="s">
        <v>53</v>
      </c>
      <c r="AF83" s="109"/>
      <c r="AG83" s="106"/>
      <c r="AH83" s="106"/>
      <c r="AI83" s="106"/>
      <c r="AJ83" s="106"/>
      <c r="AK83" s="106"/>
    </row>
    <row r="84" spans="1:37" x14ac:dyDescent="0.2">
      <c r="A84" s="92" t="s">
        <v>68</v>
      </c>
      <c r="B84" s="131">
        <v>2</v>
      </c>
      <c r="C84" s="83" t="s">
        <v>56</v>
      </c>
      <c r="AF84" s="108"/>
      <c r="AG84" s="106"/>
    </row>
    <row r="85" spans="1:37" x14ac:dyDescent="0.2">
      <c r="A85" s="92" t="s">
        <v>70</v>
      </c>
      <c r="B85" s="131">
        <v>2.6999999999999999E-5</v>
      </c>
      <c r="C85" s="52" t="s">
        <v>64</v>
      </c>
      <c r="AF85" s="108"/>
      <c r="AG85" s="106"/>
      <c r="AH85" s="106"/>
      <c r="AI85" s="106"/>
      <c r="AJ85" s="106"/>
      <c r="AK85" s="106"/>
    </row>
    <row r="86" spans="1:37" x14ac:dyDescent="0.2">
      <c r="A86" s="92" t="s">
        <v>73</v>
      </c>
      <c r="B86" s="131">
        <v>1</v>
      </c>
      <c r="C86" s="52" t="s">
        <v>41</v>
      </c>
      <c r="AF86" s="108"/>
      <c r="AG86" s="106"/>
    </row>
    <row r="87" spans="1:37" x14ac:dyDescent="0.2">
      <c r="A87" s="92" t="s">
        <v>74</v>
      </c>
      <c r="B87" s="131">
        <v>14</v>
      </c>
      <c r="C87" s="52" t="s">
        <v>75</v>
      </c>
      <c r="AH87" s="108"/>
      <c r="AI87" s="108"/>
      <c r="AJ87" s="108"/>
      <c r="AK87" s="108"/>
    </row>
    <row r="88" spans="1:37" x14ac:dyDescent="0.2">
      <c r="A88" s="83" t="s">
        <v>408</v>
      </c>
      <c r="B88" s="130">
        <v>5</v>
      </c>
      <c r="C88" s="84" t="s">
        <v>194</v>
      </c>
    </row>
    <row r="89" spans="1:37" x14ac:dyDescent="0.2">
      <c r="A89" s="83" t="s">
        <v>409</v>
      </c>
      <c r="B89" s="130">
        <v>25</v>
      </c>
      <c r="C89" s="84" t="s">
        <v>194</v>
      </c>
    </row>
    <row r="90" spans="1:37" x14ac:dyDescent="0.2">
      <c r="A90" s="83" t="s">
        <v>389</v>
      </c>
      <c r="B90" s="130">
        <v>1</v>
      </c>
      <c r="C90" s="84"/>
    </row>
    <row r="91" spans="1:37" x14ac:dyDescent="0.2">
      <c r="A91" s="385" t="s">
        <v>387</v>
      </c>
      <c r="B91" s="385"/>
      <c r="C91" s="385"/>
    </row>
    <row r="92" spans="1:37" x14ac:dyDescent="0.2">
      <c r="A92" s="52" t="s">
        <v>34</v>
      </c>
      <c r="B92" s="131">
        <v>70</v>
      </c>
      <c r="C92" s="52" t="s">
        <v>60</v>
      </c>
    </row>
    <row r="93" spans="1:37" x14ac:dyDescent="0.2">
      <c r="A93" s="84" t="s">
        <v>38</v>
      </c>
      <c r="B93" s="131">
        <v>0.3</v>
      </c>
      <c r="C93" s="52" t="s">
        <v>391</v>
      </c>
    </row>
    <row r="94" spans="1:37" x14ac:dyDescent="0.2">
      <c r="A94" s="84" t="s">
        <v>42</v>
      </c>
      <c r="B94" s="130">
        <v>1.5</v>
      </c>
      <c r="C94" s="52" t="s">
        <v>286</v>
      </c>
    </row>
    <row r="95" spans="1:37" x14ac:dyDescent="0.2">
      <c r="A95" s="84" t="s">
        <v>47</v>
      </c>
      <c r="B95" s="131">
        <v>1</v>
      </c>
      <c r="C95" s="52" t="s">
        <v>60</v>
      </c>
    </row>
    <row r="96" spans="1:37" x14ac:dyDescent="0.2">
      <c r="A96" s="84" t="s">
        <v>225</v>
      </c>
      <c r="B96" s="130">
        <v>1</v>
      </c>
    </row>
    <row r="97" spans="1:3" x14ac:dyDescent="0.2">
      <c r="A97" s="52" t="s">
        <v>93</v>
      </c>
      <c r="B97" s="130">
        <v>5</v>
      </c>
      <c r="C97" s="52" t="s">
        <v>94</v>
      </c>
    </row>
    <row r="98" spans="1:3" x14ac:dyDescent="0.2">
      <c r="A98" s="52" t="s">
        <v>98</v>
      </c>
      <c r="B98" s="130">
        <v>0.18</v>
      </c>
      <c r="C98" s="52" t="s">
        <v>355</v>
      </c>
    </row>
    <row r="99" spans="1:3" x14ac:dyDescent="0.2">
      <c r="A99" s="52" t="s">
        <v>100</v>
      </c>
      <c r="B99" s="130">
        <v>55</v>
      </c>
      <c r="C99" s="52" t="s">
        <v>97</v>
      </c>
    </row>
    <row r="100" spans="1:3" x14ac:dyDescent="0.2">
      <c r="A100" s="52" t="s">
        <v>101</v>
      </c>
      <c r="B100" s="130">
        <v>5</v>
      </c>
      <c r="C100" s="52" t="s">
        <v>97</v>
      </c>
    </row>
    <row r="101" spans="1:3" x14ac:dyDescent="0.2">
      <c r="A101" s="52" t="s">
        <v>102</v>
      </c>
      <c r="B101" s="130">
        <v>5</v>
      </c>
      <c r="C101" s="52" t="s">
        <v>97</v>
      </c>
    </row>
    <row r="102" spans="1:3" x14ac:dyDescent="0.2">
      <c r="A102" s="384" t="s">
        <v>5</v>
      </c>
      <c r="B102" s="384"/>
      <c r="C102" s="384"/>
    </row>
    <row r="103" spans="1:3" x14ac:dyDescent="0.2">
      <c r="A103" s="83" t="s">
        <v>429</v>
      </c>
      <c r="B103" s="131">
        <v>5</v>
      </c>
      <c r="C103" s="92" t="s">
        <v>407</v>
      </c>
    </row>
    <row r="104" spans="1:3" x14ac:dyDescent="0.2">
      <c r="A104" s="83" t="s">
        <v>430</v>
      </c>
      <c r="B104" s="131">
        <v>10</v>
      </c>
      <c r="C104" s="92" t="s">
        <v>407</v>
      </c>
    </row>
    <row r="105" spans="1:3" x14ac:dyDescent="0.2">
      <c r="A105" s="83" t="s">
        <v>439</v>
      </c>
      <c r="B105" s="130">
        <v>2</v>
      </c>
      <c r="C105" s="83" t="s">
        <v>357</v>
      </c>
    </row>
    <row r="106" spans="1:3" x14ac:dyDescent="0.2">
      <c r="A106" s="83" t="s">
        <v>438</v>
      </c>
      <c r="B106" s="130">
        <v>2</v>
      </c>
      <c r="C106" s="83" t="s">
        <v>357</v>
      </c>
    </row>
    <row r="107" spans="1:3" x14ac:dyDescent="0.2">
      <c r="A107" s="83" t="s">
        <v>441</v>
      </c>
      <c r="B107" s="131">
        <v>100</v>
      </c>
      <c r="C107" s="84" t="s">
        <v>48</v>
      </c>
    </row>
    <row r="108" spans="1:3" x14ac:dyDescent="0.2">
      <c r="A108" s="83" t="s">
        <v>442</v>
      </c>
      <c r="B108" s="131">
        <v>50</v>
      </c>
      <c r="C108" s="84" t="s">
        <v>48</v>
      </c>
    </row>
    <row r="109" spans="1:3" x14ac:dyDescent="0.2">
      <c r="A109" s="52" t="s">
        <v>159</v>
      </c>
      <c r="B109" s="131">
        <v>3</v>
      </c>
      <c r="C109" s="52" t="s">
        <v>221</v>
      </c>
    </row>
    <row r="110" spans="1:3" x14ac:dyDescent="0.2">
      <c r="A110" s="52" t="s">
        <v>160</v>
      </c>
      <c r="B110" s="131">
        <v>3</v>
      </c>
      <c r="C110" s="52" t="s">
        <v>221</v>
      </c>
    </row>
    <row r="111" spans="1:3" x14ac:dyDescent="0.2">
      <c r="A111" s="83" t="s">
        <v>308</v>
      </c>
      <c r="B111" s="130">
        <v>0.23</v>
      </c>
    </row>
    <row r="112" spans="1:3" x14ac:dyDescent="0.2">
      <c r="A112" s="83" t="s">
        <v>309</v>
      </c>
      <c r="B112" s="130">
        <v>0.77</v>
      </c>
    </row>
    <row r="113" spans="1:3" x14ac:dyDescent="0.2">
      <c r="A113" s="52" t="s">
        <v>140</v>
      </c>
      <c r="B113" s="131">
        <v>55</v>
      </c>
      <c r="C113" s="52" t="s">
        <v>24</v>
      </c>
    </row>
    <row r="114" spans="1:3" x14ac:dyDescent="0.2">
      <c r="A114" s="52" t="s">
        <v>433</v>
      </c>
      <c r="B114" s="131">
        <v>55</v>
      </c>
      <c r="C114" s="52" t="s">
        <v>24</v>
      </c>
    </row>
    <row r="115" spans="1:3" x14ac:dyDescent="0.2">
      <c r="A115" s="52" t="s">
        <v>434</v>
      </c>
      <c r="B115" s="131">
        <v>55</v>
      </c>
      <c r="C115" s="52" t="s">
        <v>24</v>
      </c>
    </row>
    <row r="116" spans="1:3" x14ac:dyDescent="0.2">
      <c r="A116" s="52" t="s">
        <v>431</v>
      </c>
      <c r="B116" s="130">
        <v>5</v>
      </c>
      <c r="C116" s="52" t="s">
        <v>194</v>
      </c>
    </row>
    <row r="117" spans="1:3" x14ac:dyDescent="0.2">
      <c r="A117" s="52" t="s">
        <v>432</v>
      </c>
      <c r="B117" s="130">
        <v>5</v>
      </c>
      <c r="C117" s="52" t="s">
        <v>194</v>
      </c>
    </row>
    <row r="118" spans="1:3" x14ac:dyDescent="0.2">
      <c r="A118" s="52" t="s">
        <v>90</v>
      </c>
      <c r="B118" s="131">
        <v>5</v>
      </c>
      <c r="C118" s="52" t="s">
        <v>194</v>
      </c>
    </row>
    <row r="119" spans="1:3" x14ac:dyDescent="0.2">
      <c r="A119" s="52" t="s">
        <v>443</v>
      </c>
      <c r="B119" s="131">
        <v>5</v>
      </c>
      <c r="C119" s="52" t="s">
        <v>89</v>
      </c>
    </row>
    <row r="120" spans="1:3" x14ac:dyDescent="0.2">
      <c r="A120" s="52" t="s">
        <v>444</v>
      </c>
      <c r="B120" s="131">
        <v>5</v>
      </c>
      <c r="C120" s="52" t="s">
        <v>89</v>
      </c>
    </row>
    <row r="121" spans="1:3" x14ac:dyDescent="0.2">
      <c r="A121" s="83" t="s">
        <v>301</v>
      </c>
      <c r="B121" s="131">
        <v>2</v>
      </c>
    </row>
    <row r="122" spans="1:3" x14ac:dyDescent="0.2">
      <c r="A122" s="83" t="s">
        <v>433</v>
      </c>
      <c r="B122" s="130">
        <v>55</v>
      </c>
      <c r="C122" s="83" t="s">
        <v>24</v>
      </c>
    </row>
    <row r="123" spans="1:3" x14ac:dyDescent="0.2">
      <c r="A123" s="83" t="s">
        <v>434</v>
      </c>
      <c r="B123" s="130">
        <v>55</v>
      </c>
      <c r="C123" s="83" t="s">
        <v>24</v>
      </c>
    </row>
    <row r="124" spans="1:3" x14ac:dyDescent="0.2">
      <c r="A124" s="83" t="s">
        <v>435</v>
      </c>
      <c r="B124" s="131">
        <v>5</v>
      </c>
      <c r="C124" s="52" t="s">
        <v>80</v>
      </c>
    </row>
    <row r="125" spans="1:3" x14ac:dyDescent="0.2">
      <c r="A125" s="83" t="s">
        <v>436</v>
      </c>
      <c r="B125" s="131">
        <v>5</v>
      </c>
      <c r="C125" s="52" t="s">
        <v>80</v>
      </c>
    </row>
    <row r="126" spans="1:3" x14ac:dyDescent="0.2">
      <c r="A126" s="83" t="s">
        <v>65</v>
      </c>
      <c r="B126" s="130">
        <v>0.5</v>
      </c>
      <c r="C126" s="52" t="s">
        <v>66</v>
      </c>
    </row>
    <row r="127" spans="1:3" x14ac:dyDescent="0.2">
      <c r="A127" s="52" t="s">
        <v>51</v>
      </c>
      <c r="B127" s="131">
        <v>1</v>
      </c>
      <c r="C127" s="52" t="s">
        <v>60</v>
      </c>
    </row>
    <row r="128" spans="1:3" x14ac:dyDescent="0.2">
      <c r="A128" s="52" t="s">
        <v>159</v>
      </c>
      <c r="B128" s="130">
        <v>3</v>
      </c>
      <c r="C128" s="52" t="s">
        <v>221</v>
      </c>
    </row>
    <row r="129" spans="1:3" x14ac:dyDescent="0.2">
      <c r="A129" s="84" t="s">
        <v>164</v>
      </c>
      <c r="B129" s="130">
        <v>2</v>
      </c>
      <c r="C129" s="52" t="s">
        <v>246</v>
      </c>
    </row>
    <row r="130" spans="1:3" x14ac:dyDescent="0.2">
      <c r="A130" s="84" t="s">
        <v>161</v>
      </c>
      <c r="B130" s="130">
        <v>2</v>
      </c>
      <c r="C130" s="52" t="s">
        <v>246</v>
      </c>
    </row>
    <row r="131" spans="1:3" x14ac:dyDescent="0.2">
      <c r="A131" s="84" t="s">
        <v>162</v>
      </c>
      <c r="B131" s="130">
        <v>2</v>
      </c>
      <c r="C131" s="52" t="s">
        <v>41</v>
      </c>
    </row>
    <row r="132" spans="1:3" x14ac:dyDescent="0.2">
      <c r="A132" s="84" t="s">
        <v>163</v>
      </c>
      <c r="B132" s="130">
        <v>2</v>
      </c>
      <c r="C132" s="52" t="s">
        <v>41</v>
      </c>
    </row>
    <row r="133" spans="1:3" x14ac:dyDescent="0.2">
      <c r="A133" s="84" t="s">
        <v>169</v>
      </c>
      <c r="B133" s="130">
        <v>2</v>
      </c>
      <c r="C133" s="52" t="s">
        <v>28</v>
      </c>
    </row>
    <row r="134" spans="1:3" x14ac:dyDescent="0.2">
      <c r="A134" s="52" t="s">
        <v>160</v>
      </c>
      <c r="B134" s="130">
        <v>3</v>
      </c>
      <c r="C134" s="52" t="s">
        <v>221</v>
      </c>
    </row>
    <row r="135" spans="1:3" x14ac:dyDescent="0.2">
      <c r="A135" s="52" t="s">
        <v>165</v>
      </c>
      <c r="B135" s="130">
        <v>2</v>
      </c>
      <c r="C135" s="52" t="s">
        <v>246</v>
      </c>
    </row>
    <row r="136" spans="1:3" x14ac:dyDescent="0.2">
      <c r="A136" s="52" t="s">
        <v>166</v>
      </c>
      <c r="B136" s="130">
        <v>2</v>
      </c>
      <c r="C136" s="52" t="s">
        <v>246</v>
      </c>
    </row>
    <row r="137" spans="1:3" x14ac:dyDescent="0.2">
      <c r="A137" s="93" t="s">
        <v>167</v>
      </c>
      <c r="B137" s="130">
        <v>2</v>
      </c>
      <c r="C137" s="52" t="s">
        <v>41</v>
      </c>
    </row>
    <row r="138" spans="1:3" x14ac:dyDescent="0.2">
      <c r="A138" s="83" t="s">
        <v>168</v>
      </c>
      <c r="B138" s="130">
        <v>2</v>
      </c>
      <c r="C138" s="52" t="s">
        <v>41</v>
      </c>
    </row>
    <row r="139" spans="1:3" x14ac:dyDescent="0.2">
      <c r="A139" s="84" t="s">
        <v>170</v>
      </c>
      <c r="B139" s="130">
        <v>2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100</v>
      </c>
      <c r="C141" s="84" t="s">
        <v>48</v>
      </c>
    </row>
    <row r="142" spans="1:3" x14ac:dyDescent="0.2">
      <c r="A142" s="83" t="s">
        <v>458</v>
      </c>
      <c r="B142" s="130">
        <v>50</v>
      </c>
      <c r="C142" s="84" t="s">
        <v>48</v>
      </c>
    </row>
    <row r="143" spans="1:3" x14ac:dyDescent="0.2">
      <c r="A143" s="92" t="s">
        <v>451</v>
      </c>
      <c r="B143" s="131">
        <v>0.25</v>
      </c>
      <c r="C143" s="83" t="s">
        <v>28</v>
      </c>
    </row>
    <row r="144" spans="1:3" x14ac:dyDescent="0.2">
      <c r="A144" s="92" t="s">
        <v>460</v>
      </c>
      <c r="B144" s="131">
        <v>1.5</v>
      </c>
      <c r="C144" s="83" t="s">
        <v>28</v>
      </c>
    </row>
    <row r="145" spans="1:3" ht="15" x14ac:dyDescent="0.2">
      <c r="A145" s="92" t="s">
        <v>450</v>
      </c>
      <c r="B145" s="131">
        <v>5</v>
      </c>
      <c r="C145" s="83" t="s">
        <v>143</v>
      </c>
    </row>
    <row r="146" spans="1:3" ht="15" x14ac:dyDescent="0.2">
      <c r="A146" s="92" t="s">
        <v>459</v>
      </c>
      <c r="B146" s="131">
        <v>10</v>
      </c>
      <c r="C146" s="83" t="s">
        <v>143</v>
      </c>
    </row>
    <row r="147" spans="1:3" x14ac:dyDescent="0.2">
      <c r="A147" s="83" t="s">
        <v>467</v>
      </c>
      <c r="B147" s="130">
        <v>55</v>
      </c>
      <c r="C147" s="92" t="s">
        <v>221</v>
      </c>
    </row>
    <row r="148" spans="1:3" x14ac:dyDescent="0.2">
      <c r="A148" s="83" t="s">
        <v>468</v>
      </c>
      <c r="B148" s="130">
        <v>55</v>
      </c>
      <c r="C148" s="92" t="s">
        <v>221</v>
      </c>
    </row>
    <row r="149" spans="1:3" x14ac:dyDescent="0.2">
      <c r="A149" s="83" t="s">
        <v>469</v>
      </c>
      <c r="B149" s="130">
        <v>55</v>
      </c>
      <c r="C149" s="92" t="s">
        <v>221</v>
      </c>
    </row>
    <row r="150" spans="1:3" x14ac:dyDescent="0.2">
      <c r="A150" s="83" t="s">
        <v>470</v>
      </c>
      <c r="B150" s="130">
        <v>55</v>
      </c>
      <c r="C150" s="92" t="s">
        <v>221</v>
      </c>
    </row>
    <row r="151" spans="1:3" x14ac:dyDescent="0.2">
      <c r="A151" s="83" t="s">
        <v>452</v>
      </c>
      <c r="B151" s="130">
        <v>55</v>
      </c>
      <c r="C151" s="92" t="s">
        <v>221</v>
      </c>
    </row>
    <row r="152" spans="1:3" x14ac:dyDescent="0.2">
      <c r="A152" s="83" t="s">
        <v>461</v>
      </c>
      <c r="B152" s="130">
        <v>55</v>
      </c>
      <c r="C152" s="92" t="s">
        <v>221</v>
      </c>
    </row>
    <row r="153" spans="1:3" x14ac:dyDescent="0.2">
      <c r="A153" s="83" t="s">
        <v>453</v>
      </c>
      <c r="B153" s="130">
        <v>55</v>
      </c>
      <c r="C153" s="92" t="s">
        <v>221</v>
      </c>
    </row>
    <row r="154" spans="1:3" x14ac:dyDescent="0.2">
      <c r="A154" s="83" t="s">
        <v>462</v>
      </c>
      <c r="B154" s="130">
        <v>55</v>
      </c>
      <c r="C154" s="92" t="s">
        <v>221</v>
      </c>
    </row>
    <row r="155" spans="1:3" x14ac:dyDescent="0.2">
      <c r="A155" s="83" t="s">
        <v>454</v>
      </c>
      <c r="B155" s="130">
        <v>55</v>
      </c>
      <c r="C155" s="92" t="s">
        <v>221</v>
      </c>
    </row>
    <row r="156" spans="1:3" x14ac:dyDescent="0.2">
      <c r="A156" s="83" t="s">
        <v>463</v>
      </c>
      <c r="B156" s="130">
        <v>55</v>
      </c>
      <c r="C156" s="92" t="s">
        <v>221</v>
      </c>
    </row>
    <row r="157" spans="1:3" x14ac:dyDescent="0.2">
      <c r="A157" s="83" t="s">
        <v>471</v>
      </c>
      <c r="B157" s="130">
        <v>55</v>
      </c>
      <c r="C157" s="92" t="s">
        <v>221</v>
      </c>
    </row>
    <row r="158" spans="1:3" x14ac:dyDescent="0.2">
      <c r="A158" s="83" t="s">
        <v>472</v>
      </c>
      <c r="B158" s="130">
        <v>55</v>
      </c>
      <c r="C158" s="92" t="s">
        <v>221</v>
      </c>
    </row>
    <row r="159" spans="1:3" x14ac:dyDescent="0.2">
      <c r="A159" s="83" t="s">
        <v>473</v>
      </c>
      <c r="B159" s="130">
        <v>55</v>
      </c>
      <c r="C159" s="92" t="s">
        <v>221</v>
      </c>
    </row>
    <row r="160" spans="1:3" x14ac:dyDescent="0.2">
      <c r="A160" s="83" t="s">
        <v>474</v>
      </c>
      <c r="B160" s="130">
        <v>55</v>
      </c>
      <c r="C160" s="92" t="s">
        <v>221</v>
      </c>
    </row>
    <row r="161" spans="1:3" x14ac:dyDescent="0.2">
      <c r="A161" s="83" t="s">
        <v>455</v>
      </c>
      <c r="B161" s="130">
        <v>55</v>
      </c>
      <c r="C161" s="92" t="s">
        <v>221</v>
      </c>
    </row>
    <row r="162" spans="1:3" x14ac:dyDescent="0.2">
      <c r="A162" s="83" t="s">
        <v>464</v>
      </c>
      <c r="B162" s="130">
        <v>55</v>
      </c>
      <c r="C162" s="92" t="s">
        <v>221</v>
      </c>
    </row>
    <row r="163" spans="1:3" x14ac:dyDescent="0.2">
      <c r="A163" s="83" t="s">
        <v>475</v>
      </c>
      <c r="B163" s="130">
        <v>0.15</v>
      </c>
      <c r="C163" s="88"/>
    </row>
    <row r="164" spans="1:3" x14ac:dyDescent="0.2">
      <c r="A164" s="83" t="s">
        <v>476</v>
      </c>
      <c r="B164" s="130">
        <v>0.85</v>
      </c>
      <c r="C164" s="88"/>
    </row>
    <row r="165" spans="1:3" x14ac:dyDescent="0.2">
      <c r="A165" s="83" t="s">
        <v>456</v>
      </c>
      <c r="B165" s="130">
        <v>150</v>
      </c>
      <c r="C165" s="83" t="s">
        <v>24</v>
      </c>
    </row>
    <row r="166" spans="1:3" x14ac:dyDescent="0.2">
      <c r="A166" s="83" t="s">
        <v>465</v>
      </c>
      <c r="B166" s="130">
        <v>150</v>
      </c>
      <c r="C166" s="83" t="s">
        <v>24</v>
      </c>
    </row>
    <row r="167" spans="1:3" x14ac:dyDescent="0.2">
      <c r="A167" s="52" t="s">
        <v>362</v>
      </c>
      <c r="B167" s="131">
        <v>150</v>
      </c>
      <c r="C167" s="83" t="s">
        <v>24</v>
      </c>
    </row>
    <row r="168" spans="1:3" x14ac:dyDescent="0.2">
      <c r="A168" s="83" t="s">
        <v>363</v>
      </c>
      <c r="B168" s="130">
        <v>1</v>
      </c>
      <c r="C168" s="92" t="s">
        <v>60</v>
      </c>
    </row>
    <row r="169" spans="1:3" x14ac:dyDescent="0.2">
      <c r="A169" s="83" t="s">
        <v>364</v>
      </c>
      <c r="B169" s="130">
        <v>24</v>
      </c>
      <c r="C169" s="94" t="s">
        <v>194</v>
      </c>
    </row>
    <row r="170" spans="1:3" x14ac:dyDescent="0.2">
      <c r="A170" s="83" t="s">
        <v>365</v>
      </c>
      <c r="B170" s="130">
        <v>24</v>
      </c>
      <c r="C170" s="52" t="s">
        <v>194</v>
      </c>
    </row>
    <row r="171" spans="1:3" x14ac:dyDescent="0.2">
      <c r="A171" s="83" t="s">
        <v>361</v>
      </c>
      <c r="B171" s="130">
        <v>1</v>
      </c>
    </row>
    <row r="172" spans="1:3" x14ac:dyDescent="0.2">
      <c r="A172" s="83" t="s">
        <v>507</v>
      </c>
      <c r="B172" s="130">
        <v>15</v>
      </c>
      <c r="C172" s="84" t="s">
        <v>194</v>
      </c>
    </row>
    <row r="173" spans="1:3" x14ac:dyDescent="0.2">
      <c r="A173" s="83" t="s">
        <v>508</v>
      </c>
      <c r="B173" s="130">
        <v>5</v>
      </c>
      <c r="C173" s="84" t="s">
        <v>194</v>
      </c>
    </row>
    <row r="174" spans="1:3" x14ac:dyDescent="0.2">
      <c r="A174" s="83" t="s">
        <v>88</v>
      </c>
      <c r="B174" s="130">
        <v>0.4</v>
      </c>
    </row>
    <row r="175" spans="1:3" x14ac:dyDescent="0.2">
      <c r="A175" s="83" t="s">
        <v>303</v>
      </c>
      <c r="B175" s="130">
        <v>1</v>
      </c>
    </row>
    <row r="176" spans="1:3" x14ac:dyDescent="0.2">
      <c r="A176" s="83" t="s">
        <v>301</v>
      </c>
      <c r="B176" s="131">
        <v>2</v>
      </c>
    </row>
    <row r="177" spans="1:3" x14ac:dyDescent="0.2">
      <c r="A177" s="92" t="s">
        <v>457</v>
      </c>
      <c r="B177" s="130">
        <v>5</v>
      </c>
      <c r="C177" s="92" t="s">
        <v>144</v>
      </c>
    </row>
    <row r="178" spans="1:3" x14ac:dyDescent="0.2">
      <c r="A178" s="92" t="s">
        <v>466</v>
      </c>
      <c r="B178" s="130">
        <v>5</v>
      </c>
      <c r="C178" s="92" t="s">
        <v>144</v>
      </c>
    </row>
    <row r="179" spans="1:3" x14ac:dyDescent="0.2">
      <c r="A179" s="52" t="s">
        <v>477</v>
      </c>
      <c r="B179" s="130">
        <v>0.25</v>
      </c>
      <c r="C179" s="92" t="s">
        <v>358</v>
      </c>
    </row>
    <row r="180" spans="1:3" x14ac:dyDescent="0.2">
      <c r="A180" s="52" t="s">
        <v>478</v>
      </c>
      <c r="B180" s="130">
        <v>0.85</v>
      </c>
      <c r="C180" s="92" t="s">
        <v>358</v>
      </c>
    </row>
    <row r="181" spans="1:3" x14ac:dyDescent="0.2">
      <c r="A181" s="84" t="s">
        <v>65</v>
      </c>
      <c r="B181" s="130">
        <v>0.5</v>
      </c>
      <c r="C181" s="92" t="s">
        <v>600</v>
      </c>
    </row>
    <row r="182" spans="1:3" x14ac:dyDescent="0.2">
      <c r="A182" s="92" t="s">
        <v>361</v>
      </c>
      <c r="B182" s="130">
        <v>1</v>
      </c>
    </row>
    <row r="183" spans="1:3" x14ac:dyDescent="0.2">
      <c r="A183" s="92" t="s">
        <v>479</v>
      </c>
      <c r="B183" s="130">
        <v>1</v>
      </c>
    </row>
    <row r="184" spans="1:3" x14ac:dyDescent="0.2">
      <c r="A184" s="92" t="s">
        <v>480</v>
      </c>
      <c r="B184" s="130">
        <v>1</v>
      </c>
    </row>
    <row r="185" spans="1:3" x14ac:dyDescent="0.2">
      <c r="A185" s="92" t="s">
        <v>481</v>
      </c>
      <c r="B185" s="130">
        <v>1</v>
      </c>
    </row>
    <row r="186" spans="1:3" x14ac:dyDescent="0.2">
      <c r="A186" s="92" t="s">
        <v>482</v>
      </c>
      <c r="B186" s="130">
        <v>1</v>
      </c>
    </row>
    <row r="187" spans="1:3" x14ac:dyDescent="0.2">
      <c r="A187" s="92" t="s">
        <v>483</v>
      </c>
      <c r="B187" s="130">
        <v>1</v>
      </c>
    </row>
    <row r="188" spans="1:3" x14ac:dyDescent="0.2">
      <c r="A188" s="92" t="s">
        <v>484</v>
      </c>
      <c r="B188" s="131">
        <v>1</v>
      </c>
    </row>
    <row r="189" spans="1:3" x14ac:dyDescent="0.2">
      <c r="A189" s="83" t="s">
        <v>36</v>
      </c>
      <c r="B189" s="131">
        <v>3.62</v>
      </c>
      <c r="C189" s="52" t="s">
        <v>37</v>
      </c>
    </row>
    <row r="190" spans="1:3" x14ac:dyDescent="0.2">
      <c r="A190" s="83" t="s">
        <v>40</v>
      </c>
      <c r="B190" s="131">
        <v>0.25</v>
      </c>
      <c r="C190" s="52" t="s">
        <v>41</v>
      </c>
    </row>
    <row r="191" spans="1:3" x14ac:dyDescent="0.2">
      <c r="A191" s="92" t="s">
        <v>52</v>
      </c>
      <c r="B191" s="131">
        <v>10950</v>
      </c>
      <c r="C191" s="52" t="s">
        <v>53</v>
      </c>
    </row>
    <row r="192" spans="1:3" x14ac:dyDescent="0.2">
      <c r="A192" s="92" t="s">
        <v>55</v>
      </c>
      <c r="B192" s="131">
        <v>240</v>
      </c>
      <c r="C192" s="52" t="s">
        <v>56</v>
      </c>
    </row>
    <row r="193" spans="1:3" x14ac:dyDescent="0.2">
      <c r="A193" s="92" t="s">
        <v>61</v>
      </c>
      <c r="B193" s="131">
        <v>0.42</v>
      </c>
      <c r="C193" s="52" t="s">
        <v>41</v>
      </c>
    </row>
    <row r="194" spans="1:3" x14ac:dyDescent="0.2">
      <c r="A194" s="92" t="s">
        <v>67</v>
      </c>
      <c r="B194" s="131">
        <v>60</v>
      </c>
      <c r="C194" s="83" t="s">
        <v>53</v>
      </c>
    </row>
    <row r="195" spans="1:3" x14ac:dyDescent="0.2">
      <c r="A195" s="92" t="s">
        <v>68</v>
      </c>
      <c r="B195" s="131">
        <v>2</v>
      </c>
      <c r="C195" s="83" t="s">
        <v>56</v>
      </c>
    </row>
    <row r="196" spans="1:3" x14ac:dyDescent="0.2">
      <c r="A196" s="92" t="s">
        <v>70</v>
      </c>
      <c r="B196" s="131">
        <v>2.6999999999999999E-5</v>
      </c>
      <c r="C196" s="52" t="s">
        <v>64</v>
      </c>
    </row>
    <row r="197" spans="1:3" x14ac:dyDescent="0.2">
      <c r="A197" s="92" t="s">
        <v>73</v>
      </c>
      <c r="B197" s="131">
        <v>1</v>
      </c>
      <c r="C197" s="52" t="s">
        <v>41</v>
      </c>
    </row>
    <row r="198" spans="1:3" x14ac:dyDescent="0.2">
      <c r="A198" s="92" t="s">
        <v>74</v>
      </c>
      <c r="B198" s="131">
        <v>14</v>
      </c>
      <c r="C198" s="52" t="s">
        <v>75</v>
      </c>
    </row>
    <row r="199" spans="1:3" x14ac:dyDescent="0.2">
      <c r="A199" s="83" t="s">
        <v>27</v>
      </c>
      <c r="B199" s="131">
        <v>92</v>
      </c>
      <c r="C199" s="83" t="s">
        <v>28</v>
      </c>
    </row>
    <row r="200" spans="1:3" x14ac:dyDescent="0.2">
      <c r="A200" s="52" t="s">
        <v>285</v>
      </c>
      <c r="B200" s="130">
        <v>1.03</v>
      </c>
      <c r="C200" s="52" t="s">
        <v>286</v>
      </c>
    </row>
    <row r="201" spans="1:3" x14ac:dyDescent="0.2">
      <c r="A201" s="83" t="s">
        <v>498</v>
      </c>
      <c r="B201" s="131">
        <v>20.3</v>
      </c>
      <c r="C201" s="52" t="s">
        <v>246</v>
      </c>
    </row>
    <row r="202" spans="1:3" x14ac:dyDescent="0.2">
      <c r="A202" s="83" t="s">
        <v>499</v>
      </c>
      <c r="B202" s="131">
        <v>0.04</v>
      </c>
      <c r="C202" s="52" t="s">
        <v>246</v>
      </c>
    </row>
    <row r="203" spans="1:3" x14ac:dyDescent="0.2">
      <c r="A203" s="83" t="s">
        <v>500</v>
      </c>
      <c r="B203" s="131">
        <v>1</v>
      </c>
    </row>
    <row r="204" spans="1:3" x14ac:dyDescent="0.2">
      <c r="A204" s="83" t="s">
        <v>501</v>
      </c>
      <c r="B204" s="131">
        <v>1</v>
      </c>
    </row>
    <row r="205" spans="1:3" x14ac:dyDescent="0.2">
      <c r="A205" s="83" t="s">
        <v>29</v>
      </c>
      <c r="B205" s="131">
        <v>53</v>
      </c>
      <c r="C205" s="83" t="s">
        <v>28</v>
      </c>
    </row>
    <row r="206" spans="1:3" x14ac:dyDescent="0.2">
      <c r="A206" s="83" t="s">
        <v>494</v>
      </c>
      <c r="B206" s="131">
        <v>11.77</v>
      </c>
      <c r="C206" s="52" t="s">
        <v>246</v>
      </c>
    </row>
    <row r="207" spans="1:3" x14ac:dyDescent="0.2">
      <c r="A207" s="83" t="s">
        <v>495</v>
      </c>
      <c r="B207" s="131">
        <v>0.5</v>
      </c>
      <c r="C207" s="52" t="s">
        <v>246</v>
      </c>
    </row>
    <row r="208" spans="1:3" x14ac:dyDescent="0.2">
      <c r="A208" s="83" t="s">
        <v>496</v>
      </c>
      <c r="B208" s="131">
        <v>1</v>
      </c>
    </row>
    <row r="209" spans="1:3" x14ac:dyDescent="0.2">
      <c r="A209" s="83" t="s">
        <v>497</v>
      </c>
      <c r="B209" s="131">
        <v>1</v>
      </c>
    </row>
    <row r="210" spans="1:3" x14ac:dyDescent="0.2">
      <c r="A210" s="83" t="s">
        <v>148</v>
      </c>
      <c r="B210" s="130">
        <v>0.4</v>
      </c>
      <c r="C210" s="83" t="s">
        <v>28</v>
      </c>
    </row>
    <row r="211" spans="1:3" x14ac:dyDescent="0.2">
      <c r="A211" s="83" t="s">
        <v>152</v>
      </c>
      <c r="B211" s="131">
        <v>0.2</v>
      </c>
      <c r="C211" s="52" t="s">
        <v>246</v>
      </c>
    </row>
    <row r="212" spans="1:3" x14ac:dyDescent="0.2">
      <c r="A212" s="83" t="s">
        <v>151</v>
      </c>
      <c r="B212" s="131">
        <v>2.1999999999999999E-2</v>
      </c>
      <c r="C212" s="52" t="s">
        <v>246</v>
      </c>
    </row>
    <row r="213" spans="1:3" x14ac:dyDescent="0.2">
      <c r="A213" s="83" t="s">
        <v>153</v>
      </c>
      <c r="B213" s="130">
        <v>1</v>
      </c>
    </row>
    <row r="214" spans="1:3" x14ac:dyDescent="0.2">
      <c r="A214" s="83" t="s">
        <v>154</v>
      </c>
      <c r="B214" s="130">
        <v>1</v>
      </c>
    </row>
    <row r="215" spans="1:3" x14ac:dyDescent="0.2">
      <c r="A215" s="83" t="s">
        <v>485</v>
      </c>
      <c r="B215" s="130">
        <v>0.4</v>
      </c>
      <c r="C215" s="83" t="s">
        <v>28</v>
      </c>
    </row>
    <row r="216" spans="1:3" x14ac:dyDescent="0.2">
      <c r="A216" s="83" t="s">
        <v>486</v>
      </c>
      <c r="B216" s="131">
        <v>0.2</v>
      </c>
      <c r="C216" s="52" t="s">
        <v>246</v>
      </c>
    </row>
    <row r="217" spans="1:3" x14ac:dyDescent="0.2">
      <c r="A217" s="83" t="s">
        <v>487</v>
      </c>
      <c r="B217" s="131">
        <v>2.1999999999999999E-2</v>
      </c>
      <c r="C217" s="52" t="s">
        <v>246</v>
      </c>
    </row>
    <row r="218" spans="1:3" x14ac:dyDescent="0.2">
      <c r="A218" s="83" t="s">
        <v>488</v>
      </c>
      <c r="B218" s="131">
        <v>1</v>
      </c>
    </row>
    <row r="219" spans="1:3" x14ac:dyDescent="0.2">
      <c r="A219" s="83" t="s">
        <v>489</v>
      </c>
      <c r="B219" s="131">
        <v>1</v>
      </c>
    </row>
    <row r="220" spans="1:3" x14ac:dyDescent="0.2">
      <c r="A220" s="83" t="s">
        <v>150</v>
      </c>
      <c r="B220" s="131">
        <v>11.4</v>
      </c>
      <c r="C220" s="83" t="s">
        <v>28</v>
      </c>
    </row>
    <row r="221" spans="1:3" x14ac:dyDescent="0.2">
      <c r="A221" s="83" t="s">
        <v>490</v>
      </c>
      <c r="B221" s="131">
        <v>4.7</v>
      </c>
      <c r="C221" s="52" t="s">
        <v>246</v>
      </c>
    </row>
    <row r="222" spans="1:3" x14ac:dyDescent="0.2">
      <c r="A222" s="83" t="s">
        <v>491</v>
      </c>
      <c r="B222" s="131">
        <v>0.37</v>
      </c>
      <c r="C222" s="52" t="s">
        <v>246</v>
      </c>
    </row>
    <row r="223" spans="1:3" x14ac:dyDescent="0.2">
      <c r="A223" s="83" t="s">
        <v>492</v>
      </c>
      <c r="B223" s="131">
        <v>1</v>
      </c>
    </row>
    <row r="224" spans="1:3" x14ac:dyDescent="0.2">
      <c r="A224" s="83" t="s">
        <v>493</v>
      </c>
      <c r="B224" s="131">
        <v>1</v>
      </c>
    </row>
    <row r="225" spans="1:3" x14ac:dyDescent="0.2">
      <c r="A225" s="370" t="s">
        <v>311</v>
      </c>
      <c r="B225" s="370"/>
      <c r="C225" s="370"/>
    </row>
    <row r="226" spans="1:3" x14ac:dyDescent="0.2">
      <c r="A226" s="52" t="s">
        <v>504</v>
      </c>
      <c r="B226" s="130">
        <v>50</v>
      </c>
      <c r="C226" s="84" t="s">
        <v>407</v>
      </c>
    </row>
    <row r="227" spans="1:3" x14ac:dyDescent="0.2">
      <c r="A227" s="83" t="s">
        <v>316</v>
      </c>
      <c r="B227" s="130">
        <v>125</v>
      </c>
      <c r="C227" s="52" t="s">
        <v>24</v>
      </c>
    </row>
    <row r="228" spans="1:3" x14ac:dyDescent="0.2">
      <c r="A228" s="83" t="s">
        <v>422</v>
      </c>
      <c r="B228" s="131">
        <v>1</v>
      </c>
      <c r="C228" s="52" t="s">
        <v>60</v>
      </c>
    </row>
    <row r="229" spans="1:3" x14ac:dyDescent="0.2">
      <c r="A229" s="83" t="s">
        <v>317</v>
      </c>
      <c r="B229" s="130">
        <v>50</v>
      </c>
      <c r="C229" s="84" t="s">
        <v>48</v>
      </c>
    </row>
    <row r="230" spans="1:3" x14ac:dyDescent="0.2">
      <c r="A230" s="52" t="s">
        <v>318</v>
      </c>
      <c r="B230" s="131">
        <v>2</v>
      </c>
    </row>
    <row r="231" spans="1:3" x14ac:dyDescent="0.2">
      <c r="A231" s="83" t="s">
        <v>299</v>
      </c>
      <c r="B231" s="131">
        <v>1</v>
      </c>
    </row>
    <row r="232" spans="1:3" x14ac:dyDescent="0.2">
      <c r="A232" s="83" t="s">
        <v>83</v>
      </c>
      <c r="B232" s="130">
        <v>5</v>
      </c>
      <c r="C232" s="52" t="s">
        <v>194</v>
      </c>
    </row>
    <row r="233" spans="1:3" x14ac:dyDescent="0.2">
      <c r="A233" s="83" t="s">
        <v>85</v>
      </c>
      <c r="B233" s="130">
        <v>5</v>
      </c>
      <c r="C233" s="52" t="s">
        <v>194</v>
      </c>
    </row>
    <row r="234" spans="1:3" x14ac:dyDescent="0.2">
      <c r="A234" s="83" t="s">
        <v>88</v>
      </c>
      <c r="B234" s="130">
        <v>0.4</v>
      </c>
    </row>
    <row r="235" spans="1:3" x14ac:dyDescent="0.2">
      <c r="A235" s="370" t="s">
        <v>312</v>
      </c>
      <c r="B235" s="370"/>
      <c r="C235" s="370"/>
    </row>
    <row r="236" spans="1:3" x14ac:dyDescent="0.2">
      <c r="A236" s="52" t="s">
        <v>304</v>
      </c>
      <c r="B236" s="130">
        <v>50</v>
      </c>
      <c r="C236" s="84" t="s">
        <v>407</v>
      </c>
    </row>
    <row r="237" spans="1:3" x14ac:dyDescent="0.2">
      <c r="A237" s="83" t="s">
        <v>35</v>
      </c>
      <c r="B237" s="130">
        <v>125</v>
      </c>
      <c r="C237" s="52" t="s">
        <v>24</v>
      </c>
    </row>
    <row r="238" spans="1:3" x14ac:dyDescent="0.2">
      <c r="A238" s="83" t="s">
        <v>420</v>
      </c>
      <c r="B238" s="131">
        <v>1</v>
      </c>
      <c r="C238" s="52" t="s">
        <v>60</v>
      </c>
    </row>
    <row r="239" spans="1:3" x14ac:dyDescent="0.2">
      <c r="A239" s="83" t="s">
        <v>62</v>
      </c>
      <c r="B239" s="130">
        <v>50</v>
      </c>
      <c r="C239" s="84" t="s">
        <v>48</v>
      </c>
    </row>
    <row r="240" spans="1:3" x14ac:dyDescent="0.2">
      <c r="A240" s="52" t="s">
        <v>318</v>
      </c>
      <c r="B240" s="131">
        <v>2</v>
      </c>
    </row>
    <row r="241" spans="1:3" x14ac:dyDescent="0.2">
      <c r="A241" s="83" t="s">
        <v>299</v>
      </c>
      <c r="B241" s="131">
        <v>1</v>
      </c>
    </row>
    <row r="242" spans="1:3" x14ac:dyDescent="0.2">
      <c r="A242" s="83" t="s">
        <v>83</v>
      </c>
      <c r="B242" s="130">
        <v>5</v>
      </c>
      <c r="C242" s="52" t="s">
        <v>194</v>
      </c>
    </row>
    <row r="243" spans="1:3" x14ac:dyDescent="0.2">
      <c r="A243" s="83" t="s">
        <v>85</v>
      </c>
      <c r="B243" s="130">
        <v>5</v>
      </c>
      <c r="C243" s="52" t="s">
        <v>194</v>
      </c>
    </row>
    <row r="244" spans="1:3" x14ac:dyDescent="0.2">
      <c r="A244" s="83" t="s">
        <v>88</v>
      </c>
      <c r="B244" s="130">
        <v>0.4</v>
      </c>
    </row>
    <row r="245" spans="1:3" x14ac:dyDescent="0.2">
      <c r="A245" s="370" t="s">
        <v>313</v>
      </c>
      <c r="B245" s="370"/>
      <c r="C245" s="370"/>
    </row>
    <row r="246" spans="1:3" x14ac:dyDescent="0.2">
      <c r="A246" s="52" t="s">
        <v>50</v>
      </c>
      <c r="B246" s="130">
        <v>50</v>
      </c>
      <c r="C246" s="84" t="s">
        <v>407</v>
      </c>
    </row>
    <row r="247" spans="1:3" x14ac:dyDescent="0.2">
      <c r="A247" s="83" t="s">
        <v>423</v>
      </c>
      <c r="B247" s="130">
        <v>125</v>
      </c>
      <c r="C247" s="52" t="s">
        <v>24</v>
      </c>
    </row>
    <row r="248" spans="1:3" x14ac:dyDescent="0.2">
      <c r="A248" s="83" t="s">
        <v>424</v>
      </c>
      <c r="B248" s="131">
        <v>1</v>
      </c>
      <c r="C248" s="52" t="s">
        <v>60</v>
      </c>
    </row>
    <row r="249" spans="1:3" x14ac:dyDescent="0.2">
      <c r="A249" s="83" t="s">
        <v>503</v>
      </c>
      <c r="B249" s="130">
        <v>50</v>
      </c>
      <c r="C249" s="84" t="s">
        <v>48</v>
      </c>
    </row>
    <row r="250" spans="1:3" x14ac:dyDescent="0.2">
      <c r="A250" s="52" t="s">
        <v>318</v>
      </c>
      <c r="B250" s="131">
        <v>2</v>
      </c>
    </row>
    <row r="251" spans="1:3" x14ac:dyDescent="0.2">
      <c r="A251" s="83" t="s">
        <v>299</v>
      </c>
      <c r="B251" s="131">
        <v>1</v>
      </c>
    </row>
    <row r="252" spans="1:3" x14ac:dyDescent="0.2">
      <c r="A252" s="83" t="s">
        <v>83</v>
      </c>
      <c r="B252" s="130">
        <v>5</v>
      </c>
      <c r="C252" s="52" t="s">
        <v>194</v>
      </c>
    </row>
    <row r="253" spans="1:3" x14ac:dyDescent="0.2">
      <c r="A253" s="83" t="s">
        <v>85</v>
      </c>
      <c r="B253" s="130">
        <v>5</v>
      </c>
      <c r="C253" s="52" t="s">
        <v>194</v>
      </c>
    </row>
    <row r="254" spans="1:3" x14ac:dyDescent="0.2">
      <c r="A254" s="83" t="s">
        <v>88</v>
      </c>
      <c r="B254" s="130">
        <v>0.4</v>
      </c>
    </row>
    <row r="255" spans="1:3" x14ac:dyDescent="0.2">
      <c r="A255" s="370" t="s">
        <v>314</v>
      </c>
      <c r="B255" s="370"/>
      <c r="C255" s="370"/>
    </row>
    <row r="256" spans="1:3" x14ac:dyDescent="0.2">
      <c r="A256" s="52" t="s">
        <v>348</v>
      </c>
      <c r="B256" s="130">
        <v>50</v>
      </c>
      <c r="C256" s="84" t="s">
        <v>407</v>
      </c>
    </row>
    <row r="257" spans="1:3" x14ac:dyDescent="0.2">
      <c r="A257" s="83" t="s">
        <v>191</v>
      </c>
      <c r="B257" s="130">
        <v>125</v>
      </c>
      <c r="C257" s="52" t="s">
        <v>24</v>
      </c>
    </row>
    <row r="258" spans="1:3" x14ac:dyDescent="0.2">
      <c r="A258" s="83" t="s">
        <v>158</v>
      </c>
      <c r="B258" s="131">
        <v>1</v>
      </c>
      <c r="C258" s="52" t="s">
        <v>60</v>
      </c>
    </row>
    <row r="259" spans="1:3" x14ac:dyDescent="0.2">
      <c r="A259" s="83" t="s">
        <v>502</v>
      </c>
      <c r="B259" s="130">
        <v>200</v>
      </c>
      <c r="C259" s="84" t="s">
        <v>48</v>
      </c>
    </row>
    <row r="260" spans="1:3" x14ac:dyDescent="0.2">
      <c r="A260" s="52" t="s">
        <v>318</v>
      </c>
      <c r="B260" s="131">
        <v>2</v>
      </c>
    </row>
    <row r="261" spans="1:3" x14ac:dyDescent="0.2">
      <c r="A261" s="83" t="s">
        <v>299</v>
      </c>
      <c r="B261" s="131">
        <v>1</v>
      </c>
    </row>
    <row r="262" spans="1:3" x14ac:dyDescent="0.2">
      <c r="A262" s="83" t="s">
        <v>83</v>
      </c>
      <c r="B262" s="130">
        <v>5</v>
      </c>
      <c r="C262" s="52" t="s">
        <v>194</v>
      </c>
    </row>
    <row r="263" spans="1:3" x14ac:dyDescent="0.2">
      <c r="A263" s="83" t="s">
        <v>85</v>
      </c>
      <c r="B263" s="130">
        <v>5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83" t="s">
        <v>219</v>
      </c>
      <c r="B265" s="130">
        <v>3</v>
      </c>
      <c r="C265" s="52" t="s">
        <v>112</v>
      </c>
    </row>
    <row r="266" spans="1:3" x14ac:dyDescent="0.2">
      <c r="A266" s="83" t="s">
        <v>220</v>
      </c>
      <c r="B266" s="130">
        <v>25</v>
      </c>
      <c r="C266" s="52" t="s">
        <v>113</v>
      </c>
    </row>
    <row r="267" spans="1:3" x14ac:dyDescent="0.2">
      <c r="A267" s="370" t="s">
        <v>315</v>
      </c>
      <c r="B267" s="370"/>
      <c r="C267" s="370"/>
    </row>
    <row r="268" spans="1:3" x14ac:dyDescent="0.2">
      <c r="A268" s="52" t="s">
        <v>348</v>
      </c>
      <c r="B268" s="130">
        <v>50</v>
      </c>
      <c r="C268" s="84" t="s">
        <v>407</v>
      </c>
    </row>
    <row r="269" spans="1:3" x14ac:dyDescent="0.2">
      <c r="A269" s="83" t="s">
        <v>191</v>
      </c>
      <c r="B269" s="130">
        <v>125</v>
      </c>
      <c r="C269" s="52" t="s">
        <v>24</v>
      </c>
    </row>
    <row r="270" spans="1:3" x14ac:dyDescent="0.2">
      <c r="A270" s="83" t="s">
        <v>158</v>
      </c>
      <c r="B270" s="131">
        <v>1</v>
      </c>
      <c r="C270" s="52" t="s">
        <v>60</v>
      </c>
    </row>
    <row r="271" spans="1:3" x14ac:dyDescent="0.2">
      <c r="A271" s="83" t="s">
        <v>502</v>
      </c>
      <c r="B271" s="130">
        <v>200</v>
      </c>
      <c r="C271" s="84" t="s">
        <v>48</v>
      </c>
    </row>
    <row r="272" spans="1:3" x14ac:dyDescent="0.2">
      <c r="A272" s="83" t="s">
        <v>299</v>
      </c>
      <c r="B272" s="131">
        <v>1</v>
      </c>
    </row>
    <row r="273" spans="1:3" x14ac:dyDescent="0.2">
      <c r="A273" s="83" t="s">
        <v>83</v>
      </c>
      <c r="B273" s="130">
        <v>5</v>
      </c>
      <c r="C273" s="52" t="s">
        <v>194</v>
      </c>
    </row>
    <row r="274" spans="1:3" x14ac:dyDescent="0.2">
      <c r="A274" s="83" t="s">
        <v>85</v>
      </c>
      <c r="B274" s="130">
        <v>5</v>
      </c>
      <c r="C274" s="52" t="s">
        <v>194</v>
      </c>
    </row>
    <row r="275" spans="1:3" x14ac:dyDescent="0.2">
      <c r="A275" s="83" t="s">
        <v>88</v>
      </c>
      <c r="B275" s="130">
        <v>0.4</v>
      </c>
    </row>
    <row r="276" spans="1:3" x14ac:dyDescent="0.2">
      <c r="A276" s="83" t="s">
        <v>219</v>
      </c>
      <c r="B276" s="130">
        <v>3</v>
      </c>
      <c r="C276" s="52" t="s">
        <v>112</v>
      </c>
    </row>
    <row r="277" spans="1:3" x14ac:dyDescent="0.2">
      <c r="A277" s="83" t="s">
        <v>220</v>
      </c>
      <c r="B277" s="130">
        <v>25</v>
      </c>
      <c r="C277" s="52" t="s">
        <v>113</v>
      </c>
    </row>
  </sheetData>
  <mergeCells count="342">
    <mergeCell ref="HD21:HF21"/>
    <mergeCell ref="V23:X23"/>
    <mergeCell ref="Y23:AA23"/>
    <mergeCell ref="BF21:BF23"/>
    <mergeCell ref="BJ21:BJ23"/>
    <mergeCell ref="BK21:BK23"/>
    <mergeCell ref="BL21:BL23"/>
    <mergeCell ref="BM21:BM23"/>
    <mergeCell ref="CP20:CP22"/>
    <mergeCell ref="CQ20:CQ22"/>
    <mergeCell ref="CR20:CR22"/>
    <mergeCell ref="CS20:CS22"/>
    <mergeCell ref="AI21:AI23"/>
    <mergeCell ref="AJ21:AJ23"/>
    <mergeCell ref="AK21:AK23"/>
    <mergeCell ref="AL21:AL23"/>
    <mergeCell ref="AS21:AS23"/>
    <mergeCell ref="AT21:AT23"/>
    <mergeCell ref="AU21:AU23"/>
    <mergeCell ref="CK20:CK22"/>
    <mergeCell ref="CL20:CL22"/>
    <mergeCell ref="CM20:CM22"/>
    <mergeCell ref="M20:O20"/>
    <mergeCell ref="P20:R20"/>
    <mergeCell ref="M21:M23"/>
    <mergeCell ref="N21:N23"/>
    <mergeCell ref="O21:O23"/>
    <mergeCell ref="P21:P23"/>
    <mergeCell ref="Q21:Q23"/>
    <mergeCell ref="R21:R23"/>
    <mergeCell ref="CN20:CN22"/>
    <mergeCell ref="CO20:CO22"/>
    <mergeCell ref="CK19:CM19"/>
    <mergeCell ref="CN19:CP19"/>
    <mergeCell ref="BN21:BN23"/>
    <mergeCell ref="BO21:BO23"/>
    <mergeCell ref="CQ19:CS19"/>
    <mergeCell ref="AI20:AK20"/>
    <mergeCell ref="AL20:AN20"/>
    <mergeCell ref="AR20:AT20"/>
    <mergeCell ref="AU20:AW20"/>
    <mergeCell ref="BA20:BC20"/>
    <mergeCell ref="BD20:BF20"/>
    <mergeCell ref="BJ20:BL20"/>
    <mergeCell ref="BA21:BA23"/>
    <mergeCell ref="BB21:BB23"/>
    <mergeCell ref="BC21:BC23"/>
    <mergeCell ref="BD21:BD23"/>
    <mergeCell ref="BE21:BE23"/>
    <mergeCell ref="AV21:AV23"/>
    <mergeCell ref="AW21:AW23"/>
    <mergeCell ref="AM21:AM23"/>
    <mergeCell ref="AN21:AN23"/>
    <mergeCell ref="AR21:AR23"/>
    <mergeCell ref="CB18:CD18"/>
    <mergeCell ref="CE18:CG18"/>
    <mergeCell ref="CB19:CB21"/>
    <mergeCell ref="CC19:CC21"/>
    <mergeCell ref="CD19:CD21"/>
    <mergeCell ref="CE19:CE21"/>
    <mergeCell ref="CF19:CF21"/>
    <mergeCell ref="CG19:CG21"/>
    <mergeCell ref="BM20:BO20"/>
    <mergeCell ref="GY2:GY4"/>
    <mergeCell ref="GZ2:GZ4"/>
    <mergeCell ref="HA2:HA4"/>
    <mergeCell ref="HB2:HB4"/>
    <mergeCell ref="HC2:HC4"/>
    <mergeCell ref="GT2:GT4"/>
    <mergeCell ref="GU2:GU4"/>
    <mergeCell ref="GV2:GV4"/>
    <mergeCell ref="GW2:GW4"/>
    <mergeCell ref="GX2:GX4"/>
    <mergeCell ref="GO2:GO4"/>
    <mergeCell ref="GP2:GP4"/>
    <mergeCell ref="GQ2:GQ4"/>
    <mergeCell ref="GR2:GR4"/>
    <mergeCell ref="GS2:GS4"/>
    <mergeCell ref="GJ2:GJ4"/>
    <mergeCell ref="GK2:GK4"/>
    <mergeCell ref="GL2:GL4"/>
    <mergeCell ref="GM2:GM4"/>
    <mergeCell ref="GN2:GN4"/>
    <mergeCell ref="GE2:GE4"/>
    <mergeCell ref="GF2:GF4"/>
    <mergeCell ref="GG2:GG4"/>
    <mergeCell ref="GH2:GH4"/>
    <mergeCell ref="GI2:GI4"/>
    <mergeCell ref="FZ2:FZ4"/>
    <mergeCell ref="GA2:GA4"/>
    <mergeCell ref="GB2:GB4"/>
    <mergeCell ref="GC2:GC4"/>
    <mergeCell ref="GD2:GD4"/>
    <mergeCell ref="FU2:FU4"/>
    <mergeCell ref="FV2:FV4"/>
    <mergeCell ref="FW2:FW4"/>
    <mergeCell ref="FX2:FX4"/>
    <mergeCell ref="FY2:FY4"/>
    <mergeCell ref="FP2:FP4"/>
    <mergeCell ref="FQ2:FQ4"/>
    <mergeCell ref="FR2:FR4"/>
    <mergeCell ref="FS2:FS4"/>
    <mergeCell ref="FT2:FT4"/>
    <mergeCell ref="FK2:FK4"/>
    <mergeCell ref="FL2:FL4"/>
    <mergeCell ref="FM2:FM4"/>
    <mergeCell ref="FN2:FN4"/>
    <mergeCell ref="FO2:FO4"/>
    <mergeCell ref="FF2:FF4"/>
    <mergeCell ref="FG2:FG4"/>
    <mergeCell ref="FH2:FH4"/>
    <mergeCell ref="FI2:FI4"/>
    <mergeCell ref="FJ2:FJ4"/>
    <mergeCell ref="FA2:FA4"/>
    <mergeCell ref="FB2:FB4"/>
    <mergeCell ref="FC2:FC4"/>
    <mergeCell ref="FD2:FD4"/>
    <mergeCell ref="FE2:FE4"/>
    <mergeCell ref="EV2:EV4"/>
    <mergeCell ref="EW2:EW4"/>
    <mergeCell ref="EX2:EX4"/>
    <mergeCell ref="EY2:EY4"/>
    <mergeCell ref="EZ2:EZ4"/>
    <mergeCell ref="EQ2:EQ4"/>
    <mergeCell ref="ER2:ER4"/>
    <mergeCell ref="ES2:ES4"/>
    <mergeCell ref="ET2:ET4"/>
    <mergeCell ref="EU2:EU4"/>
    <mergeCell ref="EL2:EL4"/>
    <mergeCell ref="EM2:EM4"/>
    <mergeCell ref="EN2:EN4"/>
    <mergeCell ref="EO2:EO4"/>
    <mergeCell ref="EP2:EP4"/>
    <mergeCell ref="EG2:EG4"/>
    <mergeCell ref="EH2:EH4"/>
    <mergeCell ref="EI2:EI4"/>
    <mergeCell ref="EJ2:EJ4"/>
    <mergeCell ref="EK2:EK4"/>
    <mergeCell ref="EB2:EB4"/>
    <mergeCell ref="EC2:EC4"/>
    <mergeCell ref="ED2:ED4"/>
    <mergeCell ref="EE2:EE4"/>
    <mergeCell ref="EF2:EF4"/>
    <mergeCell ref="DW2:DW4"/>
    <mergeCell ref="DX2:DX4"/>
    <mergeCell ref="DY2:DY4"/>
    <mergeCell ref="DZ2:DZ4"/>
    <mergeCell ref="EA2:EA4"/>
    <mergeCell ref="DR2:DR4"/>
    <mergeCell ref="DS2:DS4"/>
    <mergeCell ref="DT2:DT4"/>
    <mergeCell ref="DU2:DU4"/>
    <mergeCell ref="DV2:DV4"/>
    <mergeCell ref="DM2:DM4"/>
    <mergeCell ref="DN2:DN4"/>
    <mergeCell ref="DO2:DO4"/>
    <mergeCell ref="DP2:DP4"/>
    <mergeCell ref="DQ2:DQ4"/>
    <mergeCell ref="DH2:DH4"/>
    <mergeCell ref="DI2:DI4"/>
    <mergeCell ref="DJ2:DJ4"/>
    <mergeCell ref="DK2:DK4"/>
    <mergeCell ref="DL2:DL4"/>
    <mergeCell ref="DC2:DC4"/>
    <mergeCell ref="DD2:DD4"/>
    <mergeCell ref="DE2:DE4"/>
    <mergeCell ref="DF2:DF4"/>
    <mergeCell ref="DG2:DG4"/>
    <mergeCell ref="CU2:CU4"/>
    <mergeCell ref="CV2:CV4"/>
    <mergeCell ref="CZ2:CZ4"/>
    <mergeCell ref="DA2:DA4"/>
    <mergeCell ref="DB2:DB4"/>
    <mergeCell ref="CP2:CP4"/>
    <mergeCell ref="CQ2:CQ4"/>
    <mergeCell ref="CR2:CR4"/>
    <mergeCell ref="CS2:CS4"/>
    <mergeCell ref="CT2:CT4"/>
    <mergeCell ref="CK2:CK4"/>
    <mergeCell ref="CL2:CL4"/>
    <mergeCell ref="CM2:CM4"/>
    <mergeCell ref="CN2:CN4"/>
    <mergeCell ref="CO2:CO4"/>
    <mergeCell ref="CF2:CF4"/>
    <mergeCell ref="CG2:CG4"/>
    <mergeCell ref="CH2:CH4"/>
    <mergeCell ref="CI2:CI4"/>
    <mergeCell ref="CJ2:CJ4"/>
    <mergeCell ref="CA2:CA4"/>
    <mergeCell ref="CB2:CB4"/>
    <mergeCell ref="CC2:CC4"/>
    <mergeCell ref="CD2:CD4"/>
    <mergeCell ref="CE2:CE4"/>
    <mergeCell ref="BV2:BV4"/>
    <mergeCell ref="BW2:BW4"/>
    <mergeCell ref="BX2:BX4"/>
    <mergeCell ref="BY2:BY4"/>
    <mergeCell ref="BZ2:BZ4"/>
    <mergeCell ref="BN2:BN4"/>
    <mergeCell ref="BO2:BO4"/>
    <mergeCell ref="BP2:BP4"/>
    <mergeCell ref="BQ2:BQ4"/>
    <mergeCell ref="BR2:BR4"/>
    <mergeCell ref="BI2:BI4"/>
    <mergeCell ref="BJ2:BJ4"/>
    <mergeCell ref="BK2:BK4"/>
    <mergeCell ref="BL2:BL4"/>
    <mergeCell ref="BM2:BM4"/>
    <mergeCell ref="BD2:BD4"/>
    <mergeCell ref="BE2:BE4"/>
    <mergeCell ref="BF2:BF4"/>
    <mergeCell ref="BG2:BG4"/>
    <mergeCell ref="BH2:BH4"/>
    <mergeCell ref="AY2:AY4"/>
    <mergeCell ref="AZ2:AZ4"/>
    <mergeCell ref="BA2:BA4"/>
    <mergeCell ref="BB2:BB4"/>
    <mergeCell ref="BC2:BC4"/>
    <mergeCell ref="AT2:AT4"/>
    <mergeCell ref="AU2:AU4"/>
    <mergeCell ref="AV2:AV4"/>
    <mergeCell ref="AW2:AW4"/>
    <mergeCell ref="AX2:AX4"/>
    <mergeCell ref="AO2:AO4"/>
    <mergeCell ref="AP2:AP4"/>
    <mergeCell ref="AQ2:AQ4"/>
    <mergeCell ref="AR2:AR4"/>
    <mergeCell ref="AS2:AS4"/>
    <mergeCell ref="GX1:GZ1"/>
    <mergeCell ref="HA1:HC1"/>
    <mergeCell ref="HD1:HF1"/>
    <mergeCell ref="M2:M4"/>
    <mergeCell ref="N2:N4"/>
    <mergeCell ref="O2:O4"/>
    <mergeCell ref="P2:P4"/>
    <mergeCell ref="Q2:Q4"/>
    <mergeCell ref="R2:R4"/>
    <mergeCell ref="S2:S4"/>
    <mergeCell ref="T2:T4"/>
    <mergeCell ref="U2:U4"/>
    <mergeCell ref="AC2:AC4"/>
    <mergeCell ref="AD2:AD4"/>
    <mergeCell ref="AE2:AE4"/>
    <mergeCell ref="AF2:AF4"/>
    <mergeCell ref="GI1:GK1"/>
    <mergeCell ref="GL1:GN1"/>
    <mergeCell ref="GO1:GQ1"/>
    <mergeCell ref="GR1:GT1"/>
    <mergeCell ref="GU1:GW1"/>
    <mergeCell ref="FT1:FV1"/>
    <mergeCell ref="FW1:FX1"/>
    <mergeCell ref="FZ1:GB1"/>
    <mergeCell ref="GC1:GE1"/>
    <mergeCell ref="GF1:GH1"/>
    <mergeCell ref="FE1:FG1"/>
    <mergeCell ref="FH1:FJ1"/>
    <mergeCell ref="FK1:FM1"/>
    <mergeCell ref="FN1:FP1"/>
    <mergeCell ref="FQ1:FS1"/>
    <mergeCell ref="EP1:ER1"/>
    <mergeCell ref="ES1:EU1"/>
    <mergeCell ref="EV1:EX1"/>
    <mergeCell ref="EY1:FA1"/>
    <mergeCell ref="FB1:FD1"/>
    <mergeCell ref="EA1:EC1"/>
    <mergeCell ref="ED1:EF1"/>
    <mergeCell ref="EG1:EI1"/>
    <mergeCell ref="EJ1:EL1"/>
    <mergeCell ref="EM1:EO1"/>
    <mergeCell ref="DL1:DN1"/>
    <mergeCell ref="DO1:DQ1"/>
    <mergeCell ref="DR1:DT1"/>
    <mergeCell ref="DU1:DW1"/>
    <mergeCell ref="DX1:DZ1"/>
    <mergeCell ref="CW1:CY1"/>
    <mergeCell ref="CZ1:DB1"/>
    <mergeCell ref="DC1:DE1"/>
    <mergeCell ref="DF1:DH1"/>
    <mergeCell ref="DI1:DK1"/>
    <mergeCell ref="CK1:CM1"/>
    <mergeCell ref="CN1:CP1"/>
    <mergeCell ref="CQ1:CS1"/>
    <mergeCell ref="CT1:CV1"/>
    <mergeCell ref="BS1:BU1"/>
    <mergeCell ref="BV1:BX1"/>
    <mergeCell ref="BY1:CA1"/>
    <mergeCell ref="CB1:CD1"/>
    <mergeCell ref="CE1:CG1"/>
    <mergeCell ref="BJ1:BL1"/>
    <mergeCell ref="BM1:BO1"/>
    <mergeCell ref="BP1:BR1"/>
    <mergeCell ref="AO1:AQ1"/>
    <mergeCell ref="AR1:AT1"/>
    <mergeCell ref="AU1:AW1"/>
    <mergeCell ref="AX1:AZ1"/>
    <mergeCell ref="BA1:BC1"/>
    <mergeCell ref="CH1:CJ1"/>
    <mergeCell ref="A267:C267"/>
    <mergeCell ref="A5:C5"/>
    <mergeCell ref="D1:F1"/>
    <mergeCell ref="D30:F30"/>
    <mergeCell ref="D31:D32"/>
    <mergeCell ref="E31:E32"/>
    <mergeCell ref="F31:F32"/>
    <mergeCell ref="D42:F42"/>
    <mergeCell ref="D43:D44"/>
    <mergeCell ref="E43:E44"/>
    <mergeCell ref="F43:F44"/>
    <mergeCell ref="A91:C91"/>
    <mergeCell ref="A102:C102"/>
    <mergeCell ref="A140:C140"/>
    <mergeCell ref="A2:C2"/>
    <mergeCell ref="A49:C49"/>
    <mergeCell ref="A14:C16"/>
    <mergeCell ref="A1:C1"/>
    <mergeCell ref="A225:C225"/>
    <mergeCell ref="A235:C235"/>
    <mergeCell ref="A245:C245"/>
    <mergeCell ref="CC35:CG38"/>
    <mergeCell ref="AE38:AG40"/>
    <mergeCell ref="BK39:BO42"/>
    <mergeCell ref="G1:I1"/>
    <mergeCell ref="J1:L1"/>
    <mergeCell ref="M1:O1"/>
    <mergeCell ref="P1:R1"/>
    <mergeCell ref="S1:U1"/>
    <mergeCell ref="A255:C255"/>
    <mergeCell ref="V1:X1"/>
    <mergeCell ref="Y1:AA1"/>
    <mergeCell ref="AB1:AB4"/>
    <mergeCell ref="AI1:AK1"/>
    <mergeCell ref="AL1:AN1"/>
    <mergeCell ref="AG2:AG4"/>
    <mergeCell ref="AH2:AH4"/>
    <mergeCell ref="AI2:AI4"/>
    <mergeCell ref="AJ2:AJ4"/>
    <mergeCell ref="AK2:AK4"/>
    <mergeCell ref="AL2:AL4"/>
    <mergeCell ref="AM2:AM4"/>
    <mergeCell ref="AN2:AN4"/>
    <mergeCell ref="BD1:BF1"/>
    <mergeCell ref="BG1:BI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77"/>
  <sheetViews>
    <sheetView zoomScale="80" zoomScaleNormal="80" workbookViewId="0">
      <pane xSplit="3" topLeftCell="D1" activePane="topRight" state="frozen"/>
      <selection pane="topRight" activeCell="E9" sqref="E9"/>
    </sheetView>
  </sheetViews>
  <sheetFormatPr defaultRowHeight="12.75" x14ac:dyDescent="0.2"/>
  <cols>
    <col min="1" max="1" width="15" style="52" bestFit="1" customWidth="1"/>
    <col min="2" max="2" width="9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28515625" style="52" bestFit="1" customWidth="1"/>
    <col min="79" max="79" width="18.85546875" style="52" bestFit="1" customWidth="1"/>
    <col min="80" max="80" width="11" style="52" bestFit="1" customWidth="1"/>
    <col min="81" max="81" width="9.28515625" style="52" bestFit="1" customWidth="1"/>
    <col min="82" max="82" width="20.28515625" style="52" bestFit="1" customWidth="1"/>
    <col min="83" max="83" width="12.42578125" style="52" bestFit="1" customWidth="1"/>
    <col min="84" max="84" width="9.28515625" style="52" bestFit="1" customWidth="1"/>
    <col min="85" max="85" width="20.28515625" style="52" bestFit="1" customWidth="1"/>
    <col min="86" max="86" width="13.5703125" style="52" bestFit="1" customWidth="1"/>
    <col min="87" max="87" width="9.2851562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6.285156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9.28515625" style="52" bestFit="1" customWidth="1"/>
    <col min="142" max="142" width="7" style="52" bestFit="1" customWidth="1"/>
    <col min="143" max="143" width="12" style="52" bestFit="1" customWidth="1"/>
    <col min="144" max="144" width="9.28515625" style="52" bestFit="1" customWidth="1"/>
    <col min="145" max="145" width="7" style="52" bestFit="1" customWidth="1"/>
    <col min="146" max="146" width="12" style="52" bestFit="1" customWidth="1"/>
    <col min="147" max="147" width="9.28515625" style="52" bestFit="1" customWidth="1"/>
    <col min="148" max="148" width="7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7" style="52" bestFit="1" customWidth="1"/>
    <col min="158" max="158" width="12" style="52" bestFit="1" customWidth="1"/>
    <col min="159" max="159" width="9.28515625" style="52" bestFit="1" customWidth="1"/>
    <col min="160" max="160" width="7" style="52" bestFit="1" customWidth="1"/>
    <col min="161" max="161" width="12" style="52" bestFit="1" customWidth="1"/>
    <col min="162" max="162" width="9.28515625" style="52" bestFit="1" customWidth="1"/>
    <col min="163" max="163" width="7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6.285156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9.28515625" style="52" bestFit="1" customWidth="1"/>
    <col min="187" max="187" width="7" style="52" bestFit="1" customWidth="1"/>
    <col min="188" max="188" width="12" style="52" bestFit="1" customWidth="1"/>
    <col min="189" max="189" width="9.28515625" style="52" bestFit="1" customWidth="1"/>
    <col min="190" max="190" width="7" style="52" bestFit="1" customWidth="1"/>
    <col min="191" max="191" width="12" style="52" bestFit="1" customWidth="1"/>
    <col min="192" max="192" width="9.28515625" style="52" bestFit="1" customWidth="1"/>
    <col min="193" max="193" width="7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7" style="52" bestFit="1" customWidth="1"/>
    <col min="203" max="203" width="12" style="52" bestFit="1" customWidth="1"/>
    <col min="204" max="204" width="9.28515625" style="52" bestFit="1" customWidth="1"/>
    <col min="205" max="205" width="7" style="52" bestFit="1" customWidth="1"/>
    <col min="206" max="206" width="12" style="52" bestFit="1" customWidth="1"/>
    <col min="207" max="207" width="9.28515625" style="52" bestFit="1" customWidth="1"/>
    <col min="208" max="208" width="7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13" style="52" bestFit="1" customWidth="1"/>
    <col min="214" max="214" width="21.28515625" style="52" bestFit="1" customWidth="1"/>
    <col min="215" max="16384" width="9.140625" style="52"/>
  </cols>
  <sheetData>
    <row r="1" spans="1:214" ht="21.75" customHeight="1" thickTop="1" thickBot="1" x14ac:dyDescent="0.25">
      <c r="A1" s="655" t="s">
        <v>360</v>
      </c>
      <c r="B1" s="656"/>
      <c r="C1" s="657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565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296" t="s">
        <v>557</v>
      </c>
      <c r="AJ1" s="294"/>
      <c r="AK1" s="297"/>
      <c r="AL1" s="293" t="s">
        <v>546</v>
      </c>
      <c r="AM1" s="294"/>
      <c r="AN1" s="297"/>
      <c r="AO1" s="293" t="s">
        <v>547</v>
      </c>
      <c r="AP1" s="294"/>
      <c r="AQ1" s="295"/>
      <c r="AR1" s="296" t="s">
        <v>559</v>
      </c>
      <c r="AS1" s="294"/>
      <c r="AT1" s="297"/>
      <c r="AU1" s="293" t="s">
        <v>548</v>
      </c>
      <c r="AV1" s="294"/>
      <c r="AW1" s="297"/>
      <c r="AX1" s="293" t="s">
        <v>549</v>
      </c>
      <c r="AY1" s="294"/>
      <c r="AZ1" s="295"/>
      <c r="BA1" s="296" t="s">
        <v>561</v>
      </c>
      <c r="BB1" s="294"/>
      <c r="BC1" s="297"/>
      <c r="BD1" s="293" t="s">
        <v>551</v>
      </c>
      <c r="BE1" s="294"/>
      <c r="BF1" s="297"/>
      <c r="BG1" s="293" t="s">
        <v>552</v>
      </c>
      <c r="BH1" s="294"/>
      <c r="BI1" s="295"/>
      <c r="BJ1" s="296" t="s">
        <v>564</v>
      </c>
      <c r="BK1" s="294"/>
      <c r="BL1" s="297"/>
      <c r="BM1" s="293" t="s">
        <v>554</v>
      </c>
      <c r="BN1" s="294"/>
      <c r="BO1" s="297"/>
      <c r="BP1" s="293" t="s">
        <v>555</v>
      </c>
      <c r="BQ1" s="294"/>
      <c r="BR1" s="295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274" t="s">
        <v>569</v>
      </c>
      <c r="CC1" s="270"/>
      <c r="CD1" s="270"/>
      <c r="CE1" s="271" t="s">
        <v>570</v>
      </c>
      <c r="CF1" s="270"/>
      <c r="CG1" s="272"/>
      <c r="CH1" s="270" t="s">
        <v>571</v>
      </c>
      <c r="CI1" s="270"/>
      <c r="CJ1" s="273"/>
      <c r="CK1" s="270" t="s">
        <v>575</v>
      </c>
      <c r="CL1" s="270"/>
      <c r="CM1" s="270"/>
      <c r="CN1" s="271" t="s">
        <v>575</v>
      </c>
      <c r="CO1" s="270"/>
      <c r="CP1" s="272"/>
      <c r="CQ1" s="270" t="s">
        <v>575</v>
      </c>
      <c r="CR1" s="270"/>
      <c r="CS1" s="273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4.25" customHeight="1" thickTop="1" thickBot="1" x14ac:dyDescent="0.25">
      <c r="A2" s="681" t="s">
        <v>240</v>
      </c>
      <c r="B2" s="682"/>
      <c r="C2" s="683"/>
      <c r="D2" s="193"/>
      <c r="E2" s="194"/>
      <c r="F2" s="194"/>
      <c r="G2" s="195"/>
      <c r="H2" s="196"/>
      <c r="I2" s="196"/>
      <c r="J2" s="197"/>
      <c r="K2" s="198"/>
      <c r="L2" s="199"/>
      <c r="M2" s="330" t="s">
        <v>537</v>
      </c>
      <c r="N2" s="333">
        <f>(N5*N6*N7)/((1-EXP(-N7*N6))*N15*N13*(N9/365)*(((N14/24)*N12)+((N16/24)*N11)))</f>
        <v>94703.868797285497</v>
      </c>
      <c r="O2" s="336" t="s">
        <v>10</v>
      </c>
      <c r="P2" s="339" t="s">
        <v>537</v>
      </c>
      <c r="Q2" s="333">
        <f>(Q5*Q6*Q7)/((1-EXP(-Q7*Q6))*Q15*Q13*(Q9/365)*(((Q14/24)*Q12)+((Q16/24)*Q11)))</f>
        <v>535334.26436932082</v>
      </c>
      <c r="R2" s="336" t="s">
        <v>10</v>
      </c>
      <c r="S2" s="339" t="s">
        <v>537</v>
      </c>
      <c r="T2" s="333">
        <f>(T5*T6*T7)/((1-EXP(-T7*T6))*T15*T13*(T9/365)*(((T14/24)*T12)+((T16/24)*T11)))</f>
        <v>112167.34698509402</v>
      </c>
      <c r="U2" s="342" t="s">
        <v>10</v>
      </c>
      <c r="V2" s="204"/>
      <c r="W2" s="205"/>
      <c r="X2" s="205"/>
      <c r="Y2" s="206"/>
      <c r="Z2" s="205"/>
      <c r="AA2" s="207"/>
      <c r="AB2" s="310"/>
      <c r="AC2" s="312" t="e">
        <f>1/((1/AC29)+(1/AC30)+(1/AC31))</f>
        <v>#DIV/0!</v>
      </c>
      <c r="AD2" s="315" t="e">
        <f>1/((1/AD29)+(1/AD30)+(1/AD31))</f>
        <v>#DIV/0!</v>
      </c>
      <c r="AE2" s="315" t="e">
        <f>1/((1/AE29)+(1/AE30)+(1/AE31))</f>
        <v>#DIV/0!</v>
      </c>
      <c r="AF2" s="315" t="e">
        <f>1/((1/AF29)+(1/AF30)+(1/AF31))</f>
        <v>#DIV/0!</v>
      </c>
      <c r="AG2" s="320" t="e">
        <f>1/((1/AG29)+(1/AG31)+(1/AG30))</f>
        <v>#DIV/0!</v>
      </c>
      <c r="AH2" s="318" t="s">
        <v>10</v>
      </c>
      <c r="AI2" s="306" t="s">
        <v>537</v>
      </c>
      <c r="AJ2" s="303">
        <f>(AJ5*AJ6*AJ7)/((1-EXP(-AJ7*AJ6))*AJ15*(AJ9/365)*AJ10*(AJ16/24)*AJ11*AJ13)</f>
        <v>575951.04847757146</v>
      </c>
      <c r="AK2" s="290" t="s">
        <v>10</v>
      </c>
      <c r="AL2" s="287" t="s">
        <v>537</v>
      </c>
      <c r="AM2" s="303">
        <f>(AM5*AM6*AM7)/((1-EXP(-AM7*AM6))*AM15*(AM9/365)*AM10*(AM16/24)*AM11*AM13)</f>
        <v>3235838.6676656464</v>
      </c>
      <c r="AN2" s="290" t="s">
        <v>10</v>
      </c>
      <c r="AO2" s="287" t="s">
        <v>537</v>
      </c>
      <c r="AP2" s="303">
        <f>(AP5*AP6*AP7)/((1-EXP(-AP7*AP6))*AP15*(AP9/365)*AP10*(AP16/24)*AP11*AP13)</f>
        <v>680864.76958727941</v>
      </c>
      <c r="AQ2" s="281" t="s">
        <v>10</v>
      </c>
      <c r="AR2" s="306" t="s">
        <v>537</v>
      </c>
      <c r="AS2" s="303">
        <f>(AS5*AS6*AS7)/((1-EXP(-AS7*AS6))*AS15*(AS9/365)*AS10*(AS14/24)*AS12*AS13)</f>
        <v>8469868.3599642832</v>
      </c>
      <c r="AT2" s="290" t="s">
        <v>10</v>
      </c>
      <c r="AU2" s="287" t="s">
        <v>537</v>
      </c>
      <c r="AV2" s="303">
        <f>(AV5*AV6*AV7)/((1-EXP(-AV7*AV6))*AV15*(AV9/365)*AV10*(AV14/24)*AV12*AV13)</f>
        <v>87219371.096109077</v>
      </c>
      <c r="AW2" s="290" t="s">
        <v>10</v>
      </c>
      <c r="AX2" s="287" t="s">
        <v>537</v>
      </c>
      <c r="AY2" s="303">
        <f>(AY5*AY6*AY7)/((1-EXP(-AY7*AY6))*AY15*(AY9/365)*AY10*(AY14/24)*AY12*AY13)</f>
        <v>11658643.314850675</v>
      </c>
      <c r="AZ2" s="281" t="s">
        <v>10</v>
      </c>
      <c r="BA2" s="306" t="s">
        <v>537</v>
      </c>
      <c r="BB2" s="303">
        <f>(BB5*BB6*BB7)/((1-EXP(-BB7*BB6))*BB15*(BB9/365)*(BB14/24)*BB12*BB13)</f>
        <v>8469868.3599642832</v>
      </c>
      <c r="BC2" s="290" t="s">
        <v>10</v>
      </c>
      <c r="BD2" s="287" t="s">
        <v>537</v>
      </c>
      <c r="BE2" s="303">
        <f>(BE5*BE6*BE7)/((1-EXP(-BE7*BE6))*BE15*(BE9/365)*(BE14/24)*BE12*BE13)</f>
        <v>87219371.096109077</v>
      </c>
      <c r="BF2" s="290" t="s">
        <v>10</v>
      </c>
      <c r="BG2" s="287" t="s">
        <v>537</v>
      </c>
      <c r="BH2" s="303">
        <f>(BH5*BH6*BH7)/((1-EXP(-BH7*BH6))*BH15*(BH9/365)*(BH14/24)*BH12*BH13)</f>
        <v>11658643.314850675</v>
      </c>
      <c r="BI2" s="281" t="s">
        <v>10</v>
      </c>
      <c r="BJ2" s="306" t="s">
        <v>537</v>
      </c>
      <c r="BK2" s="284">
        <f>(BK5*BK6*BK7)/((1-EXP(-BK7*BK6))*BK16*(BK9/365)*(BK15/24)*BK13*BK14)</f>
        <v>14116447.266607143</v>
      </c>
      <c r="BL2" s="290" t="s">
        <v>10</v>
      </c>
      <c r="BM2" s="287" t="s">
        <v>537</v>
      </c>
      <c r="BN2" s="284">
        <f>(BN5*BN6*BN7)/((1-EXP(-BN7*BN6))*BN16*(BN9/365)*(BN15/24)*BN13*BN14)</f>
        <v>145365618.4935151</v>
      </c>
      <c r="BO2" s="290" t="s">
        <v>10</v>
      </c>
      <c r="BP2" s="287" t="s">
        <v>537</v>
      </c>
      <c r="BQ2" s="284">
        <f>(BQ5*BQ6*BQ7)/((1-EXP(-BQ7*BQ6))*BQ16*(BQ9/365)*(BQ15/24)*BQ13*BQ14)</f>
        <v>19431072.191417795</v>
      </c>
      <c r="BR2" s="281" t="s">
        <v>10</v>
      </c>
      <c r="BS2" s="214"/>
      <c r="BT2" s="120"/>
      <c r="BU2" s="215"/>
      <c r="BV2" s="258" t="s">
        <v>531</v>
      </c>
      <c r="BW2" s="261" t="e">
        <f>1/((1/BW10)+(1/BW12))</f>
        <v>#DIV/0!</v>
      </c>
      <c r="BX2" s="278" t="s">
        <v>11</v>
      </c>
      <c r="BY2" s="258" t="s">
        <v>531</v>
      </c>
      <c r="BZ2" s="261" t="e">
        <f>1/((1/BZ13)+(1/BZ14)+(1/BZ15))</f>
        <v>#DIV/0!</v>
      </c>
      <c r="CA2" s="264" t="s">
        <v>10</v>
      </c>
      <c r="CB2" s="267" t="s">
        <v>537</v>
      </c>
      <c r="CC2" s="261">
        <f>(CC5*CC6*CC7)/((1-EXP(-CC7*CC6))*CC14*(CC9/365)*CC12*(CC13/24)*CC11)</f>
        <v>19249700.818100646</v>
      </c>
      <c r="CD2" s="278" t="s">
        <v>10</v>
      </c>
      <c r="CE2" s="258" t="s">
        <v>537</v>
      </c>
      <c r="CF2" s="261">
        <f>(CF5*CF6*CF7)/((1-EXP(-CF7*CF6))*CF10*CF14*(CF9/365)*CF12*(CF13/24)*CF11)</f>
        <v>198225843.4002479</v>
      </c>
      <c r="CG2" s="278" t="s">
        <v>10</v>
      </c>
      <c r="CH2" s="258" t="s">
        <v>537</v>
      </c>
      <c r="CI2" s="261">
        <f>(CI5*CI6*CI7)/((1-EXP(-CI7*CI6))*CI10*CI14*(CI9/365)*CI12*(CI13/24)*CI11)</f>
        <v>26496916.624660626</v>
      </c>
      <c r="CJ2" s="264" t="s">
        <v>10</v>
      </c>
      <c r="CK2" s="267" t="s">
        <v>530</v>
      </c>
      <c r="CL2" s="261" t="e">
        <f>CL5/(CL6*CL7*CL8)</f>
        <v>#DIV/0!</v>
      </c>
      <c r="CM2" s="255" t="s">
        <v>10</v>
      </c>
      <c r="CN2" s="258" t="s">
        <v>7</v>
      </c>
      <c r="CO2" s="261" t="e">
        <f>(CL2/(CO5*((CO10*CO12*CO13*(CO6+CO7))+(CO11*CO12))))*CO17</f>
        <v>#DIV/0!</v>
      </c>
      <c r="CP2" s="278" t="s">
        <v>10</v>
      </c>
      <c r="CQ2" s="275" t="s">
        <v>6</v>
      </c>
      <c r="CR2" s="261" t="e">
        <f>CL2/(CR5*CR6*(1/CR7))</f>
        <v>#DIV/0!</v>
      </c>
      <c r="CS2" s="264" t="s">
        <v>10</v>
      </c>
      <c r="CT2" s="395" t="s">
        <v>531</v>
      </c>
      <c r="CU2" s="392" t="e">
        <f>1/((1/CU14)+(1/CU15)+(1/CU16)+(1/CU17))</f>
        <v>#DIV/0!</v>
      </c>
      <c r="CV2" s="389" t="s">
        <v>10</v>
      </c>
      <c r="CW2" s="218"/>
      <c r="CX2" s="219"/>
      <c r="CY2" s="219"/>
      <c r="CZ2" s="407" t="s">
        <v>531</v>
      </c>
      <c r="DA2" s="404" t="e">
        <f>1/((1/DA13)+(1/DA15)+(1/DA16))</f>
        <v>#DIV/0!</v>
      </c>
      <c r="DB2" s="401" t="s">
        <v>11</v>
      </c>
      <c r="DC2" s="442" t="s">
        <v>530</v>
      </c>
      <c r="DD2" s="439" t="e">
        <f>DD7</f>
        <v>#DIV/0!</v>
      </c>
      <c r="DE2" s="436" t="s">
        <v>10</v>
      </c>
      <c r="DF2" s="433" t="s">
        <v>530</v>
      </c>
      <c r="DG2" s="424" t="e">
        <f>DD7/((1/DG24)*(DG5+DG6+DG7))</f>
        <v>#DIV/0!</v>
      </c>
      <c r="DH2" s="430" t="s">
        <v>11</v>
      </c>
      <c r="DI2" s="427" t="s">
        <v>530</v>
      </c>
      <c r="DJ2" s="424" t="e">
        <f>(DD7/(DJ5+DJ6))*DJ12</f>
        <v>#DIV/0!</v>
      </c>
      <c r="DK2" s="430" t="s">
        <v>10</v>
      </c>
      <c r="DL2" s="427" t="s">
        <v>581</v>
      </c>
      <c r="DM2" s="424" t="e">
        <f>((DD7)/(DM5+DM6))*DJ12</f>
        <v>#DIV/0!</v>
      </c>
      <c r="DN2" s="430" t="s">
        <v>10</v>
      </c>
      <c r="DO2" s="427" t="s">
        <v>582</v>
      </c>
      <c r="DP2" s="424">
        <f>-(DP5+DP6+DP7)/(DP23+DP24)</f>
        <v>-49.755719687869203</v>
      </c>
      <c r="DQ2" s="421" t="s">
        <v>18</v>
      </c>
      <c r="DR2" s="574" t="s">
        <v>530</v>
      </c>
      <c r="DS2" s="445" t="e">
        <f>DS7</f>
        <v>#DIV/0!</v>
      </c>
      <c r="DT2" s="484" t="s">
        <v>10</v>
      </c>
      <c r="DU2" s="481" t="s">
        <v>530</v>
      </c>
      <c r="DV2" s="463" t="e">
        <f>(DS7*DV8)/(DV5*DV6*(1/1000))</f>
        <v>#DIV/0!</v>
      </c>
      <c r="DW2" s="466" t="s">
        <v>11</v>
      </c>
      <c r="DX2" s="478" t="s">
        <v>530</v>
      </c>
      <c r="DY2" s="463" t="e">
        <f>(DS7*DY14)/(DY9*((DY10*DY12*DY13*(DY5+DY6))+(DY11*DY12)))*DY18</f>
        <v>#DIV/0!</v>
      </c>
      <c r="DZ2" s="466" t="s">
        <v>10</v>
      </c>
      <c r="EA2" s="478" t="s">
        <v>581</v>
      </c>
      <c r="EB2" s="463" t="e">
        <f>(DS7*DY14)/(EB9*((EB10*EB12*EB13*(EB5+EB6))+(EB11*EB12)))*DY18</f>
        <v>#DIV/0!</v>
      </c>
      <c r="EC2" s="466" t="s">
        <v>10</v>
      </c>
      <c r="ED2" s="478" t="s">
        <v>582</v>
      </c>
      <c r="EE2" s="463">
        <f>-EE15/((EE10*EE12*EE13*(EE5+EE6))+(EE11*EE12))</f>
        <v>-16.803652968036527</v>
      </c>
      <c r="EF2" s="460" t="s">
        <v>18</v>
      </c>
      <c r="EG2" s="475" t="s">
        <v>530</v>
      </c>
      <c r="EH2" s="469" t="e">
        <f>EH7</f>
        <v>#DIV/0!</v>
      </c>
      <c r="EI2" s="457" t="s">
        <v>10</v>
      </c>
      <c r="EJ2" s="472" t="s">
        <v>530</v>
      </c>
      <c r="EK2" s="454" t="e">
        <f>EH7/(EK5*EK6)</f>
        <v>#DIV/0!</v>
      </c>
      <c r="EL2" s="451" t="s">
        <v>11</v>
      </c>
      <c r="EM2" s="448" t="s">
        <v>530</v>
      </c>
      <c r="EN2" s="454" t="e">
        <f>(EH7/(EN9*((EN10*EN12*EN13*(EN5+EN6))+(EN11*EN12))))*EN17</f>
        <v>#DIV/0!</v>
      </c>
      <c r="EO2" s="451" t="s">
        <v>10</v>
      </c>
      <c r="EP2" s="448" t="s">
        <v>581</v>
      </c>
      <c r="EQ2" s="454" t="e">
        <f>(EH7/(EQ9*((EQ10*EQ12*EQ13*(EQ5+EQ6))+(EQ11*EQ12))))*EN17</f>
        <v>#DIV/0!</v>
      </c>
      <c r="ER2" s="451" t="s">
        <v>10</v>
      </c>
      <c r="ES2" s="448" t="s">
        <v>582</v>
      </c>
      <c r="ET2" s="454">
        <f>-ET15/((ET10*ET12*ET13*(ET5+ET6))+(ET11*ET12))</f>
        <v>-15.395787944807553</v>
      </c>
      <c r="EU2" s="499" t="s">
        <v>18</v>
      </c>
      <c r="EV2" s="496" t="s">
        <v>530</v>
      </c>
      <c r="EW2" s="493" t="e">
        <f>EW7</f>
        <v>#DIV/0!</v>
      </c>
      <c r="EX2" s="490" t="s">
        <v>10</v>
      </c>
      <c r="EY2" s="487" t="s">
        <v>530</v>
      </c>
      <c r="EZ2" s="586" t="e">
        <f>EW7/(EZ5*EZ6*(1/EZ7))</f>
        <v>#DIV/0!</v>
      </c>
      <c r="FA2" s="592" t="s">
        <v>11</v>
      </c>
      <c r="FB2" s="589" t="s">
        <v>530</v>
      </c>
      <c r="FC2" s="586" t="e">
        <f>(EW7/(FC9*((FC10*FC12*FC13*(FC5+FC6))+(FC11*FC12))))*FC17</f>
        <v>#DIV/0!</v>
      </c>
      <c r="FD2" s="595" t="s">
        <v>10</v>
      </c>
      <c r="FE2" s="589" t="s">
        <v>581</v>
      </c>
      <c r="FF2" s="586" t="e">
        <f>(EW7/(FF9*(FF10*FF12*FF13*(FF5*FF6))+(FF11*FF12)))*FC17</f>
        <v>#DIV/0!</v>
      </c>
      <c r="FG2" s="592" t="s">
        <v>10</v>
      </c>
      <c r="FH2" s="589" t="s">
        <v>582</v>
      </c>
      <c r="FI2" s="586">
        <f>FI15/((FI10*FI12*FI13*(FI5+FI6))+(FI11*FI12))</f>
        <v>5.5555555555555554</v>
      </c>
      <c r="FJ2" s="583" t="s">
        <v>18</v>
      </c>
      <c r="FK2" s="580" t="s">
        <v>530</v>
      </c>
      <c r="FL2" s="577" t="e">
        <f>FL7</f>
        <v>#DIV/0!</v>
      </c>
      <c r="FM2" s="571" t="s">
        <v>10</v>
      </c>
      <c r="FN2" s="568" t="s">
        <v>530</v>
      </c>
      <c r="FO2" s="505" t="e">
        <f>FL7/(FO5*(1/FO6))</f>
        <v>#DIV/0!</v>
      </c>
      <c r="FP2" s="511" t="s">
        <v>11</v>
      </c>
      <c r="FQ2" s="508" t="s">
        <v>530</v>
      </c>
      <c r="FR2" s="505" t="e">
        <f>((FL7*FR6)/FR5)*FR10</f>
        <v>#DIV/0!</v>
      </c>
      <c r="FS2" s="511" t="s">
        <v>10</v>
      </c>
      <c r="FT2" s="508" t="s">
        <v>581</v>
      </c>
      <c r="FU2" s="505" t="e">
        <f>((FL7*FU6)/FU5)*FR10</f>
        <v>#DIV/0!</v>
      </c>
      <c r="FV2" s="511" t="s">
        <v>10</v>
      </c>
      <c r="FW2" s="508" t="s">
        <v>582</v>
      </c>
      <c r="FX2" s="505">
        <f>-FX5/FX6</f>
        <v>0</v>
      </c>
      <c r="FY2" s="502" t="s">
        <v>18</v>
      </c>
      <c r="FZ2" s="556" t="s">
        <v>530</v>
      </c>
      <c r="GA2" s="553" t="e">
        <f>GA7</f>
        <v>#DIV/0!</v>
      </c>
      <c r="GB2" s="550" t="s">
        <v>10</v>
      </c>
      <c r="GC2" s="559" t="s">
        <v>530</v>
      </c>
      <c r="GD2" s="538" t="e">
        <f>GA7/(GD5*GD6*(1/GD7))</f>
        <v>#DIV/0!</v>
      </c>
      <c r="GE2" s="544" t="s">
        <v>11</v>
      </c>
      <c r="GF2" s="541" t="s">
        <v>530</v>
      </c>
      <c r="GG2" s="538" t="e">
        <f>(GA7/((GG9)*((GG10*GG12*GG13*(GG5+GG6))+(GG11*GG12))))*GG17</f>
        <v>#DIV/0!</v>
      </c>
      <c r="GH2" s="544" t="s">
        <v>10</v>
      </c>
      <c r="GI2" s="541" t="s">
        <v>581</v>
      </c>
      <c r="GJ2" s="538" t="e">
        <f>(GA7/((GJ9)*((GJ10*GJ12*GJ13*(GJ5+GJ6))+(GJ11*GJ12))))*GG17</f>
        <v>#DIV/0!</v>
      </c>
      <c r="GK2" s="544" t="s">
        <v>10</v>
      </c>
      <c r="GL2" s="541" t="s">
        <v>582</v>
      </c>
      <c r="GM2" s="538">
        <f>GM15/((GM10*GM12*GM13*(GM5+GM6))+(GM11*GM12))</f>
        <v>5.5555555555555554</v>
      </c>
      <c r="GN2" s="535" t="s">
        <v>18</v>
      </c>
      <c r="GO2" s="532" t="s">
        <v>530</v>
      </c>
      <c r="GP2" s="529" t="e">
        <f>GP7</f>
        <v>#DIV/0!</v>
      </c>
      <c r="GQ2" s="526" t="s">
        <v>10</v>
      </c>
      <c r="GR2" s="523" t="s">
        <v>530</v>
      </c>
      <c r="GS2" s="517" t="e">
        <f>GP7/(GS5*GS6*(1/GS7))</f>
        <v>#DIV/0!</v>
      </c>
      <c r="GT2" s="514" t="s">
        <v>11</v>
      </c>
      <c r="GU2" s="520" t="s">
        <v>530</v>
      </c>
      <c r="GV2" s="517" t="e">
        <f>(GP7/((GV9)*((GV10*GV12*GV13*(GV5+GV6))+(GV11*GV12))))*GV17</f>
        <v>#DIV/0!</v>
      </c>
      <c r="GW2" s="514" t="s">
        <v>10</v>
      </c>
      <c r="GX2" s="520" t="s">
        <v>581</v>
      </c>
      <c r="GY2" s="517" t="e">
        <f>(GP7/((GY9*((GY10*GY12*GY13*(GY5+GY6))+(GY11*GY12)))))*GV17</f>
        <v>#DIV/0!</v>
      </c>
      <c r="GZ2" s="514" t="s">
        <v>10</v>
      </c>
      <c r="HA2" s="520" t="s">
        <v>582</v>
      </c>
      <c r="HB2" s="517" t="e">
        <f>GP7/((HB10*HB12*HB13*(HB5+HB6))+(HB11*HB12))</f>
        <v>#DIV/0!</v>
      </c>
      <c r="HC2" s="547" t="s">
        <v>18</v>
      </c>
      <c r="HD2" s="54"/>
      <c r="HE2" s="55"/>
      <c r="HF2" s="56"/>
    </row>
    <row r="3" spans="1:214" ht="13.5" customHeight="1" thickTop="1" x14ac:dyDescent="0.2">
      <c r="A3" s="114" t="s">
        <v>302</v>
      </c>
      <c r="B3" s="228">
        <v>6.8000000000000005E-2</v>
      </c>
      <c r="C3" s="115"/>
      <c r="D3" s="189" t="s">
        <v>15</v>
      </c>
      <c r="E3" s="134">
        <f>1/((1/E19)+(1/E20))</f>
        <v>0.354348569897106</v>
      </c>
      <c r="F3" s="58" t="s">
        <v>9</v>
      </c>
      <c r="G3" s="191" t="s">
        <v>531</v>
      </c>
      <c r="H3" s="57" t="e">
        <f>1/((1/H10)+(1/H12)+(1/H13))</f>
        <v>#DIV/0!</v>
      </c>
      <c r="I3" s="59" t="s">
        <v>11</v>
      </c>
      <c r="J3" s="192" t="s">
        <v>531</v>
      </c>
      <c r="K3" s="57" t="e">
        <f>1/((1/K14)+(1/K15)+(1/K16)+(1/K17))</f>
        <v>#DIV/0!</v>
      </c>
      <c r="L3" s="60" t="s">
        <v>10</v>
      </c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168.19371567834511</v>
      </c>
      <c r="X3" s="62" t="s">
        <v>9</v>
      </c>
      <c r="Y3" s="202" t="s">
        <v>16</v>
      </c>
      <c r="Z3" s="187">
        <f>1/((1/Z18)+(1/Z19))</f>
        <v>168.19371567834511</v>
      </c>
      <c r="AA3" s="63" t="s">
        <v>9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307"/>
      <c r="AS3" s="304"/>
      <c r="AT3" s="291"/>
      <c r="AU3" s="288"/>
      <c r="AV3" s="304"/>
      <c r="AW3" s="291"/>
      <c r="AX3" s="288"/>
      <c r="AY3" s="304"/>
      <c r="AZ3" s="282"/>
      <c r="BA3" s="307"/>
      <c r="BB3" s="304"/>
      <c r="BC3" s="291"/>
      <c r="BD3" s="288"/>
      <c r="BE3" s="304"/>
      <c r="BF3" s="291"/>
      <c r="BG3" s="288"/>
      <c r="BH3" s="304"/>
      <c r="BI3" s="282"/>
      <c r="BJ3" s="307"/>
      <c r="BK3" s="285"/>
      <c r="BL3" s="291"/>
      <c r="BM3" s="288"/>
      <c r="BN3" s="285"/>
      <c r="BO3" s="291"/>
      <c r="BP3" s="288"/>
      <c r="BQ3" s="285"/>
      <c r="BR3" s="282"/>
      <c r="BS3" s="212" t="s">
        <v>15</v>
      </c>
      <c r="BT3" s="64">
        <f>1/((1/BT18)+(1/BT19))</f>
        <v>4.6387449150166606</v>
      </c>
      <c r="BU3" s="53" t="s">
        <v>9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56"/>
      <c r="CN3" s="259"/>
      <c r="CO3" s="262"/>
      <c r="CP3" s="279"/>
      <c r="CQ3" s="276"/>
      <c r="CR3" s="262"/>
      <c r="CS3" s="265"/>
      <c r="CT3" s="396"/>
      <c r="CU3" s="393"/>
      <c r="CV3" s="390"/>
      <c r="CW3" s="216" t="s">
        <v>15</v>
      </c>
      <c r="CX3" s="65">
        <f>1/((1/CX19)+(1/CX20))</f>
        <v>0.35340934417936931</v>
      </c>
      <c r="CY3" s="66" t="s">
        <v>9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126">
        <f>(HE5*HE14)*(10^-3)*(HE13+(HE10/HE11))*((HE12*HE7)/HE8)</f>
        <v>0.19846606447474147</v>
      </c>
      <c r="HF3" s="220" t="s">
        <v>592</v>
      </c>
    </row>
    <row r="4" spans="1:214" ht="13.5" customHeight="1" thickBot="1" x14ac:dyDescent="0.25">
      <c r="A4" s="116" t="s">
        <v>54</v>
      </c>
      <c r="B4" s="229">
        <v>0.75600000000000001</v>
      </c>
      <c r="C4" s="117"/>
      <c r="D4" s="190" t="s">
        <v>16</v>
      </c>
      <c r="E4" s="135">
        <f>1/((1/E21)+(1/E22))</f>
        <v>23.442055373243825</v>
      </c>
      <c r="F4" s="68" t="s">
        <v>9</v>
      </c>
      <c r="G4" s="69"/>
      <c r="H4" s="70"/>
      <c r="I4" s="71"/>
      <c r="J4" s="72"/>
      <c r="K4" s="73"/>
      <c r="L4" s="74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2.5424051631721292</v>
      </c>
      <c r="X4" s="76" t="s">
        <v>9</v>
      </c>
      <c r="Y4" s="203" t="s">
        <v>15</v>
      </c>
      <c r="Z4" s="186">
        <f>1/((1/Z16)+(1/Z17))</f>
        <v>2.5424051631721292</v>
      </c>
      <c r="AA4" s="77" t="s">
        <v>9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308"/>
      <c r="AS4" s="305"/>
      <c r="AT4" s="292"/>
      <c r="AU4" s="289"/>
      <c r="AV4" s="305"/>
      <c r="AW4" s="292"/>
      <c r="AX4" s="289"/>
      <c r="AY4" s="305"/>
      <c r="AZ4" s="283"/>
      <c r="BA4" s="308"/>
      <c r="BB4" s="305"/>
      <c r="BC4" s="292"/>
      <c r="BD4" s="289"/>
      <c r="BE4" s="305"/>
      <c r="BF4" s="292"/>
      <c r="BG4" s="289"/>
      <c r="BH4" s="305"/>
      <c r="BI4" s="283"/>
      <c r="BJ4" s="308"/>
      <c r="BK4" s="286"/>
      <c r="BL4" s="292"/>
      <c r="BM4" s="289"/>
      <c r="BN4" s="286"/>
      <c r="BO4" s="292"/>
      <c r="BP4" s="289"/>
      <c r="BQ4" s="286"/>
      <c r="BR4" s="283"/>
      <c r="BS4" s="213" t="s">
        <v>16</v>
      </c>
      <c r="BT4" s="78">
        <f>1/((1/BT20)+(1/BT21))</f>
        <v>306.87781579519196</v>
      </c>
      <c r="BU4" s="79" t="s">
        <v>9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57"/>
      <c r="CN4" s="260"/>
      <c r="CO4" s="263"/>
      <c r="CP4" s="280"/>
      <c r="CQ4" s="277"/>
      <c r="CR4" s="263"/>
      <c r="CS4" s="266"/>
      <c r="CT4" s="397"/>
      <c r="CU4" s="394"/>
      <c r="CV4" s="391"/>
      <c r="CW4" s="217" t="s">
        <v>16</v>
      </c>
      <c r="CX4" s="80">
        <f>1/((1/CX21)+(1/CX22))</f>
        <v>23.379920562626268</v>
      </c>
      <c r="CY4" s="81" t="s">
        <v>9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127" t="e">
        <f>(HE6*HE14)*10^-3*(HE13+(HE10/HE11))*((HE12*HE7)/(HE8))</f>
        <v>#DIV/0!</v>
      </c>
      <c r="HF4" s="221" t="s">
        <v>593</v>
      </c>
    </row>
    <row r="5" spans="1:214" ht="14.25" thickTop="1" thickBot="1" x14ac:dyDescent="0.25">
      <c r="A5" s="681" t="s">
        <v>241</v>
      </c>
      <c r="B5" s="682"/>
      <c r="C5" s="683"/>
      <c r="D5" s="52" t="s">
        <v>267</v>
      </c>
      <c r="E5" s="136">
        <f>B17</f>
        <v>1</v>
      </c>
      <c r="F5" s="52" t="s">
        <v>344</v>
      </c>
      <c r="G5" s="83" t="s">
        <v>267</v>
      </c>
      <c r="H5" s="136">
        <f>B17</f>
        <v>1</v>
      </c>
      <c r="I5" s="52" t="s">
        <v>344</v>
      </c>
      <c r="J5" s="83" t="s">
        <v>267</v>
      </c>
      <c r="K5" s="136">
        <f>B17</f>
        <v>1</v>
      </c>
      <c r="L5" s="52" t="s">
        <v>344</v>
      </c>
      <c r="M5" s="52" t="s">
        <v>267</v>
      </c>
      <c r="N5" s="136">
        <f>B17</f>
        <v>1</v>
      </c>
      <c r="O5" s="52" t="s">
        <v>344</v>
      </c>
      <c r="P5" s="52" t="s">
        <v>267</v>
      </c>
      <c r="Q5" s="136">
        <f>B17</f>
        <v>1</v>
      </c>
      <c r="R5" s="52" t="s">
        <v>344</v>
      </c>
      <c r="S5" s="52" t="s">
        <v>267</v>
      </c>
      <c r="T5" s="136">
        <f>B17</f>
        <v>1</v>
      </c>
      <c r="U5" s="52" t="s">
        <v>344</v>
      </c>
      <c r="V5" s="52" t="s">
        <v>267</v>
      </c>
      <c r="W5" s="136">
        <f>B17</f>
        <v>1</v>
      </c>
      <c r="X5" s="52" t="s">
        <v>344</v>
      </c>
      <c r="Y5" s="52" t="s">
        <v>267</v>
      </c>
      <c r="Z5" s="136">
        <f>B17</f>
        <v>1</v>
      </c>
      <c r="AA5" s="52" t="s">
        <v>344</v>
      </c>
      <c r="AB5" s="83" t="s">
        <v>267</v>
      </c>
      <c r="AC5" s="136">
        <f>B17</f>
        <v>1</v>
      </c>
      <c r="AD5" s="136">
        <f>B17</f>
        <v>1</v>
      </c>
      <c r="AE5" s="136">
        <f>B17</f>
        <v>1</v>
      </c>
      <c r="AF5" s="136">
        <f>B17</f>
        <v>1</v>
      </c>
      <c r="AG5" s="136">
        <f>B17</f>
        <v>1</v>
      </c>
      <c r="AH5" s="52" t="s">
        <v>344</v>
      </c>
      <c r="AI5" s="52" t="s">
        <v>267</v>
      </c>
      <c r="AJ5" s="136">
        <f>B17</f>
        <v>1</v>
      </c>
      <c r="AK5" s="52" t="s">
        <v>344</v>
      </c>
      <c r="AL5" s="52" t="s">
        <v>267</v>
      </c>
      <c r="AM5" s="136">
        <f>B17</f>
        <v>1</v>
      </c>
      <c r="AN5" s="52" t="s">
        <v>344</v>
      </c>
      <c r="AO5" s="52" t="s">
        <v>267</v>
      </c>
      <c r="AP5" s="136">
        <f>B17</f>
        <v>1</v>
      </c>
      <c r="AQ5" s="52" t="s">
        <v>344</v>
      </c>
      <c r="AR5" s="52" t="s">
        <v>267</v>
      </c>
      <c r="AS5" s="136">
        <f>B17</f>
        <v>1</v>
      </c>
      <c r="AT5" s="52" t="s">
        <v>344</v>
      </c>
      <c r="AU5" s="52" t="s">
        <v>267</v>
      </c>
      <c r="AV5" s="136">
        <f>B17</f>
        <v>1</v>
      </c>
      <c r="AW5" s="52" t="s">
        <v>344</v>
      </c>
      <c r="AX5" s="52" t="s">
        <v>267</v>
      </c>
      <c r="AY5" s="136">
        <f>B17</f>
        <v>1</v>
      </c>
      <c r="AZ5" s="52" t="s">
        <v>344</v>
      </c>
      <c r="BA5" s="52" t="s">
        <v>267</v>
      </c>
      <c r="BB5" s="136">
        <f>B17</f>
        <v>1</v>
      </c>
      <c r="BC5" s="52" t="s">
        <v>344</v>
      </c>
      <c r="BD5" s="52" t="s">
        <v>267</v>
      </c>
      <c r="BE5" s="136">
        <f>B17</f>
        <v>1</v>
      </c>
      <c r="BF5" s="52" t="s">
        <v>344</v>
      </c>
      <c r="BG5" s="52" t="s">
        <v>267</v>
      </c>
      <c r="BH5" s="136">
        <f>B17</f>
        <v>1</v>
      </c>
      <c r="BI5" s="52" t="s">
        <v>344</v>
      </c>
      <c r="BJ5" s="52" t="s">
        <v>267</v>
      </c>
      <c r="BK5" s="136">
        <f>B17</f>
        <v>1</v>
      </c>
      <c r="BL5" s="52" t="s">
        <v>344</v>
      </c>
      <c r="BM5" s="52" t="s">
        <v>267</v>
      </c>
      <c r="BN5" s="136">
        <f>B17</f>
        <v>1</v>
      </c>
      <c r="BO5" s="52" t="s">
        <v>344</v>
      </c>
      <c r="BP5" s="52" t="s">
        <v>267</v>
      </c>
      <c r="BQ5" s="136">
        <f>B17</f>
        <v>1</v>
      </c>
      <c r="BR5" s="52" t="s">
        <v>344</v>
      </c>
      <c r="BS5" s="52" t="s">
        <v>267</v>
      </c>
      <c r="BT5" s="136">
        <f>B17</f>
        <v>1</v>
      </c>
      <c r="BU5" s="52" t="s">
        <v>344</v>
      </c>
      <c r="BV5" s="83" t="s">
        <v>267</v>
      </c>
      <c r="BW5" s="136">
        <f>B17</f>
        <v>1</v>
      </c>
      <c r="BX5" s="52" t="s">
        <v>344</v>
      </c>
      <c r="BY5" s="83" t="s">
        <v>267</v>
      </c>
      <c r="BZ5" s="136">
        <f>B17</f>
        <v>1</v>
      </c>
      <c r="CA5" s="52" t="s">
        <v>344</v>
      </c>
      <c r="CB5" s="52" t="s">
        <v>267</v>
      </c>
      <c r="CC5" s="136">
        <f>B17</f>
        <v>1</v>
      </c>
      <c r="CD5" s="52" t="s">
        <v>344</v>
      </c>
      <c r="CE5" s="52" t="s">
        <v>267</v>
      </c>
      <c r="CF5" s="136">
        <f>B17</f>
        <v>1</v>
      </c>
      <c r="CG5" s="52" t="s">
        <v>344</v>
      </c>
      <c r="CH5" s="52" t="s">
        <v>267</v>
      </c>
      <c r="CI5" s="136">
        <f>B17</f>
        <v>1</v>
      </c>
      <c r="CJ5" s="52" t="s">
        <v>344</v>
      </c>
      <c r="CK5" s="52" t="s">
        <v>267</v>
      </c>
      <c r="CL5" s="136">
        <f>B17</f>
        <v>1</v>
      </c>
      <c r="CM5" s="52" t="s">
        <v>344</v>
      </c>
      <c r="CN5" s="83" t="s">
        <v>228</v>
      </c>
      <c r="CO5" s="136">
        <f>B42</f>
        <v>0</v>
      </c>
      <c r="CP5" s="52" t="s">
        <v>268</v>
      </c>
      <c r="CQ5" s="83" t="s">
        <v>228</v>
      </c>
      <c r="CR5" s="136">
        <f>CO5</f>
        <v>0</v>
      </c>
      <c r="CS5" s="52" t="s">
        <v>268</v>
      </c>
      <c r="CT5" s="83" t="s">
        <v>267</v>
      </c>
      <c r="CU5" s="136">
        <f>B17</f>
        <v>1</v>
      </c>
      <c r="CV5" s="52" t="s">
        <v>344</v>
      </c>
      <c r="CW5" s="52" t="s">
        <v>267</v>
      </c>
      <c r="CX5" s="136">
        <f>B17</f>
        <v>1</v>
      </c>
      <c r="CY5" s="52" t="s">
        <v>344</v>
      </c>
      <c r="CZ5" s="83" t="s">
        <v>267</v>
      </c>
      <c r="DA5" s="136">
        <f>B17</f>
        <v>1</v>
      </c>
      <c r="DB5" s="52" t="s">
        <v>344</v>
      </c>
      <c r="DC5" s="83" t="s">
        <v>267</v>
      </c>
      <c r="DD5" s="136">
        <f>B17</f>
        <v>1</v>
      </c>
      <c r="DE5" s="52" t="s">
        <v>344</v>
      </c>
      <c r="DF5" s="52" t="s">
        <v>17</v>
      </c>
      <c r="DG5" s="137">
        <f>(DG8*DG9*DG10*((1-EXP(-DG11*DG12))))/(DG13*DG11)</f>
        <v>0</v>
      </c>
      <c r="DH5" s="52" t="s">
        <v>18</v>
      </c>
      <c r="DI5" s="83" t="s">
        <v>19</v>
      </c>
      <c r="DJ5" s="161">
        <f>DJ7</f>
        <v>0</v>
      </c>
      <c r="DK5" s="83"/>
      <c r="DL5" s="83" t="s">
        <v>19</v>
      </c>
      <c r="DM5" s="161">
        <f>DM7</f>
        <v>0</v>
      </c>
      <c r="DO5" s="52" t="s">
        <v>17</v>
      </c>
      <c r="DP5" s="137">
        <f>(DP8*DP9*DP10*((1-EXP(-DP11*DP12))))/(DP13*DP11)</f>
        <v>0</v>
      </c>
      <c r="DQ5" s="52" t="s">
        <v>18</v>
      </c>
      <c r="DR5" s="83" t="s">
        <v>267</v>
      </c>
      <c r="DS5" s="136">
        <f>B17</f>
        <v>1</v>
      </c>
      <c r="DT5" s="52" t="s">
        <v>344</v>
      </c>
      <c r="DU5" s="83" t="s">
        <v>239</v>
      </c>
      <c r="DV5" s="169">
        <f>B36</f>
        <v>0</v>
      </c>
      <c r="DW5" s="52" t="s">
        <v>601</v>
      </c>
      <c r="DX5" s="83" t="s">
        <v>20</v>
      </c>
      <c r="DY5" s="161">
        <f>DY7</f>
        <v>0</v>
      </c>
      <c r="DZ5" s="83"/>
      <c r="EA5" s="83" t="s">
        <v>20</v>
      </c>
      <c r="EB5" s="161">
        <f>EB7</f>
        <v>0</v>
      </c>
      <c r="EC5" s="84"/>
      <c r="ED5" s="83" t="s">
        <v>20</v>
      </c>
      <c r="EE5" s="161">
        <f>EE7</f>
        <v>0</v>
      </c>
      <c r="EF5" s="84"/>
      <c r="EG5" s="83" t="s">
        <v>267</v>
      </c>
      <c r="EH5" s="136">
        <f>B17</f>
        <v>1</v>
      </c>
      <c r="EI5" s="52" t="s">
        <v>344</v>
      </c>
      <c r="EJ5" s="83" t="s">
        <v>236</v>
      </c>
      <c r="EK5" s="169">
        <f>B37</f>
        <v>0</v>
      </c>
      <c r="EL5" s="52" t="s">
        <v>388</v>
      </c>
      <c r="EM5" s="83" t="s">
        <v>20</v>
      </c>
      <c r="EN5" s="161">
        <f>EN7</f>
        <v>0</v>
      </c>
      <c r="EO5" s="83"/>
      <c r="EP5" s="83" t="s">
        <v>20</v>
      </c>
      <c r="EQ5" s="161">
        <f>EQ7</f>
        <v>0</v>
      </c>
      <c r="ER5" s="84"/>
      <c r="ES5" s="83" t="s">
        <v>20</v>
      </c>
      <c r="ET5" s="161">
        <f>ET7</f>
        <v>0</v>
      </c>
      <c r="EU5" s="84"/>
      <c r="EV5" s="83" t="s">
        <v>267</v>
      </c>
      <c r="EW5" s="136">
        <f>B17</f>
        <v>1</v>
      </c>
      <c r="EX5" s="52" t="s">
        <v>344</v>
      </c>
      <c r="EY5" s="83" t="s">
        <v>171</v>
      </c>
      <c r="EZ5" s="169">
        <f>B39</f>
        <v>0</v>
      </c>
      <c r="FA5" s="52" t="s">
        <v>388</v>
      </c>
      <c r="FB5" s="83" t="s">
        <v>20</v>
      </c>
      <c r="FC5" s="161">
        <f>FC7</f>
        <v>0</v>
      </c>
      <c r="FD5" s="83"/>
      <c r="FE5" s="83" t="s">
        <v>20</v>
      </c>
      <c r="FF5" s="161">
        <f>FF7</f>
        <v>0</v>
      </c>
      <c r="FG5" s="83"/>
      <c r="FH5" s="83" t="s">
        <v>20</v>
      </c>
      <c r="FI5" s="161">
        <f>FI7</f>
        <v>0</v>
      </c>
      <c r="FJ5" s="84"/>
      <c r="FK5" s="83" t="s">
        <v>267</v>
      </c>
      <c r="FL5" s="136">
        <f>B17</f>
        <v>1</v>
      </c>
      <c r="FM5" s="52" t="s">
        <v>344</v>
      </c>
      <c r="FN5" s="83" t="s">
        <v>105</v>
      </c>
      <c r="FO5" s="161">
        <f>B35</f>
        <v>0</v>
      </c>
      <c r="FP5" s="83" t="s">
        <v>18</v>
      </c>
      <c r="FQ5" s="83" t="s">
        <v>105</v>
      </c>
      <c r="FR5" s="161">
        <f>B35</f>
        <v>0</v>
      </c>
      <c r="FS5" s="83" t="s">
        <v>18</v>
      </c>
      <c r="FT5" s="83" t="s">
        <v>105</v>
      </c>
      <c r="FU5" s="161">
        <f>B35</f>
        <v>0</v>
      </c>
      <c r="FV5" s="83" t="s">
        <v>18</v>
      </c>
      <c r="FW5" s="83" t="s">
        <v>156</v>
      </c>
      <c r="FX5" s="161">
        <f>B45</f>
        <v>0</v>
      </c>
      <c r="FY5" s="88" t="s">
        <v>18</v>
      </c>
      <c r="FZ5" s="83" t="s">
        <v>267</v>
      </c>
      <c r="GA5" s="136">
        <f>B17</f>
        <v>1</v>
      </c>
      <c r="GB5" s="52" t="s">
        <v>344</v>
      </c>
      <c r="GC5" s="83" t="s">
        <v>237</v>
      </c>
      <c r="GD5" s="169">
        <f>B38</f>
        <v>0</v>
      </c>
      <c r="GE5" s="52" t="s">
        <v>388</v>
      </c>
      <c r="GF5" s="83" t="s">
        <v>20</v>
      </c>
      <c r="GG5" s="161">
        <f>GG7</f>
        <v>0</v>
      </c>
      <c r="GH5" s="83"/>
      <c r="GI5" s="83" t="s">
        <v>20</v>
      </c>
      <c r="GJ5" s="161">
        <f>GJ7</f>
        <v>0</v>
      </c>
      <c r="GK5" s="83"/>
      <c r="GL5" s="83" t="s">
        <v>20</v>
      </c>
      <c r="GM5" s="161">
        <f>GM7</f>
        <v>0</v>
      </c>
      <c r="GN5" s="84"/>
      <c r="GO5" s="83" t="s">
        <v>267</v>
      </c>
      <c r="GP5" s="136">
        <f>B17</f>
        <v>1</v>
      </c>
      <c r="GQ5" s="52" t="s">
        <v>344</v>
      </c>
      <c r="GR5" s="83" t="s">
        <v>238</v>
      </c>
      <c r="GS5" s="169">
        <f>B40</f>
        <v>0</v>
      </c>
      <c r="GT5" s="52" t="s">
        <v>388</v>
      </c>
      <c r="GU5" s="83" t="s">
        <v>20</v>
      </c>
      <c r="GV5" s="161">
        <f>GV7</f>
        <v>0</v>
      </c>
      <c r="GW5" s="83"/>
      <c r="GX5" s="83" t="s">
        <v>20</v>
      </c>
      <c r="GY5" s="161">
        <f>GY7</f>
        <v>0</v>
      </c>
      <c r="GZ5" s="83"/>
      <c r="HA5" s="83" t="s">
        <v>20</v>
      </c>
      <c r="HB5" s="161">
        <f>HB7</f>
        <v>0</v>
      </c>
      <c r="HC5" s="84"/>
      <c r="HD5" s="89" t="s">
        <v>21</v>
      </c>
      <c r="HE5" s="175">
        <f>B46</f>
        <v>15</v>
      </c>
      <c r="HF5" s="83" t="s">
        <v>11</v>
      </c>
    </row>
    <row r="6" spans="1:214" ht="13.5" thickTop="1" x14ac:dyDescent="0.2">
      <c r="A6" s="114" t="s">
        <v>339</v>
      </c>
      <c r="B6" s="228">
        <v>3.7100000000000001E-2</v>
      </c>
      <c r="C6" s="115"/>
      <c r="D6" s="83" t="s">
        <v>22</v>
      </c>
      <c r="E6" s="137">
        <f>0.693/E7</f>
        <v>66.155354824913829</v>
      </c>
      <c r="G6" s="83" t="s">
        <v>248</v>
      </c>
      <c r="H6" s="136">
        <f>B19</f>
        <v>0</v>
      </c>
      <c r="I6" s="83" t="s">
        <v>259</v>
      </c>
      <c r="J6" s="83" t="s">
        <v>249</v>
      </c>
      <c r="K6" s="136">
        <f>B20</f>
        <v>0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66.155354824913829</v>
      </c>
      <c r="BV6" s="83" t="s">
        <v>248</v>
      </c>
      <c r="BW6" s="136">
        <f>B19</f>
        <v>0</v>
      </c>
      <c r="BX6" s="83" t="s">
        <v>259</v>
      </c>
      <c r="BY6" s="83" t="s">
        <v>249</v>
      </c>
      <c r="BZ6" s="136">
        <f>B20</f>
        <v>0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B29</f>
        <v>0</v>
      </c>
      <c r="CM6" s="91" t="s">
        <v>10</v>
      </c>
      <c r="CN6" s="84" t="s">
        <v>20</v>
      </c>
      <c r="CO6" s="139">
        <f>CO8</f>
        <v>0</v>
      </c>
      <c r="CQ6" s="84" t="s">
        <v>169</v>
      </c>
      <c r="CR6" s="162">
        <f>B133</f>
        <v>2</v>
      </c>
      <c r="CS6" s="52" t="s">
        <v>28</v>
      </c>
      <c r="CT6" s="83" t="s">
        <v>249</v>
      </c>
      <c r="CU6" s="136">
        <f>B20</f>
        <v>0</v>
      </c>
      <c r="CV6" s="83" t="s">
        <v>259</v>
      </c>
      <c r="CW6" s="83" t="s">
        <v>22</v>
      </c>
      <c r="CX6" s="137">
        <f>0.693/CX7</f>
        <v>66.155354824913829</v>
      </c>
      <c r="CZ6" s="83" t="s">
        <v>248</v>
      </c>
      <c r="DA6" s="136">
        <f>B19</f>
        <v>0</v>
      </c>
      <c r="DB6" s="83" t="s">
        <v>259</v>
      </c>
      <c r="DC6" s="83" t="s">
        <v>258</v>
      </c>
      <c r="DD6" s="136">
        <f>B29</f>
        <v>0</v>
      </c>
      <c r="DE6" s="92" t="s">
        <v>259</v>
      </c>
      <c r="DF6" s="52" t="s">
        <v>25</v>
      </c>
      <c r="DG6" s="137">
        <f>(DG8*DG9*DG14*((1-EXP(-DG11*DG12))))/(DG13*DG11)</f>
        <v>5.4084629109509424E-3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B29</f>
        <v>0</v>
      </c>
      <c r="DT6" s="83" t="s">
        <v>259</v>
      </c>
      <c r="DU6" s="83" t="s">
        <v>27</v>
      </c>
      <c r="DV6" s="142">
        <f>B199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B29</f>
        <v>0</v>
      </c>
      <c r="EI6" s="83" t="s">
        <v>259</v>
      </c>
      <c r="EJ6" s="83" t="s">
        <v>29</v>
      </c>
      <c r="EK6" s="142">
        <f>B205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B29</f>
        <v>0</v>
      </c>
      <c r="EX6" s="83" t="s">
        <v>259</v>
      </c>
      <c r="EY6" s="83" t="s">
        <v>148</v>
      </c>
      <c r="EZ6" s="164">
        <f>B210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B29</f>
        <v>0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B45</f>
        <v>0</v>
      </c>
      <c r="FS6" s="83" t="s">
        <v>18</v>
      </c>
      <c r="FT6" s="83" t="s">
        <v>156</v>
      </c>
      <c r="FU6" s="161">
        <f>B45</f>
        <v>0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B29</f>
        <v>0</v>
      </c>
      <c r="GB6" s="83" t="s">
        <v>259</v>
      </c>
      <c r="GC6" s="83" t="s">
        <v>485</v>
      </c>
      <c r="GD6" s="164">
        <f>B215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B29</f>
        <v>0</v>
      </c>
      <c r="GQ6" s="83" t="s">
        <v>259</v>
      </c>
      <c r="GR6" s="83" t="s">
        <v>150</v>
      </c>
      <c r="GS6" s="142">
        <f>B220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 t="e">
        <f>H3</f>
        <v>#DIV/0!</v>
      </c>
      <c r="HF6" s="83" t="s">
        <v>11</v>
      </c>
    </row>
    <row r="7" spans="1:214" x14ac:dyDescent="0.2">
      <c r="A7" s="116" t="s">
        <v>242</v>
      </c>
      <c r="B7" s="229">
        <v>0.65</v>
      </c>
      <c r="C7" s="117"/>
      <c r="D7" s="91" t="s">
        <v>231</v>
      </c>
      <c r="E7" s="136">
        <f>B30</f>
        <v>1.04753425E-2</v>
      </c>
      <c r="F7" s="52" t="s">
        <v>60</v>
      </c>
      <c r="G7" s="83" t="s">
        <v>247</v>
      </c>
      <c r="H7" s="139">
        <f>B18</f>
        <v>1.25E-4</v>
      </c>
      <c r="I7" s="84" t="s">
        <v>259</v>
      </c>
      <c r="J7" s="83" t="s">
        <v>247</v>
      </c>
      <c r="K7" s="136">
        <f>B18</f>
        <v>1.25E-4</v>
      </c>
      <c r="L7" s="84" t="s">
        <v>259</v>
      </c>
      <c r="M7" s="83" t="s">
        <v>22</v>
      </c>
      <c r="N7" s="137">
        <f>0.693/N8</f>
        <v>66.155354824913829</v>
      </c>
      <c r="P7" s="83" t="s">
        <v>22</v>
      </c>
      <c r="Q7" s="137">
        <f>0.693/Q8</f>
        <v>66.155354824913829</v>
      </c>
      <c r="S7" s="83" t="s">
        <v>22</v>
      </c>
      <c r="T7" s="137">
        <f>0.693/T8</f>
        <v>66.155354824913829</v>
      </c>
      <c r="V7" s="83" t="s">
        <v>22</v>
      </c>
      <c r="W7" s="137">
        <f>0.693/W8</f>
        <v>66.155354824913829</v>
      </c>
      <c r="Y7" s="83" t="s">
        <v>22</v>
      </c>
      <c r="Z7" s="137">
        <f>0.693/Z8</f>
        <v>66.155354824913829</v>
      </c>
      <c r="AB7" s="83" t="s">
        <v>425</v>
      </c>
      <c r="AC7" s="150">
        <f>B227</f>
        <v>125</v>
      </c>
      <c r="AD7" s="150">
        <f>B237</f>
        <v>125</v>
      </c>
      <c r="AE7" s="150">
        <f>B247</f>
        <v>125</v>
      </c>
      <c r="AF7" s="150">
        <f>B257</f>
        <v>125</v>
      </c>
      <c r="AG7" s="150">
        <f>B269</f>
        <v>125</v>
      </c>
      <c r="AH7" s="83" t="s">
        <v>24</v>
      </c>
      <c r="AI7" s="83" t="s">
        <v>22</v>
      </c>
      <c r="AJ7" s="137">
        <f>0.693/AJ8</f>
        <v>66.155354824913829</v>
      </c>
      <c r="AL7" s="83" t="s">
        <v>22</v>
      </c>
      <c r="AM7" s="137">
        <f>0.693/AM8</f>
        <v>66.155354824913829</v>
      </c>
      <c r="AO7" s="83" t="s">
        <v>22</v>
      </c>
      <c r="AP7" s="137">
        <f>0.693/AP8</f>
        <v>66.155354824913829</v>
      </c>
      <c r="AR7" s="83" t="s">
        <v>22</v>
      </c>
      <c r="AS7" s="137">
        <f>0.693/AS8</f>
        <v>66.155354824913829</v>
      </c>
      <c r="AU7" s="83" t="s">
        <v>22</v>
      </c>
      <c r="AV7" s="137">
        <f>0.693/AV8</f>
        <v>66.155354824913829</v>
      </c>
      <c r="AX7" s="83" t="s">
        <v>22</v>
      </c>
      <c r="AY7" s="137">
        <f>0.693/AY8</f>
        <v>66.155354824913829</v>
      </c>
      <c r="BA7" s="83" t="s">
        <v>22</v>
      </c>
      <c r="BB7" s="137">
        <f>0.693/BB8</f>
        <v>66.155354824913829</v>
      </c>
      <c r="BD7" s="83" t="s">
        <v>22</v>
      </c>
      <c r="BE7" s="137">
        <f>0.693/BE8</f>
        <v>66.155354824913829</v>
      </c>
      <c r="BG7" s="83" t="s">
        <v>22</v>
      </c>
      <c r="BH7" s="137">
        <f>0.693/BH8</f>
        <v>66.155354824913829</v>
      </c>
      <c r="BJ7" s="83" t="s">
        <v>22</v>
      </c>
      <c r="BK7" s="137">
        <f>0.693/BK8</f>
        <v>66.155354824913829</v>
      </c>
      <c r="BM7" s="83" t="s">
        <v>22</v>
      </c>
      <c r="BN7" s="137">
        <f>0.693/BN8</f>
        <v>66.155354824913829</v>
      </c>
      <c r="BP7" s="83" t="s">
        <v>22</v>
      </c>
      <c r="BQ7" s="137">
        <f>0.693/BQ8</f>
        <v>66.155354824913829</v>
      </c>
      <c r="BS7" s="91" t="s">
        <v>231</v>
      </c>
      <c r="BT7" s="136">
        <f>B30</f>
        <v>1.04753425E-2</v>
      </c>
      <c r="BU7" s="52" t="s">
        <v>60</v>
      </c>
      <c r="BV7" s="83" t="s">
        <v>247</v>
      </c>
      <c r="BW7" s="139">
        <f>B18</f>
        <v>1.25E-4</v>
      </c>
      <c r="BX7" s="84" t="s">
        <v>259</v>
      </c>
      <c r="BY7" s="83" t="s">
        <v>247</v>
      </c>
      <c r="BZ7" s="139">
        <f>B18</f>
        <v>1.25E-4</v>
      </c>
      <c r="CA7" s="84" t="s">
        <v>259</v>
      </c>
      <c r="CB7" s="83" t="s">
        <v>22</v>
      </c>
      <c r="CC7" s="137">
        <f>0.693/CC8</f>
        <v>66.155354824913829</v>
      </c>
      <c r="CE7" s="83" t="s">
        <v>22</v>
      </c>
      <c r="CF7" s="137">
        <f>0.693/CF8</f>
        <v>66.155354824913829</v>
      </c>
      <c r="CH7" s="83" t="s">
        <v>22</v>
      </c>
      <c r="CI7" s="137">
        <f>0.693/CI8</f>
        <v>66.155354824913829</v>
      </c>
      <c r="CK7" s="52" t="s">
        <v>140</v>
      </c>
      <c r="CL7" s="138">
        <f>B113</f>
        <v>55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B18</f>
        <v>1.25E-4</v>
      </c>
      <c r="CV7" s="84" t="s">
        <v>259</v>
      </c>
      <c r="CW7" s="91" t="s">
        <v>231</v>
      </c>
      <c r="CX7" s="136">
        <f>B30</f>
        <v>1.04753425E-2</v>
      </c>
      <c r="CY7" s="52" t="s">
        <v>60</v>
      </c>
      <c r="CZ7" s="84" t="s">
        <v>247</v>
      </c>
      <c r="DA7" s="139">
        <f>B18</f>
        <v>1.25E-4</v>
      </c>
      <c r="DB7" s="84" t="s">
        <v>259</v>
      </c>
      <c r="DC7" s="83" t="s">
        <v>260</v>
      </c>
      <c r="DD7" s="166" t="e">
        <f>(DD5)/(DD6*(DD8+DD11)*DD19)</f>
        <v>#DIV/0!</v>
      </c>
      <c r="DE7" s="92" t="s">
        <v>10</v>
      </c>
      <c r="DF7" s="52" t="s">
        <v>31</v>
      </c>
      <c r="DG7" s="137">
        <f>(DG8*DG9*DG15*DG21*((1-EXP(-DG16*DG17))))/(DG18*DG16)</f>
        <v>0.82362658902748997</v>
      </c>
      <c r="DH7" s="52" t="s">
        <v>18</v>
      </c>
      <c r="DI7" s="83" t="s">
        <v>32</v>
      </c>
      <c r="DJ7" s="136">
        <f>B43</f>
        <v>0</v>
      </c>
      <c r="DL7" s="83" t="s">
        <v>32</v>
      </c>
      <c r="DM7" s="136">
        <f>B43</f>
        <v>0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 t="e">
        <f>DS5/(DS6*DS8*DS15)</f>
        <v>#DIV/0!</v>
      </c>
      <c r="DT7" s="52" t="s">
        <v>10</v>
      </c>
      <c r="DV7" s="138"/>
      <c r="DX7" s="83" t="s">
        <v>33</v>
      </c>
      <c r="DY7" s="136">
        <f>B44</f>
        <v>0</v>
      </c>
      <c r="EA7" s="83" t="s">
        <v>33</v>
      </c>
      <c r="EB7" s="136">
        <f>B44</f>
        <v>0</v>
      </c>
      <c r="EC7" s="84"/>
      <c r="ED7" s="83" t="s">
        <v>33</v>
      </c>
      <c r="EE7" s="136">
        <f>B44</f>
        <v>0</v>
      </c>
      <c r="EF7" s="84"/>
      <c r="EG7" s="83" t="s">
        <v>260</v>
      </c>
      <c r="EH7" s="168" t="e">
        <f>EH5/(EH6*EH8*EH15)</f>
        <v>#DIV/0!</v>
      </c>
      <c r="EI7" s="52" t="s">
        <v>10</v>
      </c>
      <c r="EM7" s="83" t="s">
        <v>33</v>
      </c>
      <c r="EN7" s="136">
        <f>B44</f>
        <v>0</v>
      </c>
      <c r="EP7" s="83" t="s">
        <v>33</v>
      </c>
      <c r="EQ7" s="136">
        <f>B44</f>
        <v>0</v>
      </c>
      <c r="ER7" s="84"/>
      <c r="ES7" s="83" t="s">
        <v>33</v>
      </c>
      <c r="ET7" s="136">
        <f>B44</f>
        <v>0</v>
      </c>
      <c r="EU7" s="84"/>
      <c r="EV7" s="83" t="s">
        <v>260</v>
      </c>
      <c r="EW7" s="168" t="e">
        <f>EW5/(EW6*EW8*EW15)</f>
        <v>#DIV/0!</v>
      </c>
      <c r="EX7" s="52" t="s">
        <v>10</v>
      </c>
      <c r="EY7" s="83"/>
      <c r="EZ7" s="142">
        <v>1000</v>
      </c>
      <c r="FA7" s="83" t="s">
        <v>132</v>
      </c>
      <c r="FB7" s="83" t="s">
        <v>33</v>
      </c>
      <c r="FC7" s="161">
        <f>B44</f>
        <v>0</v>
      </c>
      <c r="FD7" s="83"/>
      <c r="FE7" s="83" t="s">
        <v>33</v>
      </c>
      <c r="FF7" s="161">
        <f>B44</f>
        <v>0</v>
      </c>
      <c r="FG7" s="83"/>
      <c r="FH7" s="83" t="s">
        <v>33</v>
      </c>
      <c r="FI7" s="161">
        <f>B44</f>
        <v>0</v>
      </c>
      <c r="FJ7" s="84"/>
      <c r="FK7" s="83" t="s">
        <v>260</v>
      </c>
      <c r="FL7" s="168" t="e">
        <f>FL5/(FL6*FL8*FL15)</f>
        <v>#DIV/0!</v>
      </c>
      <c r="FM7" s="52" t="s">
        <v>10</v>
      </c>
      <c r="FN7" s="83"/>
      <c r="FQ7" s="52" t="s">
        <v>350</v>
      </c>
      <c r="FR7" s="164">
        <f>B168</f>
        <v>1</v>
      </c>
      <c r="FT7" s="83"/>
      <c r="FU7" s="83"/>
      <c r="FV7" s="83"/>
      <c r="FZ7" s="83" t="s">
        <v>260</v>
      </c>
      <c r="GA7" s="168" t="e">
        <f>GA5/(GA6*GA8*GA15)</f>
        <v>#DIV/0!</v>
      </c>
      <c r="GB7" s="52" t="s">
        <v>10</v>
      </c>
      <c r="GC7" s="83"/>
      <c r="GD7" s="142">
        <v>1000</v>
      </c>
      <c r="GE7" s="83" t="s">
        <v>132</v>
      </c>
      <c r="GF7" s="83" t="s">
        <v>33</v>
      </c>
      <c r="GG7" s="161">
        <f>B44</f>
        <v>0</v>
      </c>
      <c r="GH7" s="83"/>
      <c r="GI7" s="83" t="s">
        <v>33</v>
      </c>
      <c r="GJ7" s="161">
        <f>B44</f>
        <v>0</v>
      </c>
      <c r="GK7" s="83"/>
      <c r="GL7" s="83" t="s">
        <v>33</v>
      </c>
      <c r="GM7" s="161">
        <f>B44</f>
        <v>0</v>
      </c>
      <c r="GN7" s="84"/>
      <c r="GO7" s="83" t="s">
        <v>260</v>
      </c>
      <c r="GP7" s="168" t="e">
        <f>GP5/(GP6*GP8*GP14)</f>
        <v>#DIV/0!</v>
      </c>
      <c r="GQ7" s="52" t="s">
        <v>10</v>
      </c>
      <c r="GR7" s="88"/>
      <c r="GS7" s="142">
        <v>1000</v>
      </c>
      <c r="GT7" s="83" t="s">
        <v>132</v>
      </c>
      <c r="GU7" s="83" t="s">
        <v>33</v>
      </c>
      <c r="GV7" s="161">
        <f>B44</f>
        <v>0</v>
      </c>
      <c r="GW7" s="83"/>
      <c r="GX7" s="83" t="s">
        <v>33</v>
      </c>
      <c r="GY7" s="161">
        <f>B44</f>
        <v>0</v>
      </c>
      <c r="GZ7" s="83"/>
      <c r="HA7" s="83" t="s">
        <v>33</v>
      </c>
      <c r="HB7" s="161">
        <f>B44</f>
        <v>0</v>
      </c>
      <c r="HC7" s="84"/>
      <c r="HD7" s="83" t="s">
        <v>22</v>
      </c>
      <c r="HE7" s="137">
        <f>0.693/HE9</f>
        <v>66.155354824913829</v>
      </c>
    </row>
    <row r="8" spans="1:214" x14ac:dyDescent="0.2">
      <c r="A8" s="116" t="s">
        <v>340</v>
      </c>
      <c r="B8" s="229">
        <v>4.2700000000000002E-2</v>
      </c>
      <c r="C8" s="117"/>
      <c r="D8" s="52" t="s">
        <v>382</v>
      </c>
      <c r="E8" s="138">
        <f>B68</f>
        <v>150</v>
      </c>
      <c r="F8" s="52" t="s">
        <v>24</v>
      </c>
      <c r="G8" s="91" t="s">
        <v>257</v>
      </c>
      <c r="H8" s="136">
        <f>B28</f>
        <v>7.02368E-3</v>
      </c>
      <c r="I8" s="84" t="s">
        <v>259</v>
      </c>
      <c r="J8" s="83" t="s">
        <v>269</v>
      </c>
      <c r="K8" s="136">
        <f>B22</f>
        <v>2.1295200000000002E-3</v>
      </c>
      <c r="L8" s="83" t="s">
        <v>351</v>
      </c>
      <c r="M8" s="91" t="s">
        <v>231</v>
      </c>
      <c r="N8" s="136">
        <f>B30</f>
        <v>1.04753425E-2</v>
      </c>
      <c r="O8" s="52" t="s">
        <v>60</v>
      </c>
      <c r="P8" s="91" t="s">
        <v>231</v>
      </c>
      <c r="Q8" s="136">
        <f>B30</f>
        <v>1.04753425E-2</v>
      </c>
      <c r="R8" s="52" t="s">
        <v>60</v>
      </c>
      <c r="S8" s="91" t="s">
        <v>231</v>
      </c>
      <c r="T8" s="136">
        <f>B30</f>
        <v>1.04753425E-2</v>
      </c>
      <c r="U8" s="52" t="s">
        <v>60</v>
      </c>
      <c r="V8" s="91" t="s">
        <v>231</v>
      </c>
      <c r="W8" s="136">
        <f>B30</f>
        <v>1.04753425E-2</v>
      </c>
      <c r="X8" s="52" t="s">
        <v>60</v>
      </c>
      <c r="Y8" s="91" t="s">
        <v>231</v>
      </c>
      <c r="Z8" s="136">
        <f>B30</f>
        <v>1.04753425E-2</v>
      </c>
      <c r="AA8" s="52" t="s">
        <v>60</v>
      </c>
      <c r="AB8" s="83" t="s">
        <v>249</v>
      </c>
      <c r="AC8" s="136">
        <f>B21</f>
        <v>0</v>
      </c>
      <c r="AD8" s="136">
        <f>B21</f>
        <v>0</v>
      </c>
      <c r="AE8" s="136">
        <f>B21</f>
        <v>0</v>
      </c>
      <c r="AF8" s="136">
        <f>B21</f>
        <v>0</v>
      </c>
      <c r="AG8" s="136">
        <f>B21</f>
        <v>0</v>
      </c>
      <c r="AH8" s="83" t="s">
        <v>259</v>
      </c>
      <c r="AI8" s="91" t="s">
        <v>231</v>
      </c>
      <c r="AJ8" s="136">
        <f>B30</f>
        <v>1.04753425E-2</v>
      </c>
      <c r="AK8" s="52" t="s">
        <v>60</v>
      </c>
      <c r="AL8" s="91" t="s">
        <v>231</v>
      </c>
      <c r="AM8" s="136">
        <f>B30</f>
        <v>1.04753425E-2</v>
      </c>
      <c r="AN8" s="52" t="s">
        <v>60</v>
      </c>
      <c r="AO8" s="91" t="s">
        <v>231</v>
      </c>
      <c r="AP8" s="136">
        <f>B30</f>
        <v>1.04753425E-2</v>
      </c>
      <c r="AQ8" s="52" t="s">
        <v>60</v>
      </c>
      <c r="AR8" s="91" t="s">
        <v>231</v>
      </c>
      <c r="AS8" s="136">
        <f>B30</f>
        <v>1.04753425E-2</v>
      </c>
      <c r="AT8" s="52" t="s">
        <v>60</v>
      </c>
      <c r="AU8" s="91" t="s">
        <v>231</v>
      </c>
      <c r="AV8" s="136">
        <f>B30</f>
        <v>1.04753425E-2</v>
      </c>
      <c r="AW8" s="52" t="s">
        <v>60</v>
      </c>
      <c r="AX8" s="91" t="s">
        <v>231</v>
      </c>
      <c r="AY8" s="136">
        <f>B30</f>
        <v>1.04753425E-2</v>
      </c>
      <c r="AZ8" s="52" t="s">
        <v>60</v>
      </c>
      <c r="BA8" s="91" t="s">
        <v>231</v>
      </c>
      <c r="BB8" s="136">
        <f>B30</f>
        <v>1.04753425E-2</v>
      </c>
      <c r="BC8" s="52" t="s">
        <v>60</v>
      </c>
      <c r="BD8" s="91" t="s">
        <v>231</v>
      </c>
      <c r="BE8" s="136">
        <f>B30</f>
        <v>1.04753425E-2</v>
      </c>
      <c r="BF8" s="52" t="s">
        <v>60</v>
      </c>
      <c r="BG8" s="91" t="s">
        <v>231</v>
      </c>
      <c r="BH8" s="136">
        <f>B30</f>
        <v>1.04753425E-2</v>
      </c>
      <c r="BI8" s="52" t="s">
        <v>60</v>
      </c>
      <c r="BJ8" s="91" t="s">
        <v>231</v>
      </c>
      <c r="BK8" s="136">
        <f>B30</f>
        <v>1.04753425E-2</v>
      </c>
      <c r="BL8" s="52" t="s">
        <v>60</v>
      </c>
      <c r="BM8" s="91" t="s">
        <v>231</v>
      </c>
      <c r="BN8" s="136">
        <f>B30</f>
        <v>1.04753425E-2</v>
      </c>
      <c r="BO8" s="52" t="s">
        <v>60</v>
      </c>
      <c r="BP8" s="91" t="s">
        <v>231</v>
      </c>
      <c r="BQ8" s="136">
        <f>B30</f>
        <v>1.04753425E-2</v>
      </c>
      <c r="BR8" s="52" t="s">
        <v>60</v>
      </c>
      <c r="BS8" s="52" t="s">
        <v>140</v>
      </c>
      <c r="BT8" s="138">
        <f>B113</f>
        <v>55</v>
      </c>
      <c r="BU8" s="52" t="s">
        <v>24</v>
      </c>
      <c r="BV8" s="91" t="s">
        <v>257</v>
      </c>
      <c r="BW8" s="136">
        <f>B28</f>
        <v>7.02368E-3</v>
      </c>
      <c r="BX8" s="84" t="s">
        <v>259</v>
      </c>
      <c r="BY8" s="83" t="s">
        <v>269</v>
      </c>
      <c r="BZ8" s="136">
        <f>B22</f>
        <v>2.1295200000000002E-3</v>
      </c>
      <c r="CA8" s="83" t="s">
        <v>351</v>
      </c>
      <c r="CB8" s="91" t="s">
        <v>231</v>
      </c>
      <c r="CC8" s="136">
        <f>B30</f>
        <v>1.04753425E-2</v>
      </c>
      <c r="CD8" s="52" t="s">
        <v>60</v>
      </c>
      <c r="CE8" s="91" t="s">
        <v>231</v>
      </c>
      <c r="CF8" s="136">
        <f>B30</f>
        <v>1.04753425E-2</v>
      </c>
      <c r="CG8" s="52" t="s">
        <v>60</v>
      </c>
      <c r="CH8" s="91" t="s">
        <v>231</v>
      </c>
      <c r="CI8" s="136">
        <f>B30</f>
        <v>1.04753425E-2</v>
      </c>
      <c r="CJ8" s="52" t="s">
        <v>60</v>
      </c>
      <c r="CK8" s="52" t="s">
        <v>159</v>
      </c>
      <c r="CL8" s="162">
        <f>B128</f>
        <v>3</v>
      </c>
      <c r="CM8" s="52" t="s">
        <v>221</v>
      </c>
      <c r="CN8" s="84" t="s">
        <v>33</v>
      </c>
      <c r="CO8" s="136">
        <f>B44</f>
        <v>0</v>
      </c>
      <c r="CT8" s="83" t="s">
        <v>269</v>
      </c>
      <c r="CU8" s="136">
        <f>B22</f>
        <v>2.1295200000000002E-3</v>
      </c>
      <c r="CV8" s="83" t="s">
        <v>351</v>
      </c>
      <c r="CW8" s="52" t="s">
        <v>362</v>
      </c>
      <c r="CX8" s="138">
        <f>B167</f>
        <v>150</v>
      </c>
      <c r="CY8" s="52" t="s">
        <v>24</v>
      </c>
      <c r="CZ8" s="83" t="s">
        <v>270</v>
      </c>
      <c r="DA8" s="165">
        <f>B28</f>
        <v>7.02368E-3</v>
      </c>
      <c r="DB8" s="83" t="s">
        <v>259</v>
      </c>
      <c r="DC8" s="83" t="s">
        <v>516</v>
      </c>
      <c r="DD8" s="149">
        <f>(DD9*DD15*DD20)+(DD10*DD14*DD21)</f>
        <v>8250</v>
      </c>
      <c r="DE8" s="92" t="s">
        <v>347</v>
      </c>
      <c r="DF8" s="83" t="s">
        <v>36</v>
      </c>
      <c r="DG8" s="138">
        <f>B189</f>
        <v>3.62</v>
      </c>
      <c r="DH8" s="52" t="s">
        <v>37</v>
      </c>
      <c r="DI8" s="83" t="s">
        <v>393</v>
      </c>
      <c r="DJ8" s="138">
        <f>B47</f>
        <v>0.26</v>
      </c>
      <c r="DL8" s="83" t="s">
        <v>393</v>
      </c>
      <c r="DM8" s="138">
        <f>B47</f>
        <v>0.26</v>
      </c>
      <c r="DO8" s="83" t="s">
        <v>36</v>
      </c>
      <c r="DP8" s="138">
        <f>B189</f>
        <v>3.62</v>
      </c>
      <c r="DQ8" s="52" t="s">
        <v>37</v>
      </c>
      <c r="DR8" s="83" t="s">
        <v>147</v>
      </c>
      <c r="DS8" s="149">
        <f>(DS11*DS9*DS17)+(DS12*DS10*DS18)</f>
        <v>8250</v>
      </c>
      <c r="DT8" s="92" t="s">
        <v>347</v>
      </c>
      <c r="DU8" s="52" t="s">
        <v>518</v>
      </c>
      <c r="DV8" s="146">
        <f>B200</f>
        <v>1.03</v>
      </c>
      <c r="DW8" s="52" t="s">
        <v>286</v>
      </c>
      <c r="DX8" s="83" t="s">
        <v>392</v>
      </c>
      <c r="DY8" s="138">
        <f>B48</f>
        <v>0.25</v>
      </c>
      <c r="EA8" s="83" t="s">
        <v>392</v>
      </c>
      <c r="EB8" s="138">
        <f>B48</f>
        <v>0.25</v>
      </c>
      <c r="EC8" s="84"/>
      <c r="ED8" s="83" t="s">
        <v>392</v>
      </c>
      <c r="EE8" s="138">
        <f>B48</f>
        <v>0.25</v>
      </c>
      <c r="EF8" s="84"/>
      <c r="EG8" s="83" t="s">
        <v>519</v>
      </c>
      <c r="EH8" s="149">
        <f>(EH11*EH9*EH17)+(EH12*EH10*EH18)</f>
        <v>8250</v>
      </c>
      <c r="EI8" s="92" t="s">
        <v>347</v>
      </c>
      <c r="EJ8" s="83"/>
      <c r="EM8" s="83" t="s">
        <v>392</v>
      </c>
      <c r="EN8" s="138">
        <f>B48</f>
        <v>0.25</v>
      </c>
      <c r="EP8" s="83" t="s">
        <v>392</v>
      </c>
      <c r="EQ8" s="138">
        <f>B48</f>
        <v>0.25</v>
      </c>
      <c r="ER8" s="84"/>
      <c r="ES8" s="83" t="s">
        <v>392</v>
      </c>
      <c r="ET8" s="138">
        <f>B48</f>
        <v>0.25</v>
      </c>
      <c r="EU8" s="84"/>
      <c r="EV8" s="83" t="s">
        <v>520</v>
      </c>
      <c r="EW8" s="149">
        <f>(EW11*EW9*EW17)+(EW12*EW10*EW18)</f>
        <v>8250</v>
      </c>
      <c r="EX8" s="92" t="s">
        <v>347</v>
      </c>
      <c r="EY8" s="83"/>
      <c r="EZ8" s="83"/>
      <c r="FA8" s="83"/>
      <c r="FB8" s="83" t="s">
        <v>392</v>
      </c>
      <c r="FC8" s="142">
        <f>B48</f>
        <v>0.25</v>
      </c>
      <c r="FD8" s="83"/>
      <c r="FE8" s="83" t="s">
        <v>392</v>
      </c>
      <c r="FF8" s="142">
        <f>B48</f>
        <v>0.25</v>
      </c>
      <c r="FG8" s="83"/>
      <c r="FH8" s="83" t="s">
        <v>392</v>
      </c>
      <c r="FI8" s="142">
        <f>B48</f>
        <v>0.25</v>
      </c>
      <c r="FJ8" s="84"/>
      <c r="FK8" s="83" t="s">
        <v>521</v>
      </c>
      <c r="FL8" s="173">
        <f>(FL9*FL11*FL17)+(FL10*FL12*FL18)</f>
        <v>8250</v>
      </c>
      <c r="FM8" s="92" t="s">
        <v>347</v>
      </c>
      <c r="FN8" s="83"/>
      <c r="FO8" s="83"/>
      <c r="FP8" s="83"/>
      <c r="FQ8" s="83" t="s">
        <v>22</v>
      </c>
      <c r="FR8" s="137">
        <f>0.693/FR9</f>
        <v>66.155354824913829</v>
      </c>
      <c r="FT8" s="83"/>
      <c r="FU8" s="83"/>
      <c r="FV8" s="83"/>
      <c r="FZ8" s="83" t="s">
        <v>522</v>
      </c>
      <c r="GA8" s="173">
        <f>(GA11*GA9*GA17)+(GA10*GA12*GA18)</f>
        <v>8250</v>
      </c>
      <c r="GB8" s="92" t="s">
        <v>347</v>
      </c>
      <c r="GC8" s="83"/>
      <c r="GD8" s="83"/>
      <c r="GE8" s="83"/>
      <c r="GF8" s="83" t="s">
        <v>392</v>
      </c>
      <c r="GG8" s="142">
        <f>B48</f>
        <v>0.25</v>
      </c>
      <c r="GH8" s="83"/>
      <c r="GI8" s="83" t="s">
        <v>392</v>
      </c>
      <c r="GJ8" s="142">
        <f>B48</f>
        <v>0.25</v>
      </c>
      <c r="GK8" s="83"/>
      <c r="GL8" s="83" t="s">
        <v>392</v>
      </c>
      <c r="GM8" s="142">
        <f>B48</f>
        <v>0.25</v>
      </c>
      <c r="GN8" s="84"/>
      <c r="GO8" s="83" t="s">
        <v>523</v>
      </c>
      <c r="GP8" s="149">
        <f>(GP9*GP11*GP16)+(GP10*GP12*GP17)</f>
        <v>8250</v>
      </c>
      <c r="GQ8" s="92" t="s">
        <v>347</v>
      </c>
      <c r="GR8" s="83"/>
      <c r="GS8" s="83"/>
      <c r="GT8" s="83"/>
      <c r="GU8" s="83" t="s">
        <v>392</v>
      </c>
      <c r="GV8" s="142">
        <f>B48</f>
        <v>0.25</v>
      </c>
      <c r="GW8" s="83"/>
      <c r="GX8" s="83" t="s">
        <v>392</v>
      </c>
      <c r="GY8" s="142">
        <f>B48</f>
        <v>0.25</v>
      </c>
      <c r="GZ8" s="83"/>
      <c r="HA8" s="83" t="s">
        <v>392</v>
      </c>
      <c r="HB8" s="142">
        <f>B48</f>
        <v>0.25</v>
      </c>
      <c r="HC8" s="84"/>
      <c r="HD8" s="52" t="s">
        <v>16</v>
      </c>
      <c r="HE8" s="123">
        <f>1-EXP(-HE7*HE12)</f>
        <v>1</v>
      </c>
    </row>
    <row r="9" spans="1:214" x14ac:dyDescent="0.2">
      <c r="A9" s="116" t="s">
        <v>243</v>
      </c>
      <c r="B9" s="229">
        <v>0.72299999999999998</v>
      </c>
      <c r="C9" s="117"/>
      <c r="D9" s="52" t="s">
        <v>379</v>
      </c>
      <c r="E9" s="138">
        <f>B65</f>
        <v>1</v>
      </c>
      <c r="F9" s="52" t="s">
        <v>146</v>
      </c>
      <c r="G9" s="83" t="s">
        <v>258</v>
      </c>
      <c r="H9" s="136">
        <f>B29</f>
        <v>0</v>
      </c>
      <c r="I9" s="92" t="s">
        <v>259</v>
      </c>
      <c r="J9" s="83" t="s">
        <v>258</v>
      </c>
      <c r="K9" s="136">
        <f>B29</f>
        <v>0</v>
      </c>
      <c r="L9" s="92" t="s">
        <v>259</v>
      </c>
      <c r="M9" s="52" t="s">
        <v>382</v>
      </c>
      <c r="N9" s="138">
        <f>B68</f>
        <v>150</v>
      </c>
      <c r="O9" s="52" t="s">
        <v>24</v>
      </c>
      <c r="P9" s="52" t="s">
        <v>382</v>
      </c>
      <c r="Q9" s="138">
        <f>B68</f>
        <v>150</v>
      </c>
      <c r="R9" s="52" t="s">
        <v>24</v>
      </c>
      <c r="S9" s="52" t="s">
        <v>382</v>
      </c>
      <c r="T9" s="138">
        <f>B68</f>
        <v>150</v>
      </c>
      <c r="U9" s="52" t="s">
        <v>24</v>
      </c>
      <c r="V9" s="52" t="s">
        <v>423</v>
      </c>
      <c r="W9" s="138">
        <f>B247</f>
        <v>125</v>
      </c>
      <c r="X9" s="52" t="s">
        <v>24</v>
      </c>
      <c r="Y9" s="52" t="s">
        <v>316</v>
      </c>
      <c r="Z9" s="138">
        <f>B227</f>
        <v>125</v>
      </c>
      <c r="AA9" s="52" t="s">
        <v>24</v>
      </c>
      <c r="AB9" s="83" t="s">
        <v>34</v>
      </c>
      <c r="AC9" s="146">
        <f>B228</f>
        <v>1</v>
      </c>
      <c r="AD9" s="146">
        <f>B238</f>
        <v>1</v>
      </c>
      <c r="AE9" s="146">
        <f>B248</f>
        <v>1</v>
      </c>
      <c r="AF9" s="146">
        <f>B258</f>
        <v>1</v>
      </c>
      <c r="AG9" s="146">
        <f>B270</f>
        <v>1</v>
      </c>
      <c r="AH9" s="83" t="s">
        <v>60</v>
      </c>
      <c r="AI9" s="52" t="s">
        <v>35</v>
      </c>
      <c r="AJ9" s="138">
        <f>B237</f>
        <v>125</v>
      </c>
      <c r="AK9" s="52" t="s">
        <v>24</v>
      </c>
      <c r="AL9" s="52" t="s">
        <v>35</v>
      </c>
      <c r="AM9" s="138">
        <f>B237</f>
        <v>125</v>
      </c>
      <c r="AN9" s="52" t="s">
        <v>24</v>
      </c>
      <c r="AO9" s="52" t="s">
        <v>35</v>
      </c>
      <c r="AP9" s="138">
        <f>B237</f>
        <v>125</v>
      </c>
      <c r="AQ9" s="52" t="s">
        <v>24</v>
      </c>
      <c r="AR9" s="52" t="s">
        <v>423</v>
      </c>
      <c r="AS9" s="138">
        <f>B247</f>
        <v>125</v>
      </c>
      <c r="AT9" s="52" t="s">
        <v>24</v>
      </c>
      <c r="AU9" s="52" t="s">
        <v>423</v>
      </c>
      <c r="AV9" s="138">
        <f>B247</f>
        <v>125</v>
      </c>
      <c r="AW9" s="52" t="s">
        <v>24</v>
      </c>
      <c r="AX9" s="52" t="s">
        <v>423</v>
      </c>
      <c r="AY9" s="138">
        <f>B247</f>
        <v>125</v>
      </c>
      <c r="AZ9" s="52" t="s">
        <v>24</v>
      </c>
      <c r="BA9" s="52" t="s">
        <v>316</v>
      </c>
      <c r="BB9" s="138">
        <f>B227</f>
        <v>125</v>
      </c>
      <c r="BC9" s="52" t="s">
        <v>24</v>
      </c>
      <c r="BD9" s="52" t="s">
        <v>316</v>
      </c>
      <c r="BE9" s="138">
        <f>B227</f>
        <v>125</v>
      </c>
      <c r="BF9" s="52" t="s">
        <v>24</v>
      </c>
      <c r="BG9" s="52" t="s">
        <v>316</v>
      </c>
      <c r="BH9" s="138">
        <f>B227</f>
        <v>125</v>
      </c>
      <c r="BI9" s="52" t="s">
        <v>24</v>
      </c>
      <c r="BJ9" s="52" t="s">
        <v>191</v>
      </c>
      <c r="BK9" s="138">
        <f>BK10*BK11</f>
        <v>75</v>
      </c>
      <c r="BL9" s="52" t="s">
        <v>24</v>
      </c>
      <c r="BM9" s="52" t="s">
        <v>191</v>
      </c>
      <c r="BN9" s="138">
        <f>BN10*BN11</f>
        <v>75</v>
      </c>
      <c r="BO9" s="52" t="s">
        <v>24</v>
      </c>
      <c r="BP9" s="52" t="s">
        <v>191</v>
      </c>
      <c r="BQ9" s="138">
        <f>BQ10*BQ11</f>
        <v>75</v>
      </c>
      <c r="BR9" s="52" t="s">
        <v>24</v>
      </c>
      <c r="BS9" s="52" t="s">
        <v>247</v>
      </c>
      <c r="BT9" s="139">
        <f>E11</f>
        <v>1.25E-4</v>
      </c>
      <c r="BU9" s="84" t="s">
        <v>259</v>
      </c>
      <c r="BV9" s="83" t="s">
        <v>258</v>
      </c>
      <c r="BW9" s="136">
        <f>B29</f>
        <v>0</v>
      </c>
      <c r="BX9" s="92" t="s">
        <v>259</v>
      </c>
      <c r="BY9" s="83" t="s">
        <v>77</v>
      </c>
      <c r="BZ9" s="136">
        <f>B31</f>
        <v>1359344473.5814338</v>
      </c>
      <c r="CA9" s="83" t="s">
        <v>78</v>
      </c>
      <c r="CB9" s="52" t="s">
        <v>140</v>
      </c>
      <c r="CC9" s="138">
        <f>B113</f>
        <v>55</v>
      </c>
      <c r="CD9" s="52" t="s">
        <v>24</v>
      </c>
      <c r="CE9" s="52" t="s">
        <v>140</v>
      </c>
      <c r="CF9" s="138">
        <f>B113</f>
        <v>55</v>
      </c>
      <c r="CG9" s="52" t="s">
        <v>24</v>
      </c>
      <c r="CH9" s="52" t="s">
        <v>140</v>
      </c>
      <c r="CI9" s="138">
        <f>B113</f>
        <v>55</v>
      </c>
      <c r="CJ9" s="52" t="s">
        <v>24</v>
      </c>
      <c r="CN9" s="84" t="s">
        <v>392</v>
      </c>
      <c r="CO9" s="162">
        <f>B48</f>
        <v>0.25</v>
      </c>
      <c r="CT9" s="83" t="s">
        <v>258</v>
      </c>
      <c r="CU9" s="136">
        <f>B29</f>
        <v>0</v>
      </c>
      <c r="CV9" s="92" t="s">
        <v>259</v>
      </c>
      <c r="CW9" s="52" t="s">
        <v>363</v>
      </c>
      <c r="CX9" s="138">
        <f>B168</f>
        <v>1</v>
      </c>
      <c r="CY9" s="52" t="s">
        <v>146</v>
      </c>
      <c r="CZ9" s="83" t="s">
        <v>258</v>
      </c>
      <c r="DA9" s="136">
        <f>B29</f>
        <v>0</v>
      </c>
      <c r="DB9" s="84" t="s">
        <v>259</v>
      </c>
      <c r="DC9" s="83" t="s">
        <v>513</v>
      </c>
      <c r="DD9" s="146">
        <f>B149</f>
        <v>55</v>
      </c>
      <c r="DE9" s="92" t="s">
        <v>221</v>
      </c>
      <c r="DF9" s="83" t="s">
        <v>40</v>
      </c>
      <c r="DG9" s="138">
        <f>B190</f>
        <v>0.25</v>
      </c>
      <c r="DH9" s="52" t="s">
        <v>41</v>
      </c>
      <c r="DI9" s="52" t="s">
        <v>350</v>
      </c>
      <c r="DJ9" s="164">
        <f>B168</f>
        <v>1</v>
      </c>
      <c r="DL9" s="83"/>
      <c r="DO9" s="83" t="s">
        <v>40</v>
      </c>
      <c r="DP9" s="138">
        <f>B190</f>
        <v>0.25</v>
      </c>
      <c r="DQ9" s="52" t="s">
        <v>41</v>
      </c>
      <c r="DR9" s="83" t="s">
        <v>452</v>
      </c>
      <c r="DS9" s="146">
        <f>B151</f>
        <v>55</v>
      </c>
      <c r="DT9" s="92" t="s">
        <v>221</v>
      </c>
      <c r="DU9" s="83"/>
      <c r="DX9" s="83" t="s">
        <v>517</v>
      </c>
      <c r="DY9" s="136">
        <f>B36</f>
        <v>0</v>
      </c>
      <c r="DZ9" s="52" t="s">
        <v>601</v>
      </c>
      <c r="EA9" s="83" t="s">
        <v>517</v>
      </c>
      <c r="EB9" s="136">
        <f>B36</f>
        <v>0</v>
      </c>
      <c r="EC9" s="52" t="s">
        <v>601</v>
      </c>
      <c r="ED9" s="83" t="s">
        <v>517</v>
      </c>
      <c r="EE9" s="136">
        <f>B36</f>
        <v>0</v>
      </c>
      <c r="EF9" s="52" t="s">
        <v>601</v>
      </c>
      <c r="EG9" s="83" t="s">
        <v>453</v>
      </c>
      <c r="EH9" s="170">
        <f>B153</f>
        <v>55</v>
      </c>
      <c r="EI9" s="92" t="s">
        <v>221</v>
      </c>
      <c r="EJ9" s="83"/>
      <c r="EM9" s="83" t="s">
        <v>236</v>
      </c>
      <c r="EN9" s="136">
        <f>B37</f>
        <v>0</v>
      </c>
      <c r="EO9" s="52" t="s">
        <v>388</v>
      </c>
      <c r="EP9" s="83" t="s">
        <v>236</v>
      </c>
      <c r="EQ9" s="169">
        <f>B37</f>
        <v>0</v>
      </c>
      <c r="ER9" s="52" t="s">
        <v>388</v>
      </c>
      <c r="ES9" s="83" t="s">
        <v>236</v>
      </c>
      <c r="ET9" s="169">
        <f>B37</f>
        <v>0</v>
      </c>
      <c r="EU9" s="52" t="s">
        <v>388</v>
      </c>
      <c r="EV9" s="83" t="s">
        <v>454</v>
      </c>
      <c r="EW9" s="171">
        <f>B155</f>
        <v>55</v>
      </c>
      <c r="EX9" s="92" t="s">
        <v>221</v>
      </c>
      <c r="EY9" s="83"/>
      <c r="EZ9" s="83"/>
      <c r="FA9" s="83"/>
      <c r="FB9" s="83" t="s">
        <v>171</v>
      </c>
      <c r="FC9" s="169">
        <f>B39</f>
        <v>0</v>
      </c>
      <c r="FD9" s="52" t="s">
        <v>388</v>
      </c>
      <c r="FE9" s="83" t="s">
        <v>171</v>
      </c>
      <c r="FF9" s="169">
        <f>B39</f>
        <v>0</v>
      </c>
      <c r="FG9" s="52" t="s">
        <v>388</v>
      </c>
      <c r="FH9" s="83" t="s">
        <v>171</v>
      </c>
      <c r="FI9" s="169">
        <f>B39</f>
        <v>0</v>
      </c>
      <c r="FJ9" s="52" t="s">
        <v>388</v>
      </c>
      <c r="FK9" s="83" t="s">
        <v>471</v>
      </c>
      <c r="FL9" s="150">
        <f>B157</f>
        <v>55</v>
      </c>
      <c r="FM9" s="92" t="s">
        <v>221</v>
      </c>
      <c r="FN9" s="83"/>
      <c r="FO9" s="83"/>
      <c r="FP9" s="83"/>
      <c r="FQ9" s="91" t="s">
        <v>231</v>
      </c>
      <c r="FR9" s="136">
        <f>B30</f>
        <v>1.04753425E-2</v>
      </c>
      <c r="FS9" s="52" t="s">
        <v>60</v>
      </c>
      <c r="FT9" s="83"/>
      <c r="FU9" s="93"/>
      <c r="FV9" s="83"/>
      <c r="FW9" s="83"/>
      <c r="FX9" s="93"/>
      <c r="FY9" s="83"/>
      <c r="FZ9" s="83" t="s">
        <v>473</v>
      </c>
      <c r="GA9" s="174">
        <f>B159</f>
        <v>55</v>
      </c>
      <c r="GB9" s="92" t="s">
        <v>221</v>
      </c>
      <c r="GC9" s="83"/>
      <c r="GD9" s="83"/>
      <c r="GE9" s="83"/>
      <c r="GF9" s="83" t="s">
        <v>237</v>
      </c>
      <c r="GG9" s="169">
        <f>B38</f>
        <v>0</v>
      </c>
      <c r="GH9" s="52" t="s">
        <v>388</v>
      </c>
      <c r="GI9" s="83" t="s">
        <v>237</v>
      </c>
      <c r="GJ9" s="169">
        <f>B38</f>
        <v>0</v>
      </c>
      <c r="GK9" s="52" t="s">
        <v>388</v>
      </c>
      <c r="GL9" s="83" t="s">
        <v>237</v>
      </c>
      <c r="GM9" s="169">
        <f>B38</f>
        <v>0</v>
      </c>
      <c r="GN9" s="52" t="s">
        <v>388</v>
      </c>
      <c r="GO9" s="83" t="s">
        <v>455</v>
      </c>
      <c r="GP9" s="150">
        <f>B161</f>
        <v>55</v>
      </c>
      <c r="GQ9" s="92" t="s">
        <v>221</v>
      </c>
      <c r="GR9" s="83"/>
      <c r="GS9" s="83"/>
      <c r="GT9" s="83"/>
      <c r="GU9" s="83" t="s">
        <v>238</v>
      </c>
      <c r="GV9" s="169">
        <f>B40</f>
        <v>0</v>
      </c>
      <c r="GW9" s="52" t="s">
        <v>388</v>
      </c>
      <c r="GX9" s="83" t="s">
        <v>238</v>
      </c>
      <c r="GY9" s="169">
        <f>B40</f>
        <v>0</v>
      </c>
      <c r="GZ9" s="52" t="s">
        <v>388</v>
      </c>
      <c r="HA9" s="83" t="s">
        <v>238</v>
      </c>
      <c r="HB9" s="169">
        <f>B40</f>
        <v>0</v>
      </c>
      <c r="HC9" s="52" t="s">
        <v>388</v>
      </c>
      <c r="HD9" s="91" t="s">
        <v>231</v>
      </c>
      <c r="HE9" s="136">
        <f>B30</f>
        <v>1.04753425E-2</v>
      </c>
      <c r="HF9" s="52" t="s">
        <v>60</v>
      </c>
    </row>
    <row r="10" spans="1:214" x14ac:dyDescent="0.2">
      <c r="A10" s="116" t="s">
        <v>341</v>
      </c>
      <c r="B10" s="229">
        <v>5.8400000000000001E-2</v>
      </c>
      <c r="C10" s="117"/>
      <c r="D10" s="52" t="s">
        <v>92</v>
      </c>
      <c r="E10" s="138">
        <f>E9</f>
        <v>1</v>
      </c>
      <c r="G10" s="83" t="s">
        <v>260</v>
      </c>
      <c r="H10" s="143" t="e">
        <f>H5/(H6*H15)</f>
        <v>#DIV/0!</v>
      </c>
      <c r="I10" s="92" t="s">
        <v>11</v>
      </c>
      <c r="J10" s="83" t="s">
        <v>77</v>
      </c>
      <c r="K10" s="136">
        <f>B31</f>
        <v>1359344473.5814338</v>
      </c>
      <c r="L10" s="83" t="s">
        <v>78</v>
      </c>
      <c r="M10" s="52" t="s">
        <v>379</v>
      </c>
      <c r="N10" s="138">
        <f>B65</f>
        <v>1</v>
      </c>
      <c r="O10" s="52" t="s">
        <v>146</v>
      </c>
      <c r="P10" s="52" t="s">
        <v>379</v>
      </c>
      <c r="Q10" s="138">
        <f>B65</f>
        <v>1</v>
      </c>
      <c r="R10" s="52" t="s">
        <v>146</v>
      </c>
      <c r="S10" s="52" t="s">
        <v>379</v>
      </c>
      <c r="T10" s="138">
        <f>B65</f>
        <v>1</v>
      </c>
      <c r="U10" s="52" t="s">
        <v>146</v>
      </c>
      <c r="V10" s="52" t="s">
        <v>424</v>
      </c>
      <c r="W10" s="138">
        <f>B248</f>
        <v>1</v>
      </c>
      <c r="X10" s="52" t="s">
        <v>146</v>
      </c>
      <c r="Y10" s="52" t="s">
        <v>422</v>
      </c>
      <c r="Z10" s="138">
        <f>B228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B265</f>
        <v>3</v>
      </c>
      <c r="AG10" s="146">
        <f>B276</f>
        <v>3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B238</f>
        <v>1</v>
      </c>
      <c r="AN10" s="52" t="s">
        <v>146</v>
      </c>
      <c r="AO10" s="52" t="s">
        <v>420</v>
      </c>
      <c r="AP10" s="138">
        <f>B238</f>
        <v>1</v>
      </c>
      <c r="AQ10" s="52" t="s">
        <v>146</v>
      </c>
      <c r="AR10" s="52" t="s">
        <v>424</v>
      </c>
      <c r="AS10" s="138">
        <f>B248</f>
        <v>1</v>
      </c>
      <c r="AT10" s="52" t="s">
        <v>146</v>
      </c>
      <c r="AU10" s="52" t="s">
        <v>424</v>
      </c>
      <c r="AV10" s="138">
        <f>B248</f>
        <v>1</v>
      </c>
      <c r="AW10" s="52" t="s">
        <v>146</v>
      </c>
      <c r="AX10" s="52" t="s">
        <v>424</v>
      </c>
      <c r="AY10" s="138">
        <f>B248</f>
        <v>1</v>
      </c>
      <c r="AZ10" s="52" t="s">
        <v>146</v>
      </c>
      <c r="BA10" s="52" t="s">
        <v>422</v>
      </c>
      <c r="BB10" s="138">
        <f>B228</f>
        <v>1</v>
      </c>
      <c r="BC10" s="52" t="s">
        <v>146</v>
      </c>
      <c r="BD10" s="52" t="s">
        <v>422</v>
      </c>
      <c r="BE10" s="138">
        <f>B228</f>
        <v>1</v>
      </c>
      <c r="BF10" s="52" t="s">
        <v>146</v>
      </c>
      <c r="BG10" s="52" t="s">
        <v>422</v>
      </c>
      <c r="BH10" s="138">
        <f>B228</f>
        <v>1</v>
      </c>
      <c r="BI10" s="52" t="s">
        <v>146</v>
      </c>
      <c r="BJ10" s="52" t="s">
        <v>220</v>
      </c>
      <c r="BK10" s="138">
        <f>B266</f>
        <v>25</v>
      </c>
      <c r="BL10" s="52" t="s">
        <v>113</v>
      </c>
      <c r="BM10" s="52" t="s">
        <v>220</v>
      </c>
      <c r="BN10" s="138">
        <f>B266</f>
        <v>25</v>
      </c>
      <c r="BO10" s="52" t="s">
        <v>113</v>
      </c>
      <c r="BP10" s="52" t="s">
        <v>220</v>
      </c>
      <c r="BQ10" s="138">
        <f>B266</f>
        <v>25</v>
      </c>
      <c r="BR10" s="52" t="s">
        <v>113</v>
      </c>
      <c r="BS10" s="83" t="s">
        <v>428</v>
      </c>
      <c r="BT10" s="149">
        <f>(BT22*BT13*(1/24)*BT11*BT25)+(BT23*BT14*(1/24)*BT12*BT26)</f>
        <v>101.40624999999999</v>
      </c>
      <c r="BU10" s="52" t="s">
        <v>426</v>
      </c>
      <c r="BV10" s="83" t="s">
        <v>260</v>
      </c>
      <c r="BW10" s="143" t="e">
        <f>BW5/(BW6*BW13)</f>
        <v>#DIV/0!</v>
      </c>
      <c r="BX10" s="92" t="s">
        <v>11</v>
      </c>
      <c r="BY10" s="84" t="s">
        <v>16</v>
      </c>
      <c r="BZ10" s="137">
        <f>(BZ30*BZ11)/(1-EXP(-BZ11*BZ30))</f>
        <v>66.155354824913829</v>
      </c>
      <c r="CB10" s="52" t="s">
        <v>51</v>
      </c>
      <c r="CC10" s="138">
        <f>B127</f>
        <v>1</v>
      </c>
      <c r="CD10" s="52" t="s">
        <v>146</v>
      </c>
      <c r="CE10" s="52" t="s">
        <v>51</v>
      </c>
      <c r="CF10" s="138">
        <f>B127</f>
        <v>1</v>
      </c>
      <c r="CG10" s="52" t="s">
        <v>146</v>
      </c>
      <c r="CH10" s="52" t="s">
        <v>51</v>
      </c>
      <c r="CI10" s="138">
        <f>B127</f>
        <v>1</v>
      </c>
      <c r="CJ10" s="52" t="s">
        <v>146</v>
      </c>
      <c r="CN10" s="84" t="s">
        <v>164</v>
      </c>
      <c r="CO10" s="162">
        <f>B129</f>
        <v>2</v>
      </c>
      <c r="CP10" s="52" t="s">
        <v>246</v>
      </c>
      <c r="CT10" s="83" t="s">
        <v>77</v>
      </c>
      <c r="CU10" s="136">
        <f>B31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66.155354824913829</v>
      </c>
      <c r="DC10" s="83" t="s">
        <v>514</v>
      </c>
      <c r="DD10" s="146">
        <f>B150</f>
        <v>55</v>
      </c>
      <c r="DE10" s="92" t="s">
        <v>221</v>
      </c>
      <c r="DF10" s="92" t="s">
        <v>32</v>
      </c>
      <c r="DG10" s="136">
        <f>B43</f>
        <v>0</v>
      </c>
      <c r="DI10" s="83" t="s">
        <v>22</v>
      </c>
      <c r="DJ10" s="137">
        <f>0.693/DJ11</f>
        <v>66.155354824913829</v>
      </c>
      <c r="DL10" s="92"/>
      <c r="DO10" s="92" t="s">
        <v>32</v>
      </c>
      <c r="DP10" s="136">
        <f>B43</f>
        <v>0</v>
      </c>
      <c r="DR10" s="83" t="s">
        <v>461</v>
      </c>
      <c r="DS10" s="146">
        <f>B152</f>
        <v>55</v>
      </c>
      <c r="DT10" s="92" t="s">
        <v>221</v>
      </c>
      <c r="DU10" s="92"/>
      <c r="DX10" s="83" t="s">
        <v>498</v>
      </c>
      <c r="DY10" s="138">
        <f>B201</f>
        <v>20.3</v>
      </c>
      <c r="DZ10" s="52" t="s">
        <v>246</v>
      </c>
      <c r="EA10" s="83" t="s">
        <v>498</v>
      </c>
      <c r="EB10" s="138">
        <f>B201</f>
        <v>20.3</v>
      </c>
      <c r="EC10" s="52" t="s">
        <v>246</v>
      </c>
      <c r="ED10" s="83" t="s">
        <v>498</v>
      </c>
      <c r="EE10" s="138">
        <f>B201</f>
        <v>20.3</v>
      </c>
      <c r="EF10" s="52" t="s">
        <v>246</v>
      </c>
      <c r="EG10" s="83" t="s">
        <v>462</v>
      </c>
      <c r="EH10" s="170">
        <f>B154</f>
        <v>55</v>
      </c>
      <c r="EI10" s="92" t="s">
        <v>221</v>
      </c>
      <c r="EJ10" s="92"/>
      <c r="EM10" s="83" t="s">
        <v>494</v>
      </c>
      <c r="EN10" s="138">
        <f>B206</f>
        <v>11.77</v>
      </c>
      <c r="EO10" s="52" t="s">
        <v>246</v>
      </c>
      <c r="EP10" s="83" t="s">
        <v>494</v>
      </c>
      <c r="EQ10" s="138">
        <f>B206</f>
        <v>11.77</v>
      </c>
      <c r="ER10" s="52" t="s">
        <v>246</v>
      </c>
      <c r="ES10" s="83" t="s">
        <v>494</v>
      </c>
      <c r="ET10" s="138">
        <f>B206</f>
        <v>11.77</v>
      </c>
      <c r="EU10" s="52" t="s">
        <v>246</v>
      </c>
      <c r="EV10" s="83" t="s">
        <v>463</v>
      </c>
      <c r="EW10" s="170">
        <f>B156</f>
        <v>55</v>
      </c>
      <c r="EX10" s="92" t="s">
        <v>221</v>
      </c>
      <c r="EY10" s="83"/>
      <c r="EZ10" s="83"/>
      <c r="FA10" s="83"/>
      <c r="FB10" s="83" t="s">
        <v>152</v>
      </c>
      <c r="FC10" s="142">
        <f>B211</f>
        <v>0.2</v>
      </c>
      <c r="FD10" s="52" t="s">
        <v>246</v>
      </c>
      <c r="FE10" s="83" t="s">
        <v>152</v>
      </c>
      <c r="FF10" s="142">
        <f>B211</f>
        <v>0.2</v>
      </c>
      <c r="FG10" s="52" t="s">
        <v>246</v>
      </c>
      <c r="FH10" s="83" t="s">
        <v>152</v>
      </c>
      <c r="FI10" s="142">
        <f>B211</f>
        <v>0.2</v>
      </c>
      <c r="FJ10" s="52" t="s">
        <v>246</v>
      </c>
      <c r="FK10" s="83" t="s">
        <v>472</v>
      </c>
      <c r="FL10" s="150">
        <f>B158</f>
        <v>55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66.155354824913829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B160</f>
        <v>55</v>
      </c>
      <c r="GB10" s="92" t="s">
        <v>221</v>
      </c>
      <c r="GC10" s="83"/>
      <c r="GD10" s="83"/>
      <c r="GE10" s="83"/>
      <c r="GF10" s="83" t="s">
        <v>486</v>
      </c>
      <c r="GG10" s="142">
        <f>B216</f>
        <v>0.2</v>
      </c>
      <c r="GH10" s="52" t="s">
        <v>246</v>
      </c>
      <c r="GI10" s="83" t="s">
        <v>486</v>
      </c>
      <c r="GJ10" s="142">
        <f>B216</f>
        <v>0.2</v>
      </c>
      <c r="GK10" s="52" t="s">
        <v>246</v>
      </c>
      <c r="GL10" s="83" t="s">
        <v>486</v>
      </c>
      <c r="GM10" s="142">
        <f>B216</f>
        <v>0.2</v>
      </c>
      <c r="GN10" s="52" t="s">
        <v>246</v>
      </c>
      <c r="GO10" s="83" t="s">
        <v>464</v>
      </c>
      <c r="GP10" s="150">
        <f>B162</f>
        <v>55</v>
      </c>
      <c r="GQ10" s="92" t="s">
        <v>221</v>
      </c>
      <c r="GR10" s="83"/>
      <c r="GS10" s="83"/>
      <c r="GT10" s="83"/>
      <c r="GU10" s="83" t="s">
        <v>490</v>
      </c>
      <c r="GV10" s="142">
        <f>B221</f>
        <v>4.7</v>
      </c>
      <c r="GW10" s="52" t="s">
        <v>246</v>
      </c>
      <c r="GX10" s="83" t="s">
        <v>490</v>
      </c>
      <c r="GY10" s="142">
        <f>B221</f>
        <v>4.7</v>
      </c>
      <c r="GZ10" s="52" t="s">
        <v>246</v>
      </c>
      <c r="HA10" s="83" t="s">
        <v>490</v>
      </c>
      <c r="HB10" s="142">
        <f>B221</f>
        <v>4.7</v>
      </c>
      <c r="HC10" s="52" t="s">
        <v>246</v>
      </c>
      <c r="HD10" s="84" t="s">
        <v>38</v>
      </c>
      <c r="HE10" s="163">
        <f>B93</f>
        <v>0.3</v>
      </c>
    </row>
    <row r="11" spans="1:214" x14ac:dyDescent="0.2">
      <c r="A11" s="116" t="s">
        <v>244</v>
      </c>
      <c r="B11" s="229">
        <v>0.70099999999999996</v>
      </c>
      <c r="C11" s="117"/>
      <c r="D11" s="52" t="s">
        <v>247</v>
      </c>
      <c r="E11" s="139">
        <f>B18</f>
        <v>1.25E-4</v>
      </c>
      <c r="F11" s="84" t="s">
        <v>259</v>
      </c>
      <c r="G11" s="83" t="s">
        <v>261</v>
      </c>
      <c r="H11" s="144">
        <f>H5/(H7*H16*H28)</f>
        <v>12.052730696798493</v>
      </c>
      <c r="I11" s="92" t="s">
        <v>11</v>
      </c>
      <c r="J11" s="84" t="s">
        <v>16</v>
      </c>
      <c r="K11" s="137">
        <f>(K43*K12)/(1-EXP(-K12*K43))</f>
        <v>66.155354824913829</v>
      </c>
      <c r="M11" s="52" t="s">
        <v>299</v>
      </c>
      <c r="N11" s="138">
        <f>B73</f>
        <v>1</v>
      </c>
      <c r="P11" s="52" t="s">
        <v>299</v>
      </c>
      <c r="Q11" s="138">
        <f>B73</f>
        <v>1</v>
      </c>
      <c r="S11" s="52" t="s">
        <v>299</v>
      </c>
      <c r="T11" s="138">
        <f>B73</f>
        <v>1</v>
      </c>
      <c r="V11" s="52" t="s">
        <v>247</v>
      </c>
      <c r="W11" s="139">
        <f>B18</f>
        <v>1.25E-4</v>
      </c>
      <c r="X11" s="84" t="s">
        <v>39</v>
      </c>
      <c r="Y11" s="52" t="s">
        <v>247</v>
      </c>
      <c r="Z11" s="139">
        <f>B18</f>
        <v>1.25E-4</v>
      </c>
      <c r="AA11" s="84" t="s">
        <v>39</v>
      </c>
      <c r="AB11" s="83" t="s">
        <v>220</v>
      </c>
      <c r="AC11" s="146"/>
      <c r="AD11" s="146"/>
      <c r="AE11" s="146"/>
      <c r="AF11" s="146">
        <f>B266</f>
        <v>25</v>
      </c>
      <c r="AG11" s="146">
        <f>B277</f>
        <v>25</v>
      </c>
      <c r="AH11" s="83" t="s">
        <v>113</v>
      </c>
      <c r="AI11" s="52" t="s">
        <v>299</v>
      </c>
      <c r="AJ11" s="138">
        <f>B241</f>
        <v>1</v>
      </c>
      <c r="AL11" s="52" t="s">
        <v>299</v>
      </c>
      <c r="AM11" s="138">
        <f>B241</f>
        <v>1</v>
      </c>
      <c r="AO11" s="52" t="s">
        <v>299</v>
      </c>
      <c r="AP11" s="138">
        <f>B241</f>
        <v>1</v>
      </c>
      <c r="AR11" s="52" t="s">
        <v>299</v>
      </c>
      <c r="AS11" s="138">
        <f>B251</f>
        <v>1</v>
      </c>
      <c r="AU11" s="52" t="s">
        <v>299</v>
      </c>
      <c r="AV11" s="138">
        <f>B251</f>
        <v>1</v>
      </c>
      <c r="AX11" s="52" t="s">
        <v>299</v>
      </c>
      <c r="AY11" s="138">
        <f>B251</f>
        <v>1</v>
      </c>
      <c r="BA11" s="52" t="s">
        <v>299</v>
      </c>
      <c r="BB11" s="138">
        <f>B231</f>
        <v>1</v>
      </c>
      <c r="BD11" s="52" t="s">
        <v>299</v>
      </c>
      <c r="BE11" s="138">
        <f>B231</f>
        <v>1</v>
      </c>
      <c r="BG11" s="52" t="s">
        <v>299</v>
      </c>
      <c r="BH11" s="138">
        <f>B231</f>
        <v>1</v>
      </c>
      <c r="BJ11" s="52" t="s">
        <v>219</v>
      </c>
      <c r="BK11" s="138">
        <f>B265</f>
        <v>3</v>
      </c>
      <c r="BL11" s="52" t="s">
        <v>112</v>
      </c>
      <c r="BM11" s="52" t="s">
        <v>219</v>
      </c>
      <c r="BN11" s="138">
        <f>B265</f>
        <v>3</v>
      </c>
      <c r="BO11" s="52" t="s">
        <v>112</v>
      </c>
      <c r="BP11" s="52" t="s">
        <v>219</v>
      </c>
      <c r="BQ11" s="138">
        <f>B265</f>
        <v>3</v>
      </c>
      <c r="BR11" s="52" t="s">
        <v>112</v>
      </c>
      <c r="BS11" s="83" t="s">
        <v>429</v>
      </c>
      <c r="BT11" s="141">
        <f>B103</f>
        <v>5</v>
      </c>
      <c r="BU11" s="92" t="s">
        <v>407</v>
      </c>
      <c r="BV11" s="83" t="s">
        <v>261</v>
      </c>
      <c r="BW11" s="159"/>
      <c r="BX11" s="92" t="s">
        <v>11</v>
      </c>
      <c r="BY11" s="83" t="s">
        <v>22</v>
      </c>
      <c r="BZ11" s="137">
        <f>0.693/BZ12</f>
        <v>66.155354824913829</v>
      </c>
      <c r="CB11" s="52" t="s">
        <v>300</v>
      </c>
      <c r="CC11" s="136">
        <f>B3</f>
        <v>6.8000000000000005E-2</v>
      </c>
      <c r="CE11" s="52" t="s">
        <v>300</v>
      </c>
      <c r="CF11" s="136">
        <f>B6</f>
        <v>3.7100000000000001E-2</v>
      </c>
      <c r="CH11" s="52" t="s">
        <v>300</v>
      </c>
      <c r="CI11" s="136">
        <f>B10</f>
        <v>5.8400000000000001E-2</v>
      </c>
      <c r="CN11" s="84" t="s">
        <v>161</v>
      </c>
      <c r="CO11" s="162">
        <f>B130</f>
        <v>2</v>
      </c>
      <c r="CP11" s="52" t="s">
        <v>246</v>
      </c>
      <c r="CT11" s="84" t="s">
        <v>16</v>
      </c>
      <c r="CU11" s="137">
        <f>(CU43*CU12)/(1-EXP(-CU12*CU43))</f>
        <v>66.155354824913829</v>
      </c>
      <c r="CW11" s="52" t="s">
        <v>247</v>
      </c>
      <c r="CX11" s="139">
        <f>B18</f>
        <v>1.25E-4</v>
      </c>
      <c r="CY11" s="84" t="s">
        <v>259</v>
      </c>
      <c r="CZ11" s="83" t="s">
        <v>22</v>
      </c>
      <c r="DA11" s="137">
        <f>0.693/DA12</f>
        <v>66.155354824913829</v>
      </c>
      <c r="DC11" s="83" t="s">
        <v>515</v>
      </c>
      <c r="DD11" s="149">
        <f>(DD12*DD15*DD20)+(DD13*DD14*DD21)</f>
        <v>8250</v>
      </c>
      <c r="DE11" s="92" t="s">
        <v>347</v>
      </c>
      <c r="DF11" s="92" t="s">
        <v>49</v>
      </c>
      <c r="DG11" s="137">
        <f>DG19+DG20</f>
        <v>0.18127454746551735</v>
      </c>
      <c r="DI11" s="91" t="s">
        <v>231</v>
      </c>
      <c r="DJ11" s="136">
        <f>B30</f>
        <v>1.04753425E-2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B166</f>
        <v>150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B166</f>
        <v>150</v>
      </c>
      <c r="EI11" s="83" t="s">
        <v>24</v>
      </c>
      <c r="EJ11" s="92"/>
      <c r="EM11" s="83" t="s">
        <v>495</v>
      </c>
      <c r="EN11" s="138">
        <f>B207</f>
        <v>0.5</v>
      </c>
      <c r="EO11" s="52" t="s">
        <v>246</v>
      </c>
      <c r="EP11" s="83" t="s">
        <v>495</v>
      </c>
      <c r="EQ11" s="138">
        <f>B207</f>
        <v>0.5</v>
      </c>
      <c r="ER11" s="52" t="s">
        <v>246</v>
      </c>
      <c r="ES11" s="83" t="s">
        <v>495</v>
      </c>
      <c r="ET11" s="138">
        <f>B207</f>
        <v>0.5</v>
      </c>
      <c r="EU11" s="52" t="s">
        <v>246</v>
      </c>
      <c r="EV11" s="83" t="s">
        <v>456</v>
      </c>
      <c r="EW11" s="150">
        <f>B166</f>
        <v>150</v>
      </c>
      <c r="EX11" s="83" t="s">
        <v>24</v>
      </c>
      <c r="EY11" s="83"/>
      <c r="EZ11" s="83"/>
      <c r="FA11" s="83"/>
      <c r="FB11" s="83" t="s">
        <v>151</v>
      </c>
      <c r="FC11" s="142">
        <f>B212</f>
        <v>2.1999999999999999E-2</v>
      </c>
      <c r="FD11" s="52" t="s">
        <v>246</v>
      </c>
      <c r="FE11" s="83" t="s">
        <v>151</v>
      </c>
      <c r="FF11" s="142">
        <f>B212</f>
        <v>2.1999999999999999E-2</v>
      </c>
      <c r="FG11" s="52" t="s">
        <v>246</v>
      </c>
      <c r="FH11" s="83" t="s">
        <v>151</v>
      </c>
      <c r="FI11" s="142">
        <f>B212</f>
        <v>2.1999999999999999E-2</v>
      </c>
      <c r="FJ11" s="52" t="s">
        <v>246</v>
      </c>
      <c r="FK11" s="83" t="s">
        <v>456</v>
      </c>
      <c r="FL11" s="150">
        <f>B166</f>
        <v>150</v>
      </c>
      <c r="FM11" s="83" t="s">
        <v>24</v>
      </c>
      <c r="FN11" s="83"/>
      <c r="FO11" s="83"/>
      <c r="FP11" s="83"/>
      <c r="FQ11" s="88"/>
      <c r="FR11" s="86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B166</f>
        <v>150</v>
      </c>
      <c r="GB11" s="83" t="s">
        <v>24</v>
      </c>
      <c r="GC11" s="83"/>
      <c r="GD11" s="83"/>
      <c r="GE11" s="83"/>
      <c r="GF11" s="83" t="s">
        <v>487</v>
      </c>
      <c r="GG11" s="142">
        <f>B217</f>
        <v>2.1999999999999999E-2</v>
      </c>
      <c r="GH11" s="52" t="s">
        <v>246</v>
      </c>
      <c r="GI11" s="83" t="s">
        <v>487</v>
      </c>
      <c r="GJ11" s="142">
        <f>B217</f>
        <v>2.1999999999999999E-2</v>
      </c>
      <c r="GK11" s="52" t="s">
        <v>246</v>
      </c>
      <c r="GL11" s="83" t="s">
        <v>487</v>
      </c>
      <c r="GM11" s="142">
        <f>B217</f>
        <v>2.1999999999999999E-2</v>
      </c>
      <c r="GN11" s="52" t="s">
        <v>246</v>
      </c>
      <c r="GO11" s="83" t="s">
        <v>456</v>
      </c>
      <c r="GP11" s="150">
        <f>B166</f>
        <v>150</v>
      </c>
      <c r="GQ11" s="83" t="s">
        <v>24</v>
      </c>
      <c r="GR11" s="83"/>
      <c r="GS11" s="83"/>
      <c r="GT11" s="83"/>
      <c r="GU11" s="83" t="s">
        <v>491</v>
      </c>
      <c r="GV11" s="142">
        <f>B222</f>
        <v>0.37</v>
      </c>
      <c r="GW11" s="52" t="s">
        <v>246</v>
      </c>
      <c r="GX11" s="83" t="s">
        <v>491</v>
      </c>
      <c r="GY11" s="142">
        <f>B222</f>
        <v>0.37</v>
      </c>
      <c r="GZ11" s="52" t="s">
        <v>246</v>
      </c>
      <c r="HA11" s="83" t="s">
        <v>491</v>
      </c>
      <c r="HB11" s="142">
        <f>B222</f>
        <v>0.37</v>
      </c>
      <c r="HC11" s="52" t="s">
        <v>246</v>
      </c>
      <c r="HD11" s="84" t="s">
        <v>42</v>
      </c>
      <c r="HE11" s="150">
        <f>B94</f>
        <v>1.5</v>
      </c>
    </row>
    <row r="12" spans="1:214" x14ac:dyDescent="0.2">
      <c r="A12" s="116" t="s">
        <v>342</v>
      </c>
      <c r="B12" s="229">
        <v>2.2499999999999999E-2</v>
      </c>
      <c r="C12" s="117"/>
      <c r="D12" s="83" t="s">
        <v>43</v>
      </c>
      <c r="E12" s="140">
        <f>((E15/E16)*E23*E13*E25)+((E15/E16)*E24*E14*E26)</f>
        <v>1327.5</v>
      </c>
      <c r="F12" s="52" t="s">
        <v>426</v>
      </c>
      <c r="G12" s="83" t="s">
        <v>266</v>
      </c>
      <c r="H12" s="144">
        <f>H5/(H8*(1/H43)*H21)</f>
        <v>2618.8124725787015</v>
      </c>
      <c r="I12" s="92" t="s">
        <v>11</v>
      </c>
      <c r="J12" s="83" t="s">
        <v>22</v>
      </c>
      <c r="K12" s="137">
        <f>0.693/K13</f>
        <v>66.155354824913829</v>
      </c>
      <c r="M12" s="52" t="s">
        <v>300</v>
      </c>
      <c r="N12" s="136">
        <f>B3</f>
        <v>6.8000000000000005E-2</v>
      </c>
      <c r="P12" s="52" t="s">
        <v>300</v>
      </c>
      <c r="Q12" s="136">
        <f>B6</f>
        <v>3.7100000000000001E-2</v>
      </c>
      <c r="S12" s="52" t="s">
        <v>300</v>
      </c>
      <c r="T12" s="136">
        <f>B10</f>
        <v>5.8400000000000001E-2</v>
      </c>
      <c r="V12" s="52" t="s">
        <v>44</v>
      </c>
      <c r="W12" s="150">
        <f>B252</f>
        <v>5</v>
      </c>
      <c r="X12" s="84" t="s">
        <v>194</v>
      </c>
      <c r="Y12" s="52" t="s">
        <v>44</v>
      </c>
      <c r="Z12" s="150">
        <f>B233</f>
        <v>5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B262</f>
        <v>5</v>
      </c>
      <c r="AG12" s="150">
        <f>B273</f>
        <v>5</v>
      </c>
      <c r="AH12" s="83" t="s">
        <v>194</v>
      </c>
      <c r="AI12" s="52" t="s">
        <v>300</v>
      </c>
      <c r="AJ12" s="136">
        <f>B3</f>
        <v>6.8000000000000005E-2</v>
      </c>
      <c r="AL12" s="52" t="s">
        <v>300</v>
      </c>
      <c r="AM12" s="136">
        <f>B6</f>
        <v>3.7100000000000001E-2</v>
      </c>
      <c r="AO12" s="52" t="s">
        <v>300</v>
      </c>
      <c r="AP12" s="136">
        <f>B10</f>
        <v>5.8400000000000001E-2</v>
      </c>
      <c r="AR12" s="52" t="s">
        <v>300</v>
      </c>
      <c r="AS12" s="136">
        <f>B3</f>
        <v>6.8000000000000005E-2</v>
      </c>
      <c r="AU12" s="52" t="s">
        <v>300</v>
      </c>
      <c r="AV12" s="136">
        <f>B6</f>
        <v>3.7100000000000001E-2</v>
      </c>
      <c r="AX12" s="52" t="s">
        <v>300</v>
      </c>
      <c r="AY12" s="136">
        <f>B10</f>
        <v>5.8400000000000001E-2</v>
      </c>
      <c r="BA12" s="52" t="s">
        <v>300</v>
      </c>
      <c r="BB12" s="136">
        <f>B3</f>
        <v>6.8000000000000005E-2</v>
      </c>
      <c r="BD12" s="52" t="s">
        <v>300</v>
      </c>
      <c r="BE12" s="136">
        <f>B6</f>
        <v>3.7100000000000001E-2</v>
      </c>
      <c r="BG12" s="52" t="s">
        <v>300</v>
      </c>
      <c r="BH12" s="136">
        <f>B10</f>
        <v>5.8400000000000001E-2</v>
      </c>
      <c r="BJ12" s="52" t="s">
        <v>158</v>
      </c>
      <c r="BK12" s="138">
        <f>B258</f>
        <v>1</v>
      </c>
      <c r="BL12" s="52" t="s">
        <v>146</v>
      </c>
      <c r="BM12" s="52" t="s">
        <v>158</v>
      </c>
      <c r="BN12" s="138">
        <f>B258</f>
        <v>1</v>
      </c>
      <c r="BO12" s="52" t="s">
        <v>146</v>
      </c>
      <c r="BP12" s="52" t="s">
        <v>158</v>
      </c>
      <c r="BQ12" s="138">
        <f>B258</f>
        <v>1</v>
      </c>
      <c r="BR12" s="52" t="s">
        <v>146</v>
      </c>
      <c r="BS12" s="83" t="s">
        <v>430</v>
      </c>
      <c r="BT12" s="141">
        <f>B104</f>
        <v>10</v>
      </c>
      <c r="BU12" s="92" t="s">
        <v>407</v>
      </c>
      <c r="BV12" s="83" t="s">
        <v>266</v>
      </c>
      <c r="BW12" s="145">
        <f>BW5/(BW8*(1/BW29)*BW16)</f>
        <v>907.06141095680493</v>
      </c>
      <c r="BX12" s="92" t="s">
        <v>11</v>
      </c>
      <c r="BY12" s="91" t="s">
        <v>231</v>
      </c>
      <c r="BZ12" s="136">
        <f>B30</f>
        <v>1.04753425E-2</v>
      </c>
      <c r="CA12" s="52" t="s">
        <v>60</v>
      </c>
      <c r="CB12" s="52" t="s">
        <v>413</v>
      </c>
      <c r="CC12" s="136">
        <f>B4</f>
        <v>0.75600000000000001</v>
      </c>
      <c r="CE12" s="52" t="s">
        <v>414</v>
      </c>
      <c r="CF12" s="136">
        <f>B7</f>
        <v>0.65</v>
      </c>
      <c r="CH12" s="52" t="s">
        <v>416</v>
      </c>
      <c r="CI12" s="136">
        <f>B11</f>
        <v>0.70099999999999996</v>
      </c>
      <c r="CN12" s="84" t="s">
        <v>162</v>
      </c>
      <c r="CO12" s="162">
        <f>B131</f>
        <v>2</v>
      </c>
      <c r="CP12" s="52" t="s">
        <v>41</v>
      </c>
      <c r="CT12" s="83" t="s">
        <v>22</v>
      </c>
      <c r="CU12" s="137">
        <f>0.693/CU13</f>
        <v>66.155354824913829</v>
      </c>
      <c r="CW12" s="83" t="s">
        <v>506</v>
      </c>
      <c r="CX12" s="140">
        <f>((CX16/24)*CX23*CX13*CX25)+((CX15/24)*CX24*CX14*CX26)</f>
        <v>1387.5</v>
      </c>
      <c r="CY12" s="52" t="s">
        <v>426</v>
      </c>
      <c r="CZ12" s="91" t="s">
        <v>231</v>
      </c>
      <c r="DA12" s="136">
        <f>B30</f>
        <v>1.04753425E-2</v>
      </c>
      <c r="DB12" s="52" t="s">
        <v>60</v>
      </c>
      <c r="DC12" s="83" t="s">
        <v>467</v>
      </c>
      <c r="DD12" s="146">
        <f>B147</f>
        <v>55</v>
      </c>
      <c r="DE12" s="92" t="s">
        <v>221</v>
      </c>
      <c r="DF12" s="92" t="s">
        <v>52</v>
      </c>
      <c r="DG12" s="138">
        <f>B191</f>
        <v>10950</v>
      </c>
      <c r="DH12" s="52" t="s">
        <v>53</v>
      </c>
      <c r="DI12" s="84" t="s">
        <v>16</v>
      </c>
      <c r="DJ12" s="137">
        <f>(DJ9*DJ10)/(1-EXP(-DJ10*DJ9))</f>
        <v>66.155354824913829</v>
      </c>
      <c r="DL12" s="92"/>
      <c r="DO12" s="92" t="s">
        <v>52</v>
      </c>
      <c r="DP12" s="138">
        <f>B191</f>
        <v>10950</v>
      </c>
      <c r="DQ12" s="52" t="s">
        <v>53</v>
      </c>
      <c r="DR12" s="83" t="s">
        <v>465</v>
      </c>
      <c r="DS12" s="150">
        <f>B166</f>
        <v>150</v>
      </c>
      <c r="DT12" s="83" t="s">
        <v>24</v>
      </c>
      <c r="DU12" s="92"/>
      <c r="DX12" s="83" t="s">
        <v>500</v>
      </c>
      <c r="DY12" s="138">
        <f>B203</f>
        <v>1</v>
      </c>
      <c r="EA12" s="83" t="s">
        <v>500</v>
      </c>
      <c r="EB12" s="138">
        <f>B203</f>
        <v>1</v>
      </c>
      <c r="EC12" s="84"/>
      <c r="ED12" s="83" t="s">
        <v>500</v>
      </c>
      <c r="EE12" s="138">
        <f>B203</f>
        <v>1</v>
      </c>
      <c r="EF12" s="84"/>
      <c r="EG12" s="83" t="s">
        <v>465</v>
      </c>
      <c r="EH12" s="150">
        <f>B166</f>
        <v>150</v>
      </c>
      <c r="EI12" s="83" t="s">
        <v>24</v>
      </c>
      <c r="EJ12" s="92"/>
      <c r="EM12" s="83" t="s">
        <v>496</v>
      </c>
      <c r="EN12" s="138">
        <f>B208</f>
        <v>1</v>
      </c>
      <c r="EP12" s="83" t="s">
        <v>496</v>
      </c>
      <c r="EQ12" s="138">
        <f>B208</f>
        <v>1</v>
      </c>
      <c r="ER12" s="84"/>
      <c r="ES12" s="83" t="s">
        <v>496</v>
      </c>
      <c r="ET12" s="138">
        <f>B208</f>
        <v>1</v>
      </c>
      <c r="EU12" s="84"/>
      <c r="EV12" s="83" t="s">
        <v>465</v>
      </c>
      <c r="EW12" s="150">
        <f>B166</f>
        <v>150</v>
      </c>
      <c r="EX12" s="83" t="s">
        <v>24</v>
      </c>
      <c r="EY12" s="83"/>
      <c r="EZ12" s="83"/>
      <c r="FA12" s="83"/>
      <c r="FB12" s="83" t="s">
        <v>153</v>
      </c>
      <c r="FC12" s="164">
        <f>B213</f>
        <v>1</v>
      </c>
      <c r="FD12" s="83"/>
      <c r="FE12" s="83" t="s">
        <v>153</v>
      </c>
      <c r="FF12" s="164">
        <f>B213</f>
        <v>1</v>
      </c>
      <c r="FG12" s="83"/>
      <c r="FH12" s="83" t="s">
        <v>153</v>
      </c>
      <c r="FI12" s="164">
        <f>B213</f>
        <v>1</v>
      </c>
      <c r="FJ12" s="84"/>
      <c r="FK12" s="83" t="s">
        <v>465</v>
      </c>
      <c r="FL12" s="150">
        <f>B166</f>
        <v>150</v>
      </c>
      <c r="FM12" s="83" t="s">
        <v>24</v>
      </c>
      <c r="FN12" s="83"/>
      <c r="FO12" s="83"/>
      <c r="FP12" s="83"/>
      <c r="FQ12" s="88"/>
      <c r="FR12" s="88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B166</f>
        <v>150</v>
      </c>
      <c r="GB12" s="83" t="s">
        <v>24</v>
      </c>
      <c r="GC12" s="83"/>
      <c r="GD12" s="83"/>
      <c r="GE12" s="83"/>
      <c r="GF12" s="83" t="s">
        <v>488</v>
      </c>
      <c r="GG12" s="142">
        <f>B218</f>
        <v>1</v>
      </c>
      <c r="GH12" s="83"/>
      <c r="GI12" s="83" t="s">
        <v>488</v>
      </c>
      <c r="GJ12" s="142">
        <f>B218</f>
        <v>1</v>
      </c>
      <c r="GK12" s="83"/>
      <c r="GL12" s="83" t="s">
        <v>488</v>
      </c>
      <c r="GM12" s="142">
        <f>B218</f>
        <v>1</v>
      </c>
      <c r="GN12" s="84"/>
      <c r="GO12" s="83" t="s">
        <v>465</v>
      </c>
      <c r="GP12" s="150">
        <f>B166</f>
        <v>150</v>
      </c>
      <c r="GQ12" s="83" t="s">
        <v>24</v>
      </c>
      <c r="GR12" s="83"/>
      <c r="GS12" s="83"/>
      <c r="GT12" s="83"/>
      <c r="GU12" s="83" t="s">
        <v>492</v>
      </c>
      <c r="GV12" s="142">
        <f>B223</f>
        <v>1</v>
      </c>
      <c r="GW12" s="83"/>
      <c r="GX12" s="83" t="s">
        <v>492</v>
      </c>
      <c r="GY12" s="142">
        <f>B223</f>
        <v>1</v>
      </c>
      <c r="GZ12" s="83"/>
      <c r="HA12" s="83" t="s">
        <v>492</v>
      </c>
      <c r="HB12" s="142">
        <f>B223</f>
        <v>1</v>
      </c>
      <c r="HC12" s="84"/>
      <c r="HD12" s="84" t="s">
        <v>47</v>
      </c>
      <c r="HE12" s="163">
        <v>1</v>
      </c>
    </row>
    <row r="13" spans="1:214" ht="13.5" customHeight="1" thickBot="1" x14ac:dyDescent="0.25">
      <c r="A13" s="118" t="s">
        <v>245</v>
      </c>
      <c r="B13" s="230">
        <v>0.46300000000000002</v>
      </c>
      <c r="C13" s="119"/>
      <c r="D13" s="83" t="s">
        <v>366</v>
      </c>
      <c r="E13" s="141">
        <f>B50</f>
        <v>5</v>
      </c>
      <c r="F13" s="92" t="s">
        <v>407</v>
      </c>
      <c r="G13" s="83" t="s">
        <v>263</v>
      </c>
      <c r="H13" s="144" t="e">
        <f>H14/((1/H40)*(H48+H49+H50))</f>
        <v>#DIV/0!</v>
      </c>
      <c r="I13" s="92" t="s">
        <v>11</v>
      </c>
      <c r="J13" s="91" t="s">
        <v>231</v>
      </c>
      <c r="K13" s="136">
        <f>B30</f>
        <v>1.04753425E-2</v>
      </c>
      <c r="L13" s="52" t="s">
        <v>60</v>
      </c>
      <c r="M13" s="52" t="s">
        <v>54</v>
      </c>
      <c r="N13" s="136">
        <f>B4</f>
        <v>0.75600000000000001</v>
      </c>
      <c r="P13" s="52" t="s">
        <v>54</v>
      </c>
      <c r="Q13" s="136">
        <f>B7</f>
        <v>0.65</v>
      </c>
      <c r="S13" s="52" t="s">
        <v>54</v>
      </c>
      <c r="T13" s="136">
        <f>B11</f>
        <v>0.70099999999999996</v>
      </c>
      <c r="V13" s="52" t="s">
        <v>50</v>
      </c>
      <c r="W13" s="146">
        <f>B246</f>
        <v>50</v>
      </c>
      <c r="X13" s="84" t="s">
        <v>407</v>
      </c>
      <c r="Y13" s="52" t="s">
        <v>50</v>
      </c>
      <c r="Z13" s="146">
        <f>B226</f>
        <v>50</v>
      </c>
      <c r="AA13" s="84" t="s">
        <v>407</v>
      </c>
      <c r="AB13" s="83" t="s">
        <v>349</v>
      </c>
      <c r="AC13" s="146">
        <f>B229</f>
        <v>50</v>
      </c>
      <c r="AD13" s="146">
        <f>B239</f>
        <v>50</v>
      </c>
      <c r="AE13" s="146">
        <f>B249</f>
        <v>50</v>
      </c>
      <c r="AF13" s="146">
        <f>B259</f>
        <v>200</v>
      </c>
      <c r="AG13" s="146">
        <f>B271</f>
        <v>200</v>
      </c>
      <c r="AH13" s="52" t="s">
        <v>48</v>
      </c>
      <c r="AI13" s="52" t="s">
        <v>54</v>
      </c>
      <c r="AJ13" s="136">
        <f>B4</f>
        <v>0.75600000000000001</v>
      </c>
      <c r="AL13" s="52" t="s">
        <v>54</v>
      </c>
      <c r="AM13" s="136">
        <f>B7</f>
        <v>0.65</v>
      </c>
      <c r="AO13" s="52" t="s">
        <v>54</v>
      </c>
      <c r="AP13" s="136">
        <f>B11</f>
        <v>0.70099999999999996</v>
      </c>
      <c r="AR13" s="52" t="s">
        <v>54</v>
      </c>
      <c r="AS13" s="136">
        <f>B4</f>
        <v>0.75600000000000001</v>
      </c>
      <c r="AU13" s="52" t="s">
        <v>54</v>
      </c>
      <c r="AV13" s="136">
        <f>B7</f>
        <v>0.65</v>
      </c>
      <c r="AX13" s="52" t="s">
        <v>54</v>
      </c>
      <c r="AY13" s="136">
        <f>B11</f>
        <v>0.70099999999999996</v>
      </c>
      <c r="BA13" s="52" t="s">
        <v>54</v>
      </c>
      <c r="BB13" s="136">
        <f>B4</f>
        <v>0.75600000000000001</v>
      </c>
      <c r="BD13" s="52" t="s">
        <v>54</v>
      </c>
      <c r="BE13" s="136">
        <f>B7</f>
        <v>0.65</v>
      </c>
      <c r="BG13" s="52" t="s">
        <v>54</v>
      </c>
      <c r="BH13" s="136">
        <f>B11</f>
        <v>0.70099999999999996</v>
      </c>
      <c r="BJ13" s="52" t="s">
        <v>300</v>
      </c>
      <c r="BK13" s="136">
        <f>B3</f>
        <v>6.8000000000000005E-2</v>
      </c>
      <c r="BM13" s="52" t="s">
        <v>300</v>
      </c>
      <c r="BN13" s="136">
        <f>B6</f>
        <v>3.7100000000000001E-2</v>
      </c>
      <c r="BP13" s="52" t="s">
        <v>300</v>
      </c>
      <c r="BQ13" s="136">
        <f>B10</f>
        <v>5.8400000000000001E-2</v>
      </c>
      <c r="BS13" s="52" t="s">
        <v>431</v>
      </c>
      <c r="BT13" s="141">
        <f>B116</f>
        <v>5</v>
      </c>
      <c r="BU13" s="52" t="s">
        <v>194</v>
      </c>
      <c r="BV13" s="83" t="s">
        <v>440</v>
      </c>
      <c r="BW13" s="160">
        <f>((BW18*BW20*BW23*BW14*BW30)+(BW19*BW21*BW24*BW15*BW31))</f>
        <v>2750</v>
      </c>
      <c r="BX13" s="83" t="s">
        <v>345</v>
      </c>
      <c r="BY13" s="83" t="s">
        <v>260</v>
      </c>
      <c r="BZ13" s="143" t="e">
        <f>(BZ5/(BZ6*BZ16*(1/BZ33)))*BZ10</f>
        <v>#DIV/0!</v>
      </c>
      <c r="CA13" s="92" t="s">
        <v>10</v>
      </c>
      <c r="CB13" s="52" t="s">
        <v>90</v>
      </c>
      <c r="CC13" s="138">
        <f>B118</f>
        <v>5</v>
      </c>
      <c r="CD13" s="52" t="s">
        <v>194</v>
      </c>
      <c r="CE13" s="52" t="s">
        <v>90</v>
      </c>
      <c r="CF13" s="138">
        <f>B118</f>
        <v>5</v>
      </c>
      <c r="CG13" s="52" t="s">
        <v>194</v>
      </c>
      <c r="CH13" s="52" t="s">
        <v>90</v>
      </c>
      <c r="CI13" s="138">
        <f>B118</f>
        <v>5</v>
      </c>
      <c r="CJ13" s="52" t="s">
        <v>194</v>
      </c>
      <c r="CN13" s="84" t="s">
        <v>163</v>
      </c>
      <c r="CO13" s="162">
        <f>B132</f>
        <v>2</v>
      </c>
      <c r="CP13" s="52" t="s">
        <v>41</v>
      </c>
      <c r="CT13" s="91" t="s">
        <v>231</v>
      </c>
      <c r="CU13" s="136">
        <f>B30</f>
        <v>1.04753425E-2</v>
      </c>
      <c r="CV13" s="52" t="s">
        <v>60</v>
      </c>
      <c r="CW13" s="83" t="s">
        <v>450</v>
      </c>
      <c r="CX13" s="141">
        <f>B145</f>
        <v>5</v>
      </c>
      <c r="CY13" s="92" t="s">
        <v>407</v>
      </c>
      <c r="CZ13" s="83" t="s">
        <v>260</v>
      </c>
      <c r="DA13" s="143" t="e">
        <f>DA5/(DA6*DA24)</f>
        <v>#DIV/0!</v>
      </c>
      <c r="DB13" s="83" t="s">
        <v>11</v>
      </c>
      <c r="DC13" s="83" t="s">
        <v>468</v>
      </c>
      <c r="DD13" s="146">
        <f>B148</f>
        <v>55</v>
      </c>
      <c r="DE13" s="92" t="s">
        <v>221</v>
      </c>
      <c r="DF13" s="92" t="s">
        <v>55</v>
      </c>
      <c r="DG13" s="138">
        <f>B192</f>
        <v>240</v>
      </c>
      <c r="DH13" s="52" t="s">
        <v>56</v>
      </c>
      <c r="DL13" s="92"/>
      <c r="DO13" s="92" t="s">
        <v>55</v>
      </c>
      <c r="DP13" s="138">
        <f>B192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B204</f>
        <v>1</v>
      </c>
      <c r="EA13" s="83" t="s">
        <v>501</v>
      </c>
      <c r="EB13" s="138">
        <f>B204</f>
        <v>1</v>
      </c>
      <c r="EC13" s="84"/>
      <c r="ED13" s="83" t="s">
        <v>501</v>
      </c>
      <c r="EE13" s="138">
        <f>B204</f>
        <v>1</v>
      </c>
      <c r="EF13" s="84"/>
      <c r="EG13" s="83" t="s">
        <v>363</v>
      </c>
      <c r="EH13" s="150">
        <f>B168</f>
        <v>1</v>
      </c>
      <c r="EI13" s="84" t="s">
        <v>60</v>
      </c>
      <c r="EJ13" s="92"/>
      <c r="EM13" s="83" t="s">
        <v>497</v>
      </c>
      <c r="EN13" s="138">
        <f>B209</f>
        <v>1</v>
      </c>
      <c r="EP13" s="83" t="s">
        <v>497</v>
      </c>
      <c r="EQ13" s="138">
        <f>B209</f>
        <v>1</v>
      </c>
      <c r="ER13" s="84"/>
      <c r="ES13" s="83" t="s">
        <v>497</v>
      </c>
      <c r="ET13" s="138">
        <f>B209</f>
        <v>1</v>
      </c>
      <c r="EU13" s="84"/>
      <c r="EV13" s="83" t="s">
        <v>363</v>
      </c>
      <c r="EW13" s="150">
        <f>B168</f>
        <v>1</v>
      </c>
      <c r="EX13" s="84" t="s">
        <v>60</v>
      </c>
      <c r="EY13" s="83"/>
      <c r="EZ13" s="83"/>
      <c r="FA13" s="83"/>
      <c r="FB13" s="83" t="s">
        <v>154</v>
      </c>
      <c r="FC13" s="164">
        <f>B214</f>
        <v>1</v>
      </c>
      <c r="FD13" s="83"/>
      <c r="FE13" s="83" t="s">
        <v>154</v>
      </c>
      <c r="FF13" s="164">
        <f>B214</f>
        <v>1</v>
      </c>
      <c r="FG13" s="83"/>
      <c r="FH13" s="83" t="s">
        <v>154</v>
      </c>
      <c r="FI13" s="164">
        <f>B214</f>
        <v>1</v>
      </c>
      <c r="FJ13" s="84"/>
      <c r="FK13" s="83" t="s">
        <v>363</v>
      </c>
      <c r="FL13" s="141">
        <f>B168</f>
        <v>1</v>
      </c>
      <c r="FM13" s="92" t="s">
        <v>60</v>
      </c>
      <c r="FN13" s="83"/>
      <c r="FO13" s="83"/>
      <c r="FP13" s="83"/>
      <c r="FQ13" s="88"/>
      <c r="FR13" s="88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B168</f>
        <v>1</v>
      </c>
      <c r="GB13" s="92" t="s">
        <v>60</v>
      </c>
      <c r="GC13" s="83"/>
      <c r="GD13" s="83"/>
      <c r="GE13" s="83"/>
      <c r="GF13" s="83" t="s">
        <v>489</v>
      </c>
      <c r="GG13" s="142">
        <f>B219</f>
        <v>1</v>
      </c>
      <c r="GH13" s="83"/>
      <c r="GI13" s="83" t="s">
        <v>489</v>
      </c>
      <c r="GJ13" s="142">
        <f>B219</f>
        <v>1</v>
      </c>
      <c r="GK13" s="83"/>
      <c r="GL13" s="83" t="s">
        <v>489</v>
      </c>
      <c r="GM13" s="142">
        <f>B219</f>
        <v>1</v>
      </c>
      <c r="GN13" s="84"/>
      <c r="GO13" s="83" t="s">
        <v>363</v>
      </c>
      <c r="GP13" s="141">
        <f>B168</f>
        <v>1</v>
      </c>
      <c r="GQ13" s="92" t="s">
        <v>60</v>
      </c>
      <c r="GR13" s="83"/>
      <c r="GS13" s="83"/>
      <c r="GT13" s="83"/>
      <c r="GU13" s="83" t="s">
        <v>493</v>
      </c>
      <c r="GV13" s="142">
        <f>B224</f>
        <v>1</v>
      </c>
      <c r="GW13" s="83"/>
      <c r="GX13" s="83" t="s">
        <v>493</v>
      </c>
      <c r="GY13" s="142">
        <f>B224</f>
        <v>1</v>
      </c>
      <c r="GZ13" s="83"/>
      <c r="HA13" s="83" t="s">
        <v>493</v>
      </c>
      <c r="HB13" s="142">
        <f>B224</f>
        <v>1</v>
      </c>
      <c r="HC13" s="84"/>
      <c r="HD13" s="84" t="s">
        <v>59</v>
      </c>
      <c r="HE13" s="150">
        <f>B45</f>
        <v>0</v>
      </c>
    </row>
    <row r="14" spans="1:214" ht="13.5" thickTop="1" x14ac:dyDescent="0.2">
      <c r="A14" s="375" t="s">
        <v>233</v>
      </c>
      <c r="B14" s="376"/>
      <c r="C14" s="377"/>
      <c r="D14" s="83" t="s">
        <v>367</v>
      </c>
      <c r="E14" s="141">
        <f>B51</f>
        <v>10</v>
      </c>
      <c r="F14" s="92" t="s">
        <v>407</v>
      </c>
      <c r="G14" s="83" t="s">
        <v>264</v>
      </c>
      <c r="H14" s="145" t="e">
        <f>H5/(H9*(H22+H25)*H41)</f>
        <v>#DIV/0!</v>
      </c>
      <c r="I14" s="92" t="s">
        <v>10</v>
      </c>
      <c r="J14" s="83" t="s">
        <v>260</v>
      </c>
      <c r="K14" s="143" t="e">
        <f>(K5/(K6*K19*(1/K46)))*K11</f>
        <v>#DIV/0!</v>
      </c>
      <c r="L14" s="92" t="s">
        <v>10</v>
      </c>
      <c r="M14" s="52" t="s">
        <v>408</v>
      </c>
      <c r="N14" s="150">
        <f>B88</f>
        <v>5</v>
      </c>
      <c r="O14" s="52" t="s">
        <v>194</v>
      </c>
      <c r="P14" s="52" t="s">
        <v>408</v>
      </c>
      <c r="Q14" s="150">
        <f>B88</f>
        <v>5</v>
      </c>
      <c r="R14" s="52" t="s">
        <v>194</v>
      </c>
      <c r="S14" s="52" t="s">
        <v>408</v>
      </c>
      <c r="T14" s="150">
        <f>B88</f>
        <v>5</v>
      </c>
      <c r="U14" s="52" t="s">
        <v>194</v>
      </c>
      <c r="V14" s="83" t="s">
        <v>256</v>
      </c>
      <c r="W14" s="136">
        <f>B27</f>
        <v>3.2316400000000001</v>
      </c>
      <c r="X14" s="83" t="s">
        <v>343</v>
      </c>
      <c r="Y14" s="83" t="s">
        <v>256</v>
      </c>
      <c r="Z14" s="136">
        <f>B27</f>
        <v>3.2316400000000001</v>
      </c>
      <c r="AA14" s="83" t="s">
        <v>343</v>
      </c>
      <c r="AB14" s="83" t="s">
        <v>300</v>
      </c>
      <c r="AC14" s="161">
        <f>B3</f>
        <v>6.8000000000000005E-2</v>
      </c>
      <c r="AD14" s="161">
        <f>B3</f>
        <v>6.8000000000000005E-2</v>
      </c>
      <c r="AE14" s="161">
        <f>B3</f>
        <v>6.8000000000000005E-2</v>
      </c>
      <c r="AF14" s="161">
        <f>B3</f>
        <v>6.8000000000000005E-2</v>
      </c>
      <c r="AG14" s="161">
        <f>B3</f>
        <v>6.8000000000000005E-2</v>
      </c>
      <c r="AH14" s="92"/>
      <c r="AI14" s="52" t="s">
        <v>57</v>
      </c>
      <c r="AJ14" s="136">
        <f>B242</f>
        <v>5</v>
      </c>
      <c r="AK14" s="52" t="s">
        <v>194</v>
      </c>
      <c r="AL14" s="52" t="s">
        <v>57</v>
      </c>
      <c r="AM14" s="136">
        <f>B242</f>
        <v>5</v>
      </c>
      <c r="AN14" s="52" t="s">
        <v>194</v>
      </c>
      <c r="AO14" s="52" t="s">
        <v>57</v>
      </c>
      <c r="AP14" s="136">
        <f>B242</f>
        <v>5</v>
      </c>
      <c r="AQ14" s="52" t="s">
        <v>194</v>
      </c>
      <c r="AR14" s="52" t="s">
        <v>57</v>
      </c>
      <c r="AS14" s="136">
        <f>B252</f>
        <v>5</v>
      </c>
      <c r="AT14" s="52" t="s">
        <v>194</v>
      </c>
      <c r="AU14" s="52" t="s">
        <v>57</v>
      </c>
      <c r="AV14" s="136">
        <f>B252</f>
        <v>5</v>
      </c>
      <c r="AW14" s="52" t="s">
        <v>194</v>
      </c>
      <c r="AX14" s="52" t="s">
        <v>57</v>
      </c>
      <c r="AY14" s="136">
        <f>B252</f>
        <v>5</v>
      </c>
      <c r="AZ14" s="52" t="s">
        <v>194</v>
      </c>
      <c r="BA14" s="52" t="s">
        <v>57</v>
      </c>
      <c r="BB14" s="136">
        <f>B232</f>
        <v>5</v>
      </c>
      <c r="BC14" s="52" t="s">
        <v>194</v>
      </c>
      <c r="BD14" s="52" t="s">
        <v>57</v>
      </c>
      <c r="BE14" s="136">
        <f>B232</f>
        <v>5</v>
      </c>
      <c r="BF14" s="52" t="s">
        <v>194</v>
      </c>
      <c r="BG14" s="52" t="s">
        <v>58</v>
      </c>
      <c r="BH14" s="136">
        <f>B232</f>
        <v>5</v>
      </c>
      <c r="BI14" s="52" t="s">
        <v>194</v>
      </c>
      <c r="BJ14" s="52" t="s">
        <v>413</v>
      </c>
      <c r="BK14" s="136">
        <f>B4</f>
        <v>0.75600000000000001</v>
      </c>
      <c r="BM14" s="52" t="s">
        <v>414</v>
      </c>
      <c r="BN14" s="136">
        <f>B7</f>
        <v>0.65</v>
      </c>
      <c r="BP14" s="52" t="s">
        <v>416</v>
      </c>
      <c r="BQ14" s="136">
        <f>B11</f>
        <v>0.70099999999999996</v>
      </c>
      <c r="BS14" s="52" t="s">
        <v>432</v>
      </c>
      <c r="BT14" s="141">
        <f>B117</f>
        <v>5</v>
      </c>
      <c r="BU14" s="52" t="s">
        <v>194</v>
      </c>
      <c r="BV14" s="83" t="s">
        <v>439</v>
      </c>
      <c r="BW14" s="146">
        <f>B105</f>
        <v>2</v>
      </c>
      <c r="BX14" s="83" t="s">
        <v>357</v>
      </c>
      <c r="BY14" s="83" t="s">
        <v>261</v>
      </c>
      <c r="BZ14" s="144">
        <f>(BZ5/(BZ7*BZ17*(1/BZ9)*BZ32))*BZ10</f>
        <v>7094467331.4763498</v>
      </c>
      <c r="CA14" s="92" t="s">
        <v>10</v>
      </c>
      <c r="CB14" s="52" t="s">
        <v>412</v>
      </c>
      <c r="CC14" s="139">
        <f>B22</f>
        <v>2.1295200000000002E-3</v>
      </c>
      <c r="CD14" s="84" t="s">
        <v>353</v>
      </c>
      <c r="CE14" s="52" t="s">
        <v>415</v>
      </c>
      <c r="CF14" s="139">
        <f>B24</f>
        <v>4.4084799999999998E-4</v>
      </c>
      <c r="CG14" s="84" t="s">
        <v>353</v>
      </c>
      <c r="CH14" s="52" t="s">
        <v>417</v>
      </c>
      <c r="CI14" s="139">
        <f>B26</f>
        <v>1.94272E-3</v>
      </c>
      <c r="CJ14" s="84" t="s">
        <v>353</v>
      </c>
      <c r="CK14" s="84"/>
      <c r="CL14" s="84"/>
      <c r="CM14" s="84"/>
      <c r="CN14" s="52" t="s">
        <v>95</v>
      </c>
      <c r="CO14" s="164">
        <f>B127</f>
        <v>1</v>
      </c>
      <c r="CQ14" s="84"/>
      <c r="CR14" s="84"/>
      <c r="CS14" s="84"/>
      <c r="CT14" s="83" t="s">
        <v>260</v>
      </c>
      <c r="CU14" s="143" t="e">
        <f>(CU5/(CU6*CU25*(1/CU46)))*CU11</f>
        <v>#DIV/0!</v>
      </c>
      <c r="CV14" s="92" t="s">
        <v>10</v>
      </c>
      <c r="CW14" s="83" t="s">
        <v>459</v>
      </c>
      <c r="CX14" s="141">
        <f>B146</f>
        <v>10</v>
      </c>
      <c r="CY14" s="92" t="s">
        <v>407</v>
      </c>
      <c r="CZ14" s="83" t="s">
        <v>261</v>
      </c>
      <c r="DA14" s="144">
        <f>DA5/(DA7*DA25*DA45)</f>
        <v>11.531531531531533</v>
      </c>
      <c r="DB14" s="83" t="s">
        <v>11</v>
      </c>
      <c r="DC14" s="83" t="s">
        <v>465</v>
      </c>
      <c r="DD14" s="146">
        <f>B166</f>
        <v>150</v>
      </c>
      <c r="DE14" s="83" t="s">
        <v>24</v>
      </c>
      <c r="DF14" s="92" t="s">
        <v>393</v>
      </c>
      <c r="DG14" s="138">
        <f>B47</f>
        <v>0.26</v>
      </c>
      <c r="DL14" s="92"/>
      <c r="DO14" s="92" t="s">
        <v>393</v>
      </c>
      <c r="DP14" s="138">
        <f>B47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B200</f>
        <v>1.03</v>
      </c>
      <c r="DZ14" s="52" t="s">
        <v>286</v>
      </c>
      <c r="EA14" s="52" t="s">
        <v>518</v>
      </c>
      <c r="EB14" s="146">
        <f>B200</f>
        <v>1.03</v>
      </c>
      <c r="EC14" s="52" t="s">
        <v>286</v>
      </c>
      <c r="ED14" s="92" t="s">
        <v>392</v>
      </c>
      <c r="EE14" s="163">
        <f>B48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B168</f>
        <v>1</v>
      </c>
      <c r="EP14" s="92"/>
      <c r="EQ14" s="84"/>
      <c r="ER14" s="84"/>
      <c r="ES14" s="92" t="s">
        <v>392</v>
      </c>
      <c r="ET14" s="163">
        <f>B48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B168</f>
        <v>1</v>
      </c>
      <c r="FE14" s="83"/>
      <c r="FF14" s="83"/>
      <c r="FG14" s="83"/>
      <c r="FH14" s="83" t="s">
        <v>392</v>
      </c>
      <c r="FI14" s="142">
        <f>B48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88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B168</f>
        <v>1</v>
      </c>
      <c r="GI14" s="83"/>
      <c r="GJ14" s="83"/>
      <c r="GK14" s="83"/>
      <c r="GL14" s="83" t="s">
        <v>392</v>
      </c>
      <c r="GM14" s="142">
        <f>B48</f>
        <v>0.25</v>
      </c>
      <c r="GN14" s="84"/>
      <c r="GO14" s="92" t="s">
        <v>484</v>
      </c>
      <c r="GP14" s="146">
        <f>B188</f>
        <v>1</v>
      </c>
      <c r="GR14" s="83"/>
      <c r="GS14" s="83"/>
      <c r="GT14" s="83"/>
      <c r="GU14" s="52" t="s">
        <v>350</v>
      </c>
      <c r="GV14" s="164">
        <f>B168</f>
        <v>1</v>
      </c>
      <c r="GX14" s="83"/>
      <c r="GY14" s="83"/>
      <c r="GZ14" s="83"/>
      <c r="HA14" s="83" t="s">
        <v>392</v>
      </c>
      <c r="HB14" s="142">
        <f>B48</f>
        <v>0.25</v>
      </c>
      <c r="HC14" s="84"/>
      <c r="HD14" s="52" t="s">
        <v>225</v>
      </c>
      <c r="HE14" s="138">
        <v>1</v>
      </c>
    </row>
    <row r="15" spans="1:214" x14ac:dyDescent="0.2">
      <c r="A15" s="375"/>
      <c r="B15" s="376"/>
      <c r="C15" s="377"/>
      <c r="D15" s="52" t="s">
        <v>384</v>
      </c>
      <c r="E15" s="138">
        <f>B71</f>
        <v>24</v>
      </c>
      <c r="F15" s="52" t="s">
        <v>194</v>
      </c>
      <c r="G15" s="83" t="s">
        <v>395</v>
      </c>
      <c r="H15" s="147">
        <f>(H29*H17*H68)+(H30*H18*H69)</f>
        <v>181.875</v>
      </c>
      <c r="I15" s="83" t="s">
        <v>345</v>
      </c>
      <c r="J15" s="83" t="s">
        <v>261</v>
      </c>
      <c r="K15" s="144">
        <f>(K5/(K7*K20*(1/K10)*K45))*K11</f>
        <v>541938476.70999885</v>
      </c>
      <c r="L15" s="92" t="s">
        <v>10</v>
      </c>
      <c r="M15" s="52" t="s">
        <v>412</v>
      </c>
      <c r="N15" s="139">
        <f>B22</f>
        <v>2.1295200000000002E-3</v>
      </c>
      <c r="O15" s="84" t="s">
        <v>353</v>
      </c>
      <c r="P15" s="52" t="s">
        <v>415</v>
      </c>
      <c r="Q15" s="139">
        <f>B24</f>
        <v>4.4084799999999998E-4</v>
      </c>
      <c r="R15" s="84" t="s">
        <v>353</v>
      </c>
      <c r="S15" s="52" t="s">
        <v>417</v>
      </c>
      <c r="T15" s="139">
        <f>B26</f>
        <v>1.94272E-3</v>
      </c>
      <c r="U15" s="84" t="s">
        <v>353</v>
      </c>
      <c r="V15" s="83" t="s">
        <v>301</v>
      </c>
      <c r="W15" s="142">
        <f>B250</f>
        <v>2</v>
      </c>
      <c r="Y15" s="83" t="s">
        <v>301</v>
      </c>
      <c r="Z15" s="142">
        <f>B230</f>
        <v>2</v>
      </c>
      <c r="AB15" s="83" t="s">
        <v>232</v>
      </c>
      <c r="AC15" s="141">
        <f>B226</f>
        <v>50</v>
      </c>
      <c r="AD15" s="141">
        <f>B236</f>
        <v>50</v>
      </c>
      <c r="AE15" s="141">
        <f>B246</f>
        <v>50</v>
      </c>
      <c r="AF15" s="141">
        <f>B256</f>
        <v>50</v>
      </c>
      <c r="AG15" s="141">
        <f>B268</f>
        <v>50</v>
      </c>
      <c r="AH15" s="92" t="s">
        <v>407</v>
      </c>
      <c r="AI15" s="52" t="s">
        <v>412</v>
      </c>
      <c r="AJ15" s="139">
        <f>B22</f>
        <v>2.1295200000000002E-3</v>
      </c>
      <c r="AK15" s="84" t="s">
        <v>353</v>
      </c>
      <c r="AL15" s="52" t="s">
        <v>415</v>
      </c>
      <c r="AM15" s="139">
        <f>B24</f>
        <v>4.4084799999999998E-4</v>
      </c>
      <c r="AN15" s="84" t="s">
        <v>353</v>
      </c>
      <c r="AO15" s="52" t="s">
        <v>417</v>
      </c>
      <c r="AP15" s="139">
        <f>B26</f>
        <v>1.94272E-3</v>
      </c>
      <c r="AQ15" s="84" t="s">
        <v>353</v>
      </c>
      <c r="AR15" s="52" t="s">
        <v>412</v>
      </c>
      <c r="AS15" s="139">
        <f>B22</f>
        <v>2.1295200000000002E-3</v>
      </c>
      <c r="AT15" s="84" t="s">
        <v>353</v>
      </c>
      <c r="AU15" s="52" t="s">
        <v>415</v>
      </c>
      <c r="AV15" s="139">
        <f>B24</f>
        <v>4.4084799999999998E-4</v>
      </c>
      <c r="AW15" s="84" t="s">
        <v>353</v>
      </c>
      <c r="AX15" s="52" t="s">
        <v>417</v>
      </c>
      <c r="AY15" s="139">
        <f>B26</f>
        <v>1.94272E-3</v>
      </c>
      <c r="AZ15" s="84" t="s">
        <v>353</v>
      </c>
      <c r="BA15" s="52" t="s">
        <v>412</v>
      </c>
      <c r="BB15" s="139">
        <f>B22</f>
        <v>2.1295200000000002E-3</v>
      </c>
      <c r="BC15" s="84" t="s">
        <v>353</v>
      </c>
      <c r="BD15" s="52" t="s">
        <v>415</v>
      </c>
      <c r="BE15" s="139">
        <f>B24</f>
        <v>4.4084799999999998E-4</v>
      </c>
      <c r="BF15" s="84" t="s">
        <v>353</v>
      </c>
      <c r="BG15" s="52" t="s">
        <v>417</v>
      </c>
      <c r="BH15" s="139">
        <f>B26</f>
        <v>1.94272E-3</v>
      </c>
      <c r="BI15" s="84" t="s">
        <v>353</v>
      </c>
      <c r="BJ15" s="52" t="s">
        <v>57</v>
      </c>
      <c r="BK15" s="136">
        <f>B262</f>
        <v>5</v>
      </c>
      <c r="BL15" s="52" t="s">
        <v>194</v>
      </c>
      <c r="BM15" s="52" t="s">
        <v>57</v>
      </c>
      <c r="BN15" s="136">
        <f>B262</f>
        <v>5</v>
      </c>
      <c r="BO15" s="52" t="s">
        <v>194</v>
      </c>
      <c r="BP15" s="52" t="s">
        <v>57</v>
      </c>
      <c r="BQ15" s="136">
        <f>B262</f>
        <v>5</v>
      </c>
      <c r="BR15" s="52" t="s">
        <v>194</v>
      </c>
      <c r="BS15" s="52" t="s">
        <v>90</v>
      </c>
      <c r="BT15" s="138">
        <f>B118</f>
        <v>5</v>
      </c>
      <c r="BU15" s="52" t="s">
        <v>194</v>
      </c>
      <c r="BV15" s="83" t="s">
        <v>438</v>
      </c>
      <c r="BW15" s="146">
        <f>B106</f>
        <v>2</v>
      </c>
      <c r="BX15" s="83" t="s">
        <v>357</v>
      </c>
      <c r="BY15" s="83" t="s">
        <v>262</v>
      </c>
      <c r="BZ15" s="145">
        <f>((BZ5)/(BZ8*BZ22*(1/BZ31)*BZ25*(1/24)*BZ28*BZ29))*BZ10</f>
        <v>19249700.818100646</v>
      </c>
      <c r="CA15" s="92" t="s">
        <v>10</v>
      </c>
      <c r="CN15" s="83" t="s">
        <v>22</v>
      </c>
      <c r="CO15" s="137">
        <f>0.693/CO16</f>
        <v>66.155354824913829</v>
      </c>
      <c r="CT15" s="83" t="s">
        <v>261</v>
      </c>
      <c r="CU15" s="144">
        <f>(CU5/(CU7*CU26*(1/CU10)*CU45))*CU11</f>
        <v>518503299.33875579</v>
      </c>
      <c r="CV15" s="92" t="s">
        <v>10</v>
      </c>
      <c r="CW15" s="52" t="s">
        <v>365</v>
      </c>
      <c r="CX15" s="138">
        <f>B170</f>
        <v>24</v>
      </c>
      <c r="CY15" s="52" t="s">
        <v>194</v>
      </c>
      <c r="CZ15" s="83" t="s">
        <v>266</v>
      </c>
      <c r="DA15" s="153">
        <f>DA5/(DA8*DA26*(DA46/DA47))</f>
        <v>2188.0867369572047</v>
      </c>
      <c r="DB15" s="83" t="s">
        <v>11</v>
      </c>
      <c r="DC15" s="83" t="s">
        <v>456</v>
      </c>
      <c r="DD15" s="146">
        <f>B165</f>
        <v>150</v>
      </c>
      <c r="DE15" s="83" t="s">
        <v>24</v>
      </c>
      <c r="DF15" s="92" t="s">
        <v>61</v>
      </c>
      <c r="DG15" s="138">
        <f>B193</f>
        <v>0.42</v>
      </c>
      <c r="DH15" s="52" t="s">
        <v>41</v>
      </c>
      <c r="DL15" s="92"/>
      <c r="DO15" s="92" t="s">
        <v>61</v>
      </c>
      <c r="DP15" s="138">
        <f>B193</f>
        <v>0.42</v>
      </c>
      <c r="DQ15" s="52" t="s">
        <v>41</v>
      </c>
      <c r="DR15" s="92" t="s">
        <v>479</v>
      </c>
      <c r="DS15" s="146">
        <f>B183</f>
        <v>1</v>
      </c>
      <c r="DU15" s="92"/>
      <c r="DX15" s="52" t="s">
        <v>350</v>
      </c>
      <c r="DY15" s="164">
        <f>B168</f>
        <v>1</v>
      </c>
      <c r="EA15" s="92"/>
      <c r="EB15" s="84"/>
      <c r="EC15" s="84"/>
      <c r="ED15" s="83" t="s">
        <v>27</v>
      </c>
      <c r="EE15" s="142">
        <f>B199</f>
        <v>92</v>
      </c>
      <c r="EF15" s="83" t="s">
        <v>28</v>
      </c>
      <c r="EG15" s="92" t="s">
        <v>480</v>
      </c>
      <c r="EH15" s="146">
        <f>B184</f>
        <v>1</v>
      </c>
      <c r="EJ15" s="92"/>
      <c r="EM15" s="83" t="s">
        <v>22</v>
      </c>
      <c r="EN15" s="137">
        <f>0.693/EN16</f>
        <v>66.155354824913829</v>
      </c>
      <c r="EP15" s="92"/>
      <c r="EQ15" s="84"/>
      <c r="ER15" s="84"/>
      <c r="ES15" s="83" t="s">
        <v>29</v>
      </c>
      <c r="ET15" s="142">
        <f>B205</f>
        <v>53</v>
      </c>
      <c r="EU15" s="83" t="s">
        <v>28</v>
      </c>
      <c r="EV15" s="92" t="s">
        <v>481</v>
      </c>
      <c r="EW15" s="146">
        <f>B185</f>
        <v>1</v>
      </c>
      <c r="EY15" s="83"/>
      <c r="EZ15" s="83"/>
      <c r="FA15" s="83"/>
      <c r="FB15" s="83" t="s">
        <v>22</v>
      </c>
      <c r="FC15" s="137">
        <f>0.693/FC16</f>
        <v>66.155354824913829</v>
      </c>
      <c r="FE15" s="83"/>
      <c r="FF15" s="83"/>
      <c r="FG15" s="83"/>
      <c r="FH15" s="83" t="s">
        <v>148</v>
      </c>
      <c r="FI15" s="164">
        <f>B210</f>
        <v>0.4</v>
      </c>
      <c r="FJ15" s="83" t="s">
        <v>28</v>
      </c>
      <c r="FK15" s="92" t="s">
        <v>482</v>
      </c>
      <c r="FL15" s="146">
        <f>B186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B187</f>
        <v>1</v>
      </c>
      <c r="GC15" s="83"/>
      <c r="GD15" s="83"/>
      <c r="GE15" s="83"/>
      <c r="GF15" s="83" t="s">
        <v>22</v>
      </c>
      <c r="GG15" s="137">
        <f>0.693/GG16</f>
        <v>66.155354824913829</v>
      </c>
      <c r="GI15" s="83"/>
      <c r="GJ15" s="83"/>
      <c r="GK15" s="83"/>
      <c r="GL15" s="83" t="s">
        <v>149</v>
      </c>
      <c r="GM15" s="164">
        <f>B215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66.155354824913829</v>
      </c>
      <c r="GX15" s="83"/>
      <c r="GY15" s="83"/>
      <c r="GZ15" s="83"/>
      <c r="HA15" s="83" t="s">
        <v>150</v>
      </c>
      <c r="HB15" s="142">
        <f>B220</f>
        <v>11.4</v>
      </c>
      <c r="HC15" s="83" t="s">
        <v>28</v>
      </c>
      <c r="HD15" s="84"/>
    </row>
    <row r="16" spans="1:214" s="83" customFormat="1" ht="13.5" thickBot="1" x14ac:dyDescent="0.25">
      <c r="A16" s="378"/>
      <c r="B16" s="379"/>
      <c r="C16" s="380"/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1327.5</v>
      </c>
      <c r="I16" s="83" t="s">
        <v>426</v>
      </c>
      <c r="J16" s="83" t="s">
        <v>262</v>
      </c>
      <c r="K16" s="144">
        <f>(K5/(K8*K42*((K37*K41*(1/K35))+(K38*K40*(1/K35)))*K32*(1/K44)*K33))*K11</f>
        <v>232088.59142390854</v>
      </c>
      <c r="L16" s="92" t="s">
        <v>10</v>
      </c>
      <c r="M16" s="52" t="s">
        <v>409</v>
      </c>
      <c r="N16" s="150">
        <f>B89</f>
        <v>25</v>
      </c>
      <c r="O16" s="52" t="s">
        <v>194</v>
      </c>
      <c r="P16" s="52" t="s">
        <v>409</v>
      </c>
      <c r="Q16" s="150">
        <f>B89</f>
        <v>25</v>
      </c>
      <c r="R16" s="52" t="s">
        <v>194</v>
      </c>
      <c r="S16" s="52" t="s">
        <v>409</v>
      </c>
      <c r="T16" s="150">
        <f>B89</f>
        <v>25</v>
      </c>
      <c r="U16" s="52" t="s">
        <v>194</v>
      </c>
      <c r="V16" s="52" t="s">
        <v>261</v>
      </c>
      <c r="W16" s="143">
        <f>(W5)/((W12/24)*W9*W10*W11*W13)</f>
        <v>6.1439999999999992</v>
      </c>
      <c r="X16" s="52" t="s">
        <v>15</v>
      </c>
      <c r="Y16" s="52" t="s">
        <v>261</v>
      </c>
      <c r="Z16" s="143">
        <f>(Z5)/((Z12/24)*Z9*Z10*Z11*Z13)</f>
        <v>6.1439999999999992</v>
      </c>
      <c r="AA16" s="52" t="s">
        <v>15</v>
      </c>
      <c r="AB16" s="83" t="s">
        <v>299</v>
      </c>
      <c r="AC16" s="141">
        <f>B231</f>
        <v>1</v>
      </c>
      <c r="AD16" s="141">
        <f>B241</f>
        <v>1</v>
      </c>
      <c r="AE16" s="141">
        <f>B251</f>
        <v>1</v>
      </c>
      <c r="AF16" s="141">
        <f>B261</f>
        <v>1</v>
      </c>
      <c r="AG16" s="141">
        <f>B272</f>
        <v>1</v>
      </c>
      <c r="AH16" s="92"/>
      <c r="AI16" s="52" t="s">
        <v>69</v>
      </c>
      <c r="AJ16" s="136">
        <f>B243</f>
        <v>5</v>
      </c>
      <c r="AK16" s="52" t="s">
        <v>194</v>
      </c>
      <c r="AL16" s="52" t="s">
        <v>69</v>
      </c>
      <c r="AM16" s="136">
        <f>B243</f>
        <v>5</v>
      </c>
      <c r="AN16" s="52" t="s">
        <v>194</v>
      </c>
      <c r="AO16" s="52" t="s">
        <v>69</v>
      </c>
      <c r="AP16" s="136">
        <f>B243</f>
        <v>5</v>
      </c>
      <c r="AQ16" s="52" t="s">
        <v>194</v>
      </c>
      <c r="AR16" s="52" t="s">
        <v>69</v>
      </c>
      <c r="AS16" s="136">
        <f>B253</f>
        <v>5</v>
      </c>
      <c r="AT16" s="52" t="s">
        <v>194</v>
      </c>
      <c r="AU16" s="52" t="s">
        <v>69</v>
      </c>
      <c r="AV16" s="136">
        <f>B253</f>
        <v>5</v>
      </c>
      <c r="AW16" s="52" t="s">
        <v>194</v>
      </c>
      <c r="AX16" s="52" t="s">
        <v>69</v>
      </c>
      <c r="AY16" s="136">
        <f>B253</f>
        <v>5</v>
      </c>
      <c r="AZ16" s="52" t="s">
        <v>194</v>
      </c>
      <c r="BA16" s="52" t="s">
        <v>69</v>
      </c>
      <c r="BB16" s="136">
        <f>B233</f>
        <v>5</v>
      </c>
      <c r="BC16" s="52" t="s">
        <v>194</v>
      </c>
      <c r="BD16" s="52" t="s">
        <v>69</v>
      </c>
      <c r="BE16" s="136">
        <f>B233</f>
        <v>5</v>
      </c>
      <c r="BF16" s="52" t="s">
        <v>194</v>
      </c>
      <c r="BG16" s="52" t="s">
        <v>69</v>
      </c>
      <c r="BH16" s="136">
        <f>B233</f>
        <v>5</v>
      </c>
      <c r="BI16" s="52" t="s">
        <v>194</v>
      </c>
      <c r="BJ16" s="52" t="s">
        <v>412</v>
      </c>
      <c r="BK16" s="139">
        <f>B22</f>
        <v>2.1295200000000002E-3</v>
      </c>
      <c r="BL16" s="84" t="s">
        <v>353</v>
      </c>
      <c r="BM16" s="52" t="s">
        <v>415</v>
      </c>
      <c r="BN16" s="139">
        <f>B24</f>
        <v>4.4084799999999998E-4</v>
      </c>
      <c r="BO16" s="84" t="s">
        <v>353</v>
      </c>
      <c r="BP16" s="52" t="s">
        <v>417</v>
      </c>
      <c r="BQ16" s="139">
        <f>B26</f>
        <v>1.94272E-3</v>
      </c>
      <c r="BR16" s="84" t="s">
        <v>353</v>
      </c>
      <c r="BS16" s="83" t="s">
        <v>256</v>
      </c>
      <c r="BT16" s="136">
        <f>E17</f>
        <v>3.2316400000000001</v>
      </c>
      <c r="BU16" s="83" t="s">
        <v>343</v>
      </c>
      <c r="BV16" s="83" t="s">
        <v>437</v>
      </c>
      <c r="BW16" s="140">
        <f>((BW18*BW20*BW23*BW30)+(BW19*BW21*BW24*BW31))</f>
        <v>1375</v>
      </c>
      <c r="BX16" s="83" t="s">
        <v>356</v>
      </c>
      <c r="BY16" s="83" t="s">
        <v>46</v>
      </c>
      <c r="BZ16" s="149">
        <f>(BZ18*BZ22*BZ34)+(BZ19*BZ23*BZ35)</f>
        <v>3382.5</v>
      </c>
      <c r="CA16" s="83" t="s">
        <v>346</v>
      </c>
      <c r="CN16" s="91" t="s">
        <v>231</v>
      </c>
      <c r="CO16" s="136">
        <f>B30</f>
        <v>1.04753425E-2</v>
      </c>
      <c r="CP16" s="52" t="s">
        <v>60</v>
      </c>
      <c r="CT16" s="83" t="s">
        <v>262</v>
      </c>
      <c r="CU16" s="144">
        <f>(CU5/(CU8*CU42*((CU37*CU41*(1/24))+(CU38*CU40*(1/24)))*CU32*(1/CU44)))*CU11</f>
        <v>398637.21516996913</v>
      </c>
      <c r="CV16" s="92" t="s">
        <v>10</v>
      </c>
      <c r="CW16" s="52" t="s">
        <v>364</v>
      </c>
      <c r="CX16" s="138">
        <f>B169</f>
        <v>24</v>
      </c>
      <c r="CY16" s="52" t="s">
        <v>194</v>
      </c>
      <c r="CZ16" s="83" t="s">
        <v>512</v>
      </c>
      <c r="DA16" s="153" t="e">
        <f>DG2</f>
        <v>#DIV/0!</v>
      </c>
      <c r="DB16" s="83" t="s">
        <v>11</v>
      </c>
      <c r="DC16" s="83" t="s">
        <v>363</v>
      </c>
      <c r="DD16" s="146">
        <f>B168</f>
        <v>1</v>
      </c>
      <c r="DE16" s="83" t="s">
        <v>60</v>
      </c>
      <c r="DF16" s="92" t="s">
        <v>63</v>
      </c>
      <c r="DG16" s="151">
        <f>DG20+(0.693/DG22)</f>
        <v>0.23074754746551734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66.155354824913829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B30</f>
        <v>1.04753425E-2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B30</f>
        <v>1.04753425E-2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B30</f>
        <v>1.04753425E-2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B163</f>
        <v>0.15</v>
      </c>
      <c r="GQ16" s="52"/>
      <c r="GU16" s="91" t="s">
        <v>231</v>
      </c>
      <c r="GV16" s="136">
        <f>B30</f>
        <v>1.04753425E-2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</row>
    <row r="17" spans="1:214" ht="14.25" thickTop="1" thickBot="1" x14ac:dyDescent="0.25">
      <c r="A17" s="52" t="s">
        <v>267</v>
      </c>
      <c r="B17" s="129">
        <v>1</v>
      </c>
      <c r="C17" s="52" t="s">
        <v>344</v>
      </c>
      <c r="D17" s="83" t="s">
        <v>256</v>
      </c>
      <c r="E17" s="136">
        <f>B27</f>
        <v>3.2316400000000001</v>
      </c>
      <c r="F17" s="83" t="s">
        <v>343</v>
      </c>
      <c r="G17" s="83" t="s">
        <v>370</v>
      </c>
      <c r="H17" s="146">
        <f>B54</f>
        <v>0.25</v>
      </c>
      <c r="I17" s="52" t="s">
        <v>28</v>
      </c>
      <c r="J17" s="83" t="s">
        <v>263</v>
      </c>
      <c r="K17" s="153" t="e">
        <f>(K18/(K47+K48))*K11</f>
        <v>#DIV/0!</v>
      </c>
      <c r="L17" s="92" t="s">
        <v>10</v>
      </c>
      <c r="M17" s="83"/>
      <c r="N17" s="83"/>
      <c r="O17" s="83"/>
      <c r="P17" s="83"/>
      <c r="Q17" s="83"/>
      <c r="R17" s="83"/>
      <c r="S17" s="83"/>
      <c r="T17" s="83"/>
      <c r="U17" s="83"/>
      <c r="V17" s="52" t="s">
        <v>271</v>
      </c>
      <c r="W17" s="144">
        <f>(W5)/((W12/24)*W9*W14*(1/365))</f>
        <v>4.3371167580547336</v>
      </c>
      <c r="X17" s="52" t="s">
        <v>15</v>
      </c>
      <c r="Y17" s="52" t="s">
        <v>271</v>
      </c>
      <c r="Z17" s="144">
        <f>(Z5)/((Z12/24)*Z9*Z14*(1/365))</f>
        <v>4.3371167580547336</v>
      </c>
      <c r="AA17" s="52" t="s">
        <v>15</v>
      </c>
      <c r="AB17" s="83" t="s">
        <v>413</v>
      </c>
      <c r="AC17" s="161">
        <f>B4</f>
        <v>0.75600000000000001</v>
      </c>
      <c r="AD17" s="161">
        <f>B4</f>
        <v>0.75600000000000001</v>
      </c>
      <c r="AE17" s="161">
        <f>B4</f>
        <v>0.75600000000000001</v>
      </c>
      <c r="AF17" s="161">
        <f>B4</f>
        <v>0.75600000000000001</v>
      </c>
      <c r="AG17" s="161">
        <f>B4</f>
        <v>0.75600000000000001</v>
      </c>
      <c r="AH17" s="92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K17" s="83"/>
      <c r="BL17" s="83"/>
      <c r="BM17" s="83"/>
      <c r="BN17" s="83"/>
      <c r="BO17" s="83"/>
      <c r="BP17" s="83"/>
      <c r="BQ17" s="83"/>
      <c r="BR17" s="83"/>
      <c r="BS17" s="83" t="s">
        <v>301</v>
      </c>
      <c r="BT17" s="142">
        <f>B121</f>
        <v>2</v>
      </c>
      <c r="BV17" s="83" t="s">
        <v>65</v>
      </c>
      <c r="BW17" s="141">
        <f>B126</f>
        <v>0.5</v>
      </c>
      <c r="BX17" s="52" t="s">
        <v>66</v>
      </c>
      <c r="BY17" s="83" t="s">
        <v>43</v>
      </c>
      <c r="BZ17" s="149">
        <f>(BZ24*BZ20*(BZ26/24)*BZ34)+(BZ23*BZ21*(BZ27/24)*BZ35)</f>
        <v>101.40625</v>
      </c>
      <c r="CA17" s="52" t="s">
        <v>426</v>
      </c>
      <c r="CN17" s="84" t="s">
        <v>16</v>
      </c>
      <c r="CO17" s="137">
        <f>(CO14*CO15)/(1-EXP(-CO15*CO14))</f>
        <v>66.155354824913829</v>
      </c>
      <c r="CT17" s="83" t="s">
        <v>263</v>
      </c>
      <c r="CU17" s="153" t="e">
        <f>DJ2</f>
        <v>#DIV/0!</v>
      </c>
      <c r="CV17" s="92" t="s">
        <v>10</v>
      </c>
      <c r="CW17" s="83" t="s">
        <v>256</v>
      </c>
      <c r="CX17" s="136">
        <f>B27</f>
        <v>3.2316400000000001</v>
      </c>
      <c r="CY17" s="83" t="s">
        <v>343</v>
      </c>
      <c r="CZ17" s="83" t="s">
        <v>511</v>
      </c>
      <c r="DA17" s="153" t="e">
        <f>DD2</f>
        <v>#DIV/0!</v>
      </c>
      <c r="DB17" s="83" t="s">
        <v>10</v>
      </c>
      <c r="DC17" s="93"/>
      <c r="DD17" s="136">
        <v>9.9999999999999995E-7</v>
      </c>
      <c r="DE17" s="88"/>
      <c r="DF17" s="92" t="s">
        <v>67</v>
      </c>
      <c r="DG17" s="142">
        <f>B194</f>
        <v>60</v>
      </c>
      <c r="DH17" s="83" t="s">
        <v>53</v>
      </c>
      <c r="DL17" s="92"/>
      <c r="DM17" s="83"/>
      <c r="DN17" s="83"/>
      <c r="DO17" s="92" t="s">
        <v>67</v>
      </c>
      <c r="DP17" s="142">
        <f>B194</f>
        <v>60</v>
      </c>
      <c r="DQ17" s="83" t="s">
        <v>53</v>
      </c>
      <c r="DR17" s="83" t="s">
        <v>475</v>
      </c>
      <c r="DS17" s="146">
        <f>B163</f>
        <v>0.15</v>
      </c>
      <c r="DU17" s="92"/>
      <c r="DV17" s="87"/>
      <c r="DW17" s="83"/>
      <c r="DX17" s="91" t="s">
        <v>231</v>
      </c>
      <c r="DY17" s="136">
        <f>B30</f>
        <v>1.04753425E-2</v>
      </c>
      <c r="DZ17" s="52" t="s">
        <v>60</v>
      </c>
      <c r="EA17" s="92"/>
      <c r="EB17" s="83"/>
      <c r="EC17" s="83"/>
      <c r="ED17" s="92" t="s">
        <v>67</v>
      </c>
      <c r="EE17" s="142">
        <f>B194</f>
        <v>60</v>
      </c>
      <c r="EF17" s="83" t="s">
        <v>53</v>
      </c>
      <c r="EG17" s="83" t="s">
        <v>475</v>
      </c>
      <c r="EH17" s="146">
        <f>B163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66.155354824913829</v>
      </c>
      <c r="EP17" s="92"/>
      <c r="EQ17" s="83"/>
      <c r="ER17" s="83"/>
      <c r="ES17" s="92" t="s">
        <v>67</v>
      </c>
      <c r="ET17" s="142">
        <f>B194</f>
        <v>60</v>
      </c>
      <c r="EU17" s="83" t="s">
        <v>53</v>
      </c>
      <c r="EV17" s="83" t="s">
        <v>475</v>
      </c>
      <c r="EW17" s="141">
        <f>B163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66.155354824913829</v>
      </c>
      <c r="FE17" s="83"/>
      <c r="FF17" s="83"/>
      <c r="FG17" s="83"/>
      <c r="FH17" s="83" t="s">
        <v>67</v>
      </c>
      <c r="FI17" s="142">
        <f>B194</f>
        <v>60</v>
      </c>
      <c r="FJ17" s="83" t="s">
        <v>53</v>
      </c>
      <c r="FK17" s="83" t="s">
        <v>475</v>
      </c>
      <c r="FL17" s="141">
        <f>B163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B163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66.155354824913829</v>
      </c>
      <c r="GI17" s="83"/>
      <c r="GJ17" s="83"/>
      <c r="GK17" s="83"/>
      <c r="GL17" s="83" t="s">
        <v>67</v>
      </c>
      <c r="GM17" s="142">
        <f>B194</f>
        <v>60</v>
      </c>
      <c r="GN17" s="83" t="s">
        <v>53</v>
      </c>
      <c r="GO17" s="83" t="s">
        <v>476</v>
      </c>
      <c r="GP17" s="141">
        <f>B164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66.155354824913829</v>
      </c>
      <c r="GX17" s="83"/>
      <c r="GY17" s="83"/>
      <c r="GZ17" s="83"/>
      <c r="HA17" s="83" t="s">
        <v>67</v>
      </c>
      <c r="HB17" s="142">
        <f>B194</f>
        <v>60</v>
      </c>
      <c r="HC17" s="83" t="s">
        <v>53</v>
      </c>
      <c r="HD17" s="84"/>
      <c r="HE17" s="84"/>
    </row>
    <row r="18" spans="1:214" ht="19.5" thickTop="1" thickBot="1" x14ac:dyDescent="0.25">
      <c r="A18" s="83" t="s">
        <v>247</v>
      </c>
      <c r="B18" s="180">
        <v>1.25E-4</v>
      </c>
      <c r="C18" s="84" t="s">
        <v>259</v>
      </c>
      <c r="D18" s="83" t="s">
        <v>301</v>
      </c>
      <c r="E18" s="142">
        <f>B72</f>
        <v>2</v>
      </c>
      <c r="G18" s="83" t="s">
        <v>371</v>
      </c>
      <c r="H18" s="146">
        <f>B55</f>
        <v>1.5</v>
      </c>
      <c r="I18" s="52" t="s">
        <v>28</v>
      </c>
      <c r="J18" s="83" t="s">
        <v>264</v>
      </c>
      <c r="K18" s="154" t="e">
        <f>K5/(K9*(K25+K28)*K36)</f>
        <v>#DIV/0!</v>
      </c>
      <c r="L18" s="92" t="s">
        <v>10</v>
      </c>
      <c r="V18" s="52" t="s">
        <v>261</v>
      </c>
      <c r="W18" s="144">
        <f>(W5*W7*W6)/((W12/24)*(1-EXP(-W7*W10))*W11*W13*W9*W10)</f>
        <v>406.45850004427052</v>
      </c>
      <c r="X18" s="52" t="s">
        <v>16</v>
      </c>
      <c r="Y18" s="52" t="s">
        <v>261</v>
      </c>
      <c r="Z18" s="144">
        <f>(Z5*Z7*Z6)/((Z12/24)*(1-EXP(-Z7*Z10))*Z11*Z13*Z9*Z10)</f>
        <v>406.45850004427052</v>
      </c>
      <c r="AA18" s="52" t="s">
        <v>16</v>
      </c>
      <c r="AB18" s="83" t="s">
        <v>412</v>
      </c>
      <c r="AC18" s="136">
        <f>B22</f>
        <v>2.1295200000000002E-3</v>
      </c>
      <c r="AD18" s="136">
        <f>B22</f>
        <v>2.1295200000000002E-3</v>
      </c>
      <c r="AE18" s="136">
        <f>B22</f>
        <v>2.1295200000000002E-3</v>
      </c>
      <c r="AF18" s="136">
        <f>B22</f>
        <v>2.1295200000000002E-3</v>
      </c>
      <c r="AG18" s="136">
        <f>B22</f>
        <v>2.1295200000000002E-3</v>
      </c>
      <c r="AH18" s="83" t="s">
        <v>351</v>
      </c>
      <c r="BS18" s="52" t="s">
        <v>261</v>
      </c>
      <c r="BT18" s="143">
        <f>(BT5)/(BT9*BT10)</f>
        <v>78.890600924499239</v>
      </c>
      <c r="BU18" s="52" t="s">
        <v>15</v>
      </c>
      <c r="BV18" s="83" t="s">
        <v>433</v>
      </c>
      <c r="BW18" s="150">
        <f>B122</f>
        <v>55</v>
      </c>
      <c r="BX18" s="83" t="s">
        <v>24</v>
      </c>
      <c r="BY18" s="83" t="s">
        <v>441</v>
      </c>
      <c r="BZ18" s="146">
        <f>B107</f>
        <v>100</v>
      </c>
      <c r="CA18" s="84" t="s">
        <v>48</v>
      </c>
      <c r="CB18" s="274" t="s">
        <v>572</v>
      </c>
      <c r="CC18" s="270"/>
      <c r="CD18" s="270"/>
      <c r="CE18" s="271" t="s">
        <v>573</v>
      </c>
      <c r="CF18" s="270"/>
      <c r="CG18" s="273"/>
      <c r="CH18" s="83"/>
      <c r="CI18" s="83"/>
      <c r="CJ18" s="83"/>
      <c r="CT18" s="83" t="s">
        <v>264</v>
      </c>
      <c r="CU18" s="153" t="e">
        <f>DD2</f>
        <v>#DIV/0!</v>
      </c>
      <c r="CV18" s="92" t="s">
        <v>10</v>
      </c>
      <c r="CW18" s="83" t="s">
        <v>301</v>
      </c>
      <c r="CX18" s="142">
        <f>B176</f>
        <v>2</v>
      </c>
      <c r="CZ18" s="91" t="s">
        <v>272</v>
      </c>
      <c r="DA18" s="144" t="e">
        <f>EZ2</f>
        <v>#DIV/0!</v>
      </c>
      <c r="DB18" s="83" t="s">
        <v>10</v>
      </c>
      <c r="DC18" s="88"/>
      <c r="DD18" s="136">
        <v>1000</v>
      </c>
      <c r="DE18" s="92" t="s">
        <v>99</v>
      </c>
      <c r="DF18" s="92" t="s">
        <v>68</v>
      </c>
      <c r="DG18" s="142">
        <f>B195</f>
        <v>2</v>
      </c>
      <c r="DH18" s="83" t="s">
        <v>56</v>
      </c>
      <c r="DL18" s="92"/>
      <c r="DM18" s="83"/>
      <c r="DN18" s="83"/>
      <c r="DO18" s="92" t="s">
        <v>68</v>
      </c>
      <c r="DP18" s="142">
        <f>B195</f>
        <v>2</v>
      </c>
      <c r="DQ18" s="83" t="s">
        <v>56</v>
      </c>
      <c r="DR18" s="83" t="s">
        <v>476</v>
      </c>
      <c r="DS18" s="146">
        <f>B164</f>
        <v>0.85</v>
      </c>
      <c r="DU18" s="92"/>
      <c r="DV18" s="83"/>
      <c r="DW18" s="83"/>
      <c r="DX18" s="84" t="s">
        <v>16</v>
      </c>
      <c r="DY18" s="137">
        <f>(DY15*DY16)/(1-EXP(-DY16*DY15))</f>
        <v>66.155354824913829</v>
      </c>
      <c r="EA18" s="92"/>
      <c r="EB18" s="83"/>
      <c r="EC18" s="83"/>
      <c r="ED18" s="92" t="s">
        <v>68</v>
      </c>
      <c r="EE18" s="142">
        <f>B195</f>
        <v>2</v>
      </c>
      <c r="EF18" s="83" t="s">
        <v>56</v>
      </c>
      <c r="EG18" s="83" t="s">
        <v>476</v>
      </c>
      <c r="EH18" s="146">
        <f>B164</f>
        <v>0.85</v>
      </c>
      <c r="EJ18" s="92"/>
      <c r="EK18" s="83"/>
      <c r="EL18" s="83"/>
      <c r="EP18" s="92"/>
      <c r="EQ18" s="83"/>
      <c r="ER18" s="83"/>
      <c r="ES18" s="92" t="s">
        <v>68</v>
      </c>
      <c r="ET18" s="142">
        <f>B195</f>
        <v>2</v>
      </c>
      <c r="EU18" s="83" t="s">
        <v>56</v>
      </c>
      <c r="EV18" s="83" t="s">
        <v>476</v>
      </c>
      <c r="EW18" s="141">
        <f>B164</f>
        <v>0.85</v>
      </c>
      <c r="EX18" s="92"/>
      <c r="EY18" s="83"/>
      <c r="EZ18" s="83"/>
      <c r="FA18" s="83"/>
      <c r="FB18" s="83"/>
      <c r="FC18" s="83"/>
      <c r="FD18" s="83"/>
      <c r="FE18" s="83"/>
      <c r="FF18" s="83"/>
      <c r="FG18" s="83"/>
      <c r="FH18" s="83" t="s">
        <v>68</v>
      </c>
      <c r="FI18" s="142">
        <f>B195</f>
        <v>2</v>
      </c>
      <c r="FJ18" s="83" t="s">
        <v>56</v>
      </c>
      <c r="FK18" s="83" t="s">
        <v>476</v>
      </c>
      <c r="FL18" s="141">
        <f>B164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B164</f>
        <v>0.85</v>
      </c>
      <c r="GB18" s="92"/>
      <c r="GC18" s="83"/>
      <c r="GD18" s="83"/>
      <c r="GE18" s="83"/>
      <c r="GF18" s="83"/>
      <c r="GG18" s="83"/>
      <c r="GH18" s="83"/>
      <c r="GI18" s="83"/>
      <c r="GJ18" s="83"/>
      <c r="GK18" s="83"/>
      <c r="GL18" s="83" t="s">
        <v>68</v>
      </c>
      <c r="GM18" s="142">
        <f>B195</f>
        <v>2</v>
      </c>
      <c r="GN18" s="83" t="s">
        <v>56</v>
      </c>
      <c r="GR18" s="83"/>
      <c r="GS18" s="83"/>
      <c r="GT18" s="83"/>
      <c r="GU18" s="83"/>
      <c r="GV18" s="83"/>
      <c r="GW18" s="83"/>
      <c r="GX18" s="83"/>
      <c r="GY18" s="83"/>
      <c r="GZ18" s="83"/>
      <c r="HA18" s="83" t="s">
        <v>68</v>
      </c>
      <c r="HB18" s="142">
        <f>B195</f>
        <v>2</v>
      </c>
      <c r="HC18" s="83" t="s">
        <v>56</v>
      </c>
    </row>
    <row r="19" spans="1:214" ht="19.5" thickTop="1" thickBot="1" x14ac:dyDescent="0.25">
      <c r="A19" s="83" t="s">
        <v>248</v>
      </c>
      <c r="B19" s="183">
        <v>0</v>
      </c>
      <c r="C19" s="84" t="s">
        <v>259</v>
      </c>
      <c r="D19" s="52" t="s">
        <v>261</v>
      </c>
      <c r="E19" s="143">
        <f>(E5)/((E15/E16)*E11*E12)</f>
        <v>6.0263653483992465</v>
      </c>
      <c r="F19" s="52" t="s">
        <v>15</v>
      </c>
      <c r="G19" s="83" t="s">
        <v>366</v>
      </c>
      <c r="H19" s="146">
        <f>B50</f>
        <v>5</v>
      </c>
      <c r="I19" s="52" t="s">
        <v>407</v>
      </c>
      <c r="J19" s="83" t="s">
        <v>445</v>
      </c>
      <c r="K19" s="155">
        <f>K21*K31*K51+K22*K32*K52</f>
        <v>9225</v>
      </c>
      <c r="L19" s="83" t="s">
        <v>346</v>
      </c>
      <c r="V19" s="52" t="s">
        <v>271</v>
      </c>
      <c r="W19" s="145">
        <f>(W5*W7*W6)/((W12/24)*(1-EXP(-W7*W6))*W14*W9*(1/365))</f>
        <v>286.92349804619079</v>
      </c>
      <c r="X19" s="52" t="s">
        <v>16</v>
      </c>
      <c r="Y19" s="52" t="s">
        <v>271</v>
      </c>
      <c r="Z19" s="145">
        <f>(Z5*Z7*Z6)/((Z12/24)*(1-EXP(-Z7*Z6))*Z14*Z9*(1/365))</f>
        <v>286.92349804619079</v>
      </c>
      <c r="AA19" s="52" t="s">
        <v>16</v>
      </c>
      <c r="AB19" s="83" t="s">
        <v>247</v>
      </c>
      <c r="AC19" s="139">
        <f>B18</f>
        <v>1.25E-4</v>
      </c>
      <c r="AD19" s="139">
        <f>B18</f>
        <v>1.25E-4</v>
      </c>
      <c r="AE19" s="139">
        <f>B18</f>
        <v>1.25E-4</v>
      </c>
      <c r="AF19" s="139">
        <f>B18</f>
        <v>1.25E-4</v>
      </c>
      <c r="AG19" s="139">
        <f>B18</f>
        <v>1.25E-4</v>
      </c>
      <c r="AH19" s="84" t="s">
        <v>259</v>
      </c>
      <c r="BS19" s="52" t="s">
        <v>271</v>
      </c>
      <c r="BT19" s="144">
        <f>(BT5)/(BT16*BT8*(1/365)*BT15*(1/24)*BT17)</f>
        <v>4.9285417705167429</v>
      </c>
      <c r="BU19" s="52" t="s">
        <v>15</v>
      </c>
      <c r="BV19" s="83" t="s">
        <v>434</v>
      </c>
      <c r="BW19" s="150">
        <f>B123</f>
        <v>55</v>
      </c>
      <c r="BX19" s="83" t="s">
        <v>24</v>
      </c>
      <c r="BY19" s="83" t="s">
        <v>442</v>
      </c>
      <c r="BZ19" s="146">
        <f>B108</f>
        <v>50</v>
      </c>
      <c r="CA19" s="84" t="s">
        <v>48</v>
      </c>
      <c r="CB19" s="267" t="s">
        <v>537</v>
      </c>
      <c r="CC19" s="261">
        <f>(CC22*CC23*CC24)/((1-EXP(-CC24*CC23))*CC27*CC31*(CC26/365)*CC29*(CC30/24)*CC28)</f>
        <v>465174024.20975572</v>
      </c>
      <c r="CD19" s="278" t="s">
        <v>10</v>
      </c>
      <c r="CE19" s="258" t="s">
        <v>537</v>
      </c>
      <c r="CF19" s="261">
        <f>(CF22*CF23*CF24)/((1-EXP(-CF24*CF23))*CF27*CF31*(CF26/365)*CF29*(CF30/24)*CF28)</f>
        <v>54297309.09238553</v>
      </c>
      <c r="CG19" s="264" t="s">
        <v>10</v>
      </c>
      <c r="CK19" s="274" t="s">
        <v>576</v>
      </c>
      <c r="CL19" s="270"/>
      <c r="CM19" s="270"/>
      <c r="CN19" s="271" t="s">
        <v>576</v>
      </c>
      <c r="CO19" s="270"/>
      <c r="CP19" s="270"/>
      <c r="CQ19" s="271" t="s">
        <v>576</v>
      </c>
      <c r="CR19" s="270"/>
      <c r="CS19" s="273"/>
      <c r="CT19" s="91" t="s">
        <v>272</v>
      </c>
      <c r="CU19" s="144" t="e">
        <f>FC2</f>
        <v>#DIV/0!</v>
      </c>
      <c r="CV19" s="92" t="s">
        <v>10</v>
      </c>
      <c r="CW19" s="52" t="s">
        <v>261</v>
      </c>
      <c r="CX19" s="143">
        <f>(CX5)/((CX15/CX16)*CX11*CX12)</f>
        <v>5.7657657657657664</v>
      </c>
      <c r="CY19" s="52" t="s">
        <v>15</v>
      </c>
      <c r="CZ19" s="91" t="s">
        <v>273</v>
      </c>
      <c r="DA19" s="144" t="e">
        <f>GS2</f>
        <v>#DIV/0!</v>
      </c>
      <c r="DB19" s="83" t="s">
        <v>10</v>
      </c>
      <c r="DC19" s="92" t="s">
        <v>72</v>
      </c>
      <c r="DD19" s="146">
        <f>B182</f>
        <v>1</v>
      </c>
      <c r="DE19" s="93"/>
      <c r="DF19" s="92" t="s">
        <v>70</v>
      </c>
      <c r="DG19" s="138">
        <f>B196</f>
        <v>2.6999999999999999E-5</v>
      </c>
      <c r="DH19" s="52" t="s">
        <v>64</v>
      </c>
      <c r="DL19" s="92"/>
      <c r="DO19" s="92" t="s">
        <v>70</v>
      </c>
      <c r="DP19" s="138">
        <f>B196</f>
        <v>2.6999999999999999E-5</v>
      </c>
      <c r="DQ19" s="52" t="s">
        <v>64</v>
      </c>
      <c r="DU19" s="92"/>
      <c r="EA19" s="92"/>
      <c r="EB19" s="84"/>
      <c r="EC19" s="84"/>
      <c r="ED19" s="92" t="s">
        <v>70</v>
      </c>
      <c r="EE19" s="163">
        <f>B196</f>
        <v>2.6999999999999999E-5</v>
      </c>
      <c r="EF19" s="84" t="s">
        <v>64</v>
      </c>
      <c r="EJ19" s="92"/>
      <c r="EP19" s="92"/>
      <c r="EQ19" s="84"/>
      <c r="ER19" s="84"/>
      <c r="ES19" s="92" t="s">
        <v>70</v>
      </c>
      <c r="ET19" s="163">
        <f>B196</f>
        <v>2.6999999999999999E-5</v>
      </c>
      <c r="EU19" s="84" t="s">
        <v>64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B196</f>
        <v>2.6999999999999999E-5</v>
      </c>
      <c r="FJ19" s="84" t="s">
        <v>64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B196</f>
        <v>2.6999999999999999E-5</v>
      </c>
      <c r="GN19" s="84" t="s">
        <v>64</v>
      </c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B196</f>
        <v>2.6999999999999999E-5</v>
      </c>
      <c r="HC19" s="84" t="s">
        <v>64</v>
      </c>
    </row>
    <row r="20" spans="1:214" ht="19.5" thickTop="1" thickBot="1" x14ac:dyDescent="0.25">
      <c r="A20" s="83" t="s">
        <v>249</v>
      </c>
      <c r="B20" s="183">
        <v>0</v>
      </c>
      <c r="C20" s="83" t="s">
        <v>259</v>
      </c>
      <c r="D20" s="52" t="s">
        <v>271</v>
      </c>
      <c r="E20" s="144">
        <f>(E5)/((E15/E16)*E8*E17*(1/365)*E18)</f>
        <v>0.37648582969225119</v>
      </c>
      <c r="F20" s="52" t="s">
        <v>15</v>
      </c>
      <c r="G20" s="83" t="s">
        <v>367</v>
      </c>
      <c r="H20" s="146">
        <f>B51</f>
        <v>10</v>
      </c>
      <c r="I20" s="52" t="s">
        <v>407</v>
      </c>
      <c r="J20" s="83" t="s">
        <v>396</v>
      </c>
      <c r="K20" s="155">
        <f>(K31*K23*(K34/24)*K51)+(K32*K24*(K35/24)*K52)</f>
        <v>1327.5</v>
      </c>
      <c r="L20" s="52" t="s">
        <v>407</v>
      </c>
      <c r="M20" s="325" t="s">
        <v>566</v>
      </c>
      <c r="N20" s="326"/>
      <c r="O20" s="326"/>
      <c r="P20" s="327" t="s">
        <v>536</v>
      </c>
      <c r="Q20" s="326"/>
      <c r="R20" s="329"/>
      <c r="AB20" s="83" t="s">
        <v>83</v>
      </c>
      <c r="AC20" s="139">
        <f>B232</f>
        <v>5</v>
      </c>
      <c r="AD20" s="139">
        <f>B242</f>
        <v>5</v>
      </c>
      <c r="AE20" s="139">
        <f>B252</f>
        <v>5</v>
      </c>
      <c r="AF20" s="139">
        <f>B262</f>
        <v>5</v>
      </c>
      <c r="AG20" s="139">
        <f>B273</f>
        <v>5</v>
      </c>
      <c r="AH20" s="84" t="s">
        <v>194</v>
      </c>
      <c r="AI20" s="296" t="s">
        <v>558</v>
      </c>
      <c r="AJ20" s="294"/>
      <c r="AK20" s="297"/>
      <c r="AL20" s="293" t="s">
        <v>545</v>
      </c>
      <c r="AM20" s="294"/>
      <c r="AN20" s="295"/>
      <c r="AR20" s="296" t="s">
        <v>560</v>
      </c>
      <c r="AS20" s="294"/>
      <c r="AT20" s="297"/>
      <c r="AU20" s="293" t="s">
        <v>550</v>
      </c>
      <c r="AV20" s="294"/>
      <c r="AW20" s="295"/>
      <c r="BA20" s="296" t="s">
        <v>562</v>
      </c>
      <c r="BB20" s="294"/>
      <c r="BC20" s="297"/>
      <c r="BD20" s="293" t="s">
        <v>553</v>
      </c>
      <c r="BE20" s="294"/>
      <c r="BF20" s="295"/>
      <c r="BJ20" s="296" t="s">
        <v>563</v>
      </c>
      <c r="BK20" s="294"/>
      <c r="BL20" s="297"/>
      <c r="BM20" s="293" t="s">
        <v>556</v>
      </c>
      <c r="BN20" s="294"/>
      <c r="BO20" s="295"/>
      <c r="BS20" s="52" t="s">
        <v>261</v>
      </c>
      <c r="BT20" s="144">
        <f>(BT5*BT24*BT6)/((1-EXP(-BT6*BT24))*BT9*BT10)</f>
        <v>5219.0356965109222</v>
      </c>
      <c r="BU20" s="52" t="s">
        <v>16</v>
      </c>
      <c r="BV20" s="52" t="s">
        <v>443</v>
      </c>
      <c r="BW20" s="138">
        <f>B119</f>
        <v>5</v>
      </c>
      <c r="BX20" s="52" t="s">
        <v>89</v>
      </c>
      <c r="BY20" s="83" t="s">
        <v>429</v>
      </c>
      <c r="BZ20" s="141">
        <f>B103</f>
        <v>5</v>
      </c>
      <c r="CA20" s="92" t="s">
        <v>407</v>
      </c>
      <c r="CB20" s="268"/>
      <c r="CC20" s="262"/>
      <c r="CD20" s="279"/>
      <c r="CE20" s="259"/>
      <c r="CF20" s="262"/>
      <c r="CG20" s="265"/>
      <c r="CK20" s="267" t="s">
        <v>530</v>
      </c>
      <c r="CL20" s="261" t="e">
        <f>CL23/(CL24*CL25*CL26)</f>
        <v>#DIV/0!</v>
      </c>
      <c r="CM20" s="255" t="s">
        <v>10</v>
      </c>
      <c r="CN20" s="258" t="s">
        <v>7</v>
      </c>
      <c r="CO20" s="261" t="e">
        <f>(CL20/(CO23*((CO28*CO30*CO31*(CO24+CO25))+(CO29*CO30))))*CO34</f>
        <v>#DIV/0!</v>
      </c>
      <c r="CP20" s="255" t="s">
        <v>10</v>
      </c>
      <c r="CQ20" s="258" t="s">
        <v>6</v>
      </c>
      <c r="CR20" s="261" t="e">
        <f>CL20/(CR23*CR24*(1/CR25))</f>
        <v>#DIV/0!</v>
      </c>
      <c r="CS20" s="264" t="s">
        <v>10</v>
      </c>
      <c r="CT20" s="91" t="s">
        <v>273</v>
      </c>
      <c r="CU20" s="144" t="e">
        <f>GV2</f>
        <v>#DIV/0!</v>
      </c>
      <c r="CV20" s="92" t="s">
        <v>10</v>
      </c>
      <c r="CW20" s="52" t="s">
        <v>271</v>
      </c>
      <c r="CX20" s="144">
        <f>(CX5)/((CX15/CX16)*CX8*CX17*(1/365)*CX18)</f>
        <v>0.37648582969225119</v>
      </c>
      <c r="CY20" s="52" t="s">
        <v>15</v>
      </c>
      <c r="CZ20" s="91" t="s">
        <v>274</v>
      </c>
      <c r="DA20" s="144" t="e">
        <f>EK2</f>
        <v>#DIV/0!</v>
      </c>
      <c r="DB20" s="83" t="s">
        <v>10</v>
      </c>
      <c r="DC20" s="83" t="s">
        <v>475</v>
      </c>
      <c r="DD20" s="146">
        <f>B163</f>
        <v>0.15</v>
      </c>
      <c r="DF20" s="92" t="s">
        <v>71</v>
      </c>
      <c r="DG20" s="137">
        <f>0.693/DG23</f>
        <v>0.18124754746551736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83" t="s">
        <v>250</v>
      </c>
      <c r="B21" s="183">
        <v>0</v>
      </c>
      <c r="C21" s="83" t="s">
        <v>259</v>
      </c>
      <c r="D21" s="52" t="s">
        <v>261</v>
      </c>
      <c r="E21" s="144">
        <f>(E5*E10*E6)/((1-EXP(-E6*E10))*E11*E12)</f>
        <v>398.67633792791759</v>
      </c>
      <c r="F21" s="52" t="s">
        <v>16</v>
      </c>
      <c r="G21" s="83" t="s">
        <v>397</v>
      </c>
      <c r="H21" s="148">
        <f>(H29*H36*H32*H68)+(H30*H37*H33*H69)</f>
        <v>476.25</v>
      </c>
      <c r="I21" s="83" t="s">
        <v>356</v>
      </c>
      <c r="J21" s="83" t="s">
        <v>368</v>
      </c>
      <c r="K21" s="146">
        <f>B52</f>
        <v>100</v>
      </c>
      <c r="L21" s="84" t="s">
        <v>48</v>
      </c>
      <c r="M21" s="330" t="s">
        <v>537</v>
      </c>
      <c r="N21" s="333">
        <f>(N24*N25*N26)/((1-EXP(-N26*N25))*N34*N32*(N28/365)*(((N33/24)*N31)+((N35/24)*N30)))</f>
        <v>764098.69581492967</v>
      </c>
      <c r="O21" s="336" t="s">
        <v>76</v>
      </c>
      <c r="P21" s="339" t="s">
        <v>537</v>
      </c>
      <c r="Q21" s="333">
        <f>(Q24*Q25*Q26)/((1-EXP(-Q26*Q25))*Q34*Q32*(Q28/365)*(((Q33/24)*Q31)+((Q35/24)*Q30)))</f>
        <v>168583.27272224196</v>
      </c>
      <c r="R21" s="342" t="s">
        <v>10</v>
      </c>
      <c r="AB21" s="83" t="s">
        <v>85</v>
      </c>
      <c r="AC21" s="139">
        <f>B233</f>
        <v>5</v>
      </c>
      <c r="AD21" s="139">
        <f>B243</f>
        <v>5</v>
      </c>
      <c r="AE21" s="139">
        <f>B253</f>
        <v>5</v>
      </c>
      <c r="AF21" s="139">
        <f>B263</f>
        <v>5</v>
      </c>
      <c r="AG21" s="139">
        <f>B274</f>
        <v>5</v>
      </c>
      <c r="AH21" s="84" t="s">
        <v>194</v>
      </c>
      <c r="AI21" s="306" t="s">
        <v>537</v>
      </c>
      <c r="AJ21" s="303">
        <f>(AJ24*AJ25*AJ26)/((1-EXP(-AJ26*AJ25))*AJ34*(AJ28/365)*AJ29*(AJ35/24)*AJ30*AJ32)</f>
        <v>4605222.8396765804</v>
      </c>
      <c r="AK21" s="290" t="s">
        <v>76</v>
      </c>
      <c r="AL21" s="287" t="s">
        <v>537</v>
      </c>
      <c r="AM21" s="303">
        <f>(AM24*AM25*AM26)/((1-EXP(-AM26*AM25))*AM34*(AM28/365)*AM29*(AM35/24)*AM30*AM32)</f>
        <v>1020137.8432277393</v>
      </c>
      <c r="AN21" s="281" t="s">
        <v>10</v>
      </c>
      <c r="AR21" s="306" t="s">
        <v>537</v>
      </c>
      <c r="AS21" s="303">
        <f>(AS24*AS25*AS26)/((1-EXP(-AS26*AS25))*AS34*(AS28/365)*AS29*(AS33/24)*AS31*AS32)</f>
        <v>204676570.65229246</v>
      </c>
      <c r="AT21" s="290" t="s">
        <v>76</v>
      </c>
      <c r="AU21" s="287" t="s">
        <v>537</v>
      </c>
      <c r="AV21" s="303">
        <f>(AV24*AV25*AV26)/((1-EXP(-AV26*AV25))*AV34*(AV28/365)*AV29*(AV33/24)*AV31*AV32)</f>
        <v>23890816.000649631</v>
      </c>
      <c r="AW21" s="281" t="s">
        <v>10</v>
      </c>
      <c r="BA21" s="306" t="s">
        <v>537</v>
      </c>
      <c r="BB21" s="303">
        <f>(BB24*BB25*BB26)/((1-EXP(-BB26*BB25))*BB34*(BB28/365)*(BB33/24)*BB31*BB32)</f>
        <v>204676570.65229246</v>
      </c>
      <c r="BC21" s="290" t="s">
        <v>76</v>
      </c>
      <c r="BD21" s="287" t="s">
        <v>537</v>
      </c>
      <c r="BE21" s="303">
        <f>(BE24*BE25*BE26)/((1-EXP(-BE26*BE25))*BE34*(BE28/365)*(BE33/24)*BE31*BE32)</f>
        <v>23890816.000649631</v>
      </c>
      <c r="BF21" s="281" t="s">
        <v>10</v>
      </c>
      <c r="BJ21" s="306" t="s">
        <v>537</v>
      </c>
      <c r="BK21" s="284">
        <f>(BK24*BK25*BK26)/((1-EXP(-BK26*BK25))*BK35*(BK28/365)*(BK34/24)*BK32*BK33)</f>
        <v>341127617.75382084</v>
      </c>
      <c r="BL21" s="290" t="s">
        <v>76</v>
      </c>
      <c r="BM21" s="287" t="s">
        <v>537</v>
      </c>
      <c r="BN21" s="284">
        <f>(BN24*BN25*BN26)/((1-EXP(-BN26*BN25))*BN35*(BN28/365)*(BN34/24)*BN32*BN33)</f>
        <v>39818026.66774939</v>
      </c>
      <c r="BO21" s="281" t="s">
        <v>10</v>
      </c>
      <c r="BS21" s="52" t="s">
        <v>271</v>
      </c>
      <c r="BT21" s="145">
        <f>(BT5*BT24*BT6)/((1-EXP(-BT6*BT24))*BT16*BT8*(1/365)*BT15*(1/24)*BT17)</f>
        <v>326.04942959794414</v>
      </c>
      <c r="BU21" s="52" t="s">
        <v>16</v>
      </c>
      <c r="BV21" s="52" t="s">
        <v>444</v>
      </c>
      <c r="BW21" s="138">
        <f>B120</f>
        <v>5</v>
      </c>
      <c r="BX21" s="52" t="s">
        <v>89</v>
      </c>
      <c r="BY21" s="83" t="s">
        <v>430</v>
      </c>
      <c r="BZ21" s="141">
        <f>B104</f>
        <v>10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56"/>
      <c r="CN21" s="259"/>
      <c r="CO21" s="262"/>
      <c r="CP21" s="256"/>
      <c r="CQ21" s="259"/>
      <c r="CR21" s="262"/>
      <c r="CS21" s="265"/>
      <c r="CT21" s="91" t="s">
        <v>274</v>
      </c>
      <c r="CU21" s="144" t="e">
        <f>EN2</f>
        <v>#DIV/0!</v>
      </c>
      <c r="CV21" s="92" t="s">
        <v>10</v>
      </c>
      <c r="CW21" s="52" t="s">
        <v>261</v>
      </c>
      <c r="CX21" s="144">
        <f>(CX5*CX10*CX6)/((CX15/CX16)*(1-EXP(-CX6*CX9))*CX11*CX12)</f>
        <v>381.43628007157525</v>
      </c>
      <c r="CY21" s="52" t="s">
        <v>16</v>
      </c>
      <c r="CZ21" s="91" t="s">
        <v>509</v>
      </c>
      <c r="DA21" s="144" t="e">
        <f>DV2</f>
        <v>#DIV/0!</v>
      </c>
      <c r="DB21" s="83" t="s">
        <v>10</v>
      </c>
      <c r="DC21" s="83" t="s">
        <v>476</v>
      </c>
      <c r="DD21" s="146">
        <f>B164</f>
        <v>0.85</v>
      </c>
      <c r="DF21" s="92" t="s">
        <v>73</v>
      </c>
      <c r="DG21" s="138">
        <f>B197</f>
        <v>1</v>
      </c>
      <c r="DH21" s="52" t="s">
        <v>41</v>
      </c>
      <c r="DL21" s="92"/>
      <c r="DO21" s="92" t="s">
        <v>73</v>
      </c>
      <c r="DP21" s="138">
        <f>B197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B197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B197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B197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B197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B197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83" t="s">
        <v>269</v>
      </c>
      <c r="B22" s="179">
        <v>2.1295200000000002E-3</v>
      </c>
      <c r="C22" s="83" t="s">
        <v>351</v>
      </c>
      <c r="D22" s="52" t="s">
        <v>271</v>
      </c>
      <c r="E22" s="145">
        <f>(E5*E10*E6)/((E15/E16)*E8*(1-EXP(-E6*E10))*E17*(1/365)*E18)</f>
        <v>24.906553649842955</v>
      </c>
      <c r="F22" s="52" t="s">
        <v>16</v>
      </c>
      <c r="G22" s="83" t="s">
        <v>398</v>
      </c>
      <c r="H22" s="149">
        <f>(H29*H23*H68)+(H30*H24*H69)</f>
        <v>8250</v>
      </c>
      <c r="I22" s="92" t="s">
        <v>347</v>
      </c>
      <c r="J22" s="83" t="s">
        <v>369</v>
      </c>
      <c r="K22" s="146">
        <f>B53</f>
        <v>50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B234</f>
        <v>0.4</v>
      </c>
      <c r="AD22" s="150">
        <f>B244</f>
        <v>0.4</v>
      </c>
      <c r="AE22" s="150">
        <f>B254</f>
        <v>0.4</v>
      </c>
      <c r="AF22" s="150">
        <f>B264</f>
        <v>0.4</v>
      </c>
      <c r="AG22" s="150">
        <f>B275</f>
        <v>0.4</v>
      </c>
      <c r="AI22" s="307"/>
      <c r="AJ22" s="304"/>
      <c r="AK22" s="291"/>
      <c r="AL22" s="288"/>
      <c r="AM22" s="304"/>
      <c r="AN22" s="282"/>
      <c r="AR22" s="307"/>
      <c r="AS22" s="304"/>
      <c r="AT22" s="291"/>
      <c r="AU22" s="288"/>
      <c r="AV22" s="304"/>
      <c r="AW22" s="282"/>
      <c r="BA22" s="307"/>
      <c r="BB22" s="304"/>
      <c r="BC22" s="291"/>
      <c r="BD22" s="288"/>
      <c r="BE22" s="304"/>
      <c r="BF22" s="282"/>
      <c r="BJ22" s="307"/>
      <c r="BK22" s="285"/>
      <c r="BL22" s="291"/>
      <c r="BM22" s="288"/>
      <c r="BN22" s="285"/>
      <c r="BO22" s="282"/>
      <c r="BS22" s="52" t="s">
        <v>433</v>
      </c>
      <c r="BT22" s="138">
        <f>B114</f>
        <v>55</v>
      </c>
      <c r="BU22" s="52" t="s">
        <v>24</v>
      </c>
      <c r="BV22" s="83" t="s">
        <v>90</v>
      </c>
      <c r="BW22" s="150">
        <f>B118</f>
        <v>5</v>
      </c>
      <c r="BX22" s="52" t="s">
        <v>194</v>
      </c>
      <c r="BY22" s="83" t="s">
        <v>140</v>
      </c>
      <c r="BZ22" s="150">
        <f>B113</f>
        <v>55</v>
      </c>
      <c r="CA22" s="83" t="s">
        <v>24</v>
      </c>
      <c r="CB22" s="52" t="s">
        <v>267</v>
      </c>
      <c r="CC22" s="136">
        <f>B17</f>
        <v>1</v>
      </c>
      <c r="CD22" s="52" t="s">
        <v>344</v>
      </c>
      <c r="CE22" s="52" t="s">
        <v>267</v>
      </c>
      <c r="CF22" s="136">
        <f>B17</f>
        <v>1</v>
      </c>
      <c r="CG22" s="52" t="s">
        <v>344</v>
      </c>
      <c r="CK22" s="269"/>
      <c r="CL22" s="263"/>
      <c r="CM22" s="257"/>
      <c r="CN22" s="260"/>
      <c r="CO22" s="263"/>
      <c r="CP22" s="257"/>
      <c r="CQ22" s="260"/>
      <c r="CR22" s="263"/>
      <c r="CS22" s="266"/>
      <c r="CT22" s="91" t="s">
        <v>275</v>
      </c>
      <c r="CU22" s="144" t="e">
        <f>DY2</f>
        <v>#DIV/0!</v>
      </c>
      <c r="CV22" s="92" t="s">
        <v>10</v>
      </c>
      <c r="CW22" s="52" t="s">
        <v>271</v>
      </c>
      <c r="CX22" s="145">
        <f>(CX5*CX10*CX6)/((CX15/CX16)*CX8*(1-EXP(-CX6*CX10))*CX17*(1/365)*CX18)</f>
        <v>24.906553649842955</v>
      </c>
      <c r="CY22" s="52" t="s">
        <v>16</v>
      </c>
      <c r="CZ22" s="91" t="s">
        <v>510</v>
      </c>
      <c r="DA22" s="144" t="e">
        <f>GD2</f>
        <v>#DIV/0!</v>
      </c>
      <c r="DB22" s="83" t="s">
        <v>10</v>
      </c>
      <c r="DF22" s="92" t="s">
        <v>74</v>
      </c>
      <c r="DG22" s="138">
        <f>B198</f>
        <v>14</v>
      </c>
      <c r="DH22" s="52" t="s">
        <v>75</v>
      </c>
      <c r="DL22" s="92"/>
      <c r="DO22" s="92" t="s">
        <v>74</v>
      </c>
      <c r="DP22" s="138">
        <f>B198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B198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B198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B198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B198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B198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252</v>
      </c>
      <c r="B23" s="183">
        <v>4.3486799999999998E-4</v>
      </c>
      <c r="C23" s="83" t="s">
        <v>352</v>
      </c>
      <c r="D23" s="52" t="s">
        <v>380</v>
      </c>
      <c r="E23" s="138">
        <f>B66</f>
        <v>150</v>
      </c>
      <c r="F23" s="52" t="s">
        <v>24</v>
      </c>
      <c r="G23" s="83" t="s">
        <v>399</v>
      </c>
      <c r="H23" s="146">
        <f>B147</f>
        <v>55</v>
      </c>
      <c r="I23" s="92" t="s">
        <v>221</v>
      </c>
      <c r="J23" s="83" t="s">
        <v>366</v>
      </c>
      <c r="K23" s="141">
        <f>B50</f>
        <v>5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308"/>
      <c r="AS23" s="305"/>
      <c r="AT23" s="292"/>
      <c r="AU23" s="289"/>
      <c r="AV23" s="305"/>
      <c r="AW23" s="283"/>
      <c r="BA23" s="308"/>
      <c r="BB23" s="305"/>
      <c r="BC23" s="292"/>
      <c r="BD23" s="289"/>
      <c r="BE23" s="305"/>
      <c r="BF23" s="283"/>
      <c r="BJ23" s="308"/>
      <c r="BK23" s="286"/>
      <c r="BL23" s="292"/>
      <c r="BM23" s="289"/>
      <c r="BN23" s="286"/>
      <c r="BO23" s="283"/>
      <c r="BS23" s="52" t="s">
        <v>434</v>
      </c>
      <c r="BT23" s="138">
        <f>B115</f>
        <v>55</v>
      </c>
      <c r="BU23" s="52" t="s">
        <v>24</v>
      </c>
      <c r="BV23" s="83" t="s">
        <v>435</v>
      </c>
      <c r="BW23" s="138">
        <f>B124</f>
        <v>5</v>
      </c>
      <c r="BX23" s="52" t="s">
        <v>80</v>
      </c>
      <c r="BY23" s="83" t="s">
        <v>434</v>
      </c>
      <c r="BZ23" s="150">
        <f>B115</f>
        <v>55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B17</f>
        <v>1</v>
      </c>
      <c r="CM23" s="52" t="s">
        <v>344</v>
      </c>
      <c r="CN23" s="52" t="s">
        <v>229</v>
      </c>
      <c r="CO23" s="136">
        <f>B41</f>
        <v>0</v>
      </c>
      <c r="CP23" s="52" t="s">
        <v>268</v>
      </c>
      <c r="CQ23" s="83" t="s">
        <v>229</v>
      </c>
      <c r="CR23" s="136">
        <f>CO23</f>
        <v>0</v>
      </c>
      <c r="CS23" s="52" t="s">
        <v>268</v>
      </c>
      <c r="CT23" s="91" t="s">
        <v>276</v>
      </c>
      <c r="CU23" s="144" t="e">
        <f>GG2</f>
        <v>#DIV/0!</v>
      </c>
      <c r="CV23" s="92" t="s">
        <v>10</v>
      </c>
      <c r="CW23" s="52" t="s">
        <v>456</v>
      </c>
      <c r="CX23" s="138">
        <f>B165</f>
        <v>150</v>
      </c>
      <c r="CY23" s="52" t="s">
        <v>24</v>
      </c>
      <c r="CZ23" s="91" t="s">
        <v>277</v>
      </c>
      <c r="DA23" s="145" t="e">
        <f>FO2</f>
        <v>#DIV/0!</v>
      </c>
      <c r="DB23" s="83" t="s">
        <v>10</v>
      </c>
      <c r="DF23" s="83" t="s">
        <v>267</v>
      </c>
      <c r="DG23" s="136">
        <f>B34</f>
        <v>3.8235000124999998</v>
      </c>
      <c r="DH23" s="52" t="s">
        <v>222</v>
      </c>
      <c r="DO23" s="83" t="s">
        <v>19</v>
      </c>
      <c r="DP23" s="161">
        <f>DP25</f>
        <v>0</v>
      </c>
      <c r="EA23" s="83"/>
      <c r="EB23" s="83"/>
      <c r="EC23" s="84"/>
      <c r="ED23" s="83" t="s">
        <v>19</v>
      </c>
      <c r="EE23" s="161">
        <f>EE25</f>
        <v>0</v>
      </c>
      <c r="EF23" s="84"/>
      <c r="EP23" s="83"/>
      <c r="EQ23" s="83"/>
      <c r="ER23" s="84"/>
      <c r="ES23" s="83" t="s">
        <v>19</v>
      </c>
      <c r="ET23" s="161">
        <f>ET25</f>
        <v>0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0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0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0</v>
      </c>
      <c r="HC23" s="84"/>
      <c r="HD23" s="67" t="s">
        <v>14</v>
      </c>
      <c r="HE23" s="126">
        <f>((HE25*HE42)*HE38*HE33*10^-3*HE32*HE27)/(HE31*HE41*(1-EXP(-HE27*HE32)))</f>
        <v>5.2690779359458224</v>
      </c>
      <c r="HF23" s="220" t="s">
        <v>592</v>
      </c>
    </row>
    <row r="24" spans="1:214" ht="14.25" thickTop="1" thickBot="1" x14ac:dyDescent="0.25">
      <c r="A24" s="83" t="s">
        <v>253</v>
      </c>
      <c r="B24" s="183">
        <v>4.4084799999999998E-4</v>
      </c>
      <c r="C24" s="83" t="s">
        <v>351</v>
      </c>
      <c r="D24" s="52" t="s">
        <v>381</v>
      </c>
      <c r="E24" s="138">
        <f>B67</f>
        <v>150</v>
      </c>
      <c r="F24" s="52" t="s">
        <v>24</v>
      </c>
      <c r="G24" s="83" t="s">
        <v>310</v>
      </c>
      <c r="H24" s="146">
        <f>B58</f>
        <v>55</v>
      </c>
      <c r="I24" s="92" t="s">
        <v>221</v>
      </c>
      <c r="J24" s="83" t="s">
        <v>367</v>
      </c>
      <c r="K24" s="141">
        <f>B51</f>
        <v>10</v>
      </c>
      <c r="L24" s="52" t="s">
        <v>407</v>
      </c>
      <c r="M24" s="52" t="s">
        <v>267</v>
      </c>
      <c r="N24" s="136">
        <f>B17</f>
        <v>1</v>
      </c>
      <c r="O24" s="52" t="s">
        <v>344</v>
      </c>
      <c r="P24" s="52" t="s">
        <v>267</v>
      </c>
      <c r="Q24" s="136">
        <f>B17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66.155354824913829</v>
      </c>
      <c r="AD24" s="137">
        <f>0.693/AD25</f>
        <v>66.155354824913829</v>
      </c>
      <c r="AE24" s="137">
        <f>0.693/AE25</f>
        <v>66.155354824913829</v>
      </c>
      <c r="AF24" s="137">
        <f>0.693/AF25</f>
        <v>66.155354824913829</v>
      </c>
      <c r="AG24" s="137">
        <f>0.693/AG25</f>
        <v>66.155354824913829</v>
      </c>
      <c r="AI24" s="52" t="s">
        <v>267</v>
      </c>
      <c r="AJ24" s="136">
        <f>B17</f>
        <v>1</v>
      </c>
      <c r="AK24" s="52" t="s">
        <v>344</v>
      </c>
      <c r="AL24" s="52" t="s">
        <v>267</v>
      </c>
      <c r="AM24" s="136">
        <f>B17</f>
        <v>1</v>
      </c>
      <c r="AN24" s="52" t="s">
        <v>344</v>
      </c>
      <c r="AR24" s="52" t="s">
        <v>267</v>
      </c>
      <c r="AS24" s="136">
        <f>B17</f>
        <v>1</v>
      </c>
      <c r="AT24" s="52" t="s">
        <v>344</v>
      </c>
      <c r="AU24" s="52" t="s">
        <v>267</v>
      </c>
      <c r="AV24" s="136">
        <f>B17</f>
        <v>1</v>
      </c>
      <c r="AW24" s="52" t="s">
        <v>344</v>
      </c>
      <c r="BA24" s="52" t="s">
        <v>267</v>
      </c>
      <c r="BB24" s="136">
        <f>B17</f>
        <v>1</v>
      </c>
      <c r="BC24" s="52" t="s">
        <v>344</v>
      </c>
      <c r="BD24" s="52" t="s">
        <v>267</v>
      </c>
      <c r="BE24" s="136">
        <f>B17</f>
        <v>1</v>
      </c>
      <c r="BF24" s="52" t="s">
        <v>344</v>
      </c>
      <c r="BJ24" s="52" t="s">
        <v>267</v>
      </c>
      <c r="BK24" s="136">
        <f>B17</f>
        <v>1</v>
      </c>
      <c r="BL24" s="52" t="s">
        <v>344</v>
      </c>
      <c r="BM24" s="52" t="s">
        <v>267</v>
      </c>
      <c r="BN24" s="136">
        <f>B17</f>
        <v>1</v>
      </c>
      <c r="BO24" s="52" t="s">
        <v>344</v>
      </c>
      <c r="BS24" s="91" t="s">
        <v>95</v>
      </c>
      <c r="BT24" s="158">
        <f>B127</f>
        <v>1</v>
      </c>
      <c r="BU24" s="91" t="s">
        <v>60</v>
      </c>
      <c r="BV24" s="83" t="s">
        <v>436</v>
      </c>
      <c r="BW24" s="138">
        <f>B125</f>
        <v>5</v>
      </c>
      <c r="BX24" s="52" t="s">
        <v>80</v>
      </c>
      <c r="BY24" s="83" t="s">
        <v>433</v>
      </c>
      <c r="BZ24" s="150">
        <f>B114</f>
        <v>55</v>
      </c>
      <c r="CA24" s="83" t="s">
        <v>24</v>
      </c>
      <c r="CB24" s="83" t="s">
        <v>22</v>
      </c>
      <c r="CC24" s="137">
        <f>0.693/CC25</f>
        <v>66.155354824913829</v>
      </c>
      <c r="CE24" s="83" t="s">
        <v>22</v>
      </c>
      <c r="CF24" s="137">
        <f>0.693/CF25</f>
        <v>66.155354824913829</v>
      </c>
      <c r="CK24" s="52" t="s">
        <v>258</v>
      </c>
      <c r="CL24" s="136">
        <f>B29</f>
        <v>0</v>
      </c>
      <c r="CM24" s="91" t="s">
        <v>10</v>
      </c>
      <c r="CN24" s="52" t="s">
        <v>20</v>
      </c>
      <c r="CO24" s="139">
        <f>CO26</f>
        <v>0</v>
      </c>
      <c r="CQ24" s="84" t="s">
        <v>170</v>
      </c>
      <c r="CR24" s="162">
        <f>B139</f>
        <v>2</v>
      </c>
      <c r="CS24" s="52" t="s">
        <v>28</v>
      </c>
      <c r="CT24" s="91" t="s">
        <v>277</v>
      </c>
      <c r="CU24" s="145" t="e">
        <f>FR2</f>
        <v>#DIV/0!</v>
      </c>
      <c r="CV24" s="92" t="s">
        <v>10</v>
      </c>
      <c r="CW24" s="52" t="s">
        <v>465</v>
      </c>
      <c r="CX24" s="138">
        <f>B166</f>
        <v>150</v>
      </c>
      <c r="CY24" s="52" t="s">
        <v>24</v>
      </c>
      <c r="CZ24" s="83" t="s">
        <v>45</v>
      </c>
      <c r="DA24" s="149">
        <f>(DA35*DA27*DA49)+(DA36*DA28*DA50)</f>
        <v>196.875</v>
      </c>
      <c r="DB24" s="52" t="s">
        <v>345</v>
      </c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128" t="e">
        <f>((HE26*HE42)*HE38*HE33*10^-3*HE32*HE27)/(HE31*HE41*(1-EXP(-HE27*HE32)))</f>
        <v>#DIV/0!</v>
      </c>
      <c r="HF24" s="221" t="s">
        <v>593</v>
      </c>
    </row>
    <row r="25" spans="1:214" ht="15" thickTop="1" x14ac:dyDescent="0.2">
      <c r="A25" s="83" t="s">
        <v>254</v>
      </c>
      <c r="B25" s="183">
        <v>1.2571640000000001E-3</v>
      </c>
      <c r="C25" s="83" t="s">
        <v>351</v>
      </c>
      <c r="D25" s="83" t="s">
        <v>376</v>
      </c>
      <c r="E25" s="146">
        <f>B61</f>
        <v>0.23</v>
      </c>
      <c r="G25" s="83" t="s">
        <v>400</v>
      </c>
      <c r="H25" s="149">
        <f>(H29*H26*H68)+(H30*H27*H69)</f>
        <v>8250</v>
      </c>
      <c r="I25" s="92" t="s">
        <v>347</v>
      </c>
      <c r="J25" s="83" t="s">
        <v>446</v>
      </c>
      <c r="K25" s="149">
        <f>(K31*K26*K51)+(K32*K27*K52)</f>
        <v>8250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168.19371567834511</v>
      </c>
      <c r="X25" s="62" t="s">
        <v>9</v>
      </c>
      <c r="Y25" s="202" t="s">
        <v>16</v>
      </c>
      <c r="Z25" s="187">
        <f>1/((1/Z41)+(1/Z40))</f>
        <v>168.19371567834511</v>
      </c>
      <c r="AA25" s="63" t="s">
        <v>9</v>
      </c>
      <c r="AB25" s="91" t="s">
        <v>231</v>
      </c>
      <c r="AC25" s="136">
        <f>B30</f>
        <v>1.04753425E-2</v>
      </c>
      <c r="AD25" s="136">
        <f>B30</f>
        <v>1.04753425E-2</v>
      </c>
      <c r="AE25" s="136">
        <f>B30</f>
        <v>1.04753425E-2</v>
      </c>
      <c r="AF25" s="136">
        <f>B30</f>
        <v>1.04753425E-2</v>
      </c>
      <c r="AG25" s="136">
        <f>B30</f>
        <v>1.04753425E-2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B111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B118</f>
        <v>5</v>
      </c>
      <c r="CA25" s="94" t="s">
        <v>194</v>
      </c>
      <c r="CB25" s="91" t="s">
        <v>231</v>
      </c>
      <c r="CC25" s="136">
        <f>B30</f>
        <v>1.04753425E-2</v>
      </c>
      <c r="CD25" s="52" t="s">
        <v>60</v>
      </c>
      <c r="CE25" s="91" t="s">
        <v>231</v>
      </c>
      <c r="CF25" s="136">
        <f>B30</f>
        <v>1.04753425E-2</v>
      </c>
      <c r="CG25" s="52" t="s">
        <v>60</v>
      </c>
      <c r="CK25" s="52" t="s">
        <v>140</v>
      </c>
      <c r="CL25" s="138">
        <f>B113</f>
        <v>55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8625</v>
      </c>
      <c r="CV25" s="83" t="s">
        <v>346</v>
      </c>
      <c r="CW25" s="83" t="s">
        <v>475</v>
      </c>
      <c r="CX25" s="146">
        <f>B163</f>
        <v>0.15</v>
      </c>
      <c r="CZ25" s="83" t="s">
        <v>43</v>
      </c>
      <c r="DA25" s="140">
        <f>(DA35*DA29*(DA38/24)*DA49)+(DA36*DA30*(DA39/24)*DA50)</f>
        <v>1387.5</v>
      </c>
      <c r="DB25" s="83" t="s">
        <v>426</v>
      </c>
      <c r="DF25" s="52" t="s">
        <v>33</v>
      </c>
      <c r="DG25" s="136">
        <f>B44</f>
        <v>0</v>
      </c>
      <c r="DO25" s="83" t="s">
        <v>32</v>
      </c>
      <c r="DP25" s="136">
        <f>B43</f>
        <v>0</v>
      </c>
      <c r="EA25" s="83"/>
      <c r="EC25" s="84"/>
      <c r="ED25" s="83" t="s">
        <v>33</v>
      </c>
      <c r="EE25" s="136">
        <f>B44</f>
        <v>0</v>
      </c>
      <c r="EF25" s="84"/>
      <c r="EP25" s="83"/>
      <c r="ER25" s="84"/>
      <c r="ES25" s="83" t="s">
        <v>33</v>
      </c>
      <c r="ET25" s="136">
        <f>B44</f>
        <v>0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B44</f>
        <v>0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B44</f>
        <v>0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B44</f>
        <v>0</v>
      </c>
      <c r="HC25" s="84"/>
      <c r="HD25" s="89" t="s">
        <v>21</v>
      </c>
      <c r="HE25" s="150">
        <f>B46</f>
        <v>15</v>
      </c>
      <c r="HF25" s="83" t="s">
        <v>11</v>
      </c>
    </row>
    <row r="26" spans="1:214" ht="13.5" thickBot="1" x14ac:dyDescent="0.25">
      <c r="A26" s="83" t="s">
        <v>255</v>
      </c>
      <c r="B26" s="183">
        <v>1.94272E-3</v>
      </c>
      <c r="C26" s="83" t="s">
        <v>351</v>
      </c>
      <c r="D26" s="83" t="s">
        <v>377</v>
      </c>
      <c r="E26" s="146">
        <f>B62</f>
        <v>0.77</v>
      </c>
      <c r="G26" s="83" t="s">
        <v>401</v>
      </c>
      <c r="H26" s="146">
        <f>B149</f>
        <v>55</v>
      </c>
      <c r="I26" s="92" t="s">
        <v>221</v>
      </c>
      <c r="J26" s="83" t="s">
        <v>399</v>
      </c>
      <c r="K26" s="146">
        <f>B57</f>
        <v>55</v>
      </c>
      <c r="L26" s="92" t="s">
        <v>221</v>
      </c>
      <c r="M26" s="83" t="s">
        <v>22</v>
      </c>
      <c r="N26" s="137">
        <f>0.693/N27</f>
        <v>66.155354824913829</v>
      </c>
      <c r="P26" s="83" t="s">
        <v>22</v>
      </c>
      <c r="Q26" s="137">
        <f>0.693/Q27</f>
        <v>66.155354824913829</v>
      </c>
      <c r="V26" s="201" t="s">
        <v>15</v>
      </c>
      <c r="W26" s="75">
        <f>1/((1/W38)+(1/W39))</f>
        <v>2.5424051631721292</v>
      </c>
      <c r="X26" s="76" t="s">
        <v>9</v>
      </c>
      <c r="Y26" s="203" t="s">
        <v>15</v>
      </c>
      <c r="Z26" s="185">
        <f>1/((1/Z38)+(1/Z39))</f>
        <v>2.5424051631721292</v>
      </c>
      <c r="AA26" s="77" t="s">
        <v>9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66.155354824913829</v>
      </c>
      <c r="AL26" s="83" t="s">
        <v>22</v>
      </c>
      <c r="AM26" s="137">
        <f>0.693/AM27</f>
        <v>66.155354824913829</v>
      </c>
      <c r="AR26" s="83" t="s">
        <v>22</v>
      </c>
      <c r="AS26" s="137">
        <f>0.693/AS27</f>
        <v>66.155354824913829</v>
      </c>
      <c r="AU26" s="83" t="s">
        <v>22</v>
      </c>
      <c r="AV26" s="137">
        <f>0.693/AV27</f>
        <v>66.155354824913829</v>
      </c>
      <c r="BA26" s="83" t="s">
        <v>22</v>
      </c>
      <c r="BB26" s="137">
        <f>0.693/BB27</f>
        <v>66.155354824913829</v>
      </c>
      <c r="BD26" s="83" t="s">
        <v>22</v>
      </c>
      <c r="BE26" s="137">
        <f>0.693/BE27</f>
        <v>66.155354824913829</v>
      </c>
      <c r="BJ26" s="83" t="s">
        <v>22</v>
      </c>
      <c r="BK26" s="137">
        <f>0.693/BK27</f>
        <v>66.155354824913829</v>
      </c>
      <c r="BM26" s="83" t="s">
        <v>22</v>
      </c>
      <c r="BN26" s="137">
        <f>0.693/BN27</f>
        <v>66.155354824913829</v>
      </c>
      <c r="BS26" s="91" t="s">
        <v>309</v>
      </c>
      <c r="BT26" s="177">
        <f>B112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B116</f>
        <v>5</v>
      </c>
      <c r="CA26" s="94" t="s">
        <v>194</v>
      </c>
      <c r="CB26" s="52" t="s">
        <v>140</v>
      </c>
      <c r="CC26" s="138">
        <f>B113</f>
        <v>55</v>
      </c>
      <c r="CD26" s="52" t="s">
        <v>24</v>
      </c>
      <c r="CE26" s="52" t="s">
        <v>140</v>
      </c>
      <c r="CF26" s="138">
        <f>B113</f>
        <v>55</v>
      </c>
      <c r="CG26" s="52" t="s">
        <v>24</v>
      </c>
      <c r="CK26" s="52" t="s">
        <v>160</v>
      </c>
      <c r="CL26" s="162">
        <f>B134</f>
        <v>3</v>
      </c>
      <c r="CM26" s="52" t="s">
        <v>221</v>
      </c>
      <c r="CN26" s="52" t="s">
        <v>33</v>
      </c>
      <c r="CO26" s="136">
        <f>B44</f>
        <v>0</v>
      </c>
      <c r="CT26" s="83" t="s">
        <v>506</v>
      </c>
      <c r="CU26" s="155">
        <f>((CU31*CU29*CU47)+(CU32*CU30*CU48))</f>
        <v>1387.5</v>
      </c>
      <c r="CV26" s="52" t="s">
        <v>426</v>
      </c>
      <c r="CW26" s="83" t="s">
        <v>476</v>
      </c>
      <c r="CX26" s="141">
        <f>B164</f>
        <v>0.85</v>
      </c>
      <c r="CY26" s="83"/>
      <c r="CZ26" s="83" t="s">
        <v>142</v>
      </c>
      <c r="DA26" s="149">
        <f>(DA35*DA40*DA42*DA49)+(DA36*DA41*DA43*DA50)</f>
        <v>570</v>
      </c>
      <c r="DB26" s="52" t="s">
        <v>356</v>
      </c>
      <c r="DO26" s="83" t="s">
        <v>393</v>
      </c>
      <c r="DP26" s="138">
        <f>B47</f>
        <v>0.26</v>
      </c>
      <c r="EA26" s="83"/>
      <c r="EB26" s="84"/>
      <c r="EC26" s="84"/>
      <c r="ED26" s="83" t="s">
        <v>392</v>
      </c>
      <c r="EE26" s="163">
        <f>B48</f>
        <v>0.25</v>
      </c>
      <c r="EF26" s="84"/>
      <c r="EP26" s="83"/>
      <c r="EQ26" s="84"/>
      <c r="ER26" s="84"/>
      <c r="ES26" s="83" t="s">
        <v>392</v>
      </c>
      <c r="ET26" s="163">
        <f>B48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B48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B48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B48</f>
        <v>0.25</v>
      </c>
      <c r="HC26" s="84"/>
      <c r="HD26" s="84" t="s">
        <v>265</v>
      </c>
      <c r="HE26" s="139" t="e">
        <f>H3</f>
        <v>#DIV/0!</v>
      </c>
      <c r="HF26" s="83" t="s">
        <v>11</v>
      </c>
    </row>
    <row r="27" spans="1:214" ht="12.75" customHeight="1" thickTop="1" x14ac:dyDescent="0.2">
      <c r="A27" s="83" t="s">
        <v>256</v>
      </c>
      <c r="B27" s="183">
        <v>3.2316400000000001</v>
      </c>
      <c r="C27" s="83" t="s">
        <v>351</v>
      </c>
      <c r="G27" s="83" t="s">
        <v>402</v>
      </c>
      <c r="H27" s="146">
        <f>B60</f>
        <v>55</v>
      </c>
      <c r="I27" s="92" t="s">
        <v>221</v>
      </c>
      <c r="J27" s="83" t="s">
        <v>310</v>
      </c>
      <c r="K27" s="146">
        <f>B58</f>
        <v>55</v>
      </c>
      <c r="L27" s="92" t="s">
        <v>221</v>
      </c>
      <c r="M27" s="91" t="s">
        <v>231</v>
      </c>
      <c r="N27" s="136">
        <f>B30</f>
        <v>1.04753425E-2</v>
      </c>
      <c r="O27" s="52" t="s">
        <v>60</v>
      </c>
      <c r="P27" s="91" t="s">
        <v>231</v>
      </c>
      <c r="Q27" s="136">
        <f>B30</f>
        <v>1.04753425E-2</v>
      </c>
      <c r="R27" s="52" t="s">
        <v>60</v>
      </c>
      <c r="V27" s="52" t="s">
        <v>267</v>
      </c>
      <c r="W27" s="136">
        <f>B17</f>
        <v>1</v>
      </c>
      <c r="X27" s="52" t="s">
        <v>344</v>
      </c>
      <c r="Y27" s="52" t="s">
        <v>267</v>
      </c>
      <c r="Z27" s="136">
        <f>B17</f>
        <v>1</v>
      </c>
      <c r="AA27" s="52" t="s">
        <v>344</v>
      </c>
      <c r="AB27" s="84" t="s">
        <v>16</v>
      </c>
      <c r="AC27" s="156">
        <f>(AC23*AC24)/(1-EXP(-AC24*AC23))</f>
        <v>66.155354824913829</v>
      </c>
      <c r="AD27" s="156">
        <f>(AD23*AD24)/(1-EXP(-AD24*AD23))</f>
        <v>66.155354824913829</v>
      </c>
      <c r="AE27" s="156">
        <f>(AE23*AE24)/(1-EXP(-AE24*AE23))</f>
        <v>66.155354824913829</v>
      </c>
      <c r="AF27" s="156">
        <f>(AF23*AF24)/(1-EXP(-AF24*AF23))</f>
        <v>66.155354824913829</v>
      </c>
      <c r="AG27" s="156">
        <f>(AG23*AG24)/(1-EXP(-AG24*AG23))</f>
        <v>66.155354824913829</v>
      </c>
      <c r="AI27" s="91" t="s">
        <v>231</v>
      </c>
      <c r="AJ27" s="136">
        <f>B30</f>
        <v>1.04753425E-2</v>
      </c>
      <c r="AK27" s="52" t="s">
        <v>60</v>
      </c>
      <c r="AL27" s="91" t="s">
        <v>231</v>
      </c>
      <c r="AM27" s="136">
        <f>B30</f>
        <v>1.04753425E-2</v>
      </c>
      <c r="AN27" s="52" t="s">
        <v>60</v>
      </c>
      <c r="AR27" s="91" t="s">
        <v>231</v>
      </c>
      <c r="AS27" s="136">
        <f>B30</f>
        <v>1.04753425E-2</v>
      </c>
      <c r="AT27" s="52" t="s">
        <v>60</v>
      </c>
      <c r="AU27" s="91" t="s">
        <v>231</v>
      </c>
      <c r="AV27" s="136">
        <f>B30</f>
        <v>1.04753425E-2</v>
      </c>
      <c r="AW27" s="52" t="s">
        <v>60</v>
      </c>
      <c r="BA27" s="91" t="s">
        <v>231</v>
      </c>
      <c r="BB27" s="136">
        <f>B30</f>
        <v>1.04753425E-2</v>
      </c>
      <c r="BC27" s="52" t="s">
        <v>60</v>
      </c>
      <c r="BD27" s="91" t="s">
        <v>231</v>
      </c>
      <c r="BE27" s="136">
        <f>B30</f>
        <v>1.04753425E-2</v>
      </c>
      <c r="BF27" s="52" t="s">
        <v>60</v>
      </c>
      <c r="BJ27" s="91" t="s">
        <v>231</v>
      </c>
      <c r="BK27" s="136">
        <f>B30</f>
        <v>1.04753425E-2</v>
      </c>
      <c r="BL27" s="52" t="s">
        <v>60</v>
      </c>
      <c r="BM27" s="91" t="s">
        <v>231</v>
      </c>
      <c r="BN27" s="136">
        <f>B30</f>
        <v>1.04753425E-2</v>
      </c>
      <c r="BO27" s="52" t="s">
        <v>60</v>
      </c>
      <c r="BT27" s="90"/>
      <c r="BW27" s="138">
        <v>1000</v>
      </c>
      <c r="BX27" s="52" t="s">
        <v>218</v>
      </c>
      <c r="BY27" s="83" t="s">
        <v>90</v>
      </c>
      <c r="BZ27" s="150">
        <f>B117</f>
        <v>5</v>
      </c>
      <c r="CA27" s="52" t="s">
        <v>194</v>
      </c>
      <c r="CB27" s="52" t="s">
        <v>51</v>
      </c>
      <c r="CC27" s="138">
        <f>B127</f>
        <v>1</v>
      </c>
      <c r="CD27" s="52" t="s">
        <v>146</v>
      </c>
      <c r="CE27" s="52" t="s">
        <v>51</v>
      </c>
      <c r="CF27" s="138">
        <f>B127</f>
        <v>1</v>
      </c>
      <c r="CG27" s="52" t="s">
        <v>146</v>
      </c>
      <c r="CN27" s="52" t="s">
        <v>392</v>
      </c>
      <c r="CO27" s="162">
        <f>B48</f>
        <v>0.25</v>
      </c>
      <c r="CT27" s="83" t="s">
        <v>449</v>
      </c>
      <c r="CU27" s="146">
        <f>B141</f>
        <v>100</v>
      </c>
      <c r="CV27" s="84" t="s">
        <v>48</v>
      </c>
      <c r="CZ27" s="92" t="s">
        <v>451</v>
      </c>
      <c r="DA27" s="142">
        <f t="shared" ref="DA27:DA34" si="0">B143</f>
        <v>0.25</v>
      </c>
      <c r="DB27" s="83" t="s">
        <v>28</v>
      </c>
      <c r="DW27" s="88"/>
      <c r="DX27" s="88"/>
      <c r="DY27" s="88"/>
      <c r="DZ27" s="88"/>
      <c r="EA27" s="83"/>
      <c r="EB27" s="85"/>
      <c r="ED27" s="83" t="s">
        <v>517</v>
      </c>
      <c r="EE27" s="136">
        <f>B36</f>
        <v>0</v>
      </c>
      <c r="EF27" s="52" t="s">
        <v>601</v>
      </c>
      <c r="EP27" s="83"/>
      <c r="EQ27" s="86"/>
      <c r="ES27" s="83" t="s">
        <v>236</v>
      </c>
      <c r="ET27" s="169">
        <f>B37</f>
        <v>0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B39</f>
        <v>0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B38</f>
        <v>0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B40</f>
        <v>0</v>
      </c>
      <c r="HC27" s="52" t="s">
        <v>388</v>
      </c>
      <c r="HD27" s="83" t="s">
        <v>22</v>
      </c>
      <c r="HE27" s="137">
        <f>0.693/HE29</f>
        <v>66.155354824913829</v>
      </c>
    </row>
    <row r="28" spans="1:214" x14ac:dyDescent="0.2">
      <c r="A28" s="91" t="s">
        <v>257</v>
      </c>
      <c r="B28" s="183">
        <v>7.02368E-3</v>
      </c>
      <c r="C28" s="84" t="s">
        <v>259</v>
      </c>
      <c r="G28" s="83" t="s">
        <v>65</v>
      </c>
      <c r="H28" s="141">
        <f>B75</f>
        <v>0.5</v>
      </c>
      <c r="I28" s="52" t="s">
        <v>66</v>
      </c>
      <c r="J28" s="83" t="s">
        <v>447</v>
      </c>
      <c r="K28" s="149">
        <f>(K31*K29*K51)+(K32*K30*K52)</f>
        <v>8250</v>
      </c>
      <c r="L28" s="92" t="s">
        <v>347</v>
      </c>
      <c r="M28" s="52" t="s">
        <v>382</v>
      </c>
      <c r="N28" s="138">
        <f>B68</f>
        <v>150</v>
      </c>
      <c r="O28" s="52" t="s">
        <v>24</v>
      </c>
      <c r="P28" s="52" t="s">
        <v>382</v>
      </c>
      <c r="Q28" s="138">
        <f>B68</f>
        <v>150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B237</f>
        <v>125</v>
      </c>
      <c r="AK28" s="52" t="s">
        <v>24</v>
      </c>
      <c r="AL28" s="52" t="s">
        <v>35</v>
      </c>
      <c r="AM28" s="138">
        <f>B237</f>
        <v>125</v>
      </c>
      <c r="AN28" s="52" t="s">
        <v>24</v>
      </c>
      <c r="AR28" s="52" t="s">
        <v>423</v>
      </c>
      <c r="AS28" s="138">
        <f>B247</f>
        <v>125</v>
      </c>
      <c r="AT28" s="52" t="s">
        <v>24</v>
      </c>
      <c r="AU28" s="52" t="s">
        <v>423</v>
      </c>
      <c r="AV28" s="138">
        <f>B247</f>
        <v>125</v>
      </c>
      <c r="AW28" s="52" t="s">
        <v>24</v>
      </c>
      <c r="BA28" s="52" t="s">
        <v>316</v>
      </c>
      <c r="BB28" s="138">
        <f>B227</f>
        <v>125</v>
      </c>
      <c r="BC28" s="52" t="s">
        <v>24</v>
      </c>
      <c r="BD28" s="52" t="s">
        <v>316</v>
      </c>
      <c r="BE28" s="138">
        <f>B227</f>
        <v>125</v>
      </c>
      <c r="BF28" s="52" t="s">
        <v>24</v>
      </c>
      <c r="BJ28" s="52" t="s">
        <v>191</v>
      </c>
      <c r="BK28" s="138">
        <f>BK29*BK30</f>
        <v>75</v>
      </c>
      <c r="BL28" s="52" t="s">
        <v>24</v>
      </c>
      <c r="BM28" s="52" t="s">
        <v>191</v>
      </c>
      <c r="BN28" s="138">
        <f>BN29*BN30</f>
        <v>75</v>
      </c>
      <c r="BO28" s="52" t="s">
        <v>24</v>
      </c>
      <c r="BS28" s="96"/>
      <c r="BV28" s="83"/>
      <c r="BW28" s="146">
        <v>365</v>
      </c>
      <c r="BX28" s="84" t="s">
        <v>24</v>
      </c>
      <c r="BY28" s="83" t="s">
        <v>302</v>
      </c>
      <c r="BZ28" s="161">
        <f>B3</f>
        <v>6.8000000000000005E-2</v>
      </c>
      <c r="CB28" s="52" t="s">
        <v>300</v>
      </c>
      <c r="CC28" s="136">
        <f>B12</f>
        <v>2.2499999999999999E-2</v>
      </c>
      <c r="CE28" s="52" t="s">
        <v>300</v>
      </c>
      <c r="CF28" s="136">
        <f>B8</f>
        <v>4.2700000000000002E-2</v>
      </c>
      <c r="CN28" s="52" t="s">
        <v>165</v>
      </c>
      <c r="CO28" s="162">
        <f>B135</f>
        <v>2</v>
      </c>
      <c r="CP28" s="52" t="s">
        <v>246</v>
      </c>
      <c r="CT28" s="83" t="s">
        <v>458</v>
      </c>
      <c r="CU28" s="146">
        <f>B142</f>
        <v>50</v>
      </c>
      <c r="CV28" s="84" t="s">
        <v>48</v>
      </c>
      <c r="CZ28" s="92" t="s">
        <v>460</v>
      </c>
      <c r="DA28" s="142">
        <f t="shared" si="0"/>
        <v>1.5</v>
      </c>
      <c r="DB28" s="83" t="s">
        <v>28</v>
      </c>
      <c r="DW28" s="88"/>
      <c r="DX28" s="88"/>
      <c r="DY28" s="88"/>
      <c r="DZ28" s="88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D28" s="52" t="s">
        <v>16</v>
      </c>
      <c r="HE28" s="123">
        <f>1-EXP(-HE27*HE32)</f>
        <v>1</v>
      </c>
    </row>
    <row r="29" spans="1:214" ht="15.75" thickBot="1" x14ac:dyDescent="0.25">
      <c r="A29" s="83" t="s">
        <v>258</v>
      </c>
      <c r="B29" s="183">
        <v>0</v>
      </c>
      <c r="C29" s="92" t="s">
        <v>259</v>
      </c>
      <c r="G29" s="83" t="s">
        <v>380</v>
      </c>
      <c r="H29" s="150">
        <f>B66</f>
        <v>150</v>
      </c>
      <c r="I29" s="83" t="s">
        <v>24</v>
      </c>
      <c r="J29" s="83" t="s">
        <v>401</v>
      </c>
      <c r="K29" s="146">
        <f>B59</f>
        <v>55</v>
      </c>
      <c r="L29" s="92" t="s">
        <v>221</v>
      </c>
      <c r="M29" s="52" t="s">
        <v>379</v>
      </c>
      <c r="N29" s="138">
        <f>B65</f>
        <v>1</v>
      </c>
      <c r="O29" s="52" t="s">
        <v>146</v>
      </c>
      <c r="P29" s="52" t="s">
        <v>379</v>
      </c>
      <c r="Q29" s="138">
        <f>B65</f>
        <v>1</v>
      </c>
      <c r="R29" s="52" t="s">
        <v>146</v>
      </c>
      <c r="V29" s="83" t="s">
        <v>22</v>
      </c>
      <c r="W29" s="137">
        <f>0.693/W30</f>
        <v>66.155354824913829</v>
      </c>
      <c r="Y29" s="83" t="s">
        <v>22</v>
      </c>
      <c r="Z29" s="137">
        <f>0.693/Z30</f>
        <v>66.155354824913829</v>
      </c>
      <c r="AB29" s="83" t="s">
        <v>260</v>
      </c>
      <c r="AC29" s="143" t="e">
        <f>(AC5/(AC8*AC13*AC7*AC9*(1/AC6)))*AC27</f>
        <v>#DIV/0!</v>
      </c>
      <c r="AD29" s="143" t="e">
        <f>(AD5/(AD8*AD13*AD7*AD9*(1/AD6)))*AD27</f>
        <v>#DIV/0!</v>
      </c>
      <c r="AE29" s="143" t="e">
        <f>(AE5/(AE8*AE13*AE7*AE9*(1/AE6)))*AE27</f>
        <v>#DIV/0!</v>
      </c>
      <c r="AF29" s="143" t="e">
        <f>(AF5*AF23*AF24)/((1-EXP(-AF24*AF23))*AF8*AF7*AF9*AF13*(1/AF28))</f>
        <v>#DIV/0!</v>
      </c>
      <c r="AG29" s="143" t="e">
        <f>(AG5*AG23*AG24)/((1-EXP(-AG24*AG23))*AG8*AG7*AG9*AG13*(1/AG28))</f>
        <v>#DIV/0!</v>
      </c>
      <c r="AH29" s="83" t="s">
        <v>10</v>
      </c>
      <c r="AI29" s="52" t="s">
        <v>420</v>
      </c>
      <c r="AJ29" s="138">
        <f>B238</f>
        <v>1</v>
      </c>
      <c r="AK29" s="52" t="s">
        <v>146</v>
      </c>
      <c r="AL29" s="52" t="s">
        <v>420</v>
      </c>
      <c r="AM29" s="138">
        <f>B238</f>
        <v>1</v>
      </c>
      <c r="AN29" s="52" t="s">
        <v>146</v>
      </c>
      <c r="AR29" s="52" t="s">
        <v>424</v>
      </c>
      <c r="AS29" s="138">
        <f>B248</f>
        <v>1</v>
      </c>
      <c r="AT29" s="52" t="s">
        <v>146</v>
      </c>
      <c r="AU29" s="52" t="s">
        <v>424</v>
      </c>
      <c r="AV29" s="138">
        <f>B248</f>
        <v>1</v>
      </c>
      <c r="AW29" s="52" t="s">
        <v>146</v>
      </c>
      <c r="BA29" s="52" t="s">
        <v>422</v>
      </c>
      <c r="BB29" s="138">
        <f>B228</f>
        <v>1</v>
      </c>
      <c r="BC29" s="52" t="s">
        <v>146</v>
      </c>
      <c r="BD29" s="52" t="s">
        <v>422</v>
      </c>
      <c r="BE29" s="138">
        <f>B228</f>
        <v>1</v>
      </c>
      <c r="BF29" s="52" t="s">
        <v>146</v>
      </c>
      <c r="BJ29" s="52" t="s">
        <v>220</v>
      </c>
      <c r="BK29" s="138">
        <f>B266</f>
        <v>25</v>
      </c>
      <c r="BL29" s="52" t="s">
        <v>113</v>
      </c>
      <c r="BM29" s="52" t="s">
        <v>220</v>
      </c>
      <c r="BN29" s="138">
        <f>B266</f>
        <v>25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61">
        <f>B4</f>
        <v>0.75600000000000001</v>
      </c>
      <c r="CB29" s="52" t="s">
        <v>411</v>
      </c>
      <c r="CC29" s="136">
        <f>B13</f>
        <v>0.46300000000000002</v>
      </c>
      <c r="CE29" s="52" t="s">
        <v>418</v>
      </c>
      <c r="CF29" s="136">
        <f>B9</f>
        <v>0.72299999999999998</v>
      </c>
      <c r="CN29" s="52" t="s">
        <v>166</v>
      </c>
      <c r="CO29" s="162">
        <f>B136</f>
        <v>2</v>
      </c>
      <c r="CP29" s="52" t="s">
        <v>246</v>
      </c>
      <c r="CT29" s="83" t="s">
        <v>450</v>
      </c>
      <c r="CU29" s="141">
        <f>B145</f>
        <v>5</v>
      </c>
      <c r="CV29" s="92" t="s">
        <v>407</v>
      </c>
      <c r="CZ29" s="92" t="s">
        <v>450</v>
      </c>
      <c r="DA29" s="142">
        <f t="shared" si="0"/>
        <v>5</v>
      </c>
      <c r="DB29" s="83" t="s">
        <v>143</v>
      </c>
      <c r="DW29" s="88"/>
      <c r="DX29" s="88"/>
      <c r="DY29" s="88"/>
      <c r="DZ29" s="8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B30</f>
        <v>1.04753425E-2</v>
      </c>
      <c r="HF29" s="52" t="s">
        <v>60</v>
      </c>
    </row>
    <row r="30" spans="1:214" ht="19.5" thickTop="1" thickBot="1" x14ac:dyDescent="0.25">
      <c r="A30" s="91" t="s">
        <v>231</v>
      </c>
      <c r="B30" s="183">
        <v>1.04753425E-2</v>
      </c>
      <c r="C30" s="52" t="s">
        <v>235</v>
      </c>
      <c r="D30" s="353" t="s">
        <v>528</v>
      </c>
      <c r="E30" s="354"/>
      <c r="F30" s="355"/>
      <c r="G30" s="83" t="s">
        <v>381</v>
      </c>
      <c r="H30" s="150">
        <f>B67</f>
        <v>150</v>
      </c>
      <c r="I30" s="83" t="s">
        <v>24</v>
      </c>
      <c r="J30" s="83" t="s">
        <v>402</v>
      </c>
      <c r="K30" s="146">
        <f>B60</f>
        <v>55</v>
      </c>
      <c r="L30" s="92" t="s">
        <v>221</v>
      </c>
      <c r="M30" s="52" t="s">
        <v>299</v>
      </c>
      <c r="N30" s="138">
        <f>B73</f>
        <v>1</v>
      </c>
      <c r="P30" s="52" t="s">
        <v>299</v>
      </c>
      <c r="Q30" s="138">
        <f>B73</f>
        <v>1</v>
      </c>
      <c r="V30" s="91" t="s">
        <v>231</v>
      </c>
      <c r="W30" s="136">
        <f>B30</f>
        <v>1.04753425E-2</v>
      </c>
      <c r="X30" s="52" t="s">
        <v>60</v>
      </c>
      <c r="Y30" s="91" t="s">
        <v>231</v>
      </c>
      <c r="Z30" s="136">
        <f>B30</f>
        <v>1.04753425E-2</v>
      </c>
      <c r="AA30" s="52" t="s">
        <v>60</v>
      </c>
      <c r="AB30" s="83" t="s">
        <v>261</v>
      </c>
      <c r="AC30" s="144">
        <f>(AC5/(AC19*AC15*AC7*AC9*(1/AC32)*((8/1)/(24/1))*AC28))*AC27</f>
        <v>345323197.35961139</v>
      </c>
      <c r="AD30" s="144">
        <f>(AD5/(AD19*AD15*AD7*((8/1)/(24/1))*AD9*(1/AD32)*AD28))*AD27</f>
        <v>345323197.35961139</v>
      </c>
      <c r="AE30" s="144">
        <f>(AE5/(AE19*AE15*AE7*((8/1)/(24/1))*AE9*(1/AE32)*AE28))*AE27</f>
        <v>345323197.35961139</v>
      </c>
      <c r="AF30" s="144">
        <f>(AF5*AF23*AF24)/((1-EXP(-AF24*AF23))*AF19*AF7*AF9*(AF12/24)*AF15*(1/AF33)*AF28)</f>
        <v>315464.39493607508</v>
      </c>
      <c r="AG30" s="144">
        <f>(AG5*AG23*AG24)/((1-EXP(-AG24*AG23))*AG19*AG7*AG9*(AG12/24)*AG15*(1/AG34)*AG28)</f>
        <v>28272263.865009151</v>
      </c>
      <c r="AH30" s="83" t="s">
        <v>10</v>
      </c>
      <c r="AI30" s="52" t="s">
        <v>299</v>
      </c>
      <c r="AJ30" s="138">
        <f>B241</f>
        <v>1</v>
      </c>
      <c r="AL30" s="52" t="s">
        <v>299</v>
      </c>
      <c r="AM30" s="138">
        <f>B241</f>
        <v>1</v>
      </c>
      <c r="AR30" s="52" t="s">
        <v>299</v>
      </c>
      <c r="AS30" s="138">
        <f>B251</f>
        <v>1</v>
      </c>
      <c r="AV30" s="138"/>
      <c r="BA30" s="52" t="s">
        <v>299</v>
      </c>
      <c r="BB30" s="138">
        <f>B231</f>
        <v>1</v>
      </c>
      <c r="BD30" s="52" t="s">
        <v>299</v>
      </c>
      <c r="BE30" s="138">
        <f>B231</f>
        <v>1</v>
      </c>
      <c r="BJ30" s="52" t="s">
        <v>219</v>
      </c>
      <c r="BK30" s="138">
        <f>B265</f>
        <v>3</v>
      </c>
      <c r="BL30" s="52" t="s">
        <v>112</v>
      </c>
      <c r="BM30" s="52" t="s">
        <v>219</v>
      </c>
      <c r="BN30" s="138">
        <f>B265</f>
        <v>3</v>
      </c>
      <c r="BO30" s="52" t="s">
        <v>112</v>
      </c>
      <c r="BS30" s="91"/>
      <c r="BT30" s="97"/>
      <c r="BU30" s="91"/>
      <c r="BV30" s="91" t="s">
        <v>308</v>
      </c>
      <c r="BW30" s="146">
        <f>B111</f>
        <v>0.23</v>
      </c>
      <c r="BY30" s="94" t="s">
        <v>95</v>
      </c>
      <c r="BZ30" s="150">
        <f>B127</f>
        <v>1</v>
      </c>
      <c r="CA30" s="94" t="s">
        <v>60</v>
      </c>
      <c r="CB30" s="52" t="s">
        <v>90</v>
      </c>
      <c r="CC30" s="138">
        <f>B118</f>
        <v>5</v>
      </c>
      <c r="CD30" s="52" t="s">
        <v>194</v>
      </c>
      <c r="CE30" s="52" t="s">
        <v>90</v>
      </c>
      <c r="CF30" s="138">
        <f>B118</f>
        <v>5</v>
      </c>
      <c r="CG30" s="52" t="s">
        <v>194</v>
      </c>
      <c r="CM30" s="83"/>
      <c r="CN30" s="93" t="s">
        <v>167</v>
      </c>
      <c r="CO30" s="162">
        <f>B137</f>
        <v>2</v>
      </c>
      <c r="CP30" s="52" t="s">
        <v>41</v>
      </c>
      <c r="CQ30" s="88"/>
      <c r="CR30" s="83"/>
      <c r="CS30" s="83"/>
      <c r="CT30" s="83" t="s">
        <v>459</v>
      </c>
      <c r="CU30" s="141">
        <f>B146</f>
        <v>10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10</v>
      </c>
      <c r="DB30" s="83" t="s">
        <v>143</v>
      </c>
      <c r="DW30" s="88"/>
      <c r="DX30" s="88"/>
      <c r="DY30" s="88"/>
      <c r="DZ30" s="8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B93</f>
        <v>0.3</v>
      </c>
    </row>
    <row r="31" spans="1:214" x14ac:dyDescent="0.2">
      <c r="A31" s="91" t="s">
        <v>77</v>
      </c>
      <c r="B31" s="183">
        <f>PEF!D3</f>
        <v>1359344473.5814338</v>
      </c>
      <c r="C31" s="52" t="s">
        <v>524</v>
      </c>
      <c r="D31" s="323" t="s">
        <v>530</v>
      </c>
      <c r="E31" s="347" t="e">
        <f>E38</f>
        <v>#DIV/0!</v>
      </c>
      <c r="F31" s="345" t="s">
        <v>10</v>
      </c>
      <c r="G31" s="83" t="s">
        <v>379</v>
      </c>
      <c r="H31" s="150">
        <f>B65</f>
        <v>1</v>
      </c>
      <c r="I31" s="84" t="s">
        <v>60</v>
      </c>
      <c r="J31" s="83" t="s">
        <v>380</v>
      </c>
      <c r="K31" s="150">
        <f>B66</f>
        <v>150</v>
      </c>
      <c r="L31" s="83" t="s">
        <v>24</v>
      </c>
      <c r="M31" s="52" t="s">
        <v>300</v>
      </c>
      <c r="N31" s="136">
        <f>B12</f>
        <v>2.2499999999999999E-2</v>
      </c>
      <c r="P31" s="52" t="s">
        <v>300</v>
      </c>
      <c r="Q31" s="136">
        <f>B8</f>
        <v>4.2700000000000002E-2</v>
      </c>
      <c r="V31" s="52" t="s">
        <v>35</v>
      </c>
      <c r="W31" s="138">
        <f>B237</f>
        <v>125</v>
      </c>
      <c r="X31" s="52" t="s">
        <v>24</v>
      </c>
      <c r="Y31" s="52" t="s">
        <v>191</v>
      </c>
      <c r="Z31" s="138">
        <f>B257</f>
        <v>125</v>
      </c>
      <c r="AA31" s="52" t="s">
        <v>24</v>
      </c>
      <c r="AB31" s="83" t="s">
        <v>262</v>
      </c>
      <c r="AC31" s="145">
        <f>(AC5*AC23*AC24)/((1-EXP(-AC24*AC23))*AC18*AC7*(1/365)*AC12*(1/24)*AC14*AC17)</f>
        <v>5293667.7249776777</v>
      </c>
      <c r="AD31" s="145">
        <f>(AD5*AD23*AD24)/((1-EXP(-AD24*AD23))*AD18*AD7*(1/365)*AD12*(1/24)*AD16*AD17)</f>
        <v>359969.4052984821</v>
      </c>
      <c r="AE31" s="145">
        <f>(AE5*AE23*AE24)/((1-EXP(-AE24*AE23))*AE18*AE7*(1/365)*AE12*(1/24)*AE14*AE17)</f>
        <v>5293667.7249776777</v>
      </c>
      <c r="AF31" s="145">
        <f>(AF5*AF23*AF24)/((1-EXP(-AF24*AF23))*AF18*(AF11*AF10)*(1/365)*AF12*(1/24)*AF14*AF17)</f>
        <v>14116447.266607143</v>
      </c>
      <c r="AG31" s="145">
        <f>(AG5*AG23*AG24)/((1-EXP(-AG24*AG23))*AG18*AG7*(1/365)*AG9*(AG12/24)*AG14*AG17)</f>
        <v>8469868.3599642832</v>
      </c>
      <c r="AH31" s="83" t="s">
        <v>10</v>
      </c>
      <c r="AI31" s="52" t="s">
        <v>300</v>
      </c>
      <c r="AJ31" s="136">
        <f>B12</f>
        <v>2.2499999999999999E-2</v>
      </c>
      <c r="AL31" s="52" t="s">
        <v>300</v>
      </c>
      <c r="AM31" s="136">
        <f>B8</f>
        <v>4.2700000000000002E-2</v>
      </c>
      <c r="AR31" s="52" t="s">
        <v>300</v>
      </c>
      <c r="AS31" s="136">
        <f>B12</f>
        <v>2.2499999999999999E-2</v>
      </c>
      <c r="AU31" s="52" t="s">
        <v>300</v>
      </c>
      <c r="AV31" s="136">
        <f>B8</f>
        <v>4.2700000000000002E-2</v>
      </c>
      <c r="BA31" s="52" t="s">
        <v>300</v>
      </c>
      <c r="BB31" s="136">
        <f>B12</f>
        <v>2.2499999999999999E-2</v>
      </c>
      <c r="BD31" s="52" t="s">
        <v>300</v>
      </c>
      <c r="BE31" s="136">
        <f>B8</f>
        <v>4.2700000000000002E-2</v>
      </c>
      <c r="BJ31" s="52" t="s">
        <v>158</v>
      </c>
      <c r="BK31" s="138">
        <f>B258</f>
        <v>1</v>
      </c>
      <c r="BL31" s="52" t="s">
        <v>146</v>
      </c>
      <c r="BM31" s="52" t="s">
        <v>158</v>
      </c>
      <c r="BN31" s="138">
        <f>B258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B112</f>
        <v>0.77</v>
      </c>
      <c r="BZ31" s="150">
        <v>365</v>
      </c>
      <c r="CA31" s="52" t="s">
        <v>24</v>
      </c>
      <c r="CB31" s="52" t="s">
        <v>410</v>
      </c>
      <c r="CC31" s="139">
        <f>B23</f>
        <v>4.3486799999999998E-4</v>
      </c>
      <c r="CD31" s="84" t="s">
        <v>353</v>
      </c>
      <c r="CE31" s="52" t="s">
        <v>419</v>
      </c>
      <c r="CF31" s="139">
        <f>B25</f>
        <v>1.2571640000000001E-3</v>
      </c>
      <c r="CG31" s="84" t="s">
        <v>353</v>
      </c>
      <c r="CM31" s="83"/>
      <c r="CN31" s="83" t="s">
        <v>168</v>
      </c>
      <c r="CO31" s="162">
        <f>B138</f>
        <v>2</v>
      </c>
      <c r="CP31" s="52" t="s">
        <v>41</v>
      </c>
      <c r="CQ31" s="83"/>
      <c r="CR31" s="83"/>
      <c r="CS31" s="83"/>
      <c r="CT31" s="83" t="s">
        <v>456</v>
      </c>
      <c r="CU31" s="150">
        <f>B165</f>
        <v>150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55</v>
      </c>
      <c r="DB31" s="83" t="s">
        <v>221</v>
      </c>
      <c r="DW31" s="88"/>
      <c r="DX31" s="88"/>
      <c r="DY31" s="88"/>
      <c r="DZ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B94</f>
        <v>1.5</v>
      </c>
    </row>
    <row r="32" spans="1:214" ht="13.5" thickBot="1" x14ac:dyDescent="0.25">
      <c r="A32" s="91" t="s">
        <v>103</v>
      </c>
      <c r="B32" s="183">
        <f>PEF!G3</f>
        <v>776129.4078035407</v>
      </c>
      <c r="C32" s="52" t="s">
        <v>524</v>
      </c>
      <c r="D32" s="324"/>
      <c r="E32" s="348"/>
      <c r="F32" s="346"/>
      <c r="G32" s="52" t="s">
        <v>403</v>
      </c>
      <c r="H32" s="138">
        <f>B69</f>
        <v>0.25</v>
      </c>
      <c r="I32" s="52" t="s">
        <v>89</v>
      </c>
      <c r="J32" s="83" t="s">
        <v>381</v>
      </c>
      <c r="K32" s="150">
        <f>B67</f>
        <v>150</v>
      </c>
      <c r="L32" s="83" t="s">
        <v>24</v>
      </c>
      <c r="M32" s="52" t="s">
        <v>54</v>
      </c>
      <c r="N32" s="136">
        <f>B13</f>
        <v>0.46300000000000002</v>
      </c>
      <c r="P32" s="52" t="s">
        <v>54</v>
      </c>
      <c r="Q32" s="136">
        <f>B9</f>
        <v>0.72299999999999998</v>
      </c>
      <c r="V32" s="52" t="s">
        <v>420</v>
      </c>
      <c r="W32" s="138">
        <f>B238</f>
        <v>1</v>
      </c>
      <c r="X32" s="52" t="s">
        <v>146</v>
      </c>
      <c r="Y32" s="52" t="s">
        <v>158</v>
      </c>
      <c r="Z32" s="138">
        <f>B258</f>
        <v>1</v>
      </c>
      <c r="AA32" s="52" t="s">
        <v>146</v>
      </c>
      <c r="AB32" s="83" t="s">
        <v>77</v>
      </c>
      <c r="AC32" s="136">
        <f>B31</f>
        <v>1359344473.5814338</v>
      </c>
      <c r="AD32" s="136">
        <f>B31</f>
        <v>1359344473.5814338</v>
      </c>
      <c r="AE32" s="136">
        <f>B31</f>
        <v>1359344473.5814338</v>
      </c>
      <c r="AF32" s="136"/>
      <c r="AG32" s="136"/>
      <c r="AH32" s="104" t="s">
        <v>78</v>
      </c>
      <c r="AI32" s="52" t="s">
        <v>54</v>
      </c>
      <c r="AJ32" s="136">
        <f>B13</f>
        <v>0.46300000000000002</v>
      </c>
      <c r="AL32" s="52" t="s">
        <v>54</v>
      </c>
      <c r="AM32" s="136">
        <f>B9</f>
        <v>0.72299999999999998</v>
      </c>
      <c r="AR32" s="52" t="s">
        <v>54</v>
      </c>
      <c r="AS32" s="136">
        <f>B13</f>
        <v>0.46300000000000002</v>
      </c>
      <c r="AU32" s="52" t="s">
        <v>54</v>
      </c>
      <c r="AV32" s="136">
        <f>B9</f>
        <v>0.72299999999999998</v>
      </c>
      <c r="BA32" s="52" t="s">
        <v>54</v>
      </c>
      <c r="BB32" s="136">
        <f>B13</f>
        <v>0.46300000000000002</v>
      </c>
      <c r="BD32" s="52" t="s">
        <v>54</v>
      </c>
      <c r="BE32" s="136">
        <f>B9</f>
        <v>0.72299999999999998</v>
      </c>
      <c r="BJ32" s="52" t="s">
        <v>300</v>
      </c>
      <c r="BK32" s="136">
        <f>B12</f>
        <v>2.2499999999999999E-2</v>
      </c>
      <c r="BM32" s="52" t="s">
        <v>300</v>
      </c>
      <c r="BN32" s="136">
        <f>B8</f>
        <v>4.2700000000000002E-2</v>
      </c>
      <c r="BS32" s="91"/>
      <c r="BT32" s="99"/>
      <c r="BU32" s="100"/>
      <c r="BW32" s="90"/>
      <c r="BZ32" s="138">
        <v>1000</v>
      </c>
      <c r="CA32" s="52" t="s">
        <v>99</v>
      </c>
      <c r="CM32" s="83"/>
      <c r="CN32" s="83" t="s">
        <v>22</v>
      </c>
      <c r="CO32" s="137">
        <f>0.693/CO33</f>
        <v>66.155354824913829</v>
      </c>
      <c r="CR32" s="83"/>
      <c r="CS32" s="83"/>
      <c r="CT32" s="83" t="s">
        <v>465</v>
      </c>
      <c r="CU32" s="150">
        <f>B166</f>
        <v>150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55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15" customHeight="1" thickTop="1" x14ac:dyDescent="0.2">
      <c r="A33" s="91" t="s">
        <v>104</v>
      </c>
      <c r="B33" s="183">
        <f>PEF!J3</f>
        <v>69557565.807898715</v>
      </c>
      <c r="C33" s="52" t="s">
        <v>524</v>
      </c>
      <c r="D33" s="83" t="s">
        <v>267</v>
      </c>
      <c r="E33" s="136">
        <f>B17</f>
        <v>1</v>
      </c>
      <c r="F33" s="52" t="s">
        <v>344</v>
      </c>
      <c r="G33" s="52" t="s">
        <v>404</v>
      </c>
      <c r="H33" s="138">
        <f>B70</f>
        <v>0.75</v>
      </c>
      <c r="I33" s="52" t="s">
        <v>89</v>
      </c>
      <c r="J33" s="83" t="s">
        <v>379</v>
      </c>
      <c r="K33" s="141">
        <f>B65</f>
        <v>1</v>
      </c>
      <c r="L33" s="92" t="s">
        <v>60</v>
      </c>
      <c r="M33" s="52" t="s">
        <v>408</v>
      </c>
      <c r="N33" s="150">
        <f>B88</f>
        <v>5</v>
      </c>
      <c r="O33" s="52" t="s">
        <v>194</v>
      </c>
      <c r="P33" s="52" t="s">
        <v>408</v>
      </c>
      <c r="Q33" s="150">
        <f>B88</f>
        <v>5</v>
      </c>
      <c r="R33" s="52" t="s">
        <v>194</v>
      </c>
      <c r="V33" s="52" t="s">
        <v>247</v>
      </c>
      <c r="W33" s="139">
        <f>B18</f>
        <v>1.25E-4</v>
      </c>
      <c r="X33" s="84" t="s">
        <v>39</v>
      </c>
      <c r="Y33" s="52" t="s">
        <v>247</v>
      </c>
      <c r="Z33" s="139">
        <f>B18</f>
        <v>1.25E-4</v>
      </c>
      <c r="AA33" s="84" t="s">
        <v>39</v>
      </c>
      <c r="AB33" s="104" t="s">
        <v>103</v>
      </c>
      <c r="AC33" s="136"/>
      <c r="AD33" s="136"/>
      <c r="AE33" s="136"/>
      <c r="AF33" s="157">
        <f>B32</f>
        <v>776129.4078035407</v>
      </c>
      <c r="AG33" s="136"/>
      <c r="AH33" s="104" t="s">
        <v>78</v>
      </c>
      <c r="AI33" s="52" t="s">
        <v>57</v>
      </c>
      <c r="AJ33" s="136">
        <f>B242</f>
        <v>5</v>
      </c>
      <c r="AK33" s="52" t="s">
        <v>194</v>
      </c>
      <c r="AL33" s="52" t="s">
        <v>57</v>
      </c>
      <c r="AM33" s="136">
        <f>B242</f>
        <v>5</v>
      </c>
      <c r="AN33" s="52" t="s">
        <v>194</v>
      </c>
      <c r="AR33" s="52" t="s">
        <v>57</v>
      </c>
      <c r="AS33" s="136">
        <f>B252</f>
        <v>5</v>
      </c>
      <c r="AT33" s="52" t="s">
        <v>194</v>
      </c>
      <c r="AU33" s="52" t="s">
        <v>57</v>
      </c>
      <c r="AV33" s="136">
        <f>B252</f>
        <v>5</v>
      </c>
      <c r="AW33" s="52" t="s">
        <v>194</v>
      </c>
      <c r="BA33" s="52" t="s">
        <v>58</v>
      </c>
      <c r="BB33" s="136">
        <f>B232</f>
        <v>5</v>
      </c>
      <c r="BC33" s="52" t="s">
        <v>194</v>
      </c>
      <c r="BD33" s="52" t="s">
        <v>57</v>
      </c>
      <c r="BE33" s="136">
        <f>B232</f>
        <v>5</v>
      </c>
      <c r="BF33" s="52" t="s">
        <v>194</v>
      </c>
      <c r="BJ33" s="52" t="s">
        <v>411</v>
      </c>
      <c r="BK33" s="136">
        <f>B13</f>
        <v>0.46300000000000002</v>
      </c>
      <c r="BM33" s="52" t="s">
        <v>418</v>
      </c>
      <c r="BN33" s="136">
        <f>B9</f>
        <v>0.72299999999999998</v>
      </c>
      <c r="BS33" s="91"/>
      <c r="BT33" s="99"/>
      <c r="BU33" s="100"/>
      <c r="BW33" s="90"/>
      <c r="BZ33" s="146">
        <v>1000</v>
      </c>
      <c r="CA33" s="52" t="s">
        <v>23</v>
      </c>
      <c r="CM33" s="83"/>
      <c r="CN33" s="91" t="s">
        <v>231</v>
      </c>
      <c r="CO33" s="136">
        <f>B30</f>
        <v>1.04753425E-2</v>
      </c>
      <c r="CP33" s="52" t="s">
        <v>60</v>
      </c>
      <c r="CR33" s="83"/>
      <c r="CS33" s="83"/>
      <c r="CT33" s="83" t="s">
        <v>363</v>
      </c>
      <c r="CU33" s="141">
        <f t="shared" ref="CU33:CU40" si="1">B168</f>
        <v>1</v>
      </c>
      <c r="CV33" s="92" t="s">
        <v>60</v>
      </c>
      <c r="CZ33" s="92" t="s">
        <v>513</v>
      </c>
      <c r="DA33" s="141">
        <f t="shared" si="0"/>
        <v>55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B92</f>
        <v>70</v>
      </c>
    </row>
    <row r="34" spans="1:214" ht="13.15" customHeight="1" x14ac:dyDescent="0.2">
      <c r="A34" s="91" t="s">
        <v>231</v>
      </c>
      <c r="B34" s="183">
        <f>B30*365</f>
        <v>3.8235000124999998</v>
      </c>
      <c r="C34" s="52" t="s">
        <v>222</v>
      </c>
      <c r="D34" s="83" t="s">
        <v>382</v>
      </c>
      <c r="E34" s="150">
        <f>B68</f>
        <v>150</v>
      </c>
      <c r="F34" s="83" t="s">
        <v>24</v>
      </c>
      <c r="G34" s="83" t="s">
        <v>383</v>
      </c>
      <c r="H34" s="150">
        <f>B71</f>
        <v>24</v>
      </c>
      <c r="I34" s="94" t="s">
        <v>194</v>
      </c>
      <c r="J34" s="83" t="s">
        <v>383</v>
      </c>
      <c r="K34" s="150">
        <f>B71</f>
        <v>24</v>
      </c>
      <c r="L34" s="94" t="s">
        <v>194</v>
      </c>
      <c r="M34" s="52" t="s">
        <v>410</v>
      </c>
      <c r="N34" s="139">
        <f>B23</f>
        <v>4.3486799999999998E-4</v>
      </c>
      <c r="O34" s="84" t="s">
        <v>354</v>
      </c>
      <c r="P34" s="52" t="s">
        <v>419</v>
      </c>
      <c r="Q34" s="139">
        <f>B25</f>
        <v>1.2571640000000001E-3</v>
      </c>
      <c r="R34" s="84" t="s">
        <v>353</v>
      </c>
      <c r="V34" s="52" t="s">
        <v>421</v>
      </c>
      <c r="W34" s="150">
        <f>B243</f>
        <v>5</v>
      </c>
      <c r="X34" s="84" t="s">
        <v>194</v>
      </c>
      <c r="Y34" s="52" t="s">
        <v>192</v>
      </c>
      <c r="Z34" s="150">
        <f>B262</f>
        <v>5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B33</f>
        <v>69557565.807898715</v>
      </c>
      <c r="AH34" s="104" t="s">
        <v>78</v>
      </c>
      <c r="AI34" s="52" t="s">
        <v>410</v>
      </c>
      <c r="AJ34" s="139">
        <f>B23</f>
        <v>4.3486799999999998E-4</v>
      </c>
      <c r="AK34" s="84" t="s">
        <v>353</v>
      </c>
      <c r="AL34" s="52" t="s">
        <v>419</v>
      </c>
      <c r="AM34" s="139">
        <f>B25</f>
        <v>1.2571640000000001E-3</v>
      </c>
      <c r="AN34" s="84" t="s">
        <v>353</v>
      </c>
      <c r="AR34" s="52" t="s">
        <v>410</v>
      </c>
      <c r="AS34" s="139">
        <f>B23</f>
        <v>4.3486799999999998E-4</v>
      </c>
      <c r="AT34" s="84" t="s">
        <v>353</v>
      </c>
      <c r="AU34" s="52" t="s">
        <v>419</v>
      </c>
      <c r="AV34" s="139">
        <f>B25</f>
        <v>1.2571640000000001E-3</v>
      </c>
      <c r="AW34" s="84" t="s">
        <v>353</v>
      </c>
      <c r="BA34" s="52" t="s">
        <v>410</v>
      </c>
      <c r="BB34" s="139">
        <f>B23</f>
        <v>4.3486799999999998E-4</v>
      </c>
      <c r="BC34" s="84" t="s">
        <v>353</v>
      </c>
      <c r="BD34" s="52" t="s">
        <v>419</v>
      </c>
      <c r="BE34" s="139">
        <f>B25</f>
        <v>1.2571640000000001E-3</v>
      </c>
      <c r="BF34" s="84" t="s">
        <v>353</v>
      </c>
      <c r="BJ34" s="52" t="s">
        <v>57</v>
      </c>
      <c r="BK34" s="136">
        <f>B262</f>
        <v>5</v>
      </c>
      <c r="BL34" s="52" t="s">
        <v>194</v>
      </c>
      <c r="BM34" s="52" t="s">
        <v>57</v>
      </c>
      <c r="BN34" s="136">
        <f>B262</f>
        <v>5</v>
      </c>
      <c r="BO34" s="52" t="s">
        <v>194</v>
      </c>
      <c r="BT34" s="102"/>
      <c r="BU34" s="91"/>
      <c r="BY34" s="91" t="s">
        <v>308</v>
      </c>
      <c r="BZ34" s="146">
        <f>B111</f>
        <v>0.23</v>
      </c>
      <c r="CM34" s="83"/>
      <c r="CN34" s="84" t="s">
        <v>16</v>
      </c>
      <c r="CO34" s="137">
        <f>(CO31*CO32)/(1-EXP(-CO32*CO31))</f>
        <v>132.31070964982766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55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B45</f>
        <v>0</v>
      </c>
    </row>
    <row r="35" spans="1:214" ht="13.15" customHeight="1" x14ac:dyDescent="0.2">
      <c r="A35" s="83" t="s">
        <v>105</v>
      </c>
      <c r="B35" s="182">
        <v>0</v>
      </c>
      <c r="C35" s="84" t="s">
        <v>18</v>
      </c>
      <c r="D35" s="83" t="s">
        <v>258</v>
      </c>
      <c r="E35" s="136">
        <f>B29</f>
        <v>0</v>
      </c>
      <c r="F35" s="83" t="s">
        <v>87</v>
      </c>
      <c r="G35" s="83" t="s">
        <v>384</v>
      </c>
      <c r="H35" s="150">
        <f>B71</f>
        <v>24</v>
      </c>
      <c r="I35" s="52" t="s">
        <v>194</v>
      </c>
      <c r="J35" s="83" t="s">
        <v>384</v>
      </c>
      <c r="K35" s="150">
        <f>B71</f>
        <v>24</v>
      </c>
      <c r="L35" s="52" t="s">
        <v>194</v>
      </c>
      <c r="M35" s="52" t="s">
        <v>409</v>
      </c>
      <c r="N35" s="150">
        <f>B89</f>
        <v>25</v>
      </c>
      <c r="O35" s="52" t="s">
        <v>194</v>
      </c>
      <c r="P35" s="52" t="s">
        <v>409</v>
      </c>
      <c r="Q35" s="150">
        <f>B89</f>
        <v>25</v>
      </c>
      <c r="R35" s="52" t="s">
        <v>194</v>
      </c>
      <c r="V35" s="52" t="s">
        <v>304</v>
      </c>
      <c r="W35" s="146">
        <f>B236</f>
        <v>50</v>
      </c>
      <c r="X35" s="84" t="s">
        <v>407</v>
      </c>
      <c r="Y35" s="52" t="s">
        <v>348</v>
      </c>
      <c r="Z35" s="146">
        <f>B256</f>
        <v>50</v>
      </c>
      <c r="AA35" s="84" t="s">
        <v>407</v>
      </c>
      <c r="AI35" s="52" t="s">
        <v>69</v>
      </c>
      <c r="AJ35" s="136">
        <f>B243</f>
        <v>5</v>
      </c>
      <c r="AK35" s="52" t="s">
        <v>194</v>
      </c>
      <c r="AL35" s="52" t="s">
        <v>69</v>
      </c>
      <c r="AM35" s="136">
        <f>B243</f>
        <v>5</v>
      </c>
      <c r="AN35" s="52" t="s">
        <v>194</v>
      </c>
      <c r="AR35" s="52" t="s">
        <v>69</v>
      </c>
      <c r="AS35" s="136">
        <f>B253</f>
        <v>5</v>
      </c>
      <c r="AT35" s="52" t="s">
        <v>194</v>
      </c>
      <c r="AU35" s="52" t="s">
        <v>69</v>
      </c>
      <c r="AV35" s="136">
        <f>B253</f>
        <v>5</v>
      </c>
      <c r="AW35" s="52" t="s">
        <v>194</v>
      </c>
      <c r="BA35" s="52" t="s">
        <v>69</v>
      </c>
      <c r="BB35" s="136">
        <f>B233</f>
        <v>5</v>
      </c>
      <c r="BC35" s="52" t="s">
        <v>194</v>
      </c>
      <c r="BD35" s="52" t="s">
        <v>69</v>
      </c>
      <c r="BE35" s="136">
        <f>B233</f>
        <v>5</v>
      </c>
      <c r="BF35" s="52" t="s">
        <v>194</v>
      </c>
      <c r="BJ35" s="52" t="s">
        <v>410</v>
      </c>
      <c r="BK35" s="139">
        <f>B23</f>
        <v>4.3486799999999998E-4</v>
      </c>
      <c r="BL35" s="84" t="s">
        <v>353</v>
      </c>
      <c r="BM35" s="52" t="s">
        <v>419</v>
      </c>
      <c r="BN35" s="139">
        <f>B25</f>
        <v>1.2571640000000001E-3</v>
      </c>
      <c r="BO35" s="84" t="s">
        <v>353</v>
      </c>
      <c r="BY35" s="91" t="s">
        <v>309</v>
      </c>
      <c r="BZ35" s="146">
        <f>B112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B165</f>
        <v>150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B75</f>
        <v>0.5</v>
      </c>
      <c r="HF35" s="52" t="s">
        <v>355</v>
      </c>
    </row>
    <row r="36" spans="1:214" ht="13.15" customHeight="1" x14ac:dyDescent="0.2">
      <c r="A36" s="83" t="s">
        <v>239</v>
      </c>
      <c r="B36" s="183">
        <v>0</v>
      </c>
      <c r="C36" s="52" t="s">
        <v>601</v>
      </c>
      <c r="D36" s="83" t="s">
        <v>389</v>
      </c>
      <c r="E36" s="146">
        <f>B90</f>
        <v>1</v>
      </c>
      <c r="G36" s="83" t="s">
        <v>405</v>
      </c>
      <c r="H36" s="138">
        <f>B76</f>
        <v>5</v>
      </c>
      <c r="I36" s="52" t="s">
        <v>80</v>
      </c>
      <c r="J36" s="83" t="s">
        <v>390</v>
      </c>
      <c r="K36" s="141">
        <f>B78</f>
        <v>0.25</v>
      </c>
      <c r="M36" s="121"/>
      <c r="N36" s="121"/>
      <c r="O36" s="121"/>
      <c r="P36" s="121"/>
      <c r="Q36" s="121"/>
      <c r="R36" s="121"/>
      <c r="V36" s="83" t="s">
        <v>256</v>
      </c>
      <c r="W36" s="136">
        <f>B27</f>
        <v>3.2316400000000001</v>
      </c>
      <c r="X36" s="83" t="s">
        <v>343</v>
      </c>
      <c r="Y36" s="83" t="s">
        <v>256</v>
      </c>
      <c r="Z36" s="136">
        <f>B27</f>
        <v>3.2316400000000001</v>
      </c>
      <c r="AA36" s="83" t="s">
        <v>343</v>
      </c>
      <c r="AI36" s="83"/>
      <c r="AJ36" s="83"/>
      <c r="AK36" s="83"/>
      <c r="AL36" s="83"/>
      <c r="AM36" s="83"/>
      <c r="AN36" s="83"/>
      <c r="AR36" s="83"/>
      <c r="AS36" s="83"/>
      <c r="AT36" s="83"/>
      <c r="AU36" s="83"/>
      <c r="AV36" s="83"/>
      <c r="AW36" s="83"/>
      <c r="BA36" s="83"/>
      <c r="BB36" s="83"/>
      <c r="BC36" s="83"/>
      <c r="BD36" s="83"/>
      <c r="BE36" s="83"/>
      <c r="BF36" s="83"/>
      <c r="BS36" s="100"/>
      <c r="BT36" s="100"/>
      <c r="BU36" s="91"/>
      <c r="BZ36" s="90"/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B166</f>
        <v>150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B97</f>
        <v>5</v>
      </c>
      <c r="HF36" s="52" t="s">
        <v>94</v>
      </c>
    </row>
    <row r="37" spans="1:214" ht="12.75" customHeight="1" x14ac:dyDescent="0.2">
      <c r="A37" s="83" t="s">
        <v>236</v>
      </c>
      <c r="B37" s="183">
        <v>0</v>
      </c>
      <c r="C37" s="52" t="s">
        <v>388</v>
      </c>
      <c r="D37" s="83" t="s">
        <v>394</v>
      </c>
      <c r="E37" s="146">
        <f>B56</f>
        <v>35</v>
      </c>
      <c r="F37" s="52" t="s">
        <v>48</v>
      </c>
      <c r="G37" s="83" t="s">
        <v>406</v>
      </c>
      <c r="H37" s="138">
        <f>B77</f>
        <v>5</v>
      </c>
      <c r="I37" s="52" t="s">
        <v>80</v>
      </c>
      <c r="J37" s="83" t="s">
        <v>408</v>
      </c>
      <c r="K37" s="150">
        <f>B88</f>
        <v>5</v>
      </c>
      <c r="L37" s="84" t="s">
        <v>194</v>
      </c>
      <c r="V37" s="83" t="s">
        <v>301</v>
      </c>
      <c r="W37" s="142">
        <f>B240</f>
        <v>2</v>
      </c>
      <c r="Y37" s="83" t="s">
        <v>301</v>
      </c>
      <c r="Z37" s="142">
        <f>B260</f>
        <v>2</v>
      </c>
      <c r="BS37" s="91"/>
      <c r="BT37" s="91"/>
      <c r="BU37" s="91"/>
      <c r="BZ37" s="90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15</v>
      </c>
      <c r="CV37" s="84" t="s">
        <v>194</v>
      </c>
      <c r="CZ37" s="92" t="s">
        <v>363</v>
      </c>
      <c r="DA37" s="141">
        <f>B168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4.25" customHeight="1" x14ac:dyDescent="0.2">
      <c r="A38" s="83" t="s">
        <v>237</v>
      </c>
      <c r="B38" s="183">
        <v>0</v>
      </c>
      <c r="C38" s="52" t="s">
        <v>388</v>
      </c>
      <c r="D38" s="83" t="s">
        <v>260</v>
      </c>
      <c r="E38" s="152" t="e">
        <f>E33/(E35*E34*E37*E36)</f>
        <v>#DIV/0!</v>
      </c>
      <c r="F38" s="84" t="s">
        <v>10</v>
      </c>
      <c r="H38" s="138">
        <f>1/1000</f>
        <v>1E-3</v>
      </c>
      <c r="I38" s="52" t="s">
        <v>82</v>
      </c>
      <c r="J38" s="83" t="s">
        <v>409</v>
      </c>
      <c r="K38" s="150">
        <f>B89</f>
        <v>25</v>
      </c>
      <c r="L38" s="84" t="s">
        <v>194</v>
      </c>
      <c r="V38" s="52" t="s">
        <v>261</v>
      </c>
      <c r="W38" s="143">
        <f>(W27)/((W34/24)*W31*W32*W33*W35)</f>
        <v>6.1439999999999992</v>
      </c>
      <c r="X38" s="52" t="s">
        <v>15</v>
      </c>
      <c r="Y38" s="52" t="s">
        <v>261</v>
      </c>
      <c r="Z38" s="143">
        <f>(Z27)/((Z34/24)*Z31*Z32*Z33*Z35)</f>
        <v>6.1439999999999992</v>
      </c>
      <c r="AA38" s="52" t="s">
        <v>15</v>
      </c>
      <c r="AE38" s="352" t="s">
        <v>226</v>
      </c>
      <c r="AF38" s="352"/>
      <c r="AG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5</v>
      </c>
      <c r="CV38" s="84" t="s">
        <v>194</v>
      </c>
      <c r="CZ38" s="92" t="s">
        <v>364</v>
      </c>
      <c r="DA38" s="141">
        <f>B169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B98</f>
        <v>0.18</v>
      </c>
      <c r="HF38" s="52" t="s">
        <v>355</v>
      </c>
    </row>
    <row r="39" spans="1:214" x14ac:dyDescent="0.2">
      <c r="A39" s="83" t="s">
        <v>171</v>
      </c>
      <c r="B39" s="183">
        <v>0</v>
      </c>
      <c r="C39" s="52" t="s">
        <v>388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(W27)/((W34/24)*W31*W36*(1/365))</f>
        <v>4.3371167580547336</v>
      </c>
      <c r="X39" s="52" t="s">
        <v>15</v>
      </c>
      <c r="Y39" s="52" t="s">
        <v>271</v>
      </c>
      <c r="Z39" s="144">
        <f>(Z27)/((Z34/24)*Z31*Z36*(1/365))</f>
        <v>4.3371167580547336</v>
      </c>
      <c r="AA39" s="52" t="s">
        <v>15</v>
      </c>
      <c r="AE39" s="352"/>
      <c r="AF39" s="352"/>
      <c r="AG39" s="352"/>
      <c r="BK39" s="352" t="s">
        <v>230</v>
      </c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B170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B99</f>
        <v>55</v>
      </c>
      <c r="HF39" s="52" t="s">
        <v>97</v>
      </c>
    </row>
    <row r="40" spans="1:214" ht="15" customHeight="1" x14ac:dyDescent="0.2">
      <c r="A40" s="83" t="s">
        <v>238</v>
      </c>
      <c r="B40" s="183">
        <v>0</v>
      </c>
      <c r="C40" s="52" t="s">
        <v>388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(W27*W29*W28)/((W34/24)*(1-EXP(-W29*W32))*W33*W35*W31*W32)</f>
        <v>406.45850004427052</v>
      </c>
      <c r="X40" s="52" t="s">
        <v>16</v>
      </c>
      <c r="Y40" s="52" t="s">
        <v>261</v>
      </c>
      <c r="Z40" s="144">
        <f>(Z27*Z29*Z28)/((Z34/24)*(1-EXP(-Z29*Z32))*Z33*Z35*Z31*Z32)</f>
        <v>406.45850004427052</v>
      </c>
      <c r="AA40" s="52" t="s">
        <v>16</v>
      </c>
      <c r="AE40" s="352"/>
      <c r="AF40" s="352"/>
      <c r="AG40" s="352"/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1</v>
      </c>
      <c r="CZ40" s="92" t="s">
        <v>457</v>
      </c>
      <c r="DA40" s="141">
        <f>B177</f>
        <v>5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B100</f>
        <v>5</v>
      </c>
      <c r="HF40" s="52" t="s">
        <v>97</v>
      </c>
    </row>
    <row r="41" spans="1:214" ht="13.5" thickBot="1" x14ac:dyDescent="0.25">
      <c r="A41" s="52" t="s">
        <v>229</v>
      </c>
      <c r="B41" s="183">
        <f>B37</f>
        <v>0</v>
      </c>
      <c r="C41" s="52" t="s">
        <v>388</v>
      </c>
      <c r="G41" s="83" t="s">
        <v>390</v>
      </c>
      <c r="H41" s="141">
        <f>B78</f>
        <v>0.25</v>
      </c>
      <c r="I41" s="84"/>
      <c r="J41" s="83" t="s">
        <v>302</v>
      </c>
      <c r="K41" s="161">
        <f>B3</f>
        <v>6.8000000000000005E-2</v>
      </c>
      <c r="V41" s="52" t="s">
        <v>271</v>
      </c>
      <c r="W41" s="145">
        <f>(W27*W29*W28)/((W34/24)*(1-EXP(-W29*W28))*W36*W31*(1/365))</f>
        <v>286.92349804619079</v>
      </c>
      <c r="X41" s="52" t="s">
        <v>16</v>
      </c>
      <c r="Y41" s="52" t="s">
        <v>271</v>
      </c>
      <c r="Z41" s="145">
        <f>(Z27*Z29*Z28)/((Z34/24)*(1-EXP(-Z29*Z28))*Z36*Z31*(1/365))</f>
        <v>286.92349804619079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61">
        <f>B3</f>
        <v>6.8000000000000005E-2</v>
      </c>
      <c r="CZ41" s="92" t="s">
        <v>466</v>
      </c>
      <c r="DA41" s="141">
        <f>B178</f>
        <v>5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B101</f>
        <v>5</v>
      </c>
      <c r="HF41" s="52" t="s">
        <v>97</v>
      </c>
    </row>
    <row r="42" spans="1:214" ht="13.9" customHeight="1" thickTop="1" thickBot="1" x14ac:dyDescent="0.25">
      <c r="A42" s="83" t="s">
        <v>228</v>
      </c>
      <c r="B42" s="183">
        <f>B38</f>
        <v>0</v>
      </c>
      <c r="C42" s="52" t="s">
        <v>388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61">
        <f>B4</f>
        <v>0.75600000000000001</v>
      </c>
      <c r="Y42" s="52" t="s">
        <v>220</v>
      </c>
      <c r="Z42" s="138">
        <f>B266</f>
        <v>25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61">
        <f>B4</f>
        <v>0.75600000000000001</v>
      </c>
      <c r="CW42" s="84"/>
      <c r="CX42" s="84"/>
      <c r="CY42" s="84"/>
      <c r="CZ42" s="52" t="s">
        <v>477</v>
      </c>
      <c r="DA42" s="141">
        <f>B179</f>
        <v>0.25</v>
      </c>
      <c r="DB42" s="92" t="s">
        <v>358</v>
      </c>
      <c r="DW42" s="88"/>
      <c r="DX42" s="88"/>
      <c r="DY42" s="88"/>
      <c r="DZ42" s="88"/>
      <c r="HD42" s="52" t="s">
        <v>225</v>
      </c>
      <c r="HE42" s="138">
        <f>1+((HE35*HE36*HE37)/(HE38*HE39))</f>
        <v>3.1605966718331597</v>
      </c>
    </row>
    <row r="43" spans="1:214" ht="13.15" customHeight="1" x14ac:dyDescent="0.2">
      <c r="A43" s="84" t="s">
        <v>32</v>
      </c>
      <c r="B43" s="183">
        <v>0</v>
      </c>
      <c r="D43" s="323" t="s">
        <v>530</v>
      </c>
      <c r="E43" s="347" t="e">
        <f>E53</f>
        <v>#DIV/0!</v>
      </c>
      <c r="F43" s="345" t="s">
        <v>11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Y43" s="52" t="s">
        <v>219</v>
      </c>
      <c r="Z43" s="138">
        <f>B265</f>
        <v>3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B180</f>
        <v>0.85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52" t="s">
        <v>33</v>
      </c>
      <c r="B44" s="183">
        <v>0</v>
      </c>
      <c r="D44" s="324"/>
      <c r="E44" s="348"/>
      <c r="F44" s="346"/>
      <c r="G44" s="52" t="s">
        <v>19</v>
      </c>
      <c r="H44" s="136">
        <f>H46</f>
        <v>0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2.75" customHeight="1" thickTop="1" x14ac:dyDescent="0.2">
      <c r="A45" s="83" t="s">
        <v>156</v>
      </c>
      <c r="B45" s="182">
        <v>0</v>
      </c>
      <c r="C45" s="83" t="s">
        <v>18</v>
      </c>
      <c r="D45" s="83" t="s">
        <v>267</v>
      </c>
      <c r="E45" s="136">
        <f>B17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B181</f>
        <v>0.5</v>
      </c>
      <c r="DB45" s="92" t="s">
        <v>145</v>
      </c>
      <c r="DW45" s="88"/>
      <c r="DX45" s="88"/>
      <c r="DY45" s="88"/>
      <c r="DZ45" s="88"/>
    </row>
    <row r="46" spans="1:214" x14ac:dyDescent="0.2">
      <c r="A46" s="84" t="s">
        <v>21</v>
      </c>
      <c r="B46" s="181">
        <v>15</v>
      </c>
      <c r="C46" s="52" t="s">
        <v>11</v>
      </c>
      <c r="D46" s="83" t="s">
        <v>382</v>
      </c>
      <c r="E46" s="150">
        <f>B68</f>
        <v>150</v>
      </c>
      <c r="F46" s="83" t="s">
        <v>24</v>
      </c>
      <c r="G46" s="84" t="s">
        <v>32</v>
      </c>
      <c r="H46" s="139">
        <f>B43</f>
        <v>0</v>
      </c>
      <c r="K46" s="146">
        <v>1000</v>
      </c>
      <c r="L46" s="52" t="s">
        <v>23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52" t="s">
        <v>393</v>
      </c>
      <c r="B47" s="131">
        <v>0.26</v>
      </c>
      <c r="D47" s="83" t="s">
        <v>258</v>
      </c>
      <c r="E47" s="136">
        <f>B29</f>
        <v>0</v>
      </c>
      <c r="F47" s="83" t="s">
        <v>87</v>
      </c>
      <c r="G47" s="83" t="s">
        <v>393</v>
      </c>
      <c r="H47" s="142">
        <f>B47</f>
        <v>0.26</v>
      </c>
      <c r="J47" s="52" t="s">
        <v>19</v>
      </c>
      <c r="K47" s="136">
        <f>K49</f>
        <v>0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B163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52" t="s">
        <v>392</v>
      </c>
      <c r="B48" s="131">
        <v>0.25</v>
      </c>
      <c r="D48" s="83" t="s">
        <v>379</v>
      </c>
      <c r="E48" s="146">
        <f>B65</f>
        <v>1</v>
      </c>
      <c r="F48" s="52" t="s">
        <v>60</v>
      </c>
      <c r="G48" s="52" t="s">
        <v>17</v>
      </c>
      <c r="H48" s="137">
        <f>((H51*H52*H53)*((1-EXP(-H54*H55))))/(H56*H54)</f>
        <v>0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B164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381" t="s">
        <v>2</v>
      </c>
      <c r="B49" s="382"/>
      <c r="C49" s="383"/>
      <c r="D49" s="83" t="s">
        <v>394</v>
      </c>
      <c r="E49" s="146">
        <f>B56</f>
        <v>35</v>
      </c>
      <c r="F49" s="52" t="s">
        <v>48</v>
      </c>
      <c r="G49" s="52" t="s">
        <v>25</v>
      </c>
      <c r="H49" s="137">
        <f>(H51*H52*H57*((1-EXP(-H54*H55))))/(H56*H54)</f>
        <v>5.4084629109509424E-3</v>
      </c>
      <c r="I49" s="52" t="s">
        <v>18</v>
      </c>
      <c r="J49" s="84" t="s">
        <v>32</v>
      </c>
      <c r="K49" s="139">
        <f>B43</f>
        <v>0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Z49" s="83" t="s">
        <v>475</v>
      </c>
      <c r="DA49" s="146">
        <f>B163</f>
        <v>0.15</v>
      </c>
      <c r="DW49" s="88"/>
      <c r="DX49" s="88"/>
      <c r="DY49" s="88"/>
      <c r="DZ49" s="88"/>
    </row>
    <row r="50" spans="1:130" x14ac:dyDescent="0.2">
      <c r="A50" s="83" t="s">
        <v>366</v>
      </c>
      <c r="B50" s="130">
        <v>5</v>
      </c>
      <c r="C50" s="92" t="s">
        <v>407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0.82362658902748997</v>
      </c>
      <c r="I50" s="52" t="s">
        <v>18</v>
      </c>
      <c r="J50" s="83" t="s">
        <v>393</v>
      </c>
      <c r="K50" s="142">
        <f>B47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Z50" s="83" t="s">
        <v>476</v>
      </c>
      <c r="DA50" s="146">
        <f>B164</f>
        <v>0.85</v>
      </c>
      <c r="DW50" s="88"/>
      <c r="DX50" s="88"/>
      <c r="DY50" s="88"/>
      <c r="DZ50" s="88"/>
    </row>
    <row r="51" spans="1:130" x14ac:dyDescent="0.2">
      <c r="A51" s="83" t="s">
        <v>367</v>
      </c>
      <c r="B51" s="130">
        <v>10</v>
      </c>
      <c r="C51" s="92" t="s">
        <v>407</v>
      </c>
      <c r="D51" s="83" t="s">
        <v>105</v>
      </c>
      <c r="E51" s="150">
        <f>B35</f>
        <v>0</v>
      </c>
      <c r="F51" s="84" t="s">
        <v>18</v>
      </c>
      <c r="G51" s="83" t="s">
        <v>36</v>
      </c>
      <c r="H51" s="138">
        <f>B79</f>
        <v>3.62</v>
      </c>
      <c r="I51" s="52" t="s">
        <v>37</v>
      </c>
      <c r="J51" s="83" t="s">
        <v>376</v>
      </c>
      <c r="K51" s="146">
        <f>B61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DW51" s="88"/>
      <c r="DX51" s="88"/>
      <c r="DY51" s="88"/>
      <c r="DZ51" s="88"/>
    </row>
    <row r="52" spans="1:130" x14ac:dyDescent="0.2">
      <c r="A52" s="83" t="s">
        <v>368</v>
      </c>
      <c r="B52" s="130">
        <v>100</v>
      </c>
      <c r="C52" s="84" t="s">
        <v>48</v>
      </c>
      <c r="D52" s="83" t="s">
        <v>107</v>
      </c>
      <c r="E52" s="138">
        <f>B74</f>
        <v>1</v>
      </c>
      <c r="F52" s="84" t="s">
        <v>108</v>
      </c>
      <c r="G52" s="83" t="s">
        <v>40</v>
      </c>
      <c r="H52" s="138">
        <f>B80</f>
        <v>0.25</v>
      </c>
      <c r="I52" s="52" t="s">
        <v>41</v>
      </c>
      <c r="J52" s="83" t="s">
        <v>377</v>
      </c>
      <c r="K52" s="146">
        <f>B62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DW52" s="88"/>
      <c r="DX52" s="88"/>
      <c r="DY52" s="88"/>
      <c r="DZ52" s="88"/>
    </row>
    <row r="53" spans="1:130" x14ac:dyDescent="0.2">
      <c r="A53" s="83" t="s">
        <v>369</v>
      </c>
      <c r="B53" s="130">
        <v>50</v>
      </c>
      <c r="C53" s="84" t="s">
        <v>48</v>
      </c>
      <c r="D53" s="83" t="s">
        <v>260</v>
      </c>
      <c r="E53" s="152" t="e">
        <f>E45/(E47*E46*E48*E49*E51*E52*(1/E50))</f>
        <v>#DIV/0!</v>
      </c>
      <c r="F53" s="52" t="s">
        <v>11</v>
      </c>
      <c r="G53" s="92" t="s">
        <v>32</v>
      </c>
      <c r="H53" s="136">
        <f>B43</f>
        <v>0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83" t="s">
        <v>370</v>
      </c>
      <c r="B54" s="130">
        <v>0.25</v>
      </c>
      <c r="C54" s="83" t="s">
        <v>28</v>
      </c>
      <c r="D54" s="95"/>
      <c r="E54" s="176"/>
      <c r="G54" s="92" t="s">
        <v>49</v>
      </c>
      <c r="H54" s="137">
        <f>H62+H63</f>
        <v>0.18127454746551735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83" t="s">
        <v>371</v>
      </c>
      <c r="B55" s="130">
        <v>1.5</v>
      </c>
      <c r="C55" s="52" t="s">
        <v>28</v>
      </c>
      <c r="G55" s="92" t="s">
        <v>52</v>
      </c>
      <c r="H55" s="138">
        <f>B81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83" t="s">
        <v>310</v>
      </c>
      <c r="B56" s="130">
        <v>35</v>
      </c>
      <c r="C56" s="52" t="s">
        <v>48</v>
      </c>
      <c r="G56" s="92" t="s">
        <v>55</v>
      </c>
      <c r="H56" s="138">
        <f>B82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83" t="s">
        <v>372</v>
      </c>
      <c r="B57" s="130">
        <v>55</v>
      </c>
      <c r="C57" s="92" t="s">
        <v>221</v>
      </c>
      <c r="G57" s="92" t="s">
        <v>393</v>
      </c>
      <c r="H57" s="138">
        <f>B47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83" t="s">
        <v>373</v>
      </c>
      <c r="B58" s="130">
        <v>55</v>
      </c>
      <c r="C58" s="92" t="s">
        <v>221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83" t="s">
        <v>374</v>
      </c>
      <c r="B59" s="130">
        <v>55</v>
      </c>
      <c r="C59" s="92" t="s">
        <v>221</v>
      </c>
      <c r="G59" s="92" t="s">
        <v>63</v>
      </c>
      <c r="H59" s="151">
        <f>H63+(0.693/H65)</f>
        <v>0.23074754746551734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83" t="s">
        <v>375</v>
      </c>
      <c r="B60" s="130">
        <v>55</v>
      </c>
      <c r="C60" s="92" t="s">
        <v>221</v>
      </c>
      <c r="G60" s="92" t="s">
        <v>67</v>
      </c>
      <c r="H60" s="142">
        <f>B83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83" t="s">
        <v>376</v>
      </c>
      <c r="B61" s="130">
        <v>0.23</v>
      </c>
      <c r="G61" s="92" t="s">
        <v>68</v>
      </c>
      <c r="H61" s="142">
        <f>B84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83" t="s">
        <v>377</v>
      </c>
      <c r="B62" s="130">
        <v>0.77</v>
      </c>
      <c r="G62" s="92" t="s">
        <v>70</v>
      </c>
      <c r="H62" s="138">
        <f>B85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378</v>
      </c>
      <c r="B63" s="131">
        <v>1</v>
      </c>
      <c r="C63" s="52" t="s">
        <v>60</v>
      </c>
      <c r="G63" s="92" t="s">
        <v>71</v>
      </c>
      <c r="H63" s="137">
        <f>0.693/H67</f>
        <v>0.18124754746551736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52" t="s">
        <v>448</v>
      </c>
      <c r="B64" s="131">
        <v>1</v>
      </c>
      <c r="C64" s="52" t="s">
        <v>60</v>
      </c>
      <c r="G64" s="92" t="s">
        <v>73</v>
      </c>
      <c r="H64" s="138">
        <f>B86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379</v>
      </c>
      <c r="B65" s="131">
        <v>1</v>
      </c>
      <c r="C65" s="52" t="s">
        <v>60</v>
      </c>
      <c r="G65" s="92" t="s">
        <v>74</v>
      </c>
      <c r="H65" s="138">
        <f>B87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380</v>
      </c>
      <c r="B66" s="131">
        <v>150</v>
      </c>
      <c r="C66" s="83" t="s">
        <v>24</v>
      </c>
      <c r="G66" s="52" t="s">
        <v>33</v>
      </c>
      <c r="H66" s="136">
        <f>B44</f>
        <v>0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381</v>
      </c>
      <c r="B67" s="131">
        <v>150</v>
      </c>
      <c r="C67" s="83" t="s">
        <v>24</v>
      </c>
      <c r="G67" s="83" t="s">
        <v>234</v>
      </c>
      <c r="H67" s="136">
        <f>B34</f>
        <v>3.8235000124999998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382</v>
      </c>
      <c r="B68" s="131">
        <v>150</v>
      </c>
      <c r="C68" s="83" t="s">
        <v>24</v>
      </c>
      <c r="G68" s="83" t="s">
        <v>376</v>
      </c>
      <c r="H68" s="146">
        <f>B61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52" t="s">
        <v>403</v>
      </c>
      <c r="B69" s="131">
        <v>0.25</v>
      </c>
      <c r="C69" s="52" t="s">
        <v>89</v>
      </c>
      <c r="G69" s="83" t="s">
        <v>377</v>
      </c>
      <c r="H69" s="146">
        <f>B62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52" t="s">
        <v>404</v>
      </c>
      <c r="B70" s="131">
        <v>0.75</v>
      </c>
      <c r="C70" s="52" t="s">
        <v>89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52" t="s">
        <v>385</v>
      </c>
      <c r="B71" s="131">
        <v>24</v>
      </c>
      <c r="C71" s="52" t="s">
        <v>194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52" t="s">
        <v>318</v>
      </c>
      <c r="B72" s="131">
        <v>2</v>
      </c>
      <c r="AF72" s="109"/>
      <c r="AG72" s="106"/>
      <c r="AH72" s="106"/>
      <c r="AI72" s="106"/>
      <c r="AJ72" s="106"/>
      <c r="AK72" s="106"/>
    </row>
    <row r="73" spans="1:105" x14ac:dyDescent="0.2">
      <c r="A73" s="52" t="s">
        <v>303</v>
      </c>
      <c r="B73" s="131">
        <v>1</v>
      </c>
      <c r="AF73" s="109"/>
      <c r="AG73" s="106"/>
      <c r="AH73" s="106"/>
      <c r="AI73" s="106"/>
      <c r="AJ73" s="106"/>
      <c r="AK73" s="106"/>
    </row>
    <row r="74" spans="1:105" x14ac:dyDescent="0.2">
      <c r="A74" s="83" t="s">
        <v>107</v>
      </c>
      <c r="B74" s="131">
        <v>1</v>
      </c>
      <c r="C74" s="84" t="s">
        <v>108</v>
      </c>
      <c r="AF74" s="109"/>
      <c r="AG74" s="106"/>
      <c r="AH74" s="106"/>
      <c r="AI74" s="106"/>
      <c r="AJ74" s="106"/>
      <c r="AK74" s="106"/>
    </row>
    <row r="75" spans="1:105" x14ac:dyDescent="0.2">
      <c r="A75" s="52" t="s">
        <v>65</v>
      </c>
      <c r="B75" s="131">
        <v>0.5</v>
      </c>
      <c r="C75" s="52" t="s">
        <v>66</v>
      </c>
      <c r="AF75" s="108"/>
      <c r="AG75" s="106"/>
      <c r="AH75" s="106"/>
      <c r="AI75" s="106"/>
      <c r="AJ75" s="106"/>
      <c r="AK75" s="106"/>
    </row>
    <row r="76" spans="1:105" x14ac:dyDescent="0.2">
      <c r="A76" s="52" t="s">
        <v>79</v>
      </c>
      <c r="B76" s="131">
        <v>5</v>
      </c>
      <c r="C76" s="52" t="s">
        <v>80</v>
      </c>
      <c r="AF76" s="109"/>
      <c r="AG76" s="106"/>
      <c r="AH76" s="106"/>
      <c r="AI76" s="106"/>
      <c r="AJ76" s="106"/>
      <c r="AK76" s="106"/>
    </row>
    <row r="77" spans="1:105" x14ac:dyDescent="0.2">
      <c r="A77" s="52" t="s">
        <v>81</v>
      </c>
      <c r="B77" s="131">
        <v>5</v>
      </c>
      <c r="C77" s="52" t="s">
        <v>80</v>
      </c>
      <c r="AF77" s="109"/>
      <c r="AG77" s="106"/>
      <c r="AH77" s="106"/>
      <c r="AI77" s="106"/>
      <c r="AJ77" s="106"/>
      <c r="AK77" s="106"/>
    </row>
    <row r="78" spans="1:105" ht="12.75" customHeight="1" x14ac:dyDescent="0.2">
      <c r="A78" s="52" t="s">
        <v>390</v>
      </c>
      <c r="B78" s="131">
        <v>0.25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36</v>
      </c>
      <c r="B79" s="131">
        <v>3.62</v>
      </c>
      <c r="C79" s="52" t="s">
        <v>37</v>
      </c>
      <c r="AF79" s="109"/>
      <c r="AG79" s="106"/>
    </row>
    <row r="80" spans="1:105" x14ac:dyDescent="0.2">
      <c r="A80" s="83" t="s">
        <v>40</v>
      </c>
      <c r="B80" s="131">
        <v>0.25</v>
      </c>
      <c r="C80" s="52" t="s">
        <v>41</v>
      </c>
      <c r="AF80" s="109"/>
      <c r="AG80" s="106"/>
      <c r="AH80" s="106"/>
      <c r="AI80" s="106"/>
      <c r="AJ80" s="106"/>
      <c r="AK80" s="106"/>
    </row>
    <row r="81" spans="1:37" x14ac:dyDescent="0.2">
      <c r="A81" s="92" t="s">
        <v>52</v>
      </c>
      <c r="B81" s="131">
        <v>10950</v>
      </c>
      <c r="C81" s="52" t="s">
        <v>53</v>
      </c>
      <c r="AF81" s="109"/>
      <c r="AG81" s="106"/>
      <c r="AH81" s="106"/>
      <c r="AI81" s="106"/>
      <c r="AJ81" s="106"/>
      <c r="AK81" s="106"/>
    </row>
    <row r="82" spans="1:37" x14ac:dyDescent="0.2">
      <c r="A82" s="92" t="s">
        <v>55</v>
      </c>
      <c r="B82" s="131">
        <v>240</v>
      </c>
      <c r="C82" s="52" t="s">
        <v>56</v>
      </c>
      <c r="AF82" s="109"/>
      <c r="AG82" s="106"/>
      <c r="AH82" s="106"/>
      <c r="AI82" s="106"/>
      <c r="AJ82" s="106"/>
      <c r="AK82" s="106"/>
    </row>
    <row r="83" spans="1:37" x14ac:dyDescent="0.2">
      <c r="A83" s="92" t="s">
        <v>67</v>
      </c>
      <c r="B83" s="131">
        <v>60</v>
      </c>
      <c r="C83" s="83" t="s">
        <v>53</v>
      </c>
      <c r="AF83" s="109"/>
      <c r="AG83" s="106"/>
      <c r="AH83" s="106"/>
      <c r="AI83" s="106"/>
      <c r="AJ83" s="106"/>
      <c r="AK83" s="106"/>
    </row>
    <row r="84" spans="1:37" x14ac:dyDescent="0.2">
      <c r="A84" s="92" t="s">
        <v>68</v>
      </c>
      <c r="B84" s="131">
        <v>2</v>
      </c>
      <c r="C84" s="83" t="s">
        <v>56</v>
      </c>
      <c r="AF84" s="108"/>
      <c r="AG84" s="106"/>
    </row>
    <row r="85" spans="1:37" x14ac:dyDescent="0.2">
      <c r="A85" s="92" t="s">
        <v>70</v>
      </c>
      <c r="B85" s="131">
        <v>2.6999999999999999E-5</v>
      </c>
      <c r="C85" s="52" t="s">
        <v>64</v>
      </c>
      <c r="AF85" s="108"/>
      <c r="AG85" s="106"/>
      <c r="AH85" s="106"/>
      <c r="AI85" s="106"/>
      <c r="AJ85" s="106"/>
      <c r="AK85" s="106"/>
    </row>
    <row r="86" spans="1:37" x14ac:dyDescent="0.2">
      <c r="A86" s="92" t="s">
        <v>73</v>
      </c>
      <c r="B86" s="131">
        <v>1</v>
      </c>
      <c r="C86" s="52" t="s">
        <v>41</v>
      </c>
      <c r="AF86" s="108"/>
      <c r="AG86" s="106"/>
    </row>
    <row r="87" spans="1:37" x14ac:dyDescent="0.2">
      <c r="A87" s="92" t="s">
        <v>74</v>
      </c>
      <c r="B87" s="131">
        <v>14</v>
      </c>
      <c r="C87" s="52" t="s">
        <v>75</v>
      </c>
      <c r="AH87" s="108"/>
      <c r="AI87" s="108"/>
      <c r="AJ87" s="108"/>
      <c r="AK87" s="108"/>
    </row>
    <row r="88" spans="1:37" x14ac:dyDescent="0.2">
      <c r="A88" s="83" t="s">
        <v>408</v>
      </c>
      <c r="B88" s="130">
        <v>5</v>
      </c>
      <c r="C88" s="84" t="s">
        <v>194</v>
      </c>
    </row>
    <row r="89" spans="1:37" x14ac:dyDescent="0.2">
      <c r="A89" s="83" t="s">
        <v>409</v>
      </c>
      <c r="B89" s="130">
        <v>25</v>
      </c>
      <c r="C89" s="84" t="s">
        <v>194</v>
      </c>
    </row>
    <row r="90" spans="1:37" x14ac:dyDescent="0.2">
      <c r="A90" s="83" t="s">
        <v>389</v>
      </c>
      <c r="B90" s="130">
        <v>1</v>
      </c>
      <c r="C90" s="84"/>
    </row>
    <row r="91" spans="1:37" x14ac:dyDescent="0.2">
      <c r="A91" s="385" t="s">
        <v>387</v>
      </c>
      <c r="B91" s="385"/>
      <c r="C91" s="385"/>
    </row>
    <row r="92" spans="1:37" x14ac:dyDescent="0.2">
      <c r="A92" s="52" t="s">
        <v>34</v>
      </c>
      <c r="B92" s="131">
        <v>70</v>
      </c>
      <c r="C92" s="52" t="s">
        <v>60</v>
      </c>
    </row>
    <row r="93" spans="1:37" x14ac:dyDescent="0.2">
      <c r="A93" s="84" t="s">
        <v>38</v>
      </c>
      <c r="B93" s="131">
        <v>0.3</v>
      </c>
      <c r="C93" s="52" t="s">
        <v>391</v>
      </c>
    </row>
    <row r="94" spans="1:37" x14ac:dyDescent="0.2">
      <c r="A94" s="84" t="s">
        <v>42</v>
      </c>
      <c r="B94" s="130">
        <v>1.5</v>
      </c>
      <c r="C94" s="52" t="s">
        <v>286</v>
      </c>
    </row>
    <row r="95" spans="1:37" x14ac:dyDescent="0.2">
      <c r="A95" s="84" t="s">
        <v>47</v>
      </c>
      <c r="B95" s="131">
        <v>1</v>
      </c>
      <c r="C95" s="52" t="s">
        <v>60</v>
      </c>
    </row>
    <row r="96" spans="1:37" x14ac:dyDescent="0.2">
      <c r="A96" s="84" t="s">
        <v>225</v>
      </c>
      <c r="B96" s="130">
        <v>1</v>
      </c>
    </row>
    <row r="97" spans="1:3" x14ac:dyDescent="0.2">
      <c r="A97" s="52" t="s">
        <v>93</v>
      </c>
      <c r="B97" s="130">
        <v>5</v>
      </c>
      <c r="C97" s="52" t="s">
        <v>94</v>
      </c>
    </row>
    <row r="98" spans="1:3" x14ac:dyDescent="0.2">
      <c r="A98" s="52" t="s">
        <v>98</v>
      </c>
      <c r="B98" s="130">
        <v>0.18</v>
      </c>
      <c r="C98" s="52" t="s">
        <v>355</v>
      </c>
    </row>
    <row r="99" spans="1:3" x14ac:dyDescent="0.2">
      <c r="A99" s="52" t="s">
        <v>100</v>
      </c>
      <c r="B99" s="130">
        <v>55</v>
      </c>
      <c r="C99" s="52" t="s">
        <v>97</v>
      </c>
    </row>
    <row r="100" spans="1:3" x14ac:dyDescent="0.2">
      <c r="A100" s="52" t="s">
        <v>101</v>
      </c>
      <c r="B100" s="130">
        <v>5</v>
      </c>
      <c r="C100" s="52" t="s">
        <v>97</v>
      </c>
    </row>
    <row r="101" spans="1:3" x14ac:dyDescent="0.2">
      <c r="A101" s="52" t="s">
        <v>102</v>
      </c>
      <c r="B101" s="130">
        <v>5</v>
      </c>
      <c r="C101" s="52" t="s">
        <v>97</v>
      </c>
    </row>
    <row r="102" spans="1:3" x14ac:dyDescent="0.2">
      <c r="A102" s="384" t="s">
        <v>5</v>
      </c>
      <c r="B102" s="384"/>
      <c r="C102" s="384"/>
    </row>
    <row r="103" spans="1:3" x14ac:dyDescent="0.2">
      <c r="A103" s="83" t="s">
        <v>429</v>
      </c>
      <c r="B103" s="131">
        <v>5</v>
      </c>
      <c r="C103" s="92" t="s">
        <v>407</v>
      </c>
    </row>
    <row r="104" spans="1:3" x14ac:dyDescent="0.2">
      <c r="A104" s="83" t="s">
        <v>430</v>
      </c>
      <c r="B104" s="131">
        <v>10</v>
      </c>
      <c r="C104" s="92" t="s">
        <v>407</v>
      </c>
    </row>
    <row r="105" spans="1:3" x14ac:dyDescent="0.2">
      <c r="A105" s="83" t="s">
        <v>439</v>
      </c>
      <c r="B105" s="130">
        <v>2</v>
      </c>
      <c r="C105" s="83" t="s">
        <v>357</v>
      </c>
    </row>
    <row r="106" spans="1:3" x14ac:dyDescent="0.2">
      <c r="A106" s="83" t="s">
        <v>438</v>
      </c>
      <c r="B106" s="130">
        <v>2</v>
      </c>
      <c r="C106" s="83" t="s">
        <v>357</v>
      </c>
    </row>
    <row r="107" spans="1:3" x14ac:dyDescent="0.2">
      <c r="A107" s="83" t="s">
        <v>441</v>
      </c>
      <c r="B107" s="131">
        <v>100</v>
      </c>
      <c r="C107" s="84" t="s">
        <v>48</v>
      </c>
    </row>
    <row r="108" spans="1:3" x14ac:dyDescent="0.2">
      <c r="A108" s="83" t="s">
        <v>442</v>
      </c>
      <c r="B108" s="131">
        <v>50</v>
      </c>
      <c r="C108" s="84" t="s">
        <v>48</v>
      </c>
    </row>
    <row r="109" spans="1:3" x14ac:dyDescent="0.2">
      <c r="A109" s="52" t="s">
        <v>159</v>
      </c>
      <c r="B109" s="131">
        <v>3</v>
      </c>
      <c r="C109" s="52" t="s">
        <v>221</v>
      </c>
    </row>
    <row r="110" spans="1:3" x14ac:dyDescent="0.2">
      <c r="A110" s="52" t="s">
        <v>160</v>
      </c>
      <c r="B110" s="131">
        <v>3</v>
      </c>
      <c r="C110" s="52" t="s">
        <v>221</v>
      </c>
    </row>
    <row r="111" spans="1:3" x14ac:dyDescent="0.2">
      <c r="A111" s="83" t="s">
        <v>308</v>
      </c>
      <c r="B111" s="130">
        <v>0.23</v>
      </c>
    </row>
    <row r="112" spans="1:3" x14ac:dyDescent="0.2">
      <c r="A112" s="83" t="s">
        <v>309</v>
      </c>
      <c r="B112" s="130">
        <v>0.77</v>
      </c>
    </row>
    <row r="113" spans="1:3" x14ac:dyDescent="0.2">
      <c r="A113" s="52" t="s">
        <v>140</v>
      </c>
      <c r="B113" s="131">
        <v>55</v>
      </c>
      <c r="C113" s="52" t="s">
        <v>24</v>
      </c>
    </row>
    <row r="114" spans="1:3" x14ac:dyDescent="0.2">
      <c r="A114" s="52" t="s">
        <v>433</v>
      </c>
      <c r="B114" s="131">
        <v>55</v>
      </c>
      <c r="C114" s="52" t="s">
        <v>24</v>
      </c>
    </row>
    <row r="115" spans="1:3" x14ac:dyDescent="0.2">
      <c r="A115" s="52" t="s">
        <v>434</v>
      </c>
      <c r="B115" s="131">
        <v>55</v>
      </c>
      <c r="C115" s="52" t="s">
        <v>24</v>
      </c>
    </row>
    <row r="116" spans="1:3" x14ac:dyDescent="0.2">
      <c r="A116" s="52" t="s">
        <v>431</v>
      </c>
      <c r="B116" s="130">
        <v>5</v>
      </c>
      <c r="C116" s="52" t="s">
        <v>194</v>
      </c>
    </row>
    <row r="117" spans="1:3" x14ac:dyDescent="0.2">
      <c r="A117" s="52" t="s">
        <v>432</v>
      </c>
      <c r="B117" s="130">
        <v>5</v>
      </c>
      <c r="C117" s="52" t="s">
        <v>194</v>
      </c>
    </row>
    <row r="118" spans="1:3" x14ac:dyDescent="0.2">
      <c r="A118" s="52" t="s">
        <v>90</v>
      </c>
      <c r="B118" s="131">
        <v>5</v>
      </c>
      <c r="C118" s="52" t="s">
        <v>194</v>
      </c>
    </row>
    <row r="119" spans="1:3" x14ac:dyDescent="0.2">
      <c r="A119" s="52" t="s">
        <v>443</v>
      </c>
      <c r="B119" s="131">
        <v>5</v>
      </c>
      <c r="C119" s="52" t="s">
        <v>89</v>
      </c>
    </row>
    <row r="120" spans="1:3" x14ac:dyDescent="0.2">
      <c r="A120" s="52" t="s">
        <v>444</v>
      </c>
      <c r="B120" s="131">
        <v>5</v>
      </c>
      <c r="C120" s="52" t="s">
        <v>89</v>
      </c>
    </row>
    <row r="121" spans="1:3" x14ac:dyDescent="0.2">
      <c r="A121" s="83" t="s">
        <v>301</v>
      </c>
      <c r="B121" s="131">
        <v>2</v>
      </c>
    </row>
    <row r="122" spans="1:3" x14ac:dyDescent="0.2">
      <c r="A122" s="83" t="s">
        <v>433</v>
      </c>
      <c r="B122" s="130">
        <v>55</v>
      </c>
      <c r="C122" s="83" t="s">
        <v>24</v>
      </c>
    </row>
    <row r="123" spans="1:3" x14ac:dyDescent="0.2">
      <c r="A123" s="83" t="s">
        <v>434</v>
      </c>
      <c r="B123" s="130">
        <v>55</v>
      </c>
      <c r="C123" s="83" t="s">
        <v>24</v>
      </c>
    </row>
    <row r="124" spans="1:3" x14ac:dyDescent="0.2">
      <c r="A124" s="83" t="s">
        <v>435</v>
      </c>
      <c r="B124" s="131">
        <v>5</v>
      </c>
      <c r="C124" s="52" t="s">
        <v>80</v>
      </c>
    </row>
    <row r="125" spans="1:3" x14ac:dyDescent="0.2">
      <c r="A125" s="83" t="s">
        <v>436</v>
      </c>
      <c r="B125" s="131">
        <v>5</v>
      </c>
      <c r="C125" s="52" t="s">
        <v>80</v>
      </c>
    </row>
    <row r="126" spans="1:3" x14ac:dyDescent="0.2">
      <c r="A126" s="83" t="s">
        <v>65</v>
      </c>
      <c r="B126" s="130">
        <v>0.5</v>
      </c>
      <c r="C126" s="52" t="s">
        <v>66</v>
      </c>
    </row>
    <row r="127" spans="1:3" x14ac:dyDescent="0.2">
      <c r="A127" s="52" t="s">
        <v>51</v>
      </c>
      <c r="B127" s="131">
        <v>1</v>
      </c>
      <c r="C127" s="52" t="s">
        <v>60</v>
      </c>
    </row>
    <row r="128" spans="1:3" x14ac:dyDescent="0.2">
      <c r="A128" s="52" t="s">
        <v>159</v>
      </c>
      <c r="B128" s="130">
        <v>3</v>
      </c>
      <c r="C128" s="52" t="s">
        <v>221</v>
      </c>
    </row>
    <row r="129" spans="1:3" x14ac:dyDescent="0.2">
      <c r="A129" s="84" t="s">
        <v>164</v>
      </c>
      <c r="B129" s="130">
        <v>2</v>
      </c>
      <c r="C129" s="52" t="s">
        <v>246</v>
      </c>
    </row>
    <row r="130" spans="1:3" x14ac:dyDescent="0.2">
      <c r="A130" s="84" t="s">
        <v>161</v>
      </c>
      <c r="B130" s="130">
        <v>2</v>
      </c>
      <c r="C130" s="52" t="s">
        <v>246</v>
      </c>
    </row>
    <row r="131" spans="1:3" x14ac:dyDescent="0.2">
      <c r="A131" s="84" t="s">
        <v>162</v>
      </c>
      <c r="B131" s="130">
        <v>2</v>
      </c>
      <c r="C131" s="52" t="s">
        <v>41</v>
      </c>
    </row>
    <row r="132" spans="1:3" x14ac:dyDescent="0.2">
      <c r="A132" s="84" t="s">
        <v>163</v>
      </c>
      <c r="B132" s="130">
        <v>2</v>
      </c>
      <c r="C132" s="52" t="s">
        <v>41</v>
      </c>
    </row>
    <row r="133" spans="1:3" x14ac:dyDescent="0.2">
      <c r="A133" s="84" t="s">
        <v>169</v>
      </c>
      <c r="B133" s="130">
        <v>2</v>
      </c>
      <c r="C133" s="52" t="s">
        <v>28</v>
      </c>
    </row>
    <row r="134" spans="1:3" x14ac:dyDescent="0.2">
      <c r="A134" s="52" t="s">
        <v>160</v>
      </c>
      <c r="B134" s="130">
        <v>3</v>
      </c>
      <c r="C134" s="52" t="s">
        <v>221</v>
      </c>
    </row>
    <row r="135" spans="1:3" x14ac:dyDescent="0.2">
      <c r="A135" s="52" t="s">
        <v>165</v>
      </c>
      <c r="B135" s="130">
        <v>2</v>
      </c>
      <c r="C135" s="52" t="s">
        <v>246</v>
      </c>
    </row>
    <row r="136" spans="1:3" x14ac:dyDescent="0.2">
      <c r="A136" s="52" t="s">
        <v>166</v>
      </c>
      <c r="B136" s="130">
        <v>2</v>
      </c>
      <c r="C136" s="52" t="s">
        <v>246</v>
      </c>
    </row>
    <row r="137" spans="1:3" x14ac:dyDescent="0.2">
      <c r="A137" s="93" t="s">
        <v>167</v>
      </c>
      <c r="B137" s="130">
        <v>2</v>
      </c>
      <c r="C137" s="52" t="s">
        <v>41</v>
      </c>
    </row>
    <row r="138" spans="1:3" x14ac:dyDescent="0.2">
      <c r="A138" s="83" t="s">
        <v>168</v>
      </c>
      <c r="B138" s="130">
        <v>2</v>
      </c>
      <c r="C138" s="52" t="s">
        <v>41</v>
      </c>
    </row>
    <row r="139" spans="1:3" x14ac:dyDescent="0.2">
      <c r="A139" s="84" t="s">
        <v>170</v>
      </c>
      <c r="B139" s="130">
        <v>2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100</v>
      </c>
      <c r="C141" s="84" t="s">
        <v>48</v>
      </c>
    </row>
    <row r="142" spans="1:3" x14ac:dyDescent="0.2">
      <c r="A142" s="83" t="s">
        <v>458</v>
      </c>
      <c r="B142" s="130">
        <v>50</v>
      </c>
      <c r="C142" s="84" t="s">
        <v>48</v>
      </c>
    </row>
    <row r="143" spans="1:3" x14ac:dyDescent="0.2">
      <c r="A143" s="92" t="s">
        <v>451</v>
      </c>
      <c r="B143" s="131">
        <v>0.25</v>
      </c>
      <c r="C143" s="83" t="s">
        <v>28</v>
      </c>
    </row>
    <row r="144" spans="1:3" x14ac:dyDescent="0.2">
      <c r="A144" s="92" t="s">
        <v>460</v>
      </c>
      <c r="B144" s="131">
        <v>1.5</v>
      </c>
      <c r="C144" s="83" t="s">
        <v>28</v>
      </c>
    </row>
    <row r="145" spans="1:3" ht="15" x14ac:dyDescent="0.2">
      <c r="A145" s="92" t="s">
        <v>450</v>
      </c>
      <c r="B145" s="131">
        <v>5</v>
      </c>
      <c r="C145" s="83" t="s">
        <v>143</v>
      </c>
    </row>
    <row r="146" spans="1:3" ht="15" x14ac:dyDescent="0.2">
      <c r="A146" s="92" t="s">
        <v>459</v>
      </c>
      <c r="B146" s="131">
        <v>10</v>
      </c>
      <c r="C146" s="83" t="s">
        <v>143</v>
      </c>
    </row>
    <row r="147" spans="1:3" x14ac:dyDescent="0.2">
      <c r="A147" s="83" t="s">
        <v>467</v>
      </c>
      <c r="B147" s="130">
        <v>55</v>
      </c>
      <c r="C147" s="92" t="s">
        <v>221</v>
      </c>
    </row>
    <row r="148" spans="1:3" x14ac:dyDescent="0.2">
      <c r="A148" s="83" t="s">
        <v>468</v>
      </c>
      <c r="B148" s="130">
        <v>55</v>
      </c>
      <c r="C148" s="92" t="s">
        <v>221</v>
      </c>
    </row>
    <row r="149" spans="1:3" x14ac:dyDescent="0.2">
      <c r="A149" s="83" t="s">
        <v>469</v>
      </c>
      <c r="B149" s="130">
        <v>55</v>
      </c>
      <c r="C149" s="92" t="s">
        <v>221</v>
      </c>
    </row>
    <row r="150" spans="1:3" x14ac:dyDescent="0.2">
      <c r="A150" s="83" t="s">
        <v>470</v>
      </c>
      <c r="B150" s="130">
        <v>55</v>
      </c>
      <c r="C150" s="92" t="s">
        <v>221</v>
      </c>
    </row>
    <row r="151" spans="1:3" x14ac:dyDescent="0.2">
      <c r="A151" s="83" t="s">
        <v>452</v>
      </c>
      <c r="B151" s="130">
        <v>55</v>
      </c>
      <c r="C151" s="92" t="s">
        <v>221</v>
      </c>
    </row>
    <row r="152" spans="1:3" x14ac:dyDescent="0.2">
      <c r="A152" s="83" t="s">
        <v>461</v>
      </c>
      <c r="B152" s="130">
        <v>55</v>
      </c>
      <c r="C152" s="92" t="s">
        <v>221</v>
      </c>
    </row>
    <row r="153" spans="1:3" x14ac:dyDescent="0.2">
      <c r="A153" s="83" t="s">
        <v>453</v>
      </c>
      <c r="B153" s="130">
        <v>55</v>
      </c>
      <c r="C153" s="92" t="s">
        <v>221</v>
      </c>
    </row>
    <row r="154" spans="1:3" x14ac:dyDescent="0.2">
      <c r="A154" s="83" t="s">
        <v>462</v>
      </c>
      <c r="B154" s="130">
        <v>55</v>
      </c>
      <c r="C154" s="92" t="s">
        <v>221</v>
      </c>
    </row>
    <row r="155" spans="1:3" x14ac:dyDescent="0.2">
      <c r="A155" s="83" t="s">
        <v>454</v>
      </c>
      <c r="B155" s="130">
        <v>55</v>
      </c>
      <c r="C155" s="92" t="s">
        <v>221</v>
      </c>
    </row>
    <row r="156" spans="1:3" x14ac:dyDescent="0.2">
      <c r="A156" s="83" t="s">
        <v>463</v>
      </c>
      <c r="B156" s="130">
        <v>55</v>
      </c>
      <c r="C156" s="92" t="s">
        <v>221</v>
      </c>
    </row>
    <row r="157" spans="1:3" x14ac:dyDescent="0.2">
      <c r="A157" s="83" t="s">
        <v>471</v>
      </c>
      <c r="B157" s="130">
        <v>55</v>
      </c>
      <c r="C157" s="92" t="s">
        <v>221</v>
      </c>
    </row>
    <row r="158" spans="1:3" x14ac:dyDescent="0.2">
      <c r="A158" s="83" t="s">
        <v>472</v>
      </c>
      <c r="B158" s="130">
        <v>55</v>
      </c>
      <c r="C158" s="92" t="s">
        <v>221</v>
      </c>
    </row>
    <row r="159" spans="1:3" x14ac:dyDescent="0.2">
      <c r="A159" s="83" t="s">
        <v>473</v>
      </c>
      <c r="B159" s="130">
        <v>55</v>
      </c>
      <c r="C159" s="92" t="s">
        <v>221</v>
      </c>
    </row>
    <row r="160" spans="1:3" x14ac:dyDescent="0.2">
      <c r="A160" s="83" t="s">
        <v>474</v>
      </c>
      <c r="B160" s="130">
        <v>55</v>
      </c>
      <c r="C160" s="92" t="s">
        <v>221</v>
      </c>
    </row>
    <row r="161" spans="1:3" x14ac:dyDescent="0.2">
      <c r="A161" s="83" t="s">
        <v>455</v>
      </c>
      <c r="B161" s="130">
        <v>55</v>
      </c>
      <c r="C161" s="92" t="s">
        <v>221</v>
      </c>
    </row>
    <row r="162" spans="1:3" x14ac:dyDescent="0.2">
      <c r="A162" s="83" t="s">
        <v>464</v>
      </c>
      <c r="B162" s="130">
        <v>55</v>
      </c>
      <c r="C162" s="92" t="s">
        <v>221</v>
      </c>
    </row>
    <row r="163" spans="1:3" x14ac:dyDescent="0.2">
      <c r="A163" s="83" t="s">
        <v>475</v>
      </c>
      <c r="B163" s="130">
        <v>0.15</v>
      </c>
      <c r="C163" s="88"/>
    </row>
    <row r="164" spans="1:3" x14ac:dyDescent="0.2">
      <c r="A164" s="83" t="s">
        <v>476</v>
      </c>
      <c r="B164" s="130">
        <v>0.85</v>
      </c>
      <c r="C164" s="88"/>
    </row>
    <row r="165" spans="1:3" x14ac:dyDescent="0.2">
      <c r="A165" s="83" t="s">
        <v>456</v>
      </c>
      <c r="B165" s="130">
        <v>150</v>
      </c>
      <c r="C165" s="83" t="s">
        <v>24</v>
      </c>
    </row>
    <row r="166" spans="1:3" x14ac:dyDescent="0.2">
      <c r="A166" s="83" t="s">
        <v>465</v>
      </c>
      <c r="B166" s="130">
        <v>150</v>
      </c>
      <c r="C166" s="83" t="s">
        <v>24</v>
      </c>
    </row>
    <row r="167" spans="1:3" x14ac:dyDescent="0.2">
      <c r="A167" s="52" t="s">
        <v>362</v>
      </c>
      <c r="B167" s="131">
        <v>150</v>
      </c>
      <c r="C167" s="83" t="s">
        <v>24</v>
      </c>
    </row>
    <row r="168" spans="1:3" x14ac:dyDescent="0.2">
      <c r="A168" s="83" t="s">
        <v>363</v>
      </c>
      <c r="B168" s="130">
        <v>1</v>
      </c>
      <c r="C168" s="92" t="s">
        <v>60</v>
      </c>
    </row>
    <row r="169" spans="1:3" x14ac:dyDescent="0.2">
      <c r="A169" s="83" t="s">
        <v>364</v>
      </c>
      <c r="B169" s="130">
        <v>24</v>
      </c>
      <c r="C169" s="94" t="s">
        <v>194</v>
      </c>
    </row>
    <row r="170" spans="1:3" x14ac:dyDescent="0.2">
      <c r="A170" s="83" t="s">
        <v>365</v>
      </c>
      <c r="B170" s="130">
        <v>24</v>
      </c>
      <c r="C170" s="52" t="s">
        <v>194</v>
      </c>
    </row>
    <row r="171" spans="1:3" x14ac:dyDescent="0.2">
      <c r="A171" s="83" t="s">
        <v>361</v>
      </c>
      <c r="B171" s="130">
        <v>1</v>
      </c>
    </row>
    <row r="172" spans="1:3" x14ac:dyDescent="0.2">
      <c r="A172" s="83" t="s">
        <v>507</v>
      </c>
      <c r="B172" s="130">
        <v>15</v>
      </c>
      <c r="C172" s="84" t="s">
        <v>194</v>
      </c>
    </row>
    <row r="173" spans="1:3" x14ac:dyDescent="0.2">
      <c r="A173" s="83" t="s">
        <v>508</v>
      </c>
      <c r="B173" s="130">
        <v>5</v>
      </c>
      <c r="C173" s="84" t="s">
        <v>194</v>
      </c>
    </row>
    <row r="174" spans="1:3" x14ac:dyDescent="0.2">
      <c r="A174" s="83" t="s">
        <v>88</v>
      </c>
      <c r="B174" s="130">
        <v>0.4</v>
      </c>
    </row>
    <row r="175" spans="1:3" x14ac:dyDescent="0.2">
      <c r="A175" s="83" t="s">
        <v>303</v>
      </c>
      <c r="B175" s="130">
        <v>1</v>
      </c>
    </row>
    <row r="176" spans="1:3" x14ac:dyDescent="0.2">
      <c r="A176" s="83" t="s">
        <v>301</v>
      </c>
      <c r="B176" s="131">
        <v>2</v>
      </c>
    </row>
    <row r="177" spans="1:3" x14ac:dyDescent="0.2">
      <c r="A177" s="92" t="s">
        <v>457</v>
      </c>
      <c r="B177" s="130">
        <v>5</v>
      </c>
      <c r="C177" s="92" t="s">
        <v>144</v>
      </c>
    </row>
    <row r="178" spans="1:3" x14ac:dyDescent="0.2">
      <c r="A178" s="92" t="s">
        <v>466</v>
      </c>
      <c r="B178" s="130">
        <v>5</v>
      </c>
      <c r="C178" s="92" t="s">
        <v>144</v>
      </c>
    </row>
    <row r="179" spans="1:3" x14ac:dyDescent="0.2">
      <c r="A179" s="52" t="s">
        <v>477</v>
      </c>
      <c r="B179" s="130">
        <v>0.25</v>
      </c>
      <c r="C179" s="92" t="s">
        <v>358</v>
      </c>
    </row>
    <row r="180" spans="1:3" x14ac:dyDescent="0.2">
      <c r="A180" s="52" t="s">
        <v>478</v>
      </c>
      <c r="B180" s="130">
        <v>0.85</v>
      </c>
      <c r="C180" s="92" t="s">
        <v>358</v>
      </c>
    </row>
    <row r="181" spans="1:3" x14ac:dyDescent="0.2">
      <c r="A181" s="84" t="s">
        <v>65</v>
      </c>
      <c r="B181" s="130">
        <v>0.5</v>
      </c>
      <c r="C181" s="92" t="s">
        <v>600</v>
      </c>
    </row>
    <row r="182" spans="1:3" x14ac:dyDescent="0.2">
      <c r="A182" s="92" t="s">
        <v>361</v>
      </c>
      <c r="B182" s="130">
        <v>1</v>
      </c>
    </row>
    <row r="183" spans="1:3" x14ac:dyDescent="0.2">
      <c r="A183" s="92" t="s">
        <v>479</v>
      </c>
      <c r="B183" s="130">
        <v>1</v>
      </c>
    </row>
    <row r="184" spans="1:3" x14ac:dyDescent="0.2">
      <c r="A184" s="92" t="s">
        <v>480</v>
      </c>
      <c r="B184" s="130">
        <v>1</v>
      </c>
    </row>
    <row r="185" spans="1:3" x14ac:dyDescent="0.2">
      <c r="A185" s="92" t="s">
        <v>481</v>
      </c>
      <c r="B185" s="130">
        <v>1</v>
      </c>
    </row>
    <row r="186" spans="1:3" x14ac:dyDescent="0.2">
      <c r="A186" s="92" t="s">
        <v>482</v>
      </c>
      <c r="B186" s="130">
        <v>1</v>
      </c>
    </row>
    <row r="187" spans="1:3" x14ac:dyDescent="0.2">
      <c r="A187" s="92" t="s">
        <v>483</v>
      </c>
      <c r="B187" s="130">
        <v>1</v>
      </c>
    </row>
    <row r="188" spans="1:3" x14ac:dyDescent="0.2">
      <c r="A188" s="92" t="s">
        <v>484</v>
      </c>
      <c r="B188" s="131">
        <v>1</v>
      </c>
    </row>
    <row r="189" spans="1:3" x14ac:dyDescent="0.2">
      <c r="A189" s="83" t="s">
        <v>36</v>
      </c>
      <c r="B189" s="131">
        <v>3.62</v>
      </c>
      <c r="C189" s="52" t="s">
        <v>37</v>
      </c>
    </row>
    <row r="190" spans="1:3" x14ac:dyDescent="0.2">
      <c r="A190" s="83" t="s">
        <v>40</v>
      </c>
      <c r="B190" s="131">
        <v>0.25</v>
      </c>
      <c r="C190" s="52" t="s">
        <v>41</v>
      </c>
    </row>
    <row r="191" spans="1:3" x14ac:dyDescent="0.2">
      <c r="A191" s="92" t="s">
        <v>52</v>
      </c>
      <c r="B191" s="131">
        <v>10950</v>
      </c>
      <c r="C191" s="52" t="s">
        <v>53</v>
      </c>
    </row>
    <row r="192" spans="1:3" x14ac:dyDescent="0.2">
      <c r="A192" s="92" t="s">
        <v>55</v>
      </c>
      <c r="B192" s="131">
        <v>240</v>
      </c>
      <c r="C192" s="52" t="s">
        <v>56</v>
      </c>
    </row>
    <row r="193" spans="1:3" x14ac:dyDescent="0.2">
      <c r="A193" s="92" t="s">
        <v>61</v>
      </c>
      <c r="B193" s="131">
        <v>0.42</v>
      </c>
      <c r="C193" s="52" t="s">
        <v>41</v>
      </c>
    </row>
    <row r="194" spans="1:3" x14ac:dyDescent="0.2">
      <c r="A194" s="92" t="s">
        <v>67</v>
      </c>
      <c r="B194" s="131">
        <v>60</v>
      </c>
      <c r="C194" s="83" t="s">
        <v>53</v>
      </c>
    </row>
    <row r="195" spans="1:3" x14ac:dyDescent="0.2">
      <c r="A195" s="92" t="s">
        <v>68</v>
      </c>
      <c r="B195" s="131">
        <v>2</v>
      </c>
      <c r="C195" s="83" t="s">
        <v>56</v>
      </c>
    </row>
    <row r="196" spans="1:3" x14ac:dyDescent="0.2">
      <c r="A196" s="92" t="s">
        <v>70</v>
      </c>
      <c r="B196" s="131">
        <v>2.6999999999999999E-5</v>
      </c>
      <c r="C196" s="52" t="s">
        <v>64</v>
      </c>
    </row>
    <row r="197" spans="1:3" x14ac:dyDescent="0.2">
      <c r="A197" s="92" t="s">
        <v>73</v>
      </c>
      <c r="B197" s="131">
        <v>1</v>
      </c>
      <c r="C197" s="52" t="s">
        <v>41</v>
      </c>
    </row>
    <row r="198" spans="1:3" x14ac:dyDescent="0.2">
      <c r="A198" s="92" t="s">
        <v>74</v>
      </c>
      <c r="B198" s="131">
        <v>14</v>
      </c>
      <c r="C198" s="52" t="s">
        <v>75</v>
      </c>
    </row>
    <row r="199" spans="1:3" x14ac:dyDescent="0.2">
      <c r="A199" s="83" t="s">
        <v>27</v>
      </c>
      <c r="B199" s="131">
        <v>92</v>
      </c>
      <c r="C199" s="83" t="s">
        <v>28</v>
      </c>
    </row>
    <row r="200" spans="1:3" x14ac:dyDescent="0.2">
      <c r="A200" s="52" t="s">
        <v>285</v>
      </c>
      <c r="B200" s="130">
        <v>1.03</v>
      </c>
      <c r="C200" s="52" t="s">
        <v>286</v>
      </c>
    </row>
    <row r="201" spans="1:3" x14ac:dyDescent="0.2">
      <c r="A201" s="83" t="s">
        <v>498</v>
      </c>
      <c r="B201" s="131">
        <v>20.3</v>
      </c>
      <c r="C201" s="52" t="s">
        <v>246</v>
      </c>
    </row>
    <row r="202" spans="1:3" x14ac:dyDescent="0.2">
      <c r="A202" s="83" t="s">
        <v>499</v>
      </c>
      <c r="B202" s="131">
        <v>0.04</v>
      </c>
      <c r="C202" s="52" t="s">
        <v>246</v>
      </c>
    </row>
    <row r="203" spans="1:3" x14ac:dyDescent="0.2">
      <c r="A203" s="83" t="s">
        <v>500</v>
      </c>
      <c r="B203" s="131">
        <v>1</v>
      </c>
    </row>
    <row r="204" spans="1:3" x14ac:dyDescent="0.2">
      <c r="A204" s="83" t="s">
        <v>501</v>
      </c>
      <c r="B204" s="131">
        <v>1</v>
      </c>
    </row>
    <row r="205" spans="1:3" x14ac:dyDescent="0.2">
      <c r="A205" s="83" t="s">
        <v>29</v>
      </c>
      <c r="B205" s="131">
        <v>53</v>
      </c>
      <c r="C205" s="83" t="s">
        <v>28</v>
      </c>
    </row>
    <row r="206" spans="1:3" x14ac:dyDescent="0.2">
      <c r="A206" s="83" t="s">
        <v>494</v>
      </c>
      <c r="B206" s="131">
        <v>11.77</v>
      </c>
      <c r="C206" s="52" t="s">
        <v>246</v>
      </c>
    </row>
    <row r="207" spans="1:3" x14ac:dyDescent="0.2">
      <c r="A207" s="83" t="s">
        <v>495</v>
      </c>
      <c r="B207" s="131">
        <v>0.5</v>
      </c>
      <c r="C207" s="52" t="s">
        <v>246</v>
      </c>
    </row>
    <row r="208" spans="1:3" x14ac:dyDescent="0.2">
      <c r="A208" s="83" t="s">
        <v>496</v>
      </c>
      <c r="B208" s="131">
        <v>1</v>
      </c>
    </row>
    <row r="209" spans="1:3" x14ac:dyDescent="0.2">
      <c r="A209" s="83" t="s">
        <v>497</v>
      </c>
      <c r="B209" s="131">
        <v>1</v>
      </c>
    </row>
    <row r="210" spans="1:3" x14ac:dyDescent="0.2">
      <c r="A210" s="83" t="s">
        <v>148</v>
      </c>
      <c r="B210" s="130">
        <v>0.4</v>
      </c>
      <c r="C210" s="83" t="s">
        <v>28</v>
      </c>
    </row>
    <row r="211" spans="1:3" x14ac:dyDescent="0.2">
      <c r="A211" s="83" t="s">
        <v>152</v>
      </c>
      <c r="B211" s="131">
        <v>0.2</v>
      </c>
      <c r="C211" s="52" t="s">
        <v>246</v>
      </c>
    </row>
    <row r="212" spans="1:3" x14ac:dyDescent="0.2">
      <c r="A212" s="83" t="s">
        <v>151</v>
      </c>
      <c r="B212" s="131">
        <v>2.1999999999999999E-2</v>
      </c>
      <c r="C212" s="52" t="s">
        <v>246</v>
      </c>
    </row>
    <row r="213" spans="1:3" x14ac:dyDescent="0.2">
      <c r="A213" s="83" t="s">
        <v>153</v>
      </c>
      <c r="B213" s="130">
        <v>1</v>
      </c>
    </row>
    <row r="214" spans="1:3" x14ac:dyDescent="0.2">
      <c r="A214" s="83" t="s">
        <v>154</v>
      </c>
      <c r="B214" s="130">
        <v>1</v>
      </c>
    </row>
    <row r="215" spans="1:3" x14ac:dyDescent="0.2">
      <c r="A215" s="83" t="s">
        <v>485</v>
      </c>
      <c r="B215" s="130">
        <v>0.4</v>
      </c>
      <c r="C215" s="83" t="s">
        <v>28</v>
      </c>
    </row>
    <row r="216" spans="1:3" x14ac:dyDescent="0.2">
      <c r="A216" s="83" t="s">
        <v>486</v>
      </c>
      <c r="B216" s="131">
        <v>0.2</v>
      </c>
      <c r="C216" s="52" t="s">
        <v>246</v>
      </c>
    </row>
    <row r="217" spans="1:3" x14ac:dyDescent="0.2">
      <c r="A217" s="83" t="s">
        <v>487</v>
      </c>
      <c r="B217" s="131">
        <v>2.1999999999999999E-2</v>
      </c>
      <c r="C217" s="52" t="s">
        <v>246</v>
      </c>
    </row>
    <row r="218" spans="1:3" x14ac:dyDescent="0.2">
      <c r="A218" s="83" t="s">
        <v>488</v>
      </c>
      <c r="B218" s="131">
        <v>1</v>
      </c>
    </row>
    <row r="219" spans="1:3" x14ac:dyDescent="0.2">
      <c r="A219" s="83" t="s">
        <v>489</v>
      </c>
      <c r="B219" s="131">
        <v>1</v>
      </c>
    </row>
    <row r="220" spans="1:3" x14ac:dyDescent="0.2">
      <c r="A220" s="83" t="s">
        <v>150</v>
      </c>
      <c r="B220" s="131">
        <v>11.4</v>
      </c>
      <c r="C220" s="83" t="s">
        <v>28</v>
      </c>
    </row>
    <row r="221" spans="1:3" x14ac:dyDescent="0.2">
      <c r="A221" s="83" t="s">
        <v>490</v>
      </c>
      <c r="B221" s="131">
        <v>4.7</v>
      </c>
      <c r="C221" s="52" t="s">
        <v>246</v>
      </c>
    </row>
    <row r="222" spans="1:3" x14ac:dyDescent="0.2">
      <c r="A222" s="83" t="s">
        <v>491</v>
      </c>
      <c r="B222" s="131">
        <v>0.37</v>
      </c>
      <c r="C222" s="52" t="s">
        <v>246</v>
      </c>
    </row>
    <row r="223" spans="1:3" x14ac:dyDescent="0.2">
      <c r="A223" s="83" t="s">
        <v>492</v>
      </c>
      <c r="B223" s="131">
        <v>1</v>
      </c>
    </row>
    <row r="224" spans="1:3" x14ac:dyDescent="0.2">
      <c r="A224" s="83" t="s">
        <v>493</v>
      </c>
      <c r="B224" s="131">
        <v>1</v>
      </c>
    </row>
    <row r="225" spans="1:3" x14ac:dyDescent="0.2">
      <c r="A225" s="370" t="s">
        <v>311</v>
      </c>
      <c r="B225" s="370"/>
      <c r="C225" s="370"/>
    </row>
    <row r="226" spans="1:3" x14ac:dyDescent="0.2">
      <c r="A226" s="52" t="s">
        <v>504</v>
      </c>
      <c r="B226" s="130">
        <v>50</v>
      </c>
      <c r="C226" s="84" t="s">
        <v>407</v>
      </c>
    </row>
    <row r="227" spans="1:3" x14ac:dyDescent="0.2">
      <c r="A227" s="83" t="s">
        <v>316</v>
      </c>
      <c r="B227" s="130">
        <v>125</v>
      </c>
      <c r="C227" s="52" t="s">
        <v>24</v>
      </c>
    </row>
    <row r="228" spans="1:3" x14ac:dyDescent="0.2">
      <c r="A228" s="83" t="s">
        <v>422</v>
      </c>
      <c r="B228" s="131">
        <v>1</v>
      </c>
      <c r="C228" s="52" t="s">
        <v>60</v>
      </c>
    </row>
    <row r="229" spans="1:3" x14ac:dyDescent="0.2">
      <c r="A229" s="83" t="s">
        <v>317</v>
      </c>
      <c r="B229" s="130">
        <v>50</v>
      </c>
      <c r="C229" s="84" t="s">
        <v>48</v>
      </c>
    </row>
    <row r="230" spans="1:3" x14ac:dyDescent="0.2">
      <c r="A230" s="52" t="s">
        <v>318</v>
      </c>
      <c r="B230" s="131">
        <v>2</v>
      </c>
    </row>
    <row r="231" spans="1:3" x14ac:dyDescent="0.2">
      <c r="A231" s="83" t="s">
        <v>299</v>
      </c>
      <c r="B231" s="131">
        <v>1</v>
      </c>
    </row>
    <row r="232" spans="1:3" x14ac:dyDescent="0.2">
      <c r="A232" s="83" t="s">
        <v>83</v>
      </c>
      <c r="B232" s="130">
        <v>5</v>
      </c>
      <c r="C232" s="52" t="s">
        <v>194</v>
      </c>
    </row>
    <row r="233" spans="1:3" x14ac:dyDescent="0.2">
      <c r="A233" s="83" t="s">
        <v>85</v>
      </c>
      <c r="B233" s="130">
        <v>5</v>
      </c>
      <c r="C233" s="52" t="s">
        <v>194</v>
      </c>
    </row>
    <row r="234" spans="1:3" x14ac:dyDescent="0.2">
      <c r="A234" s="83" t="s">
        <v>88</v>
      </c>
      <c r="B234" s="130">
        <v>0.4</v>
      </c>
    </row>
    <row r="235" spans="1:3" x14ac:dyDescent="0.2">
      <c r="A235" s="370" t="s">
        <v>312</v>
      </c>
      <c r="B235" s="370"/>
      <c r="C235" s="370"/>
    </row>
    <row r="236" spans="1:3" x14ac:dyDescent="0.2">
      <c r="A236" s="52" t="s">
        <v>304</v>
      </c>
      <c r="B236" s="130">
        <v>50</v>
      </c>
      <c r="C236" s="84" t="s">
        <v>407</v>
      </c>
    </row>
    <row r="237" spans="1:3" x14ac:dyDescent="0.2">
      <c r="A237" s="83" t="s">
        <v>35</v>
      </c>
      <c r="B237" s="130">
        <v>125</v>
      </c>
      <c r="C237" s="52" t="s">
        <v>24</v>
      </c>
    </row>
    <row r="238" spans="1:3" x14ac:dyDescent="0.2">
      <c r="A238" s="83" t="s">
        <v>420</v>
      </c>
      <c r="B238" s="131">
        <v>1</v>
      </c>
      <c r="C238" s="52" t="s">
        <v>60</v>
      </c>
    </row>
    <row r="239" spans="1:3" x14ac:dyDescent="0.2">
      <c r="A239" s="83" t="s">
        <v>62</v>
      </c>
      <c r="B239" s="130">
        <v>50</v>
      </c>
      <c r="C239" s="84" t="s">
        <v>48</v>
      </c>
    </row>
    <row r="240" spans="1:3" x14ac:dyDescent="0.2">
      <c r="A240" s="52" t="s">
        <v>318</v>
      </c>
      <c r="B240" s="131">
        <v>2</v>
      </c>
    </row>
    <row r="241" spans="1:3" x14ac:dyDescent="0.2">
      <c r="A241" s="83" t="s">
        <v>299</v>
      </c>
      <c r="B241" s="131">
        <v>1</v>
      </c>
    </row>
    <row r="242" spans="1:3" x14ac:dyDescent="0.2">
      <c r="A242" s="83" t="s">
        <v>83</v>
      </c>
      <c r="B242" s="130">
        <v>5</v>
      </c>
      <c r="C242" s="52" t="s">
        <v>194</v>
      </c>
    </row>
    <row r="243" spans="1:3" x14ac:dyDescent="0.2">
      <c r="A243" s="83" t="s">
        <v>85</v>
      </c>
      <c r="B243" s="130">
        <v>5</v>
      </c>
      <c r="C243" s="52" t="s">
        <v>194</v>
      </c>
    </row>
    <row r="244" spans="1:3" x14ac:dyDescent="0.2">
      <c r="A244" s="83" t="s">
        <v>88</v>
      </c>
      <c r="B244" s="130">
        <v>0.4</v>
      </c>
    </row>
    <row r="245" spans="1:3" x14ac:dyDescent="0.2">
      <c r="A245" s="370" t="s">
        <v>313</v>
      </c>
      <c r="B245" s="370"/>
      <c r="C245" s="370"/>
    </row>
    <row r="246" spans="1:3" x14ac:dyDescent="0.2">
      <c r="A246" s="52" t="s">
        <v>50</v>
      </c>
      <c r="B246" s="130">
        <v>50</v>
      </c>
      <c r="C246" s="84" t="s">
        <v>407</v>
      </c>
    </row>
    <row r="247" spans="1:3" x14ac:dyDescent="0.2">
      <c r="A247" s="83" t="s">
        <v>423</v>
      </c>
      <c r="B247" s="130">
        <v>125</v>
      </c>
      <c r="C247" s="52" t="s">
        <v>24</v>
      </c>
    </row>
    <row r="248" spans="1:3" x14ac:dyDescent="0.2">
      <c r="A248" s="83" t="s">
        <v>424</v>
      </c>
      <c r="B248" s="131">
        <v>1</v>
      </c>
      <c r="C248" s="52" t="s">
        <v>60</v>
      </c>
    </row>
    <row r="249" spans="1:3" x14ac:dyDescent="0.2">
      <c r="A249" s="83" t="s">
        <v>503</v>
      </c>
      <c r="B249" s="130">
        <v>50</v>
      </c>
      <c r="C249" s="84" t="s">
        <v>48</v>
      </c>
    </row>
    <row r="250" spans="1:3" x14ac:dyDescent="0.2">
      <c r="A250" s="52" t="s">
        <v>318</v>
      </c>
      <c r="B250" s="131">
        <v>2</v>
      </c>
    </row>
    <row r="251" spans="1:3" x14ac:dyDescent="0.2">
      <c r="A251" s="83" t="s">
        <v>299</v>
      </c>
      <c r="B251" s="131">
        <v>1</v>
      </c>
    </row>
    <row r="252" spans="1:3" x14ac:dyDescent="0.2">
      <c r="A252" s="83" t="s">
        <v>83</v>
      </c>
      <c r="B252" s="130">
        <v>5</v>
      </c>
      <c r="C252" s="52" t="s">
        <v>194</v>
      </c>
    </row>
    <row r="253" spans="1:3" x14ac:dyDescent="0.2">
      <c r="A253" s="83" t="s">
        <v>85</v>
      </c>
      <c r="B253" s="130">
        <v>5</v>
      </c>
      <c r="C253" s="52" t="s">
        <v>194</v>
      </c>
    </row>
    <row r="254" spans="1:3" x14ac:dyDescent="0.2">
      <c r="A254" s="83" t="s">
        <v>88</v>
      </c>
      <c r="B254" s="130">
        <v>0.4</v>
      </c>
    </row>
    <row r="255" spans="1:3" x14ac:dyDescent="0.2">
      <c r="A255" s="370" t="s">
        <v>314</v>
      </c>
      <c r="B255" s="370"/>
      <c r="C255" s="370"/>
    </row>
    <row r="256" spans="1:3" x14ac:dyDescent="0.2">
      <c r="A256" s="52" t="s">
        <v>348</v>
      </c>
      <c r="B256" s="130">
        <v>50</v>
      </c>
      <c r="C256" s="84" t="s">
        <v>407</v>
      </c>
    </row>
    <row r="257" spans="1:3" x14ac:dyDescent="0.2">
      <c r="A257" s="83" t="s">
        <v>191</v>
      </c>
      <c r="B257" s="130">
        <v>125</v>
      </c>
      <c r="C257" s="52" t="s">
        <v>24</v>
      </c>
    </row>
    <row r="258" spans="1:3" x14ac:dyDescent="0.2">
      <c r="A258" s="83" t="s">
        <v>158</v>
      </c>
      <c r="B258" s="131">
        <v>1</v>
      </c>
      <c r="C258" s="52" t="s">
        <v>60</v>
      </c>
    </row>
    <row r="259" spans="1:3" x14ac:dyDescent="0.2">
      <c r="A259" s="83" t="s">
        <v>502</v>
      </c>
      <c r="B259" s="130">
        <v>200</v>
      </c>
      <c r="C259" s="84" t="s">
        <v>48</v>
      </c>
    </row>
    <row r="260" spans="1:3" x14ac:dyDescent="0.2">
      <c r="A260" s="52" t="s">
        <v>318</v>
      </c>
      <c r="B260" s="131">
        <v>2</v>
      </c>
    </row>
    <row r="261" spans="1:3" x14ac:dyDescent="0.2">
      <c r="A261" s="83" t="s">
        <v>299</v>
      </c>
      <c r="B261" s="131">
        <v>1</v>
      </c>
    </row>
    <row r="262" spans="1:3" x14ac:dyDescent="0.2">
      <c r="A262" s="83" t="s">
        <v>83</v>
      </c>
      <c r="B262" s="130">
        <v>5</v>
      </c>
      <c r="C262" s="52" t="s">
        <v>194</v>
      </c>
    </row>
    <row r="263" spans="1:3" x14ac:dyDescent="0.2">
      <c r="A263" s="83" t="s">
        <v>85</v>
      </c>
      <c r="B263" s="130">
        <v>5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83" t="s">
        <v>219</v>
      </c>
      <c r="B265" s="130">
        <v>3</v>
      </c>
      <c r="C265" s="52" t="s">
        <v>112</v>
      </c>
    </row>
    <row r="266" spans="1:3" x14ac:dyDescent="0.2">
      <c r="A266" s="83" t="s">
        <v>220</v>
      </c>
      <c r="B266" s="130">
        <v>25</v>
      </c>
      <c r="C266" s="52" t="s">
        <v>113</v>
      </c>
    </row>
    <row r="267" spans="1:3" x14ac:dyDescent="0.2">
      <c r="A267" s="370" t="s">
        <v>315</v>
      </c>
      <c r="B267" s="370"/>
      <c r="C267" s="370"/>
    </row>
    <row r="268" spans="1:3" x14ac:dyDescent="0.2">
      <c r="A268" s="52" t="s">
        <v>348</v>
      </c>
      <c r="B268" s="130">
        <v>50</v>
      </c>
      <c r="C268" s="84" t="s">
        <v>407</v>
      </c>
    </row>
    <row r="269" spans="1:3" x14ac:dyDescent="0.2">
      <c r="A269" s="83" t="s">
        <v>191</v>
      </c>
      <c r="B269" s="130">
        <v>125</v>
      </c>
      <c r="C269" s="52" t="s">
        <v>24</v>
      </c>
    </row>
    <row r="270" spans="1:3" x14ac:dyDescent="0.2">
      <c r="A270" s="83" t="s">
        <v>158</v>
      </c>
      <c r="B270" s="131">
        <v>1</v>
      </c>
      <c r="C270" s="52" t="s">
        <v>60</v>
      </c>
    </row>
    <row r="271" spans="1:3" x14ac:dyDescent="0.2">
      <c r="A271" s="83" t="s">
        <v>502</v>
      </c>
      <c r="B271" s="130">
        <v>200</v>
      </c>
      <c r="C271" s="84" t="s">
        <v>48</v>
      </c>
    </row>
    <row r="272" spans="1:3" x14ac:dyDescent="0.2">
      <c r="A272" s="83" t="s">
        <v>299</v>
      </c>
      <c r="B272" s="131">
        <v>1</v>
      </c>
    </row>
    <row r="273" spans="1:3" x14ac:dyDescent="0.2">
      <c r="A273" s="83" t="s">
        <v>83</v>
      </c>
      <c r="B273" s="130">
        <v>5</v>
      </c>
      <c r="C273" s="52" t="s">
        <v>194</v>
      </c>
    </row>
    <row r="274" spans="1:3" x14ac:dyDescent="0.2">
      <c r="A274" s="83" t="s">
        <v>85</v>
      </c>
      <c r="B274" s="130">
        <v>5</v>
      </c>
      <c r="C274" s="52" t="s">
        <v>194</v>
      </c>
    </row>
    <row r="275" spans="1:3" x14ac:dyDescent="0.2">
      <c r="A275" s="83" t="s">
        <v>88</v>
      </c>
      <c r="B275" s="130">
        <v>0.4</v>
      </c>
    </row>
    <row r="276" spans="1:3" x14ac:dyDescent="0.2">
      <c r="A276" s="83" t="s">
        <v>219</v>
      </c>
      <c r="B276" s="130">
        <v>3</v>
      </c>
      <c r="C276" s="52" t="s">
        <v>112</v>
      </c>
    </row>
    <row r="277" spans="1:3" x14ac:dyDescent="0.2">
      <c r="A277" s="83" t="s">
        <v>220</v>
      </c>
      <c r="B277" s="130">
        <v>25</v>
      </c>
      <c r="C277" s="52" t="s">
        <v>113</v>
      </c>
    </row>
  </sheetData>
  <mergeCells count="342">
    <mergeCell ref="BK39:BO42"/>
    <mergeCell ref="AE38:AG40"/>
    <mergeCell ref="A225:C225"/>
    <mergeCell ref="A235:C235"/>
    <mergeCell ref="A245:C245"/>
    <mergeCell ref="M20:O20"/>
    <mergeCell ref="P20:R20"/>
    <mergeCell ref="M21:M23"/>
    <mergeCell ref="N21:N23"/>
    <mergeCell ref="O21:O23"/>
    <mergeCell ref="P21:P23"/>
    <mergeCell ref="Q21:Q23"/>
    <mergeCell ref="R21:R23"/>
    <mergeCell ref="V23:X23"/>
    <mergeCell ref="Y23:AA23"/>
    <mergeCell ref="A91:C91"/>
    <mergeCell ref="A102:C102"/>
    <mergeCell ref="A140:C140"/>
    <mergeCell ref="BF21:BF23"/>
    <mergeCell ref="BJ21:BJ23"/>
    <mergeCell ref="BK21:BK23"/>
    <mergeCell ref="BL21:BL23"/>
    <mergeCell ref="BM21:BM23"/>
    <mergeCell ref="BN21:BN23"/>
    <mergeCell ref="HD21:HF21"/>
    <mergeCell ref="D30:F30"/>
    <mergeCell ref="D31:D32"/>
    <mergeCell ref="E31:E32"/>
    <mergeCell ref="F31:F32"/>
    <mergeCell ref="CQ20:CQ22"/>
    <mergeCell ref="CR20:CR22"/>
    <mergeCell ref="CS20:CS22"/>
    <mergeCell ref="AI21:AI23"/>
    <mergeCell ref="AJ21:AJ23"/>
    <mergeCell ref="AK21:AK23"/>
    <mergeCell ref="AL21:AL23"/>
    <mergeCell ref="AM21:AM23"/>
    <mergeCell ref="AN21:AN23"/>
    <mergeCell ref="AR21:AR23"/>
    <mergeCell ref="AS21:AS23"/>
    <mergeCell ref="AT21:AT23"/>
    <mergeCell ref="AU21:AU23"/>
    <mergeCell ref="AV21:AV23"/>
    <mergeCell ref="AW21:AW23"/>
    <mergeCell ref="BA21:BA23"/>
    <mergeCell ref="BC21:BC23"/>
    <mergeCell ref="BD21:BD23"/>
    <mergeCell ref="BE21:BE23"/>
    <mergeCell ref="CQ19:CS19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CK20:CK22"/>
    <mergeCell ref="CE19:CE21"/>
    <mergeCell ref="CF19:CF21"/>
    <mergeCell ref="CG19:CG21"/>
    <mergeCell ref="CK19:CM19"/>
    <mergeCell ref="CN19:CP19"/>
    <mergeCell ref="CL20:CL22"/>
    <mergeCell ref="CM20:CM22"/>
    <mergeCell ref="CN20:CN22"/>
    <mergeCell ref="CO20:CO22"/>
    <mergeCell ref="CP20:CP22"/>
    <mergeCell ref="CB19:CB21"/>
    <mergeCell ref="CC19:CC21"/>
    <mergeCell ref="CD19:CD21"/>
    <mergeCell ref="BB21:BB23"/>
    <mergeCell ref="BO21:BO23"/>
    <mergeCell ref="HA2:HA4"/>
    <mergeCell ref="HB2:HB4"/>
    <mergeCell ref="HC2:HC4"/>
    <mergeCell ref="CB18:CD18"/>
    <mergeCell ref="CE18:CG18"/>
    <mergeCell ref="GV2:GV4"/>
    <mergeCell ref="GW2:GW4"/>
    <mergeCell ref="GX2:GX4"/>
    <mergeCell ref="GY2:GY4"/>
    <mergeCell ref="GZ2:GZ4"/>
    <mergeCell ref="GQ2:GQ4"/>
    <mergeCell ref="GR2:GR4"/>
    <mergeCell ref="GS2:GS4"/>
    <mergeCell ref="GT2:GT4"/>
    <mergeCell ref="GU2:GU4"/>
    <mergeCell ref="GL2:GL4"/>
    <mergeCell ref="GM2:GM4"/>
    <mergeCell ref="GN2:GN4"/>
    <mergeCell ref="GO2:GO4"/>
    <mergeCell ref="GP2:GP4"/>
    <mergeCell ref="GG2:GG4"/>
    <mergeCell ref="GH2:GH4"/>
    <mergeCell ref="GI2:GI4"/>
    <mergeCell ref="GJ2:GJ4"/>
    <mergeCell ref="GK2:GK4"/>
    <mergeCell ref="GB2:GB4"/>
    <mergeCell ref="GC2:GC4"/>
    <mergeCell ref="GD2:GD4"/>
    <mergeCell ref="GE2:GE4"/>
    <mergeCell ref="GF2:GF4"/>
    <mergeCell ref="FW2:FW4"/>
    <mergeCell ref="FX2:FX4"/>
    <mergeCell ref="FY2:FY4"/>
    <mergeCell ref="FZ2:FZ4"/>
    <mergeCell ref="GA2:GA4"/>
    <mergeCell ref="FR2:FR4"/>
    <mergeCell ref="FS2:FS4"/>
    <mergeCell ref="FT2:FT4"/>
    <mergeCell ref="FU2:FU4"/>
    <mergeCell ref="FV2:FV4"/>
    <mergeCell ref="FM2:FM4"/>
    <mergeCell ref="FN2:FN4"/>
    <mergeCell ref="FO2:FO4"/>
    <mergeCell ref="FP2:FP4"/>
    <mergeCell ref="FQ2:FQ4"/>
    <mergeCell ref="FH2:FH4"/>
    <mergeCell ref="FI2:FI4"/>
    <mergeCell ref="FJ2:FJ4"/>
    <mergeCell ref="FK2:FK4"/>
    <mergeCell ref="FL2:FL4"/>
    <mergeCell ref="FC2:FC4"/>
    <mergeCell ref="FD2:FD4"/>
    <mergeCell ref="FE2:FE4"/>
    <mergeCell ref="FF2:FF4"/>
    <mergeCell ref="FG2:FG4"/>
    <mergeCell ref="EX2:EX4"/>
    <mergeCell ref="EY2:EY4"/>
    <mergeCell ref="EZ2:EZ4"/>
    <mergeCell ref="FA2:FA4"/>
    <mergeCell ref="FB2:FB4"/>
    <mergeCell ref="ES2:ES4"/>
    <mergeCell ref="ET2:ET4"/>
    <mergeCell ref="EU2:EU4"/>
    <mergeCell ref="EV2:EV4"/>
    <mergeCell ref="EW2:EW4"/>
    <mergeCell ref="EN2:EN4"/>
    <mergeCell ref="EO2:EO4"/>
    <mergeCell ref="EP2:EP4"/>
    <mergeCell ref="EQ2:EQ4"/>
    <mergeCell ref="ER2:ER4"/>
    <mergeCell ref="EI2:EI4"/>
    <mergeCell ref="EJ2:EJ4"/>
    <mergeCell ref="EK2:EK4"/>
    <mergeCell ref="EL2:EL4"/>
    <mergeCell ref="EM2:EM4"/>
    <mergeCell ref="ED2:ED4"/>
    <mergeCell ref="EE2:EE4"/>
    <mergeCell ref="EF2:EF4"/>
    <mergeCell ref="EG2:EG4"/>
    <mergeCell ref="EH2:EH4"/>
    <mergeCell ref="DY2:DY4"/>
    <mergeCell ref="DZ2:DZ4"/>
    <mergeCell ref="EA2:EA4"/>
    <mergeCell ref="EB2:EB4"/>
    <mergeCell ref="EC2:EC4"/>
    <mergeCell ref="DT2:DT4"/>
    <mergeCell ref="DU2:DU4"/>
    <mergeCell ref="DV2:DV4"/>
    <mergeCell ref="DW2:DW4"/>
    <mergeCell ref="DX2:DX4"/>
    <mergeCell ref="DO2:DO4"/>
    <mergeCell ref="DP2:DP4"/>
    <mergeCell ref="DQ2:DQ4"/>
    <mergeCell ref="DR2:DR4"/>
    <mergeCell ref="DS2:DS4"/>
    <mergeCell ref="DJ2:DJ4"/>
    <mergeCell ref="DK2:DK4"/>
    <mergeCell ref="DL2:DL4"/>
    <mergeCell ref="DM2:DM4"/>
    <mergeCell ref="DN2:DN4"/>
    <mergeCell ref="DE2:DE4"/>
    <mergeCell ref="DF2:DF4"/>
    <mergeCell ref="DG2:DG4"/>
    <mergeCell ref="DH2:DH4"/>
    <mergeCell ref="DI2:DI4"/>
    <mergeCell ref="CZ2:CZ4"/>
    <mergeCell ref="DA2:DA4"/>
    <mergeCell ref="DB2:DB4"/>
    <mergeCell ref="DC2:DC4"/>
    <mergeCell ref="DD2:DD4"/>
    <mergeCell ref="CR2:CR4"/>
    <mergeCell ref="CS2:CS4"/>
    <mergeCell ref="CT2:CT4"/>
    <mergeCell ref="CU2:CU4"/>
    <mergeCell ref="CV2:CV4"/>
    <mergeCell ref="CM2:CM4"/>
    <mergeCell ref="CN2:CN4"/>
    <mergeCell ref="CO2:CO4"/>
    <mergeCell ref="CP2:CP4"/>
    <mergeCell ref="CQ2:CQ4"/>
    <mergeCell ref="CH2:CH4"/>
    <mergeCell ref="CI2:CI4"/>
    <mergeCell ref="CJ2:CJ4"/>
    <mergeCell ref="CK2:CK4"/>
    <mergeCell ref="CL2:CL4"/>
    <mergeCell ref="CC2:CC4"/>
    <mergeCell ref="CD2:CD4"/>
    <mergeCell ref="CE2:CE4"/>
    <mergeCell ref="CF2:CF4"/>
    <mergeCell ref="CG2:CG4"/>
    <mergeCell ref="BX2:BX4"/>
    <mergeCell ref="BY2:BY4"/>
    <mergeCell ref="BZ2:BZ4"/>
    <mergeCell ref="CA2:CA4"/>
    <mergeCell ref="CB2:CB4"/>
    <mergeCell ref="BP2:BP4"/>
    <mergeCell ref="BQ2:BQ4"/>
    <mergeCell ref="BR2:BR4"/>
    <mergeCell ref="BV2:BV4"/>
    <mergeCell ref="BW2:BW4"/>
    <mergeCell ref="BK2:BK4"/>
    <mergeCell ref="BL2:BL4"/>
    <mergeCell ref="BM2:BM4"/>
    <mergeCell ref="BN2:BN4"/>
    <mergeCell ref="BO2:BO4"/>
    <mergeCell ref="BF2:BF4"/>
    <mergeCell ref="BG2:BG4"/>
    <mergeCell ref="BH2:BH4"/>
    <mergeCell ref="BI2:BI4"/>
    <mergeCell ref="BJ2:BJ4"/>
    <mergeCell ref="BA2:BA4"/>
    <mergeCell ref="BB2:BB4"/>
    <mergeCell ref="BC2:BC4"/>
    <mergeCell ref="BD2:BD4"/>
    <mergeCell ref="BE2:BE4"/>
    <mergeCell ref="AV2:AV4"/>
    <mergeCell ref="AW2:AW4"/>
    <mergeCell ref="AX2:AX4"/>
    <mergeCell ref="AY2:AY4"/>
    <mergeCell ref="AZ2:AZ4"/>
    <mergeCell ref="AQ2:AQ4"/>
    <mergeCell ref="AR2:AR4"/>
    <mergeCell ref="AS2:AS4"/>
    <mergeCell ref="AT2:AT4"/>
    <mergeCell ref="AU2:AU4"/>
    <mergeCell ref="AL2:AL4"/>
    <mergeCell ref="AM2:AM4"/>
    <mergeCell ref="AN2:AN4"/>
    <mergeCell ref="AO2:AO4"/>
    <mergeCell ref="AP2:AP4"/>
    <mergeCell ref="GU1:GW1"/>
    <mergeCell ref="GX1:GZ1"/>
    <mergeCell ref="HA1:HC1"/>
    <mergeCell ref="HD1:HF1"/>
    <mergeCell ref="EA1:EC1"/>
    <mergeCell ref="ED1:EF1"/>
    <mergeCell ref="EG1:EI1"/>
    <mergeCell ref="EJ1:EL1"/>
    <mergeCell ref="DI1:DK1"/>
    <mergeCell ref="DL1:DN1"/>
    <mergeCell ref="DO1:DQ1"/>
    <mergeCell ref="DR1:DT1"/>
    <mergeCell ref="DU1:DW1"/>
    <mergeCell ref="CT1:CV1"/>
    <mergeCell ref="CW1:CY1"/>
    <mergeCell ref="CZ1:DB1"/>
    <mergeCell ref="DC1:DE1"/>
    <mergeCell ref="DF1:DH1"/>
    <mergeCell ref="CE1:CG1"/>
    <mergeCell ref="AC2:AC4"/>
    <mergeCell ref="AD2:AD4"/>
    <mergeCell ref="AE2:AE4"/>
    <mergeCell ref="GF1:GH1"/>
    <mergeCell ref="GI1:GK1"/>
    <mergeCell ref="GL1:GN1"/>
    <mergeCell ref="GO1:GQ1"/>
    <mergeCell ref="GR1:GT1"/>
    <mergeCell ref="FQ1:FS1"/>
    <mergeCell ref="FT1:FV1"/>
    <mergeCell ref="FW1:FX1"/>
    <mergeCell ref="FZ1:GB1"/>
    <mergeCell ref="GC1:GE1"/>
    <mergeCell ref="FB1:FD1"/>
    <mergeCell ref="FE1:FG1"/>
    <mergeCell ref="FH1:FJ1"/>
    <mergeCell ref="FK1:FM1"/>
    <mergeCell ref="FN1:FP1"/>
    <mergeCell ref="EM1:EO1"/>
    <mergeCell ref="EP1:ER1"/>
    <mergeCell ref="ES1:EU1"/>
    <mergeCell ref="EV1:EX1"/>
    <mergeCell ref="EY1:FA1"/>
    <mergeCell ref="DX1:DZ1"/>
    <mergeCell ref="AL1:AN1"/>
    <mergeCell ref="AO1:AQ1"/>
    <mergeCell ref="AR1:AT1"/>
    <mergeCell ref="AU1:AW1"/>
    <mergeCell ref="AX1:AZ1"/>
    <mergeCell ref="CH1:CJ1"/>
    <mergeCell ref="CK1:CM1"/>
    <mergeCell ref="CN1:CP1"/>
    <mergeCell ref="CQ1:CS1"/>
    <mergeCell ref="BP1:BR1"/>
    <mergeCell ref="BS1:BU1"/>
    <mergeCell ref="BV1:BX1"/>
    <mergeCell ref="BY1:CA1"/>
    <mergeCell ref="CB1:CD1"/>
    <mergeCell ref="A267:C267"/>
    <mergeCell ref="A255:C255"/>
    <mergeCell ref="A2:C2"/>
    <mergeCell ref="A49:C49"/>
    <mergeCell ref="A14:C16"/>
    <mergeCell ref="A1:C1"/>
    <mergeCell ref="A5:C5"/>
    <mergeCell ref="S1:U1"/>
    <mergeCell ref="V1:X1"/>
    <mergeCell ref="M2:M4"/>
    <mergeCell ref="N2:N4"/>
    <mergeCell ref="O2:O4"/>
    <mergeCell ref="P2:P4"/>
    <mergeCell ref="Q2:Q4"/>
    <mergeCell ref="R2:R4"/>
    <mergeCell ref="S2:S4"/>
    <mergeCell ref="T2:T4"/>
    <mergeCell ref="U2:U4"/>
    <mergeCell ref="CC35:CG38"/>
    <mergeCell ref="D42:F42"/>
    <mergeCell ref="D43:D44"/>
    <mergeCell ref="E43:E44"/>
    <mergeCell ref="F43:F44"/>
    <mergeCell ref="D1:F1"/>
    <mergeCell ref="G1:I1"/>
    <mergeCell ref="J1:L1"/>
    <mergeCell ref="M1:O1"/>
    <mergeCell ref="P1:R1"/>
    <mergeCell ref="Y1:AA1"/>
    <mergeCell ref="AB1:AB4"/>
    <mergeCell ref="AI1:AK1"/>
    <mergeCell ref="AF2:AF4"/>
    <mergeCell ref="AG2:AG4"/>
    <mergeCell ref="AH2:AH4"/>
    <mergeCell ref="AI2:AI4"/>
    <mergeCell ref="AJ2:AJ4"/>
    <mergeCell ref="AK2:AK4"/>
    <mergeCell ref="BA1:BC1"/>
    <mergeCell ref="BD1:BF1"/>
    <mergeCell ref="BG1:BI1"/>
    <mergeCell ref="BJ1:BL1"/>
    <mergeCell ref="BM1:BO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77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21" sqref="B21"/>
    </sheetView>
  </sheetViews>
  <sheetFormatPr defaultRowHeight="12.75" x14ac:dyDescent="0.2"/>
  <cols>
    <col min="1" max="1" width="15" style="52" bestFit="1" customWidth="1"/>
    <col min="2" max="2" width="9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28515625" style="52" bestFit="1" customWidth="1"/>
    <col min="79" max="79" width="18.85546875" style="52" bestFit="1" customWidth="1"/>
    <col min="80" max="80" width="11" style="52" bestFit="1" customWidth="1"/>
    <col min="81" max="81" width="9.28515625" style="52" bestFit="1" customWidth="1"/>
    <col min="82" max="82" width="20.28515625" style="52" bestFit="1" customWidth="1"/>
    <col min="83" max="83" width="12.42578125" style="52" bestFit="1" customWidth="1"/>
    <col min="84" max="84" width="9.28515625" style="52" bestFit="1" customWidth="1"/>
    <col min="85" max="85" width="20.28515625" style="52" bestFit="1" customWidth="1"/>
    <col min="86" max="86" width="13.5703125" style="52" bestFit="1" customWidth="1"/>
    <col min="87" max="87" width="9.2851562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5.57031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8.85546875" style="52" bestFit="1" customWidth="1"/>
    <col min="142" max="142" width="7" style="52" bestFit="1" customWidth="1"/>
    <col min="143" max="143" width="12" style="52" bestFit="1" customWidth="1"/>
    <col min="144" max="144" width="9.28515625" style="52" bestFit="1" customWidth="1"/>
    <col min="145" max="145" width="7" style="52" bestFit="1" customWidth="1"/>
    <col min="146" max="146" width="12" style="52" bestFit="1" customWidth="1"/>
    <col min="147" max="147" width="9.28515625" style="52" bestFit="1" customWidth="1"/>
    <col min="148" max="148" width="7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7" style="52" bestFit="1" customWidth="1"/>
    <col min="158" max="158" width="12" style="52" bestFit="1" customWidth="1"/>
    <col min="159" max="159" width="9.28515625" style="52" bestFit="1" customWidth="1"/>
    <col min="160" max="160" width="7" style="52" bestFit="1" customWidth="1"/>
    <col min="161" max="161" width="12" style="52" bestFit="1" customWidth="1"/>
    <col min="162" max="162" width="8.85546875" style="52" bestFit="1" customWidth="1"/>
    <col min="163" max="163" width="7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5.57031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5.57031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9.28515625" style="52" bestFit="1" customWidth="1"/>
    <col min="187" max="187" width="7" style="52" bestFit="1" customWidth="1"/>
    <col min="188" max="188" width="12" style="52" bestFit="1" customWidth="1"/>
    <col min="189" max="189" width="9.28515625" style="52" bestFit="1" customWidth="1"/>
    <col min="190" max="190" width="7" style="52" bestFit="1" customWidth="1"/>
    <col min="191" max="191" width="12" style="52" bestFit="1" customWidth="1"/>
    <col min="192" max="192" width="9.28515625" style="52" bestFit="1" customWidth="1"/>
    <col min="193" max="193" width="7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7" style="52" bestFit="1" customWidth="1"/>
    <col min="203" max="203" width="12" style="52" bestFit="1" customWidth="1"/>
    <col min="204" max="204" width="9.28515625" style="52" bestFit="1" customWidth="1"/>
    <col min="205" max="205" width="7" style="52" bestFit="1" customWidth="1"/>
    <col min="206" max="206" width="12" style="52" bestFit="1" customWidth="1"/>
    <col min="207" max="207" width="9.28515625" style="52" bestFit="1" customWidth="1"/>
    <col min="208" max="208" width="7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13" style="52" bestFit="1" customWidth="1"/>
    <col min="214" max="214" width="20.5703125" style="52" bestFit="1" customWidth="1"/>
    <col min="215" max="16384" width="9.140625" style="52"/>
  </cols>
  <sheetData>
    <row r="1" spans="1:214" ht="21.75" thickTop="1" thickBot="1" x14ac:dyDescent="0.25">
      <c r="A1" s="349" t="s">
        <v>0</v>
      </c>
      <c r="B1" s="350"/>
      <c r="C1" s="351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565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296" t="s">
        <v>557</v>
      </c>
      <c r="AJ1" s="294"/>
      <c r="AK1" s="297"/>
      <c r="AL1" s="293" t="s">
        <v>546</v>
      </c>
      <c r="AM1" s="294"/>
      <c r="AN1" s="297"/>
      <c r="AO1" s="293" t="s">
        <v>547</v>
      </c>
      <c r="AP1" s="294"/>
      <c r="AQ1" s="295"/>
      <c r="AR1" s="296" t="s">
        <v>559</v>
      </c>
      <c r="AS1" s="294"/>
      <c r="AT1" s="297"/>
      <c r="AU1" s="293" t="s">
        <v>548</v>
      </c>
      <c r="AV1" s="294"/>
      <c r="AW1" s="297"/>
      <c r="AX1" s="293" t="s">
        <v>549</v>
      </c>
      <c r="AY1" s="294"/>
      <c r="AZ1" s="295"/>
      <c r="BA1" s="296" t="s">
        <v>561</v>
      </c>
      <c r="BB1" s="294"/>
      <c r="BC1" s="297"/>
      <c r="BD1" s="293" t="s">
        <v>551</v>
      </c>
      <c r="BE1" s="294"/>
      <c r="BF1" s="297"/>
      <c r="BG1" s="293" t="s">
        <v>552</v>
      </c>
      <c r="BH1" s="294"/>
      <c r="BI1" s="295"/>
      <c r="BJ1" s="296" t="s">
        <v>564</v>
      </c>
      <c r="BK1" s="294"/>
      <c r="BL1" s="297"/>
      <c r="BM1" s="293" t="s">
        <v>554</v>
      </c>
      <c r="BN1" s="294"/>
      <c r="BO1" s="297"/>
      <c r="BP1" s="293" t="s">
        <v>555</v>
      </c>
      <c r="BQ1" s="294"/>
      <c r="BR1" s="295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274" t="s">
        <v>569</v>
      </c>
      <c r="CC1" s="270"/>
      <c r="CD1" s="270"/>
      <c r="CE1" s="271" t="s">
        <v>570</v>
      </c>
      <c r="CF1" s="270"/>
      <c r="CG1" s="272"/>
      <c r="CH1" s="270" t="s">
        <v>571</v>
      </c>
      <c r="CI1" s="270"/>
      <c r="CJ1" s="273"/>
      <c r="CK1" s="270" t="s">
        <v>575</v>
      </c>
      <c r="CL1" s="270"/>
      <c r="CM1" s="270"/>
      <c r="CN1" s="271" t="s">
        <v>575</v>
      </c>
      <c r="CO1" s="270"/>
      <c r="CP1" s="272"/>
      <c r="CQ1" s="270" t="s">
        <v>575</v>
      </c>
      <c r="CR1" s="270"/>
      <c r="CS1" s="273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4.25" thickTop="1" thickBot="1" x14ac:dyDescent="0.25">
      <c r="A2" s="681" t="s">
        <v>240</v>
      </c>
      <c r="B2" s="682"/>
      <c r="C2" s="683"/>
      <c r="D2" s="193"/>
      <c r="E2" s="194"/>
      <c r="F2" s="194"/>
      <c r="G2" s="363" t="s">
        <v>531</v>
      </c>
      <c r="H2" s="360">
        <f>1/((1/H10)+(1/H12)+(1/H13))</f>
        <v>2.5958997625567554E-2</v>
      </c>
      <c r="I2" s="625" t="s">
        <v>291</v>
      </c>
      <c r="J2" s="622" t="s">
        <v>531</v>
      </c>
      <c r="K2" s="360">
        <f>1/((1/K14)+(1/K15)+(1/K16)+(1/K17))</f>
        <v>1.4498332658920896E-3</v>
      </c>
      <c r="L2" s="345" t="s">
        <v>290</v>
      </c>
      <c r="M2" s="330" t="s">
        <v>537</v>
      </c>
      <c r="N2" s="333">
        <f>((N5*N6*N7)/((1-EXP(-N7*N6))*N15*N13*(N9/365)*(((N14/24)*N12)+((N16/24)*N11))))/N17</f>
        <v>3.0901317715880952</v>
      </c>
      <c r="O2" s="336" t="s">
        <v>290</v>
      </c>
      <c r="P2" s="339" t="s">
        <v>537</v>
      </c>
      <c r="Q2" s="333">
        <f>((Q5*Q6*Q7)/((1-EXP(-Q7*Q6))*Q15*Q13*(Q9/365)*(((Q14/24)*Q12)+((Q16/24)*Q11))))/Q17</f>
        <v>6.3594701413663106</v>
      </c>
      <c r="R2" s="336" t="s">
        <v>290</v>
      </c>
      <c r="S2" s="339" t="s">
        <v>537</v>
      </c>
      <c r="T2" s="333">
        <f>((T5*T6*T7)/((1-EXP(-T7*T6))*T15*T13*(T9/365)*(((T14/24)*T12)+((T16/24)*T11))))/T17</f>
        <v>3.51491873761027</v>
      </c>
      <c r="U2" s="342" t="s">
        <v>290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7.0204331707892402</v>
      </c>
      <c r="AD2" s="315">
        <f>1/((1/AD29)+(1/AD30)+(1/AD31))</f>
        <v>4.3722993773609975</v>
      </c>
      <c r="AE2" s="315">
        <f>1/((1/AE29)+(1/AE30)+(1/AE31))</f>
        <v>7.0204331707892402</v>
      </c>
      <c r="AF2" s="315">
        <f>1/((1/AF29)+(1/AF30)+(1/AF31))</f>
        <v>5.8982169924063098E-2</v>
      </c>
      <c r="AG2" s="320">
        <f>1/((1/AG29)+(1/AG31)+(1/AG30))</f>
        <v>1.4428030272499568</v>
      </c>
      <c r="AH2" s="318" t="s">
        <v>290</v>
      </c>
      <c r="AI2" s="306" t="s">
        <v>537</v>
      </c>
      <c r="AJ2" s="303">
        <f>((AJ5*AJ6*AJ7)/((1-EXP(-AJ7*AJ6))*AJ15*(AJ9/365)*AJ10*(AJ16/24)*AJ11*AJ13))/AJ17</f>
        <v>18.541684295636912</v>
      </c>
      <c r="AK2" s="290" t="s">
        <v>290</v>
      </c>
      <c r="AL2" s="287" t="s">
        <v>537</v>
      </c>
      <c r="AM2" s="303">
        <f>((AM5*AM6*AM7)/((1-EXP(-AM7*AM6))*AM15*(AM9/365)*AM10*(AM16/24)*AM11*AM13))/AM17</f>
        <v>38.157713717805699</v>
      </c>
      <c r="AN2" s="290" t="s">
        <v>290</v>
      </c>
      <c r="AO2" s="287" t="s">
        <v>537</v>
      </c>
      <c r="AP2" s="303">
        <f>((AP5*AP6*AP7)/((1-EXP(-AP7*AP6))*AP15*(AP9/365)*AP10*(AP16/24)*AP11*AP13))/AP17</f>
        <v>21.090465671623257</v>
      </c>
      <c r="AQ2" s="281" t="s">
        <v>290</v>
      </c>
      <c r="AR2" s="306" t="s">
        <v>537</v>
      </c>
      <c r="AS2" s="303">
        <f>((AS5*AS6*AS7)/((1-EXP(-AS7*AS6))*AS15*(AS9/365)*AS10*(AS14/24)*AS12*AS13))/AS17</f>
        <v>76936.44935948927</v>
      </c>
      <c r="AT2" s="290" t="s">
        <v>290</v>
      </c>
      <c r="AU2" s="287" t="s">
        <v>537</v>
      </c>
      <c r="AV2" s="303">
        <f>((AV5*AV6*AV7)/((1-EXP(-AV7*AV6))*AV15*(AV9/365)*AV10*(AV14/24)*AV12*AV13))/AV17</f>
        <v>326134.3052803906</v>
      </c>
      <c r="AW2" s="290" t="s">
        <v>290</v>
      </c>
      <c r="AX2" s="287" t="s">
        <v>537</v>
      </c>
      <c r="AY2" s="303">
        <f>((AY5*AY6*AY7)/((1-EXP(-AY7*AY6))*AY15*(AY9/365)*AY10*(AY14/24)*AY12*AY13))/AY17</f>
        <v>93320.644564704693</v>
      </c>
      <c r="AZ2" s="281" t="s">
        <v>290</v>
      </c>
      <c r="BA2" s="306" t="s">
        <v>537</v>
      </c>
      <c r="BB2" s="303">
        <f>((BB5*BB6*BB7)/((1-EXP(-BB7*BB6))*BB15*(BB9/365)*(BB14/24)*BB12*BB13))/BB17</f>
        <v>76936.44935948927</v>
      </c>
      <c r="BC2" s="290" t="s">
        <v>290</v>
      </c>
      <c r="BD2" s="287" t="s">
        <v>537</v>
      </c>
      <c r="BE2" s="303">
        <f>((BE5*BE6*BE7)/((1-EXP(-BE7*BE6))*BE15*(BE9/365)*(BE14/24)*BE12*BE13))/BE17</f>
        <v>326134.3052803906</v>
      </c>
      <c r="BF2" s="290" t="s">
        <v>290</v>
      </c>
      <c r="BG2" s="287" t="s">
        <v>537</v>
      </c>
      <c r="BH2" s="303">
        <f>((BH5*BH6*BH7)/((1-EXP(-BH7*BH6))*BH15*(BH9/365)*(BH14/24)*BH12*BH13))/BH17</f>
        <v>93320.644564704693</v>
      </c>
      <c r="BI2" s="281" t="s">
        <v>290</v>
      </c>
      <c r="BJ2" s="306" t="s">
        <v>537</v>
      </c>
      <c r="BK2" s="284">
        <f>((BK5*BK6*BK7)/((1-EXP(-BK7*BK6))*BK16*(BK9/365)*(BK15/24)*BK13*BK14))/BK17</f>
        <v>128227.41559914879</v>
      </c>
      <c r="BL2" s="290" t="s">
        <v>290</v>
      </c>
      <c r="BM2" s="287" t="s">
        <v>537</v>
      </c>
      <c r="BN2" s="284">
        <f>((BN5*BN6*BN7)/((1-EXP(-BN7*BN6))*BN16*(BN9/365)*(BN15/24)*BN13*BN14))/BN17</f>
        <v>543557.17546731757</v>
      </c>
      <c r="BO2" s="290" t="s">
        <v>290</v>
      </c>
      <c r="BP2" s="287" t="s">
        <v>537</v>
      </c>
      <c r="BQ2" s="284">
        <f>((BQ5*BQ6*BQ7)/((1-EXP(-BQ7*BQ6))*BQ16*(BQ9/365)*(BQ15/24)*BQ13*BQ14))/BQ17</f>
        <v>155534.4076078411</v>
      </c>
      <c r="BR2" s="281" t="s">
        <v>290</v>
      </c>
      <c r="BS2" s="214"/>
      <c r="BT2" s="120"/>
      <c r="BU2" s="215"/>
      <c r="BV2" s="258" t="s">
        <v>531</v>
      </c>
      <c r="BW2" s="261">
        <f>1/((1/BW10)+(1/BW12))</f>
        <v>1.4999164939123405E-2</v>
      </c>
      <c r="BX2" s="278" t="s">
        <v>291</v>
      </c>
      <c r="BY2" s="258" t="s">
        <v>531</v>
      </c>
      <c r="BZ2" s="261">
        <f>1/((1/BZ13)+(1/BZ14)+(1/BZ15))</f>
        <v>12.318924707938203</v>
      </c>
      <c r="CA2" s="264" t="s">
        <v>290</v>
      </c>
      <c r="CB2" s="267" t="s">
        <v>537</v>
      </c>
      <c r="CC2" s="261">
        <f>((CC5*CC6*CC7)/((1-EXP(-CC7*CC6))*CC14*(CC9/365)*CC12*(CC13/24)*CC11))/CC15</f>
        <v>174855.56672611192</v>
      </c>
      <c r="CD2" s="278" t="s">
        <v>290</v>
      </c>
      <c r="CE2" s="258" t="s">
        <v>537</v>
      </c>
      <c r="CF2" s="261">
        <f>((CF5*CF6*CF7)/((1-EXP(-CF7*CF6))*CF14*(CF9/365)*CF12*(CF13/24)*CF11))/CF15</f>
        <v>741214.33018270589</v>
      </c>
      <c r="CG2" s="278" t="s">
        <v>290</v>
      </c>
      <c r="CH2" s="258" t="s">
        <v>537</v>
      </c>
      <c r="CI2" s="261">
        <f>((CI5*CI6*CI7)/((1-EXP(-CI7*CI6))*CI14*(CI9/365)*CI12*(CI13/24)*CI11))/CI15</f>
        <v>212092.37401069247</v>
      </c>
      <c r="CJ2" s="264" t="s">
        <v>290</v>
      </c>
      <c r="CK2" s="267" t="s">
        <v>530</v>
      </c>
      <c r="CL2" s="261">
        <f>(CL5/(CL6*CL7*CL8))/CL9</f>
        <v>0.25464731347084313</v>
      </c>
      <c r="CM2" s="255" t="s">
        <v>290</v>
      </c>
      <c r="CN2" s="258" t="s">
        <v>7</v>
      </c>
      <c r="CO2" s="261">
        <f>(CL2/(CO5*((CO10*CO12*CO13*(CO6+CO7))+(CO11*CO12))))*CO17</f>
        <v>7.0790039171327663</v>
      </c>
      <c r="CP2" s="278" t="s">
        <v>290</v>
      </c>
      <c r="CQ2" s="275" t="s">
        <v>6</v>
      </c>
      <c r="CR2" s="261">
        <f>CL2/(CR5*CR6*(1/CR7))</f>
        <v>21220.609455903592</v>
      </c>
      <c r="CS2" s="264" t="s">
        <v>290</v>
      </c>
      <c r="CT2" s="395" t="s">
        <v>531</v>
      </c>
      <c r="CU2" s="392">
        <f>1/((1/CU14)+(1/CU15)+(1/CU16)+(1/CU17))</f>
        <v>9.7744505319590103E-3</v>
      </c>
      <c r="CV2" s="389" t="s">
        <v>290</v>
      </c>
      <c r="CW2" s="218"/>
      <c r="CX2" s="219"/>
      <c r="CY2" s="219"/>
      <c r="CZ2" s="407" t="s">
        <v>531</v>
      </c>
      <c r="DA2" s="404">
        <f>1/((1/DA13)+(1/DA15)+(1/DA16))</f>
        <v>9.8138983847466332E-2</v>
      </c>
      <c r="DB2" s="401" t="s">
        <v>291</v>
      </c>
      <c r="DC2" s="442" t="s">
        <v>530</v>
      </c>
      <c r="DD2" s="439">
        <f>DD7</f>
        <v>2.5464731347084311E-3</v>
      </c>
      <c r="DE2" s="436" t="s">
        <v>290</v>
      </c>
      <c r="DF2" s="433" t="s">
        <v>530</v>
      </c>
      <c r="DG2" s="424">
        <f>DD7/((1/DG24)*(DG5+DG6+DG7))</f>
        <v>0.20007589221602992</v>
      </c>
      <c r="DH2" s="430" t="s">
        <v>291</v>
      </c>
      <c r="DI2" s="427" t="s">
        <v>530</v>
      </c>
      <c r="DJ2" s="424">
        <f>(DD7/(DJ5+DJ6))*DJ12</f>
        <v>9.8012637240826213E-3</v>
      </c>
      <c r="DK2" s="430" t="s">
        <v>290</v>
      </c>
      <c r="DL2" s="427" t="s">
        <v>581</v>
      </c>
      <c r="DM2" s="424">
        <f>((DD7)/(DM5+DM6))*DJ12</f>
        <v>9.8012637240826213E-3</v>
      </c>
      <c r="DN2" s="430" t="s">
        <v>290</v>
      </c>
      <c r="DO2" s="427" t="s">
        <v>582</v>
      </c>
      <c r="DP2" s="424">
        <f>-(DP5+DP6+DP7)/(DP23+DP24)</f>
        <v>-49.75468846311847</v>
      </c>
      <c r="DQ2" s="421" t="s">
        <v>18</v>
      </c>
      <c r="DR2" s="574" t="s">
        <v>530</v>
      </c>
      <c r="DS2" s="445">
        <f>DS7</f>
        <v>5.0929462694168622E-3</v>
      </c>
      <c r="DT2" s="484" t="s">
        <v>290</v>
      </c>
      <c r="DU2" s="481" t="s">
        <v>530</v>
      </c>
      <c r="DV2" s="463">
        <f>(DS7*DV8)/(DV5*DV6*(1/1000))</f>
        <v>135759.17850671243</v>
      </c>
      <c r="DW2" s="466" t="s">
        <v>291</v>
      </c>
      <c r="DX2" s="478" t="s">
        <v>530</v>
      </c>
      <c r="DY2" s="463">
        <f>(DS7*DY14)/(DY9*((DY10*DY12*DY13*(DY5+DY6))+(DY11*DY12)))*DY18</f>
        <v>2282.8941473121422</v>
      </c>
      <c r="DZ2" s="466" t="s">
        <v>290</v>
      </c>
      <c r="EA2" s="478" t="s">
        <v>581</v>
      </c>
      <c r="EB2" s="463">
        <f>(DS7*DY14)/(EB9*((EB10*EB12*EB13*(EB5+EB6))+(EB11*EB12)))*DY18</f>
        <v>2282.8941473121422</v>
      </c>
      <c r="EC2" s="466" t="s">
        <v>290</v>
      </c>
      <c r="ED2" s="478" t="s">
        <v>582</v>
      </c>
      <c r="EE2" s="463">
        <f>-EE15/((EE10*EE12*EE13*(EE5+EE6))+(EE11*EE12))</f>
        <v>-16.802282392818878</v>
      </c>
      <c r="EF2" s="460" t="s">
        <v>18</v>
      </c>
      <c r="EG2" s="475" t="s">
        <v>530</v>
      </c>
      <c r="EH2" s="469">
        <f>EH7</f>
        <v>5.0929462694168622E-3</v>
      </c>
      <c r="EI2" s="457" t="s">
        <v>290</v>
      </c>
      <c r="EJ2" s="472" t="s">
        <v>530</v>
      </c>
      <c r="EK2" s="454">
        <f>EH7/(EK5*EK6)</f>
        <v>0.19218665167610802</v>
      </c>
      <c r="EL2" s="451" t="s">
        <v>291</v>
      </c>
      <c r="EM2" s="448" t="s">
        <v>530</v>
      </c>
      <c r="EN2" s="454">
        <f>(EH7/(EN9*((EN10*EN12*EN13*(EN5+EN6))+(EN11*EN12))))*EN17</f>
        <v>2.9610161023346704</v>
      </c>
      <c r="EO2" s="451" t="s">
        <v>290</v>
      </c>
      <c r="EP2" s="448" t="s">
        <v>581</v>
      </c>
      <c r="EQ2" s="454">
        <f>(EH7/(EQ9*((EQ10*EQ12*EQ13*(EQ5+EQ6))+(EQ11*EQ12))))*EN17</f>
        <v>2.9610161023346704</v>
      </c>
      <c r="ER2" s="451" t="s">
        <v>290</v>
      </c>
      <c r="ES2" s="448" t="s">
        <v>582</v>
      </c>
      <c r="ET2" s="454">
        <f>-ET15/((ET10*ET12*ET13*(ET5+ET6))+(ET11*ET12))</f>
        <v>-15.39462998242915</v>
      </c>
      <c r="EU2" s="499" t="s">
        <v>18</v>
      </c>
      <c r="EV2" s="496" t="s">
        <v>530</v>
      </c>
      <c r="EW2" s="493">
        <f>EW7</f>
        <v>5.0929462694168622E-3</v>
      </c>
      <c r="EX2" s="490" t="s">
        <v>290</v>
      </c>
      <c r="EY2" s="487" t="s">
        <v>530</v>
      </c>
      <c r="EZ2" s="586">
        <f>EW7/(EZ5*EZ6*(1/EZ7))</f>
        <v>4244.1218911807182</v>
      </c>
      <c r="FA2" s="592" t="s">
        <v>291</v>
      </c>
      <c r="FB2" s="589" t="s">
        <v>530</v>
      </c>
      <c r="FC2" s="586">
        <f>(EW7/(FC9*((FC10*FC12*FC13*(FC5+FC6))+(FC11*FC12))))*FC17</f>
        <v>23.595929919552699</v>
      </c>
      <c r="FD2" s="595" t="s">
        <v>290</v>
      </c>
      <c r="FE2" s="589" t="s">
        <v>581</v>
      </c>
      <c r="FF2" s="586">
        <f>(EW7/(FF9*(FF10*FF12*FF13*(FF5*FF6))+(FF11*FF12)))*FC17</f>
        <v>0.23168325292470848</v>
      </c>
      <c r="FG2" s="592" t="s">
        <v>290</v>
      </c>
      <c r="FH2" s="589" t="s">
        <v>582</v>
      </c>
      <c r="FI2" s="586">
        <f>FI15/((FI10*FI12*FI13*(FI5+FI6))+(FI11*FI12))</f>
        <v>5.5552160701290481</v>
      </c>
      <c r="FJ2" s="583" t="s">
        <v>18</v>
      </c>
      <c r="FK2" s="580" t="s">
        <v>530</v>
      </c>
      <c r="FL2" s="577">
        <f>FL7</f>
        <v>5.0929462694168622E-3</v>
      </c>
      <c r="FM2" s="571" t="s">
        <v>290</v>
      </c>
      <c r="FN2" s="568" t="s">
        <v>530</v>
      </c>
      <c r="FO2" s="505">
        <f>FL7/(FO5*(1/FO6))</f>
        <v>2.1220609455903594E-2</v>
      </c>
      <c r="FP2" s="511" t="s">
        <v>291</v>
      </c>
      <c r="FQ2" s="508" t="s">
        <v>530</v>
      </c>
      <c r="FR2" s="505">
        <f>((FL7*FR6)/FR5)*FR10</f>
        <v>8.4950538814972001E-5</v>
      </c>
      <c r="FS2" s="511" t="s">
        <v>290</v>
      </c>
      <c r="FT2" s="508" t="s">
        <v>581</v>
      </c>
      <c r="FU2" s="505">
        <f>((FL7*FU6)/FU5)*FR10</f>
        <v>8.4950538814972001E-5</v>
      </c>
      <c r="FV2" s="511" t="s">
        <v>290</v>
      </c>
      <c r="FW2" s="508" t="s">
        <v>582</v>
      </c>
      <c r="FX2" s="505">
        <f>-FX5/FX6</f>
        <v>-4.0000000000000001E-3</v>
      </c>
      <c r="FY2" s="502" t="s">
        <v>18</v>
      </c>
      <c r="FZ2" s="556" t="s">
        <v>530</v>
      </c>
      <c r="GA2" s="553">
        <f>GA7</f>
        <v>5.0929462694168622E-3</v>
      </c>
      <c r="GB2" s="550" t="s">
        <v>290</v>
      </c>
      <c r="GC2" s="559" t="s">
        <v>530</v>
      </c>
      <c r="GD2" s="538">
        <f>GA7/(GD5*GD6*(1/GD7))</f>
        <v>2122.0609455903591</v>
      </c>
      <c r="GE2" s="544" t="s">
        <v>291</v>
      </c>
      <c r="GF2" s="541" t="s">
        <v>530</v>
      </c>
      <c r="GG2" s="538">
        <f>(GA7/((GG9)*((GG10*GG12*GG13*(GG5+GG6))+(GG11*GG12))))*GG17</f>
        <v>11.797964959776349</v>
      </c>
      <c r="GH2" s="544" t="s">
        <v>290</v>
      </c>
      <c r="GI2" s="541" t="s">
        <v>581</v>
      </c>
      <c r="GJ2" s="538">
        <f>(GA7/((GJ9)*((GJ10*GJ12*GJ13*(GJ5+GJ6))+(GJ11*GJ12))))*GG17</f>
        <v>11.797964959776349</v>
      </c>
      <c r="GK2" s="544" t="s">
        <v>290</v>
      </c>
      <c r="GL2" s="541" t="s">
        <v>582</v>
      </c>
      <c r="GM2" s="538">
        <f>GM15/((GM10*GM12*GM13*(GM5+GM6))+(GM11*GM12))</f>
        <v>5.5552160701290481</v>
      </c>
      <c r="GN2" s="535" t="s">
        <v>18</v>
      </c>
      <c r="GO2" s="532" t="s">
        <v>530</v>
      </c>
      <c r="GP2" s="529">
        <f>GP7</f>
        <v>5.0929462694168622E-3</v>
      </c>
      <c r="GQ2" s="526" t="s">
        <v>290</v>
      </c>
      <c r="GR2" s="523" t="s">
        <v>530</v>
      </c>
      <c r="GS2" s="517">
        <f>GP7/(GS5*GS6*(1/GS7))</f>
        <v>2627.9392515050886</v>
      </c>
      <c r="GT2" s="514" t="s">
        <v>291</v>
      </c>
      <c r="GU2" s="520" t="s">
        <v>530</v>
      </c>
      <c r="GV2" s="517">
        <f>(GP7/((GV9)*((GV10*GV12*GV13*(GV5+GV6))+(GV11*GV12))))*GV17</f>
        <v>19.404878088525717</v>
      </c>
      <c r="GW2" s="514" t="s">
        <v>290</v>
      </c>
      <c r="GX2" s="520" t="s">
        <v>581</v>
      </c>
      <c r="GY2" s="517">
        <f>(GP7/((GY9*((GY10*GY12*GY13*(GY5+GY6))+(GY11*GY12)))))*GV17</f>
        <v>19.404878088525717</v>
      </c>
      <c r="GZ2" s="514" t="s">
        <v>290</v>
      </c>
      <c r="HA2" s="520" t="s">
        <v>582</v>
      </c>
      <c r="HB2" s="517">
        <f>GP7/((HB10*HB12*HB13*(HB5+HB6))+(HB11*HB12))</f>
        <v>3.296184753341984E-3</v>
      </c>
      <c r="HC2" s="547" t="s">
        <v>18</v>
      </c>
      <c r="HD2" s="54"/>
      <c r="HE2" s="55"/>
      <c r="HF2" s="56"/>
    </row>
    <row r="3" spans="1:214" ht="13.5" thickTop="1" x14ac:dyDescent="0.2">
      <c r="A3" s="114" t="s">
        <v>302</v>
      </c>
      <c r="B3" s="228">
        <v>2.41E-4</v>
      </c>
      <c r="C3" s="115"/>
      <c r="D3" s="189" t="s">
        <v>15</v>
      </c>
      <c r="E3" s="134">
        <f>1/((1/E19)+(1/E20))</f>
        <v>6.3245950874248625E-5</v>
      </c>
      <c r="F3" s="58" t="s">
        <v>289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7.6893135537913165E-5</v>
      </c>
      <c r="X3" s="62" t="s">
        <v>289</v>
      </c>
      <c r="Y3" s="202" t="s">
        <v>16</v>
      </c>
      <c r="Z3" s="187">
        <f>1/((1/Z18)+(1/Z19))</f>
        <v>7.6893135537913165E-5</v>
      </c>
      <c r="AA3" s="63" t="s">
        <v>289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307"/>
      <c r="AS3" s="304"/>
      <c r="AT3" s="291"/>
      <c r="AU3" s="288"/>
      <c r="AV3" s="304"/>
      <c r="AW3" s="291"/>
      <c r="AX3" s="288"/>
      <c r="AY3" s="304"/>
      <c r="AZ3" s="282"/>
      <c r="BA3" s="307"/>
      <c r="BB3" s="304"/>
      <c r="BC3" s="291"/>
      <c r="BD3" s="288"/>
      <c r="BE3" s="304"/>
      <c r="BF3" s="291"/>
      <c r="BG3" s="288"/>
      <c r="BH3" s="304"/>
      <c r="BI3" s="282"/>
      <c r="BJ3" s="307"/>
      <c r="BK3" s="285"/>
      <c r="BL3" s="291"/>
      <c r="BM3" s="288"/>
      <c r="BN3" s="285"/>
      <c r="BO3" s="291"/>
      <c r="BP3" s="288"/>
      <c r="BQ3" s="285"/>
      <c r="BR3" s="282"/>
      <c r="BS3" s="212" t="s">
        <v>15</v>
      </c>
      <c r="BT3" s="64">
        <f>1/((1/BT18)+(1/BT19))</f>
        <v>8.2794699326289118E-4</v>
      </c>
      <c r="BU3" s="53" t="s">
        <v>289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56"/>
      <c r="CN3" s="259"/>
      <c r="CO3" s="262"/>
      <c r="CP3" s="279"/>
      <c r="CQ3" s="276"/>
      <c r="CR3" s="262"/>
      <c r="CS3" s="265"/>
      <c r="CT3" s="396"/>
      <c r="CU3" s="393"/>
      <c r="CV3" s="390"/>
      <c r="CW3" s="216" t="s">
        <v>15</v>
      </c>
      <c r="CX3" s="65">
        <f>1/((1/CX19)+(1/CX20))</f>
        <v>6.0976022891902567E-5</v>
      </c>
      <c r="CY3" s="66" t="s">
        <v>289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222">
        <f>(HE5*HE14)*(10^-3)*(HE13+(HE10/HE11))*((HE12*HE7)/HE8)</f>
        <v>2.3328724889957676E-3</v>
      </c>
      <c r="HF3" s="220" t="s">
        <v>595</v>
      </c>
    </row>
    <row r="4" spans="1:214" ht="13.5" thickBot="1" x14ac:dyDescent="0.25">
      <c r="A4" s="116" t="s">
        <v>54</v>
      </c>
      <c r="B4" s="229">
        <v>0.753</v>
      </c>
      <c r="C4" s="117"/>
      <c r="D4" s="190" t="s">
        <v>16</v>
      </c>
      <c r="E4" s="135">
        <f>1/((1/E21)+(1/E22))</f>
        <v>6.3296692960177438E-5</v>
      </c>
      <c r="F4" s="68" t="s">
        <v>289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7.6831493801065139E-5</v>
      </c>
      <c r="X4" s="76" t="s">
        <v>289</v>
      </c>
      <c r="Y4" s="203" t="s">
        <v>15</v>
      </c>
      <c r="Z4" s="186">
        <f>1/((1/Z16)+(1/Z17))</f>
        <v>7.6831493801065139E-5</v>
      </c>
      <c r="AA4" s="77" t="s">
        <v>289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308"/>
      <c r="AS4" s="305"/>
      <c r="AT4" s="292"/>
      <c r="AU4" s="289"/>
      <c r="AV4" s="305"/>
      <c r="AW4" s="292"/>
      <c r="AX4" s="289"/>
      <c r="AY4" s="305"/>
      <c r="AZ4" s="283"/>
      <c r="BA4" s="308"/>
      <c r="BB4" s="305"/>
      <c r="BC4" s="292"/>
      <c r="BD4" s="289"/>
      <c r="BE4" s="305"/>
      <c r="BF4" s="292"/>
      <c r="BG4" s="289"/>
      <c r="BH4" s="305"/>
      <c r="BI4" s="283"/>
      <c r="BJ4" s="308"/>
      <c r="BK4" s="286"/>
      <c r="BL4" s="292"/>
      <c r="BM4" s="289"/>
      <c r="BN4" s="286"/>
      <c r="BO4" s="292"/>
      <c r="BP4" s="289"/>
      <c r="BQ4" s="286"/>
      <c r="BR4" s="283"/>
      <c r="BS4" s="213" t="s">
        <v>16</v>
      </c>
      <c r="BT4" s="78">
        <f>1/((1/BT20)+(1/BT21))</f>
        <v>8.2861125329686833E-4</v>
      </c>
      <c r="BU4" s="79" t="s">
        <v>289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57"/>
      <c r="CN4" s="260"/>
      <c r="CO4" s="263"/>
      <c r="CP4" s="280"/>
      <c r="CQ4" s="277"/>
      <c r="CR4" s="263"/>
      <c r="CS4" s="266"/>
      <c r="CT4" s="397"/>
      <c r="CU4" s="394"/>
      <c r="CV4" s="391"/>
      <c r="CW4" s="217" t="s">
        <v>16</v>
      </c>
      <c r="CX4" s="80">
        <f>1/((1/CX21)+(1/CX22))</f>
        <v>6.1024943819652238E-5</v>
      </c>
      <c r="CY4" s="81" t="s">
        <v>289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224">
        <f>(HE6*HE14)*10^-3*(HE13+(HE10/HE11))*((HE12*HE7)/(HE8))</f>
        <v>1.0911526278119208E-4</v>
      </c>
      <c r="HF4" s="221" t="s">
        <v>596</v>
      </c>
    </row>
    <row r="5" spans="1:214" ht="14.25" thickTop="1" thickBot="1" x14ac:dyDescent="0.25">
      <c r="A5" s="681" t="s">
        <v>241</v>
      </c>
      <c r="B5" s="682"/>
      <c r="C5" s="683"/>
      <c r="D5" s="52" t="s">
        <v>267</v>
      </c>
      <c r="E5" s="136">
        <f>B17</f>
        <v>1</v>
      </c>
      <c r="F5" s="52" t="s">
        <v>344</v>
      </c>
      <c r="G5" s="83" t="s">
        <v>267</v>
      </c>
      <c r="H5" s="136">
        <f>B17</f>
        <v>1</v>
      </c>
      <c r="I5" s="52" t="s">
        <v>344</v>
      </c>
      <c r="J5" s="83" t="s">
        <v>267</v>
      </c>
      <c r="K5" s="136">
        <f>B17</f>
        <v>1</v>
      </c>
      <c r="L5" s="52" t="s">
        <v>344</v>
      </c>
      <c r="M5" s="52" t="s">
        <v>267</v>
      </c>
      <c r="N5" s="136">
        <f>B17</f>
        <v>1</v>
      </c>
      <c r="O5" s="52" t="s">
        <v>344</v>
      </c>
      <c r="P5" s="52" t="s">
        <v>267</v>
      </c>
      <c r="Q5" s="136">
        <f>B17</f>
        <v>1</v>
      </c>
      <c r="R5" s="52" t="s">
        <v>344</v>
      </c>
      <c r="S5" s="52" t="s">
        <v>267</v>
      </c>
      <c r="T5" s="136">
        <f>B17</f>
        <v>1</v>
      </c>
      <c r="U5" s="52" t="s">
        <v>344</v>
      </c>
      <c r="V5" s="52" t="s">
        <v>267</v>
      </c>
      <c r="W5" s="136">
        <f>B17</f>
        <v>1</v>
      </c>
      <c r="X5" s="52" t="s">
        <v>344</v>
      </c>
      <c r="Y5" s="52" t="s">
        <v>267</v>
      </c>
      <c r="Z5" s="136">
        <f>B17</f>
        <v>1</v>
      </c>
      <c r="AA5" s="52" t="s">
        <v>344</v>
      </c>
      <c r="AB5" s="83" t="s">
        <v>267</v>
      </c>
      <c r="AC5" s="136">
        <f>B17</f>
        <v>1</v>
      </c>
      <c r="AD5" s="136">
        <f>B17</f>
        <v>1</v>
      </c>
      <c r="AE5" s="136">
        <f>B17</f>
        <v>1</v>
      </c>
      <c r="AF5" s="136">
        <f>B17</f>
        <v>1</v>
      </c>
      <c r="AG5" s="136">
        <f>B17</f>
        <v>1</v>
      </c>
      <c r="AH5" s="52" t="s">
        <v>344</v>
      </c>
      <c r="AI5" s="52" t="s">
        <v>267</v>
      </c>
      <c r="AJ5" s="136">
        <f>B17</f>
        <v>1</v>
      </c>
      <c r="AK5" s="52" t="s">
        <v>344</v>
      </c>
      <c r="AL5" s="52" t="s">
        <v>267</v>
      </c>
      <c r="AM5" s="136">
        <f>B17</f>
        <v>1</v>
      </c>
      <c r="AN5" s="52" t="s">
        <v>344</v>
      </c>
      <c r="AO5" s="52" t="s">
        <v>267</v>
      </c>
      <c r="AP5" s="136">
        <f>B17</f>
        <v>1</v>
      </c>
      <c r="AQ5" s="52" t="s">
        <v>344</v>
      </c>
      <c r="AR5" s="52" t="s">
        <v>267</v>
      </c>
      <c r="AS5" s="136">
        <f>B17</f>
        <v>1</v>
      </c>
      <c r="AT5" s="52" t="s">
        <v>344</v>
      </c>
      <c r="AU5" s="52" t="s">
        <v>267</v>
      </c>
      <c r="AV5" s="136">
        <f>B17</f>
        <v>1</v>
      </c>
      <c r="AW5" s="52" t="s">
        <v>344</v>
      </c>
      <c r="AX5" s="52" t="s">
        <v>267</v>
      </c>
      <c r="AY5" s="136">
        <f>B17</f>
        <v>1</v>
      </c>
      <c r="AZ5" s="52" t="s">
        <v>344</v>
      </c>
      <c r="BA5" s="52" t="s">
        <v>267</v>
      </c>
      <c r="BB5" s="136">
        <f>B17</f>
        <v>1</v>
      </c>
      <c r="BC5" s="52" t="s">
        <v>344</v>
      </c>
      <c r="BD5" s="52" t="s">
        <v>267</v>
      </c>
      <c r="BE5" s="136">
        <f>B17</f>
        <v>1</v>
      </c>
      <c r="BF5" s="52" t="s">
        <v>344</v>
      </c>
      <c r="BG5" s="52" t="s">
        <v>267</v>
      </c>
      <c r="BH5" s="136">
        <f>B17</f>
        <v>1</v>
      </c>
      <c r="BI5" s="52" t="s">
        <v>344</v>
      </c>
      <c r="BJ5" s="52" t="s">
        <v>267</v>
      </c>
      <c r="BK5" s="136">
        <f>B17</f>
        <v>1</v>
      </c>
      <c r="BL5" s="52" t="s">
        <v>344</v>
      </c>
      <c r="BM5" s="52" t="s">
        <v>267</v>
      </c>
      <c r="BN5" s="136">
        <f>B17</f>
        <v>1</v>
      </c>
      <c r="BO5" s="52" t="s">
        <v>344</v>
      </c>
      <c r="BP5" s="52" t="s">
        <v>267</v>
      </c>
      <c r="BQ5" s="136">
        <f>B17</f>
        <v>1</v>
      </c>
      <c r="BR5" s="52" t="s">
        <v>344</v>
      </c>
      <c r="BS5" s="52" t="s">
        <v>267</v>
      </c>
      <c r="BT5" s="136">
        <f>B17</f>
        <v>1</v>
      </c>
      <c r="BU5" s="52" t="s">
        <v>344</v>
      </c>
      <c r="BV5" s="83" t="s">
        <v>267</v>
      </c>
      <c r="BW5" s="136">
        <f>B17</f>
        <v>1</v>
      </c>
      <c r="BX5" s="52" t="s">
        <v>344</v>
      </c>
      <c r="BY5" s="83" t="s">
        <v>267</v>
      </c>
      <c r="BZ5" s="136">
        <f>B17</f>
        <v>1</v>
      </c>
      <c r="CA5" s="52" t="s">
        <v>344</v>
      </c>
      <c r="CB5" s="52" t="s">
        <v>267</v>
      </c>
      <c r="CC5" s="136">
        <f>B17</f>
        <v>1</v>
      </c>
      <c r="CD5" s="52" t="s">
        <v>344</v>
      </c>
      <c r="CE5" s="52" t="s">
        <v>267</v>
      </c>
      <c r="CF5" s="136">
        <f>B17</f>
        <v>1</v>
      </c>
      <c r="CG5" s="52" t="s">
        <v>344</v>
      </c>
      <c r="CH5" s="52" t="s">
        <v>267</v>
      </c>
      <c r="CI5" s="136">
        <f>B17</f>
        <v>1</v>
      </c>
      <c r="CJ5" s="52" t="s">
        <v>344</v>
      </c>
      <c r="CK5" s="52" t="s">
        <v>267</v>
      </c>
      <c r="CL5" s="136">
        <f>B17</f>
        <v>1</v>
      </c>
      <c r="CM5" s="52" t="s">
        <v>344</v>
      </c>
      <c r="CN5" s="83" t="s">
        <v>228</v>
      </c>
      <c r="CO5" s="136">
        <f>B42</f>
        <v>6.0000000000000001E-3</v>
      </c>
      <c r="CP5" s="52" t="s">
        <v>268</v>
      </c>
      <c r="CQ5" s="83" t="s">
        <v>228</v>
      </c>
      <c r="CR5" s="136">
        <f>CO5</f>
        <v>6.0000000000000001E-3</v>
      </c>
      <c r="CS5" s="52" t="s">
        <v>268</v>
      </c>
      <c r="CT5" s="83" t="s">
        <v>267</v>
      </c>
      <c r="CU5" s="136">
        <f>B17</f>
        <v>1</v>
      </c>
      <c r="CV5" s="52" t="s">
        <v>344</v>
      </c>
      <c r="CW5" s="52" t="s">
        <v>267</v>
      </c>
      <c r="CX5" s="136">
        <f>B17</f>
        <v>1</v>
      </c>
      <c r="CY5" s="52" t="s">
        <v>344</v>
      </c>
      <c r="CZ5" s="83" t="s">
        <v>267</v>
      </c>
      <c r="DA5" s="136">
        <f>B17</f>
        <v>1</v>
      </c>
      <c r="DB5" s="52" t="s">
        <v>344</v>
      </c>
      <c r="DC5" s="83" t="s">
        <v>267</v>
      </c>
      <c r="DD5" s="136">
        <f>B17</f>
        <v>1</v>
      </c>
      <c r="DE5" s="52" t="s">
        <v>344</v>
      </c>
      <c r="DF5" s="52" t="s">
        <v>17</v>
      </c>
      <c r="DG5" s="137">
        <f>(DG8*DG9*DG10*((1-EXP(-DG11*DG12))))/(DG13*DG11)</f>
        <v>6.6877504027585484E-4</v>
      </c>
      <c r="DH5" s="52" t="s">
        <v>18</v>
      </c>
      <c r="DI5" s="83" t="s">
        <v>19</v>
      </c>
      <c r="DJ5" s="161">
        <f>DJ7</f>
        <v>1.914E-5</v>
      </c>
      <c r="DK5" s="83"/>
      <c r="DL5" s="83" t="s">
        <v>19</v>
      </c>
      <c r="DM5" s="161">
        <f>DM7</f>
        <v>1.914E-5</v>
      </c>
      <c r="DO5" s="52" t="s">
        <v>17</v>
      </c>
      <c r="DP5" s="137">
        <f>(DP8*DP9*DP10*((1-EXP(-DP11*DP12))))/(DP13*DP11)</f>
        <v>6.8418630199139872E-4</v>
      </c>
      <c r="DQ5" s="52" t="s">
        <v>18</v>
      </c>
      <c r="DR5" s="83" t="s">
        <v>267</v>
      </c>
      <c r="DS5" s="136">
        <f>B17</f>
        <v>1</v>
      </c>
      <c r="DT5" s="52" t="s">
        <v>344</v>
      </c>
      <c r="DU5" s="83" t="s">
        <v>239</v>
      </c>
      <c r="DV5" s="169">
        <f>B36</f>
        <v>4.2E-7</v>
      </c>
      <c r="DW5" s="52" t="s">
        <v>601</v>
      </c>
      <c r="DX5" s="83" t="s">
        <v>20</v>
      </c>
      <c r="DY5" s="161">
        <f>DY7</f>
        <v>2.1999999999999999E-5</v>
      </c>
      <c r="DZ5" s="83"/>
      <c r="EA5" s="83" t="s">
        <v>20</v>
      </c>
      <c r="EB5" s="161">
        <f>EB7</f>
        <v>2.1999999999999999E-5</v>
      </c>
      <c r="EC5" s="84"/>
      <c r="ED5" s="83" t="s">
        <v>20</v>
      </c>
      <c r="EE5" s="161">
        <f>EE7</f>
        <v>2.1999999999999999E-5</v>
      </c>
      <c r="EF5" s="84"/>
      <c r="EG5" s="83" t="s">
        <v>267</v>
      </c>
      <c r="EH5" s="136">
        <f>B17</f>
        <v>1</v>
      </c>
      <c r="EI5" s="52" t="s">
        <v>344</v>
      </c>
      <c r="EJ5" s="83" t="s">
        <v>236</v>
      </c>
      <c r="EK5" s="169">
        <f>B37</f>
        <v>5.0000000000000001E-4</v>
      </c>
      <c r="EL5" s="52" t="s">
        <v>388</v>
      </c>
      <c r="EM5" s="83" t="s">
        <v>20</v>
      </c>
      <c r="EN5" s="161">
        <f>EN7</f>
        <v>2.1999999999999999E-5</v>
      </c>
      <c r="EO5" s="83"/>
      <c r="EP5" s="83" t="s">
        <v>20</v>
      </c>
      <c r="EQ5" s="161">
        <f>EQ7</f>
        <v>2.1999999999999999E-5</v>
      </c>
      <c r="ER5" s="84"/>
      <c r="ES5" s="83" t="s">
        <v>20</v>
      </c>
      <c r="ET5" s="161">
        <f>ET7</f>
        <v>2.1999999999999999E-5</v>
      </c>
      <c r="EU5" s="84"/>
      <c r="EV5" s="83" t="s">
        <v>267</v>
      </c>
      <c r="EW5" s="136">
        <f>B17</f>
        <v>1</v>
      </c>
      <c r="EX5" s="52" t="s">
        <v>344</v>
      </c>
      <c r="EY5" s="83" t="s">
        <v>171</v>
      </c>
      <c r="EZ5" s="169">
        <f>B39</f>
        <v>3.0000000000000001E-3</v>
      </c>
      <c r="FA5" s="52" t="s">
        <v>388</v>
      </c>
      <c r="FB5" s="83" t="s">
        <v>20</v>
      </c>
      <c r="FC5" s="161">
        <f>FC7</f>
        <v>2.1999999999999999E-5</v>
      </c>
      <c r="FD5" s="83"/>
      <c r="FE5" s="83" t="s">
        <v>20</v>
      </c>
      <c r="FF5" s="161">
        <f>FF7</f>
        <v>2.1999999999999999E-5</v>
      </c>
      <c r="FG5" s="83"/>
      <c r="FH5" s="83" t="s">
        <v>20</v>
      </c>
      <c r="FI5" s="161">
        <f>FI7</f>
        <v>2.1999999999999999E-5</v>
      </c>
      <c r="FJ5" s="84"/>
      <c r="FK5" s="83" t="s">
        <v>267</v>
      </c>
      <c r="FL5" s="136">
        <f>B17</f>
        <v>1</v>
      </c>
      <c r="FM5" s="52" t="s">
        <v>344</v>
      </c>
      <c r="FN5" s="83" t="s">
        <v>105</v>
      </c>
      <c r="FO5" s="161">
        <f>B35</f>
        <v>240</v>
      </c>
      <c r="FP5" s="83" t="s">
        <v>18</v>
      </c>
      <c r="FQ5" s="83" t="s">
        <v>105</v>
      </c>
      <c r="FR5" s="161">
        <f>B35</f>
        <v>240</v>
      </c>
      <c r="FS5" s="83" t="s">
        <v>18</v>
      </c>
      <c r="FT5" s="83" t="s">
        <v>105</v>
      </c>
      <c r="FU5" s="161">
        <f>B35</f>
        <v>240</v>
      </c>
      <c r="FV5" s="83" t="s">
        <v>18</v>
      </c>
      <c r="FW5" s="83" t="s">
        <v>156</v>
      </c>
      <c r="FX5" s="161">
        <f>B45</f>
        <v>4</v>
      </c>
      <c r="FY5" s="88" t="s">
        <v>18</v>
      </c>
      <c r="FZ5" s="83" t="s">
        <v>267</v>
      </c>
      <c r="GA5" s="136">
        <f>B17</f>
        <v>1</v>
      </c>
      <c r="GB5" s="52" t="s">
        <v>344</v>
      </c>
      <c r="GC5" s="83" t="s">
        <v>237</v>
      </c>
      <c r="GD5" s="169">
        <f>B38</f>
        <v>6.0000000000000001E-3</v>
      </c>
      <c r="GE5" s="52" t="s">
        <v>388</v>
      </c>
      <c r="GF5" s="83" t="s">
        <v>20</v>
      </c>
      <c r="GG5" s="161">
        <f>GG7</f>
        <v>2.1999999999999999E-5</v>
      </c>
      <c r="GH5" s="83"/>
      <c r="GI5" s="83" t="s">
        <v>20</v>
      </c>
      <c r="GJ5" s="161">
        <f>GJ7</f>
        <v>2.1999999999999999E-5</v>
      </c>
      <c r="GK5" s="83"/>
      <c r="GL5" s="83" t="s">
        <v>20</v>
      </c>
      <c r="GM5" s="161">
        <f>GM7</f>
        <v>2.1999999999999999E-5</v>
      </c>
      <c r="GN5" s="84"/>
      <c r="GO5" s="83" t="s">
        <v>267</v>
      </c>
      <c r="GP5" s="136">
        <f>B17</f>
        <v>1</v>
      </c>
      <c r="GQ5" s="52" t="s">
        <v>344</v>
      </c>
      <c r="GR5" s="83" t="s">
        <v>238</v>
      </c>
      <c r="GS5" s="169">
        <f>B40</f>
        <v>1.7000000000000001E-4</v>
      </c>
      <c r="GT5" s="52" t="s">
        <v>388</v>
      </c>
      <c r="GU5" s="83" t="s">
        <v>20</v>
      </c>
      <c r="GV5" s="161">
        <f>GV7</f>
        <v>2.1999999999999999E-5</v>
      </c>
      <c r="GW5" s="83"/>
      <c r="GX5" s="83" t="s">
        <v>20</v>
      </c>
      <c r="GY5" s="161">
        <f>GY7</f>
        <v>2.1999999999999999E-5</v>
      </c>
      <c r="GZ5" s="83"/>
      <c r="HA5" s="83" t="s">
        <v>20</v>
      </c>
      <c r="HB5" s="161">
        <f>HB7</f>
        <v>2.1999999999999999E-5</v>
      </c>
      <c r="HC5" s="84"/>
      <c r="HD5" s="89" t="s">
        <v>21</v>
      </c>
      <c r="HE5" s="175">
        <f>B46</f>
        <v>0.55500055500055501</v>
      </c>
      <c r="HF5" s="83" t="s">
        <v>291</v>
      </c>
    </row>
    <row r="6" spans="1:214" ht="13.5" thickTop="1" x14ac:dyDescent="0.2">
      <c r="A6" s="114" t="s">
        <v>339</v>
      </c>
      <c r="B6" s="228">
        <v>1.17E-4</v>
      </c>
      <c r="C6" s="115"/>
      <c r="D6" s="83" t="s">
        <v>22</v>
      </c>
      <c r="E6" s="137">
        <f>0.693/E7</f>
        <v>1.6041666666666665E-3</v>
      </c>
      <c r="G6" s="83" t="s">
        <v>248</v>
      </c>
      <c r="H6" s="136">
        <f>B19</f>
        <v>8.8060000000000005E-4</v>
      </c>
      <c r="I6" s="83" t="s">
        <v>259</v>
      </c>
      <c r="J6" s="83" t="s">
        <v>249</v>
      </c>
      <c r="K6" s="136">
        <f>B20</f>
        <v>8.8060000000000005E-4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1.6041666666666665E-3</v>
      </c>
      <c r="BV6" s="83" t="s">
        <v>248</v>
      </c>
      <c r="BW6" s="136">
        <f>B19</f>
        <v>8.8060000000000005E-4</v>
      </c>
      <c r="BX6" s="83" t="s">
        <v>259</v>
      </c>
      <c r="BY6" s="83" t="s">
        <v>249</v>
      </c>
      <c r="BZ6" s="136">
        <f>B20</f>
        <v>8.8060000000000005E-4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B29</f>
        <v>8.8060000000000005E-4</v>
      </c>
      <c r="CM6" s="91" t="s">
        <v>10</v>
      </c>
      <c r="CN6" s="84" t="s">
        <v>20</v>
      </c>
      <c r="CO6" s="139">
        <f>CO8</f>
        <v>2.1999999999999999E-5</v>
      </c>
      <c r="CQ6" s="84" t="s">
        <v>169</v>
      </c>
      <c r="CR6" s="162">
        <f>B133</f>
        <v>2</v>
      </c>
      <c r="CS6" s="52" t="s">
        <v>28</v>
      </c>
      <c r="CT6" s="83" t="s">
        <v>249</v>
      </c>
      <c r="CU6" s="136">
        <f>B20</f>
        <v>8.8060000000000005E-4</v>
      </c>
      <c r="CV6" s="83" t="s">
        <v>259</v>
      </c>
      <c r="CW6" s="83" t="s">
        <v>22</v>
      </c>
      <c r="CX6" s="137">
        <f>0.693/CX7</f>
        <v>1.6041666666666665E-3</v>
      </c>
      <c r="CZ6" s="83" t="s">
        <v>248</v>
      </c>
      <c r="DA6" s="136">
        <f>B19</f>
        <v>8.8060000000000005E-4</v>
      </c>
      <c r="DB6" s="83" t="s">
        <v>259</v>
      </c>
      <c r="DC6" s="83" t="s">
        <v>258</v>
      </c>
      <c r="DD6" s="136">
        <f>B29</f>
        <v>8.8060000000000005E-4</v>
      </c>
      <c r="DE6" s="92" t="s">
        <v>259</v>
      </c>
      <c r="DF6" s="52" t="s">
        <v>25</v>
      </c>
      <c r="DG6" s="137">
        <f>(DG8*DG9*DG14*((1-EXP(-DG11*DG12))))/(DG13*DG11)</f>
        <v>9.0847184154504852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B29</f>
        <v>8.8060000000000005E-4</v>
      </c>
      <c r="DT6" s="83" t="s">
        <v>259</v>
      </c>
      <c r="DU6" s="83" t="s">
        <v>27</v>
      </c>
      <c r="DV6" s="142">
        <f>B199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B29</f>
        <v>8.8060000000000005E-4</v>
      </c>
      <c r="EI6" s="83" t="s">
        <v>259</v>
      </c>
      <c r="EJ6" s="83" t="s">
        <v>29</v>
      </c>
      <c r="EK6" s="142">
        <f>B205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B29</f>
        <v>8.8060000000000005E-4</v>
      </c>
      <c r="EX6" s="83" t="s">
        <v>259</v>
      </c>
      <c r="EY6" s="83" t="s">
        <v>148</v>
      </c>
      <c r="EZ6" s="164">
        <f>B210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B29</f>
        <v>8.8060000000000005E-4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B45</f>
        <v>4</v>
      </c>
      <c r="FS6" s="83" t="s">
        <v>18</v>
      </c>
      <c r="FT6" s="83" t="s">
        <v>156</v>
      </c>
      <c r="FU6" s="161">
        <f>B45</f>
        <v>4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B29</f>
        <v>8.8060000000000005E-4</v>
      </c>
      <c r="GB6" s="83" t="s">
        <v>259</v>
      </c>
      <c r="GC6" s="83" t="s">
        <v>485</v>
      </c>
      <c r="GD6" s="164">
        <f>B215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B29</f>
        <v>8.8060000000000005E-4</v>
      </c>
      <c r="GQ6" s="83" t="s">
        <v>259</v>
      </c>
      <c r="GR6" s="83" t="s">
        <v>150</v>
      </c>
      <c r="GS6" s="142">
        <f>B220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2.5958997625567554E-2</v>
      </c>
      <c r="HF6" s="83" t="s">
        <v>291</v>
      </c>
    </row>
    <row r="7" spans="1:214" x14ac:dyDescent="0.2">
      <c r="A7" s="116" t="s">
        <v>242</v>
      </c>
      <c r="B7" s="229">
        <v>0.74299999999999999</v>
      </c>
      <c r="C7" s="117"/>
      <c r="D7" s="91" t="s">
        <v>231</v>
      </c>
      <c r="E7" s="136">
        <f>B30</f>
        <v>432</v>
      </c>
      <c r="F7" s="52" t="s">
        <v>60</v>
      </c>
      <c r="G7" s="83" t="s">
        <v>247</v>
      </c>
      <c r="H7" s="139">
        <f>B18</f>
        <v>0.36297000000000001</v>
      </c>
      <c r="I7" s="84" t="s">
        <v>259</v>
      </c>
      <c r="J7" s="83" t="s">
        <v>247</v>
      </c>
      <c r="K7" s="136">
        <f>B18</f>
        <v>0.36297000000000001</v>
      </c>
      <c r="L7" s="84" t="s">
        <v>259</v>
      </c>
      <c r="M7" s="83" t="s">
        <v>22</v>
      </c>
      <c r="N7" s="137">
        <f>0.693/N8</f>
        <v>1.6041666666666665E-3</v>
      </c>
      <c r="P7" s="83" t="s">
        <v>22</v>
      </c>
      <c r="Q7" s="137">
        <f>0.693/Q8</f>
        <v>1.6041666666666665E-3</v>
      </c>
      <c r="S7" s="83" t="s">
        <v>22</v>
      </c>
      <c r="T7" s="137">
        <f>0.693/T8</f>
        <v>1.6041666666666665E-3</v>
      </c>
      <c r="V7" s="83" t="s">
        <v>22</v>
      </c>
      <c r="W7" s="137">
        <f>0.693/W8</f>
        <v>1.6041666666666665E-3</v>
      </c>
      <c r="Y7" s="83" t="s">
        <v>22</v>
      </c>
      <c r="Z7" s="137">
        <f>0.693/Z8</f>
        <v>1.6041666666666665E-3</v>
      </c>
      <c r="AB7" s="83" t="s">
        <v>425</v>
      </c>
      <c r="AC7" s="150">
        <f>B227</f>
        <v>125</v>
      </c>
      <c r="AD7" s="150">
        <f>B237</f>
        <v>125</v>
      </c>
      <c r="AE7" s="150">
        <f>B247</f>
        <v>125</v>
      </c>
      <c r="AF7" s="150">
        <f>B257</f>
        <v>125</v>
      </c>
      <c r="AG7" s="150">
        <f>B269</f>
        <v>125</v>
      </c>
      <c r="AH7" s="83" t="s">
        <v>24</v>
      </c>
      <c r="AI7" s="83" t="s">
        <v>22</v>
      </c>
      <c r="AJ7" s="137">
        <f>0.693/AJ8</f>
        <v>1.6041666666666665E-3</v>
      </c>
      <c r="AL7" s="83" t="s">
        <v>22</v>
      </c>
      <c r="AM7" s="137">
        <f>0.693/AM8</f>
        <v>1.6041666666666665E-3</v>
      </c>
      <c r="AO7" s="83" t="s">
        <v>22</v>
      </c>
      <c r="AP7" s="137">
        <f>0.693/AP8</f>
        <v>1.6041666666666665E-3</v>
      </c>
      <c r="AR7" s="83" t="s">
        <v>22</v>
      </c>
      <c r="AS7" s="137">
        <f>0.693/AS8</f>
        <v>1.6041666666666665E-3</v>
      </c>
      <c r="AU7" s="83" t="s">
        <v>22</v>
      </c>
      <c r="AV7" s="137">
        <f>0.693/AV8</f>
        <v>1.6041666666666665E-3</v>
      </c>
      <c r="AX7" s="83" t="s">
        <v>22</v>
      </c>
      <c r="AY7" s="137">
        <f>0.693/AY8</f>
        <v>1.6041666666666665E-3</v>
      </c>
      <c r="BA7" s="83" t="s">
        <v>22</v>
      </c>
      <c r="BB7" s="137">
        <f>0.693/BB8</f>
        <v>1.6041666666666665E-3</v>
      </c>
      <c r="BD7" s="83" t="s">
        <v>22</v>
      </c>
      <c r="BE7" s="137">
        <f>0.693/BE8</f>
        <v>1.6041666666666665E-3</v>
      </c>
      <c r="BG7" s="83" t="s">
        <v>22</v>
      </c>
      <c r="BH7" s="137">
        <f>0.693/BH8</f>
        <v>1.6041666666666665E-3</v>
      </c>
      <c r="BJ7" s="83" t="s">
        <v>22</v>
      </c>
      <c r="BK7" s="137">
        <f>0.693/BK8</f>
        <v>1.6041666666666665E-3</v>
      </c>
      <c r="BM7" s="83" t="s">
        <v>22</v>
      </c>
      <c r="BN7" s="137">
        <f>0.693/BN8</f>
        <v>1.6041666666666665E-3</v>
      </c>
      <c r="BP7" s="83" t="s">
        <v>22</v>
      </c>
      <c r="BQ7" s="137">
        <f>0.693/BQ8</f>
        <v>1.6041666666666665E-3</v>
      </c>
      <c r="BS7" s="91" t="s">
        <v>231</v>
      </c>
      <c r="BT7" s="136">
        <f>B30</f>
        <v>432</v>
      </c>
      <c r="BU7" s="52" t="s">
        <v>60</v>
      </c>
      <c r="BV7" s="83" t="s">
        <v>247</v>
      </c>
      <c r="BW7" s="139">
        <f>B18</f>
        <v>0.36297000000000001</v>
      </c>
      <c r="BX7" s="84" t="s">
        <v>259</v>
      </c>
      <c r="BY7" s="83" t="s">
        <v>247</v>
      </c>
      <c r="BZ7" s="139">
        <f>B18</f>
        <v>0.36297000000000001</v>
      </c>
      <c r="CA7" s="84" t="s">
        <v>259</v>
      </c>
      <c r="CB7" s="83" t="s">
        <v>22</v>
      </c>
      <c r="CC7" s="137">
        <f>0.693/CC8</f>
        <v>1.6041666666666665E-3</v>
      </c>
      <c r="CE7" s="83" t="s">
        <v>22</v>
      </c>
      <c r="CF7" s="137">
        <f>0.693/CF8</f>
        <v>1.6041666666666665E-3</v>
      </c>
      <c r="CH7" s="83" t="s">
        <v>22</v>
      </c>
      <c r="CI7" s="137">
        <f>0.693/CI8</f>
        <v>1.6041666666666665E-3</v>
      </c>
      <c r="CK7" s="52" t="s">
        <v>140</v>
      </c>
      <c r="CL7" s="138">
        <f>B113</f>
        <v>55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B18</f>
        <v>0.36297000000000001</v>
      </c>
      <c r="CV7" s="84" t="s">
        <v>259</v>
      </c>
      <c r="CW7" s="91" t="s">
        <v>231</v>
      </c>
      <c r="CX7" s="136">
        <f>B30</f>
        <v>432</v>
      </c>
      <c r="CY7" s="52" t="s">
        <v>60</v>
      </c>
      <c r="CZ7" s="84" t="s">
        <v>247</v>
      </c>
      <c r="DA7" s="139">
        <f>B18</f>
        <v>0.36297000000000001</v>
      </c>
      <c r="DB7" s="84" t="s">
        <v>259</v>
      </c>
      <c r="DC7" s="83" t="s">
        <v>260</v>
      </c>
      <c r="DD7" s="166">
        <f>((DD5)/(DD6*(DD8+DD11)*DD19))/DD22</f>
        <v>2.5464731347084311E-3</v>
      </c>
      <c r="DE7" s="92" t="s">
        <v>290</v>
      </c>
      <c r="DF7" s="52" t="s">
        <v>31</v>
      </c>
      <c r="DG7" s="137">
        <f>(DG8*DG9*DG15*DG21*((1-EXP(-DG16*DG17))))/(DG18*DG16)</f>
        <v>3.6421488784670224</v>
      </c>
      <c r="DH7" s="52" t="s">
        <v>18</v>
      </c>
      <c r="DI7" s="83" t="s">
        <v>32</v>
      </c>
      <c r="DJ7" s="136">
        <f>B43</f>
        <v>1.914E-5</v>
      </c>
      <c r="DL7" s="83" t="s">
        <v>32</v>
      </c>
      <c r="DM7" s="136">
        <f>B43</f>
        <v>1.914E-5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(DS5/(DS6*DS8*DS15))/DS19</f>
        <v>5.0929462694168622E-3</v>
      </c>
      <c r="DT7" s="52" t="s">
        <v>290</v>
      </c>
      <c r="DV7" s="138"/>
      <c r="DX7" s="83" t="s">
        <v>33</v>
      </c>
      <c r="DY7" s="136">
        <f>B44</f>
        <v>2.1999999999999999E-5</v>
      </c>
      <c r="EA7" s="83" t="s">
        <v>33</v>
      </c>
      <c r="EB7" s="136">
        <f>B44</f>
        <v>2.1999999999999999E-5</v>
      </c>
      <c r="EC7" s="84"/>
      <c r="ED7" s="83" t="s">
        <v>33</v>
      </c>
      <c r="EE7" s="136">
        <f>B44</f>
        <v>2.1999999999999999E-5</v>
      </c>
      <c r="EF7" s="84"/>
      <c r="EG7" s="83" t="s">
        <v>260</v>
      </c>
      <c r="EH7" s="168">
        <f>(EH5/(EH6*EH8*EH15))/EH19</f>
        <v>5.0929462694168622E-3</v>
      </c>
      <c r="EI7" s="52" t="s">
        <v>290</v>
      </c>
      <c r="EM7" s="83" t="s">
        <v>33</v>
      </c>
      <c r="EN7" s="136">
        <f>B44</f>
        <v>2.1999999999999999E-5</v>
      </c>
      <c r="EP7" s="83" t="s">
        <v>33</v>
      </c>
      <c r="EQ7" s="136">
        <f>B44</f>
        <v>2.1999999999999999E-5</v>
      </c>
      <c r="ER7" s="84"/>
      <c r="ES7" s="83" t="s">
        <v>33</v>
      </c>
      <c r="ET7" s="136">
        <f>B44</f>
        <v>2.1999999999999999E-5</v>
      </c>
      <c r="EU7" s="84"/>
      <c r="EV7" s="83" t="s">
        <v>260</v>
      </c>
      <c r="EW7" s="168">
        <f>(EW5/(EW6*EW8*EW15))/EW19</f>
        <v>5.0929462694168622E-3</v>
      </c>
      <c r="EX7" s="52" t="s">
        <v>290</v>
      </c>
      <c r="EY7" s="83"/>
      <c r="EZ7" s="142">
        <v>1000</v>
      </c>
      <c r="FA7" s="83" t="s">
        <v>132</v>
      </c>
      <c r="FB7" s="83" t="s">
        <v>33</v>
      </c>
      <c r="FC7" s="161">
        <f>B44</f>
        <v>2.1999999999999999E-5</v>
      </c>
      <c r="FD7" s="83"/>
      <c r="FE7" s="83" t="s">
        <v>33</v>
      </c>
      <c r="FF7" s="161">
        <f>B44</f>
        <v>2.1999999999999999E-5</v>
      </c>
      <c r="FG7" s="83"/>
      <c r="FH7" s="83" t="s">
        <v>33</v>
      </c>
      <c r="FI7" s="161">
        <f>B44</f>
        <v>2.1999999999999999E-5</v>
      </c>
      <c r="FJ7" s="84"/>
      <c r="FK7" s="83" t="s">
        <v>260</v>
      </c>
      <c r="FL7" s="168">
        <f>(FL5/(FL6*FL8*FL15))/FL19</f>
        <v>5.0929462694168622E-3</v>
      </c>
      <c r="FM7" s="52" t="s">
        <v>290</v>
      </c>
      <c r="FN7" s="83"/>
      <c r="FO7" s="138"/>
      <c r="FQ7" s="52" t="s">
        <v>350</v>
      </c>
      <c r="FR7" s="164">
        <f>B168</f>
        <v>1</v>
      </c>
      <c r="FT7" s="83"/>
      <c r="FU7" s="142"/>
      <c r="FV7" s="83"/>
      <c r="FX7" s="138"/>
      <c r="FZ7" s="83" t="s">
        <v>260</v>
      </c>
      <c r="GA7" s="168">
        <f>(GA5/(GA6*GA8*GA15))/GA19</f>
        <v>5.0929462694168622E-3</v>
      </c>
      <c r="GB7" s="52" t="s">
        <v>290</v>
      </c>
      <c r="GC7" s="83"/>
      <c r="GD7" s="142">
        <v>1000</v>
      </c>
      <c r="GE7" s="83" t="s">
        <v>132</v>
      </c>
      <c r="GF7" s="83" t="s">
        <v>33</v>
      </c>
      <c r="GG7" s="161">
        <f>B44</f>
        <v>2.1999999999999999E-5</v>
      </c>
      <c r="GH7" s="83"/>
      <c r="GI7" s="83" t="s">
        <v>33</v>
      </c>
      <c r="GJ7" s="161">
        <f>B44</f>
        <v>2.1999999999999999E-5</v>
      </c>
      <c r="GK7" s="83"/>
      <c r="GL7" s="83" t="s">
        <v>33</v>
      </c>
      <c r="GM7" s="161">
        <f>B44</f>
        <v>2.1999999999999999E-5</v>
      </c>
      <c r="GN7" s="84"/>
      <c r="GO7" s="83" t="s">
        <v>260</v>
      </c>
      <c r="GP7" s="168">
        <f>(GP5/(GP6*GP8*GP14))/GP18</f>
        <v>5.0929462694168622E-3</v>
      </c>
      <c r="GQ7" s="52" t="s">
        <v>290</v>
      </c>
      <c r="GR7" s="88"/>
      <c r="GS7" s="142">
        <v>1000</v>
      </c>
      <c r="GT7" s="83" t="s">
        <v>132</v>
      </c>
      <c r="GU7" s="83" t="s">
        <v>33</v>
      </c>
      <c r="GV7" s="161">
        <f>B44</f>
        <v>2.1999999999999999E-5</v>
      </c>
      <c r="GW7" s="83"/>
      <c r="GX7" s="83" t="s">
        <v>33</v>
      </c>
      <c r="GY7" s="161">
        <f>B44</f>
        <v>2.1999999999999999E-5</v>
      </c>
      <c r="GZ7" s="83"/>
      <c r="HA7" s="83" t="s">
        <v>33</v>
      </c>
      <c r="HB7" s="161">
        <f>B44</f>
        <v>2.1999999999999999E-5</v>
      </c>
      <c r="HC7" s="84"/>
      <c r="HD7" s="83" t="s">
        <v>22</v>
      </c>
      <c r="HE7" s="137">
        <f>0.693/HE9</f>
        <v>1.6041666666666665E-3</v>
      </c>
    </row>
    <row r="8" spans="1:214" x14ac:dyDescent="0.2">
      <c r="A8" s="116" t="s">
        <v>340</v>
      </c>
      <c r="B8" s="229">
        <v>1.35E-4</v>
      </c>
      <c r="C8" s="117"/>
      <c r="D8" s="52" t="s">
        <v>382</v>
      </c>
      <c r="E8" s="138">
        <f>B68</f>
        <v>150</v>
      </c>
      <c r="F8" s="52" t="s">
        <v>24</v>
      </c>
      <c r="G8" s="91" t="s">
        <v>257</v>
      </c>
      <c r="H8" s="136">
        <f>B28</f>
        <v>0.28767199999999998</v>
      </c>
      <c r="I8" s="84" t="s">
        <v>259</v>
      </c>
      <c r="J8" s="83" t="s">
        <v>269</v>
      </c>
      <c r="K8" s="136">
        <f>B22</f>
        <v>3.7173200000000003E-2</v>
      </c>
      <c r="L8" s="83" t="s">
        <v>351</v>
      </c>
      <c r="M8" s="91" t="s">
        <v>231</v>
      </c>
      <c r="N8" s="136">
        <f>B30</f>
        <v>432</v>
      </c>
      <c r="O8" s="52" t="s">
        <v>60</v>
      </c>
      <c r="P8" s="91" t="s">
        <v>231</v>
      </c>
      <c r="Q8" s="136">
        <f>B30</f>
        <v>432</v>
      </c>
      <c r="R8" s="52" t="s">
        <v>60</v>
      </c>
      <c r="S8" s="91" t="s">
        <v>231</v>
      </c>
      <c r="T8" s="136">
        <f>B30</f>
        <v>432</v>
      </c>
      <c r="U8" s="52" t="s">
        <v>60</v>
      </c>
      <c r="V8" s="91" t="s">
        <v>231</v>
      </c>
      <c r="W8" s="136">
        <f>B30</f>
        <v>432</v>
      </c>
      <c r="X8" s="52" t="s">
        <v>60</v>
      </c>
      <c r="Y8" s="91" t="s">
        <v>231</v>
      </c>
      <c r="Z8" s="136">
        <f>B30</f>
        <v>432</v>
      </c>
      <c r="AA8" s="52" t="s">
        <v>60</v>
      </c>
      <c r="AB8" s="83" t="s">
        <v>249</v>
      </c>
      <c r="AC8" s="136">
        <f>B21</f>
        <v>7.5480000000000002E-4</v>
      </c>
      <c r="AD8" s="136">
        <f>B21</f>
        <v>7.5480000000000002E-4</v>
      </c>
      <c r="AE8" s="136">
        <f>B21</f>
        <v>7.5480000000000002E-4</v>
      </c>
      <c r="AF8" s="136">
        <f>B21</f>
        <v>7.5480000000000002E-4</v>
      </c>
      <c r="AG8" s="136">
        <f>B21</f>
        <v>7.5480000000000002E-4</v>
      </c>
      <c r="AH8" s="83" t="s">
        <v>259</v>
      </c>
      <c r="AI8" s="91" t="s">
        <v>231</v>
      </c>
      <c r="AJ8" s="136">
        <f>B30</f>
        <v>432</v>
      </c>
      <c r="AK8" s="52" t="s">
        <v>60</v>
      </c>
      <c r="AL8" s="91" t="s">
        <v>231</v>
      </c>
      <c r="AM8" s="136">
        <f>B30</f>
        <v>432</v>
      </c>
      <c r="AN8" s="52" t="s">
        <v>60</v>
      </c>
      <c r="AO8" s="91" t="s">
        <v>231</v>
      </c>
      <c r="AP8" s="136">
        <f>B30</f>
        <v>432</v>
      </c>
      <c r="AQ8" s="52" t="s">
        <v>60</v>
      </c>
      <c r="AR8" s="91" t="s">
        <v>231</v>
      </c>
      <c r="AS8" s="136">
        <f>B30</f>
        <v>432</v>
      </c>
      <c r="AT8" s="52" t="s">
        <v>60</v>
      </c>
      <c r="AU8" s="91" t="s">
        <v>231</v>
      </c>
      <c r="AV8" s="136">
        <f>B30</f>
        <v>432</v>
      </c>
      <c r="AW8" s="52" t="s">
        <v>60</v>
      </c>
      <c r="AX8" s="91" t="s">
        <v>231</v>
      </c>
      <c r="AY8" s="136">
        <f>B30</f>
        <v>432</v>
      </c>
      <c r="AZ8" s="52" t="s">
        <v>60</v>
      </c>
      <c r="BA8" s="91" t="s">
        <v>231</v>
      </c>
      <c r="BB8" s="136">
        <f>B30</f>
        <v>432</v>
      </c>
      <c r="BC8" s="52" t="s">
        <v>60</v>
      </c>
      <c r="BD8" s="91" t="s">
        <v>231</v>
      </c>
      <c r="BE8" s="136">
        <f>B30</f>
        <v>432</v>
      </c>
      <c r="BF8" s="52" t="s">
        <v>60</v>
      </c>
      <c r="BG8" s="91" t="s">
        <v>231</v>
      </c>
      <c r="BH8" s="136">
        <f>B30</f>
        <v>432</v>
      </c>
      <c r="BI8" s="52" t="s">
        <v>60</v>
      </c>
      <c r="BJ8" s="91" t="s">
        <v>231</v>
      </c>
      <c r="BK8" s="136">
        <f>B30</f>
        <v>432</v>
      </c>
      <c r="BL8" s="52" t="s">
        <v>60</v>
      </c>
      <c r="BM8" s="91" t="s">
        <v>231</v>
      </c>
      <c r="BN8" s="136">
        <f>B30</f>
        <v>432</v>
      </c>
      <c r="BO8" s="52" t="s">
        <v>60</v>
      </c>
      <c r="BP8" s="91" t="s">
        <v>231</v>
      </c>
      <c r="BQ8" s="136">
        <f>B30</f>
        <v>432</v>
      </c>
      <c r="BR8" s="52" t="s">
        <v>60</v>
      </c>
      <c r="BS8" s="52" t="s">
        <v>140</v>
      </c>
      <c r="BT8" s="138">
        <f>B113</f>
        <v>55</v>
      </c>
      <c r="BU8" s="52" t="s">
        <v>24</v>
      </c>
      <c r="BV8" s="91" t="s">
        <v>257</v>
      </c>
      <c r="BW8" s="136">
        <f>B28</f>
        <v>0.28767199999999998</v>
      </c>
      <c r="BX8" s="84" t="s">
        <v>259</v>
      </c>
      <c r="BY8" s="83" t="s">
        <v>269</v>
      </c>
      <c r="BZ8" s="136">
        <f>B22</f>
        <v>3.7173200000000003E-2</v>
      </c>
      <c r="CA8" s="83" t="s">
        <v>351</v>
      </c>
      <c r="CB8" s="91" t="s">
        <v>231</v>
      </c>
      <c r="CC8" s="136">
        <f>B30</f>
        <v>432</v>
      </c>
      <c r="CD8" s="52" t="s">
        <v>60</v>
      </c>
      <c r="CE8" s="91" t="s">
        <v>231</v>
      </c>
      <c r="CF8" s="136">
        <f>B30</f>
        <v>432</v>
      </c>
      <c r="CG8" s="52" t="s">
        <v>60</v>
      </c>
      <c r="CH8" s="91" t="s">
        <v>231</v>
      </c>
      <c r="CI8" s="136">
        <f>B30</f>
        <v>432</v>
      </c>
      <c r="CJ8" s="52" t="s">
        <v>60</v>
      </c>
      <c r="CK8" s="52" t="s">
        <v>159</v>
      </c>
      <c r="CL8" s="162">
        <f>B128</f>
        <v>3</v>
      </c>
      <c r="CM8" s="52" t="s">
        <v>221</v>
      </c>
      <c r="CN8" s="84" t="s">
        <v>33</v>
      </c>
      <c r="CO8" s="136">
        <f>B44</f>
        <v>2.1999999999999999E-5</v>
      </c>
      <c r="CT8" s="83" t="s">
        <v>269</v>
      </c>
      <c r="CU8" s="136">
        <f>B22</f>
        <v>3.7173200000000003E-2</v>
      </c>
      <c r="CV8" s="83" t="s">
        <v>351</v>
      </c>
      <c r="CW8" s="52" t="s">
        <v>362</v>
      </c>
      <c r="CX8" s="138">
        <f>B167</f>
        <v>150</v>
      </c>
      <c r="CY8" s="52" t="s">
        <v>24</v>
      </c>
      <c r="CZ8" s="83" t="s">
        <v>270</v>
      </c>
      <c r="DA8" s="165">
        <f>B28</f>
        <v>0.28767199999999998</v>
      </c>
      <c r="DB8" s="83" t="s">
        <v>259</v>
      </c>
      <c r="DC8" s="83" t="s">
        <v>516</v>
      </c>
      <c r="DD8" s="149">
        <f>(DD9*DD15*DD20)+(DD10*DD14*DD21)</f>
        <v>8250</v>
      </c>
      <c r="DE8" s="92" t="s">
        <v>347</v>
      </c>
      <c r="DF8" s="83" t="s">
        <v>36</v>
      </c>
      <c r="DG8" s="138">
        <f>B189</f>
        <v>3.62</v>
      </c>
      <c r="DH8" s="52" t="s">
        <v>37</v>
      </c>
      <c r="DI8" s="83" t="s">
        <v>393</v>
      </c>
      <c r="DJ8" s="138">
        <f>B47</f>
        <v>0.26</v>
      </c>
      <c r="DL8" s="83" t="s">
        <v>393</v>
      </c>
      <c r="DM8" s="138">
        <f>B47</f>
        <v>0.26</v>
      </c>
      <c r="DO8" s="83" t="s">
        <v>36</v>
      </c>
      <c r="DP8" s="138">
        <f>B189</f>
        <v>3.62</v>
      </c>
      <c r="DQ8" s="52" t="s">
        <v>37</v>
      </c>
      <c r="DR8" s="83" t="s">
        <v>147</v>
      </c>
      <c r="DS8" s="149">
        <f>(DS11*DS9*DS17)+(DS12*DS10*DS18)</f>
        <v>8250</v>
      </c>
      <c r="DT8" s="92" t="s">
        <v>347</v>
      </c>
      <c r="DU8" s="52" t="s">
        <v>518</v>
      </c>
      <c r="DV8" s="146">
        <f>B200</f>
        <v>1.03</v>
      </c>
      <c r="DW8" s="52" t="s">
        <v>286</v>
      </c>
      <c r="DX8" s="83" t="s">
        <v>392</v>
      </c>
      <c r="DY8" s="138">
        <f>B48</f>
        <v>0.25</v>
      </c>
      <c r="EA8" s="83" t="s">
        <v>392</v>
      </c>
      <c r="EB8" s="138">
        <f>B48</f>
        <v>0.25</v>
      </c>
      <c r="EC8" s="84"/>
      <c r="ED8" s="83" t="s">
        <v>392</v>
      </c>
      <c r="EE8" s="138">
        <f>B48</f>
        <v>0.25</v>
      </c>
      <c r="EF8" s="84"/>
      <c r="EG8" s="83" t="s">
        <v>519</v>
      </c>
      <c r="EH8" s="149">
        <f>(EH11*EH9*EH17)+(EH12*EH10*EH18)</f>
        <v>8250</v>
      </c>
      <c r="EI8" s="92" t="s">
        <v>347</v>
      </c>
      <c r="EJ8" s="83"/>
      <c r="EM8" s="83" t="s">
        <v>392</v>
      </c>
      <c r="EN8" s="138">
        <f>B48</f>
        <v>0.25</v>
      </c>
      <c r="EP8" s="83" t="s">
        <v>392</v>
      </c>
      <c r="EQ8" s="138">
        <f>B48</f>
        <v>0.25</v>
      </c>
      <c r="ER8" s="84"/>
      <c r="ES8" s="83" t="s">
        <v>392</v>
      </c>
      <c r="ET8" s="138">
        <f>B48</f>
        <v>0.25</v>
      </c>
      <c r="EU8" s="84"/>
      <c r="EV8" s="83" t="s">
        <v>520</v>
      </c>
      <c r="EW8" s="149">
        <f>(EW11*EW9*EW17)+(EW12*EW10*EW18)</f>
        <v>8250</v>
      </c>
      <c r="EX8" s="92" t="s">
        <v>347</v>
      </c>
      <c r="EY8" s="83"/>
      <c r="EZ8" s="142"/>
      <c r="FA8" s="83"/>
      <c r="FB8" s="83" t="s">
        <v>392</v>
      </c>
      <c r="FC8" s="142">
        <f>B48</f>
        <v>0.25</v>
      </c>
      <c r="FD8" s="83"/>
      <c r="FE8" s="83" t="s">
        <v>392</v>
      </c>
      <c r="FF8" s="142">
        <f>B48</f>
        <v>0.25</v>
      </c>
      <c r="FG8" s="83"/>
      <c r="FH8" s="83" t="s">
        <v>392</v>
      </c>
      <c r="FI8" s="142">
        <f>B48</f>
        <v>0.25</v>
      </c>
      <c r="FJ8" s="84"/>
      <c r="FK8" s="83" t="s">
        <v>521</v>
      </c>
      <c r="FL8" s="173">
        <f>(FL9*FL11*FL17)+(FL10*FL12*FL18)</f>
        <v>8250</v>
      </c>
      <c r="FM8" s="92" t="s">
        <v>347</v>
      </c>
      <c r="FN8" s="83"/>
      <c r="FO8" s="142"/>
      <c r="FP8" s="83"/>
      <c r="FQ8" s="83" t="s">
        <v>22</v>
      </c>
      <c r="FR8" s="137">
        <f>0.693/FR9</f>
        <v>1.6041666666666665E-3</v>
      </c>
      <c r="FT8" s="83"/>
      <c r="FU8" s="142"/>
      <c r="FV8" s="83"/>
      <c r="FZ8" s="83" t="s">
        <v>522</v>
      </c>
      <c r="GA8" s="173">
        <f>(GA11*GA9*GA17)+(GA10*GA12*GA18)</f>
        <v>8250</v>
      </c>
      <c r="GB8" s="92" t="s">
        <v>347</v>
      </c>
      <c r="GC8" s="83"/>
      <c r="GD8" s="142"/>
      <c r="GE8" s="83"/>
      <c r="GF8" s="83" t="s">
        <v>392</v>
      </c>
      <c r="GG8" s="142">
        <f>B48</f>
        <v>0.25</v>
      </c>
      <c r="GH8" s="83"/>
      <c r="GI8" s="83" t="s">
        <v>392</v>
      </c>
      <c r="GJ8" s="142">
        <f>B48</f>
        <v>0.25</v>
      </c>
      <c r="GK8" s="83"/>
      <c r="GL8" s="83" t="s">
        <v>392</v>
      </c>
      <c r="GM8" s="142">
        <f>B48</f>
        <v>0.25</v>
      </c>
      <c r="GN8" s="84"/>
      <c r="GO8" s="83" t="s">
        <v>523</v>
      </c>
      <c r="GP8" s="149">
        <f>(GP9*GP11*GP16)+(GP10*GP12*GP17)</f>
        <v>8250</v>
      </c>
      <c r="GQ8" s="92" t="s">
        <v>347</v>
      </c>
      <c r="GR8" s="83"/>
      <c r="GS8" s="142"/>
      <c r="GT8" s="83"/>
      <c r="GU8" s="83" t="s">
        <v>392</v>
      </c>
      <c r="GV8" s="142">
        <f>B48</f>
        <v>0.25</v>
      </c>
      <c r="GW8" s="83"/>
      <c r="GX8" s="83" t="s">
        <v>392</v>
      </c>
      <c r="GY8" s="142">
        <f>B48</f>
        <v>0.25</v>
      </c>
      <c r="GZ8" s="83"/>
      <c r="HA8" s="83" t="s">
        <v>392</v>
      </c>
      <c r="HB8" s="142">
        <f>B48</f>
        <v>0.25</v>
      </c>
      <c r="HC8" s="84"/>
      <c r="HD8" s="52" t="s">
        <v>16</v>
      </c>
      <c r="HE8" s="137">
        <f>1-EXP(-HE7*HE12)</f>
        <v>1.6028806790575612E-3</v>
      </c>
    </row>
    <row r="9" spans="1:214" x14ac:dyDescent="0.2">
      <c r="A9" s="116" t="s">
        <v>243</v>
      </c>
      <c r="B9" s="229">
        <v>0.71099999999999997</v>
      </c>
      <c r="C9" s="117"/>
      <c r="D9" s="52" t="s">
        <v>379</v>
      </c>
      <c r="E9" s="138">
        <f>B65</f>
        <v>1</v>
      </c>
      <c r="F9" s="52" t="s">
        <v>146</v>
      </c>
      <c r="G9" s="83" t="s">
        <v>258</v>
      </c>
      <c r="H9" s="136">
        <f>B29</f>
        <v>8.8060000000000005E-4</v>
      </c>
      <c r="I9" s="92" t="s">
        <v>259</v>
      </c>
      <c r="J9" s="83" t="s">
        <v>258</v>
      </c>
      <c r="K9" s="136">
        <f>B29</f>
        <v>8.8060000000000005E-4</v>
      </c>
      <c r="L9" s="92" t="s">
        <v>259</v>
      </c>
      <c r="M9" s="52" t="s">
        <v>382</v>
      </c>
      <c r="N9" s="138">
        <f>B68</f>
        <v>150</v>
      </c>
      <c r="O9" s="52" t="s">
        <v>24</v>
      </c>
      <c r="P9" s="52" t="s">
        <v>382</v>
      </c>
      <c r="Q9" s="138">
        <f>B68</f>
        <v>150</v>
      </c>
      <c r="R9" s="52" t="s">
        <v>24</v>
      </c>
      <c r="S9" s="52" t="s">
        <v>382</v>
      </c>
      <c r="T9" s="138">
        <f>B68</f>
        <v>150</v>
      </c>
      <c r="U9" s="52" t="s">
        <v>24</v>
      </c>
      <c r="V9" s="52" t="s">
        <v>423</v>
      </c>
      <c r="W9" s="138">
        <f>B247</f>
        <v>125</v>
      </c>
      <c r="X9" s="52" t="s">
        <v>24</v>
      </c>
      <c r="Y9" s="52" t="s">
        <v>316</v>
      </c>
      <c r="Z9" s="138">
        <f>B227</f>
        <v>125</v>
      </c>
      <c r="AA9" s="52" t="s">
        <v>24</v>
      </c>
      <c r="AB9" s="83" t="s">
        <v>34</v>
      </c>
      <c r="AC9" s="146">
        <f>B228</f>
        <v>1</v>
      </c>
      <c r="AD9" s="146">
        <f>B238</f>
        <v>1</v>
      </c>
      <c r="AE9" s="146">
        <f>B248</f>
        <v>1</v>
      </c>
      <c r="AF9" s="146">
        <f>B258</f>
        <v>1</v>
      </c>
      <c r="AG9" s="146">
        <f>B270</f>
        <v>1</v>
      </c>
      <c r="AH9" s="83" t="s">
        <v>60</v>
      </c>
      <c r="AI9" s="52" t="s">
        <v>35</v>
      </c>
      <c r="AJ9" s="138">
        <f>B237</f>
        <v>125</v>
      </c>
      <c r="AK9" s="52" t="s">
        <v>24</v>
      </c>
      <c r="AL9" s="52" t="s">
        <v>35</v>
      </c>
      <c r="AM9" s="138">
        <f>B237</f>
        <v>125</v>
      </c>
      <c r="AN9" s="52" t="s">
        <v>24</v>
      </c>
      <c r="AO9" s="52" t="s">
        <v>35</v>
      </c>
      <c r="AP9" s="138">
        <f>B237</f>
        <v>125</v>
      </c>
      <c r="AQ9" s="52" t="s">
        <v>24</v>
      </c>
      <c r="AR9" s="52" t="s">
        <v>423</v>
      </c>
      <c r="AS9" s="138">
        <f>B247</f>
        <v>125</v>
      </c>
      <c r="AT9" s="52" t="s">
        <v>24</v>
      </c>
      <c r="AU9" s="52" t="s">
        <v>423</v>
      </c>
      <c r="AV9" s="138">
        <f>B247</f>
        <v>125</v>
      </c>
      <c r="AW9" s="52" t="s">
        <v>24</v>
      </c>
      <c r="AX9" s="52" t="s">
        <v>423</v>
      </c>
      <c r="AY9" s="138">
        <f>B247</f>
        <v>125</v>
      </c>
      <c r="AZ9" s="52" t="s">
        <v>24</v>
      </c>
      <c r="BA9" s="52" t="s">
        <v>316</v>
      </c>
      <c r="BB9" s="138">
        <f>B227</f>
        <v>125</v>
      </c>
      <c r="BC9" s="52" t="s">
        <v>24</v>
      </c>
      <c r="BD9" s="52" t="s">
        <v>316</v>
      </c>
      <c r="BE9" s="138">
        <f>B227</f>
        <v>125</v>
      </c>
      <c r="BF9" s="52" t="s">
        <v>24</v>
      </c>
      <c r="BG9" s="52" t="s">
        <v>316</v>
      </c>
      <c r="BH9" s="138">
        <f>B227</f>
        <v>125</v>
      </c>
      <c r="BI9" s="52" t="s">
        <v>24</v>
      </c>
      <c r="BJ9" s="52" t="s">
        <v>191</v>
      </c>
      <c r="BK9" s="138">
        <f>BK10*BK11</f>
        <v>75</v>
      </c>
      <c r="BL9" s="52" t="s">
        <v>24</v>
      </c>
      <c r="BM9" s="52" t="s">
        <v>191</v>
      </c>
      <c r="BN9" s="138">
        <f>BN10*BN11</f>
        <v>75</v>
      </c>
      <c r="BO9" s="52" t="s">
        <v>24</v>
      </c>
      <c r="BP9" s="52" t="s">
        <v>191</v>
      </c>
      <c r="BQ9" s="138">
        <f>BQ10*BQ11</f>
        <v>75</v>
      </c>
      <c r="BR9" s="52" t="s">
        <v>24</v>
      </c>
      <c r="BS9" s="52" t="s">
        <v>247</v>
      </c>
      <c r="BT9" s="139">
        <f>E11</f>
        <v>0.36297000000000001</v>
      </c>
      <c r="BU9" s="84" t="s">
        <v>259</v>
      </c>
      <c r="BV9" s="83" t="s">
        <v>258</v>
      </c>
      <c r="BW9" s="136">
        <f>B29</f>
        <v>8.8060000000000005E-4</v>
      </c>
      <c r="BX9" s="92" t="s">
        <v>259</v>
      </c>
      <c r="BY9" s="83" t="s">
        <v>77</v>
      </c>
      <c r="BZ9" s="136">
        <f>B31</f>
        <v>1359344473.5814338</v>
      </c>
      <c r="CA9" s="83" t="s">
        <v>78</v>
      </c>
      <c r="CB9" s="52" t="s">
        <v>140</v>
      </c>
      <c r="CC9" s="138">
        <f>B113</f>
        <v>55</v>
      </c>
      <c r="CD9" s="52" t="s">
        <v>24</v>
      </c>
      <c r="CE9" s="52" t="s">
        <v>140</v>
      </c>
      <c r="CF9" s="138">
        <f>B113</f>
        <v>55</v>
      </c>
      <c r="CG9" s="52" t="s">
        <v>24</v>
      </c>
      <c r="CH9" s="52" t="s">
        <v>140</v>
      </c>
      <c r="CI9" s="138">
        <f>B113</f>
        <v>55</v>
      </c>
      <c r="CJ9" s="52" t="s">
        <v>24</v>
      </c>
      <c r="CK9" s="95" t="s">
        <v>287</v>
      </c>
      <c r="CL9" s="176">
        <v>27.027027027027</v>
      </c>
      <c r="CM9" s="52" t="s">
        <v>288</v>
      </c>
      <c r="CN9" s="84" t="s">
        <v>392</v>
      </c>
      <c r="CO9" s="162">
        <f>B48</f>
        <v>0.25</v>
      </c>
      <c r="CT9" s="83" t="s">
        <v>258</v>
      </c>
      <c r="CU9" s="136">
        <f>B29</f>
        <v>8.8060000000000005E-4</v>
      </c>
      <c r="CV9" s="92" t="s">
        <v>259</v>
      </c>
      <c r="CW9" s="52" t="s">
        <v>363</v>
      </c>
      <c r="CX9" s="138">
        <f>B168</f>
        <v>1</v>
      </c>
      <c r="CY9" s="52" t="s">
        <v>146</v>
      </c>
      <c r="CZ9" s="83" t="s">
        <v>258</v>
      </c>
      <c r="DA9" s="136">
        <f>B29</f>
        <v>8.8060000000000005E-4</v>
      </c>
      <c r="DB9" s="84" t="s">
        <v>259</v>
      </c>
      <c r="DC9" s="83" t="s">
        <v>513</v>
      </c>
      <c r="DD9" s="146">
        <f>B149</f>
        <v>55</v>
      </c>
      <c r="DE9" s="92" t="s">
        <v>221</v>
      </c>
      <c r="DF9" s="83" t="s">
        <v>40</v>
      </c>
      <c r="DG9" s="138">
        <f>B190</f>
        <v>0.25</v>
      </c>
      <c r="DH9" s="52" t="s">
        <v>41</v>
      </c>
      <c r="DI9" s="52" t="s">
        <v>350</v>
      </c>
      <c r="DJ9" s="164">
        <f>B168</f>
        <v>1</v>
      </c>
      <c r="DL9" s="83"/>
      <c r="DM9" s="138"/>
      <c r="DO9" s="83" t="s">
        <v>40</v>
      </c>
      <c r="DP9" s="138">
        <f>B190</f>
        <v>0.25</v>
      </c>
      <c r="DQ9" s="52" t="s">
        <v>41</v>
      </c>
      <c r="DR9" s="83" t="s">
        <v>452</v>
      </c>
      <c r="DS9" s="146">
        <f>B151</f>
        <v>55</v>
      </c>
      <c r="DT9" s="92" t="s">
        <v>221</v>
      </c>
      <c r="DU9" s="83"/>
      <c r="DX9" s="83" t="s">
        <v>517</v>
      </c>
      <c r="DY9" s="136">
        <f>B36</f>
        <v>4.2E-7</v>
      </c>
      <c r="DZ9" s="52" t="s">
        <v>601</v>
      </c>
      <c r="EA9" s="83" t="s">
        <v>517</v>
      </c>
      <c r="EB9" s="136">
        <f>B36</f>
        <v>4.2E-7</v>
      </c>
      <c r="EC9" s="52" t="s">
        <v>601</v>
      </c>
      <c r="ED9" s="83" t="s">
        <v>517</v>
      </c>
      <c r="EE9" s="136">
        <f>B36</f>
        <v>4.2E-7</v>
      </c>
      <c r="EF9" s="52" t="s">
        <v>601</v>
      </c>
      <c r="EG9" s="83" t="s">
        <v>453</v>
      </c>
      <c r="EH9" s="170">
        <f>B153</f>
        <v>55</v>
      </c>
      <c r="EI9" s="92" t="s">
        <v>221</v>
      </c>
      <c r="EJ9" s="83"/>
      <c r="EM9" s="83" t="s">
        <v>236</v>
      </c>
      <c r="EN9" s="136">
        <f>B37</f>
        <v>5.0000000000000001E-4</v>
      </c>
      <c r="EO9" s="52" t="s">
        <v>388</v>
      </c>
      <c r="EP9" s="83" t="s">
        <v>236</v>
      </c>
      <c r="EQ9" s="169">
        <f>B37</f>
        <v>5.0000000000000001E-4</v>
      </c>
      <c r="ER9" s="52" t="s">
        <v>388</v>
      </c>
      <c r="ES9" s="83" t="s">
        <v>236</v>
      </c>
      <c r="ET9" s="169">
        <f>B37</f>
        <v>5.0000000000000001E-4</v>
      </c>
      <c r="EU9" s="52" t="s">
        <v>388</v>
      </c>
      <c r="EV9" s="83" t="s">
        <v>454</v>
      </c>
      <c r="EW9" s="171">
        <f>B155</f>
        <v>55</v>
      </c>
      <c r="EX9" s="92" t="s">
        <v>221</v>
      </c>
      <c r="EY9" s="83"/>
      <c r="EZ9" s="142"/>
      <c r="FA9" s="83"/>
      <c r="FB9" s="83" t="s">
        <v>171</v>
      </c>
      <c r="FC9" s="169">
        <f>B39</f>
        <v>3.0000000000000001E-3</v>
      </c>
      <c r="FD9" s="52" t="s">
        <v>388</v>
      </c>
      <c r="FE9" s="83" t="s">
        <v>171</v>
      </c>
      <c r="FF9" s="169">
        <f>B39</f>
        <v>3.0000000000000001E-3</v>
      </c>
      <c r="FG9" s="52" t="s">
        <v>388</v>
      </c>
      <c r="FH9" s="83" t="s">
        <v>171</v>
      </c>
      <c r="FI9" s="169">
        <f>B39</f>
        <v>3.0000000000000001E-3</v>
      </c>
      <c r="FJ9" s="52" t="s">
        <v>388</v>
      </c>
      <c r="FK9" s="83" t="s">
        <v>471</v>
      </c>
      <c r="FL9" s="150">
        <f>B157</f>
        <v>55</v>
      </c>
      <c r="FM9" s="92" t="s">
        <v>221</v>
      </c>
      <c r="FN9" s="83"/>
      <c r="FO9" s="83"/>
      <c r="FP9" s="83"/>
      <c r="FQ9" s="91" t="s">
        <v>231</v>
      </c>
      <c r="FR9" s="136">
        <f>B30</f>
        <v>432</v>
      </c>
      <c r="FS9" s="52" t="s">
        <v>60</v>
      </c>
      <c r="FT9" s="83"/>
      <c r="FU9" s="164"/>
      <c r="FV9" s="83"/>
      <c r="FW9" s="83"/>
      <c r="FX9" s="93"/>
      <c r="FY9" s="83"/>
      <c r="FZ9" s="83" t="s">
        <v>473</v>
      </c>
      <c r="GA9" s="174">
        <f>B159</f>
        <v>55</v>
      </c>
      <c r="GB9" s="92" t="s">
        <v>221</v>
      </c>
      <c r="GC9" s="83"/>
      <c r="GD9" s="142"/>
      <c r="GE9" s="83"/>
      <c r="GF9" s="83" t="s">
        <v>237</v>
      </c>
      <c r="GG9" s="169">
        <f>B38</f>
        <v>6.0000000000000001E-3</v>
      </c>
      <c r="GH9" s="52" t="s">
        <v>388</v>
      </c>
      <c r="GI9" s="83" t="s">
        <v>237</v>
      </c>
      <c r="GJ9" s="169">
        <f>B38</f>
        <v>6.0000000000000001E-3</v>
      </c>
      <c r="GK9" s="52" t="s">
        <v>388</v>
      </c>
      <c r="GL9" s="83" t="s">
        <v>237</v>
      </c>
      <c r="GM9" s="169">
        <f>B38</f>
        <v>6.0000000000000001E-3</v>
      </c>
      <c r="GN9" s="52" t="s">
        <v>388</v>
      </c>
      <c r="GO9" s="83" t="s">
        <v>455</v>
      </c>
      <c r="GP9" s="150">
        <f>B161</f>
        <v>55</v>
      </c>
      <c r="GQ9" s="92" t="s">
        <v>221</v>
      </c>
      <c r="GR9" s="83"/>
      <c r="GS9" s="142"/>
      <c r="GT9" s="83"/>
      <c r="GU9" s="83" t="s">
        <v>238</v>
      </c>
      <c r="GV9" s="169">
        <f>B40</f>
        <v>1.7000000000000001E-4</v>
      </c>
      <c r="GW9" s="52" t="s">
        <v>388</v>
      </c>
      <c r="GX9" s="83" t="s">
        <v>238</v>
      </c>
      <c r="GY9" s="169">
        <f>B40</f>
        <v>1.7000000000000001E-4</v>
      </c>
      <c r="GZ9" s="52" t="s">
        <v>388</v>
      </c>
      <c r="HA9" s="83" t="s">
        <v>238</v>
      </c>
      <c r="HB9" s="169">
        <f>B40</f>
        <v>1.7000000000000001E-4</v>
      </c>
      <c r="HC9" s="52" t="s">
        <v>388</v>
      </c>
      <c r="HD9" s="91" t="s">
        <v>231</v>
      </c>
      <c r="HE9" s="136">
        <f>B30</f>
        <v>432</v>
      </c>
      <c r="HF9" s="52" t="s">
        <v>60</v>
      </c>
    </row>
    <row r="10" spans="1:214" x14ac:dyDescent="0.2">
      <c r="A10" s="116" t="s">
        <v>341</v>
      </c>
      <c r="B10" s="229">
        <v>2.2599999999999999E-4</v>
      </c>
      <c r="C10" s="117"/>
      <c r="D10" s="52" t="s">
        <v>92</v>
      </c>
      <c r="E10" s="138">
        <f>E9</f>
        <v>1</v>
      </c>
      <c r="G10" s="83" t="s">
        <v>260</v>
      </c>
      <c r="H10" s="143">
        <f>(H5/(H6*H15))/H70</f>
        <v>0.23102024314880612</v>
      </c>
      <c r="I10" s="92" t="s">
        <v>291</v>
      </c>
      <c r="J10" s="83" t="s">
        <v>77</v>
      </c>
      <c r="K10" s="136">
        <f>B31</f>
        <v>1359344473.5814338</v>
      </c>
      <c r="L10" s="83" t="s">
        <v>78</v>
      </c>
      <c r="M10" s="52" t="s">
        <v>379</v>
      </c>
      <c r="N10" s="138">
        <f>B65</f>
        <v>1</v>
      </c>
      <c r="O10" s="52" t="s">
        <v>146</v>
      </c>
      <c r="P10" s="52" t="s">
        <v>379</v>
      </c>
      <c r="Q10" s="138">
        <f>B65</f>
        <v>1</v>
      </c>
      <c r="R10" s="52" t="s">
        <v>146</v>
      </c>
      <c r="S10" s="52" t="s">
        <v>379</v>
      </c>
      <c r="T10" s="138">
        <f>B65</f>
        <v>1</v>
      </c>
      <c r="U10" s="52" t="s">
        <v>146</v>
      </c>
      <c r="V10" s="52" t="s">
        <v>424</v>
      </c>
      <c r="W10" s="138">
        <f>B248</f>
        <v>1</v>
      </c>
      <c r="X10" s="52" t="s">
        <v>146</v>
      </c>
      <c r="Y10" s="52" t="s">
        <v>422</v>
      </c>
      <c r="Z10" s="138">
        <f>B228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B265</f>
        <v>3</v>
      </c>
      <c r="AG10" s="146">
        <f>B276</f>
        <v>3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B238</f>
        <v>1</v>
      </c>
      <c r="AN10" s="52" t="s">
        <v>146</v>
      </c>
      <c r="AO10" s="52" t="s">
        <v>420</v>
      </c>
      <c r="AP10" s="138">
        <f>B238</f>
        <v>1</v>
      </c>
      <c r="AQ10" s="52" t="s">
        <v>146</v>
      </c>
      <c r="AR10" s="52" t="s">
        <v>424</v>
      </c>
      <c r="AS10" s="138">
        <f>B248</f>
        <v>1</v>
      </c>
      <c r="AT10" s="52" t="s">
        <v>146</v>
      </c>
      <c r="AU10" s="52" t="s">
        <v>424</v>
      </c>
      <c r="AV10" s="138">
        <f>B248</f>
        <v>1</v>
      </c>
      <c r="AW10" s="52" t="s">
        <v>146</v>
      </c>
      <c r="AX10" s="52" t="s">
        <v>424</v>
      </c>
      <c r="AY10" s="138">
        <f>B248</f>
        <v>1</v>
      </c>
      <c r="AZ10" s="52" t="s">
        <v>146</v>
      </c>
      <c r="BA10" s="52" t="s">
        <v>422</v>
      </c>
      <c r="BB10" s="138">
        <f>B228</f>
        <v>1</v>
      </c>
      <c r="BC10" s="52" t="s">
        <v>146</v>
      </c>
      <c r="BD10" s="52" t="s">
        <v>422</v>
      </c>
      <c r="BE10" s="138">
        <f>B228</f>
        <v>1</v>
      </c>
      <c r="BF10" s="52" t="s">
        <v>146</v>
      </c>
      <c r="BG10" s="52" t="s">
        <v>422</v>
      </c>
      <c r="BH10" s="138">
        <f>B228</f>
        <v>1</v>
      </c>
      <c r="BI10" s="52" t="s">
        <v>146</v>
      </c>
      <c r="BJ10" s="52" t="s">
        <v>220</v>
      </c>
      <c r="BK10" s="138">
        <f>B266</f>
        <v>25</v>
      </c>
      <c r="BL10" s="52" t="s">
        <v>113</v>
      </c>
      <c r="BM10" s="52" t="s">
        <v>220</v>
      </c>
      <c r="BN10" s="138">
        <f>B266</f>
        <v>25</v>
      </c>
      <c r="BO10" s="52" t="s">
        <v>113</v>
      </c>
      <c r="BP10" s="52" t="s">
        <v>220</v>
      </c>
      <c r="BQ10" s="138">
        <f>B266</f>
        <v>25</v>
      </c>
      <c r="BR10" s="52" t="s">
        <v>113</v>
      </c>
      <c r="BS10" s="83" t="s">
        <v>428</v>
      </c>
      <c r="BT10" s="149">
        <f>(BT22*BT13*(1/24)*BT11*BT25)+(BT23*BT14*(1/24)*BT12*BT26)</f>
        <v>101.40624999999999</v>
      </c>
      <c r="BU10" s="52" t="s">
        <v>426</v>
      </c>
      <c r="BV10" s="83" t="s">
        <v>260</v>
      </c>
      <c r="BW10" s="143">
        <f>(BW5/(BW6*BW13))/BW32</f>
        <v>1.5278838808250587E-2</v>
      </c>
      <c r="BX10" s="92" t="s">
        <v>291</v>
      </c>
      <c r="BY10" s="84" t="s">
        <v>16</v>
      </c>
      <c r="BZ10" s="137">
        <f>(BZ30*BZ11)/(1-EXP(-BZ11*BZ30))</f>
        <v>1.0008022977791844</v>
      </c>
      <c r="CB10" s="52" t="s">
        <v>51</v>
      </c>
      <c r="CC10" s="138">
        <f>B127</f>
        <v>1</v>
      </c>
      <c r="CD10" s="52" t="s">
        <v>146</v>
      </c>
      <c r="CE10" s="52" t="s">
        <v>51</v>
      </c>
      <c r="CF10" s="138">
        <f>B127</f>
        <v>1</v>
      </c>
      <c r="CG10" s="52" t="s">
        <v>146</v>
      </c>
      <c r="CH10" s="52" t="s">
        <v>51</v>
      </c>
      <c r="CI10" s="138">
        <f>B127</f>
        <v>1</v>
      </c>
      <c r="CJ10" s="52" t="s">
        <v>146</v>
      </c>
      <c r="CN10" s="84" t="s">
        <v>164</v>
      </c>
      <c r="CO10" s="162">
        <f>B129</f>
        <v>2</v>
      </c>
      <c r="CP10" s="52" t="s">
        <v>246</v>
      </c>
      <c r="CT10" s="83" t="s">
        <v>77</v>
      </c>
      <c r="CU10" s="136">
        <f>B31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1.0008022977791844</v>
      </c>
      <c r="DC10" s="83" t="s">
        <v>514</v>
      </c>
      <c r="DD10" s="146">
        <f>B150</f>
        <v>55</v>
      </c>
      <c r="DE10" s="92" t="s">
        <v>221</v>
      </c>
      <c r="DF10" s="92" t="s">
        <v>32</v>
      </c>
      <c r="DG10" s="136">
        <f>B43</f>
        <v>1.914E-5</v>
      </c>
      <c r="DI10" s="83" t="s">
        <v>22</v>
      </c>
      <c r="DJ10" s="137">
        <f>0.693/DJ11</f>
        <v>1.6041666666666665E-3</v>
      </c>
      <c r="DL10" s="92"/>
      <c r="DO10" s="92" t="s">
        <v>32</v>
      </c>
      <c r="DP10" s="136">
        <f>B43</f>
        <v>1.914E-5</v>
      </c>
      <c r="DR10" s="83" t="s">
        <v>461</v>
      </c>
      <c r="DS10" s="146">
        <f>B152</f>
        <v>55</v>
      </c>
      <c r="DT10" s="92" t="s">
        <v>221</v>
      </c>
      <c r="DU10" s="92"/>
      <c r="DX10" s="83" t="s">
        <v>498</v>
      </c>
      <c r="DY10" s="138">
        <f>B201</f>
        <v>20.3</v>
      </c>
      <c r="DZ10" s="52" t="s">
        <v>246</v>
      </c>
      <c r="EA10" s="83" t="s">
        <v>498</v>
      </c>
      <c r="EB10" s="138">
        <f>B201</f>
        <v>20.3</v>
      </c>
      <c r="EC10" s="52" t="s">
        <v>246</v>
      </c>
      <c r="ED10" s="83" t="s">
        <v>498</v>
      </c>
      <c r="EE10" s="138">
        <f>B201</f>
        <v>20.3</v>
      </c>
      <c r="EF10" s="52" t="s">
        <v>246</v>
      </c>
      <c r="EG10" s="83" t="s">
        <v>462</v>
      </c>
      <c r="EH10" s="170">
        <f>B154</f>
        <v>55</v>
      </c>
      <c r="EI10" s="92" t="s">
        <v>221</v>
      </c>
      <c r="EJ10" s="92"/>
      <c r="EM10" s="83" t="s">
        <v>494</v>
      </c>
      <c r="EN10" s="138">
        <f>B206</f>
        <v>11.77</v>
      </c>
      <c r="EO10" s="52" t="s">
        <v>246</v>
      </c>
      <c r="EP10" s="83" t="s">
        <v>494</v>
      </c>
      <c r="EQ10" s="138">
        <f>B206</f>
        <v>11.77</v>
      </c>
      <c r="ER10" s="52" t="s">
        <v>246</v>
      </c>
      <c r="ES10" s="83" t="s">
        <v>494</v>
      </c>
      <c r="ET10" s="138">
        <f>B206</f>
        <v>11.77</v>
      </c>
      <c r="EU10" s="52" t="s">
        <v>246</v>
      </c>
      <c r="EV10" s="83" t="s">
        <v>463</v>
      </c>
      <c r="EW10" s="170">
        <f>B156</f>
        <v>55</v>
      </c>
      <c r="EX10" s="92" t="s">
        <v>221</v>
      </c>
      <c r="EY10" s="83"/>
      <c r="EZ10" s="142"/>
      <c r="FA10" s="83"/>
      <c r="FB10" s="83" t="s">
        <v>152</v>
      </c>
      <c r="FC10" s="142">
        <f>B211</f>
        <v>0.2</v>
      </c>
      <c r="FD10" s="52" t="s">
        <v>246</v>
      </c>
      <c r="FE10" s="83" t="s">
        <v>152</v>
      </c>
      <c r="FF10" s="142">
        <f>B211</f>
        <v>0.2</v>
      </c>
      <c r="FG10" s="52" t="s">
        <v>246</v>
      </c>
      <c r="FH10" s="83" t="s">
        <v>152</v>
      </c>
      <c r="FI10" s="142">
        <f>B211</f>
        <v>0.2</v>
      </c>
      <c r="FJ10" s="52" t="s">
        <v>246</v>
      </c>
      <c r="FK10" s="83" t="s">
        <v>472</v>
      </c>
      <c r="FL10" s="150">
        <f>B158</f>
        <v>55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1.0008022977791844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B160</f>
        <v>55</v>
      </c>
      <c r="GB10" s="92" t="s">
        <v>221</v>
      </c>
      <c r="GC10" s="83"/>
      <c r="GD10" s="83"/>
      <c r="GE10" s="83"/>
      <c r="GF10" s="83" t="s">
        <v>486</v>
      </c>
      <c r="GG10" s="142">
        <f>B216</f>
        <v>0.2</v>
      </c>
      <c r="GH10" s="52" t="s">
        <v>246</v>
      </c>
      <c r="GI10" s="83" t="s">
        <v>486</v>
      </c>
      <c r="GJ10" s="142">
        <f>B216</f>
        <v>0.2</v>
      </c>
      <c r="GK10" s="52" t="s">
        <v>246</v>
      </c>
      <c r="GL10" s="83" t="s">
        <v>486</v>
      </c>
      <c r="GM10" s="142">
        <f>B216</f>
        <v>0.2</v>
      </c>
      <c r="GN10" s="52" t="s">
        <v>246</v>
      </c>
      <c r="GO10" s="83" t="s">
        <v>464</v>
      </c>
      <c r="GP10" s="150">
        <f>B162</f>
        <v>55</v>
      </c>
      <c r="GQ10" s="92" t="s">
        <v>221</v>
      </c>
      <c r="GR10" s="83"/>
      <c r="GS10" s="83"/>
      <c r="GT10" s="83"/>
      <c r="GU10" s="83" t="s">
        <v>490</v>
      </c>
      <c r="GV10" s="142">
        <f>B221</f>
        <v>4.7</v>
      </c>
      <c r="GW10" s="52" t="s">
        <v>246</v>
      </c>
      <c r="GX10" s="83" t="s">
        <v>490</v>
      </c>
      <c r="GY10" s="142">
        <f>B221</f>
        <v>4.7</v>
      </c>
      <c r="GZ10" s="52" t="s">
        <v>246</v>
      </c>
      <c r="HA10" s="83" t="s">
        <v>490</v>
      </c>
      <c r="HB10" s="142">
        <f>B221</f>
        <v>4.7</v>
      </c>
      <c r="HC10" s="52" t="s">
        <v>246</v>
      </c>
      <c r="HD10" s="84" t="s">
        <v>38</v>
      </c>
      <c r="HE10" s="163">
        <f>B93</f>
        <v>0.3</v>
      </c>
    </row>
    <row r="11" spans="1:214" x14ac:dyDescent="0.2">
      <c r="A11" s="116" t="s">
        <v>244</v>
      </c>
      <c r="B11" s="229">
        <v>0.66200000000000003</v>
      </c>
      <c r="C11" s="117"/>
      <c r="D11" s="52" t="s">
        <v>247</v>
      </c>
      <c r="E11" s="139">
        <f>B18</f>
        <v>0.36297000000000001</v>
      </c>
      <c r="F11" s="84" t="s">
        <v>259</v>
      </c>
      <c r="G11" s="83" t="s">
        <v>261</v>
      </c>
      <c r="H11" s="144">
        <f>(H5/(H7*H16*H28))/H70</f>
        <v>1.5357709858305942E-4</v>
      </c>
      <c r="I11" s="92" t="s">
        <v>291</v>
      </c>
      <c r="J11" s="84" t="s">
        <v>16</v>
      </c>
      <c r="K11" s="137">
        <f>(K43*K12)/(1-EXP(-K12*K43))</f>
        <v>1.0008022977791844</v>
      </c>
      <c r="M11" s="52" t="s">
        <v>299</v>
      </c>
      <c r="N11" s="138">
        <f>B73</f>
        <v>1</v>
      </c>
      <c r="P11" s="52" t="s">
        <v>299</v>
      </c>
      <c r="Q11" s="138">
        <f>B73</f>
        <v>1</v>
      </c>
      <c r="S11" s="52" t="s">
        <v>299</v>
      </c>
      <c r="T11" s="138">
        <f>B73</f>
        <v>1</v>
      </c>
      <c r="V11" s="52" t="s">
        <v>247</v>
      </c>
      <c r="W11" s="139">
        <f>B18</f>
        <v>0.36297000000000001</v>
      </c>
      <c r="X11" s="84" t="s">
        <v>39</v>
      </c>
      <c r="Y11" s="52" t="s">
        <v>247</v>
      </c>
      <c r="Z11" s="139">
        <f>B18</f>
        <v>0.36297000000000001</v>
      </c>
      <c r="AA11" s="84" t="s">
        <v>39</v>
      </c>
      <c r="AB11" s="83" t="s">
        <v>220</v>
      </c>
      <c r="AC11" s="146"/>
      <c r="AD11" s="146"/>
      <c r="AE11" s="146"/>
      <c r="AF11" s="146">
        <f>B266</f>
        <v>25</v>
      </c>
      <c r="AG11" s="146">
        <f>B277</f>
        <v>25</v>
      </c>
      <c r="AH11" s="83" t="s">
        <v>113</v>
      </c>
      <c r="AI11" s="52" t="s">
        <v>299</v>
      </c>
      <c r="AJ11" s="138">
        <f>B241</f>
        <v>1</v>
      </c>
      <c r="AL11" s="52" t="s">
        <v>299</v>
      </c>
      <c r="AM11" s="138">
        <f>B241</f>
        <v>1</v>
      </c>
      <c r="AO11" s="52" t="s">
        <v>299</v>
      </c>
      <c r="AP11" s="138">
        <f>B241</f>
        <v>1</v>
      </c>
      <c r="AR11" s="52" t="s">
        <v>299</v>
      </c>
      <c r="AS11" s="138">
        <f>B251</f>
        <v>1</v>
      </c>
      <c r="AU11" s="52" t="s">
        <v>299</v>
      </c>
      <c r="AV11" s="138">
        <f>B251</f>
        <v>1</v>
      </c>
      <c r="AX11" s="52" t="s">
        <v>299</v>
      </c>
      <c r="AY11" s="138">
        <f>B251</f>
        <v>1</v>
      </c>
      <c r="BA11" s="52" t="s">
        <v>299</v>
      </c>
      <c r="BB11" s="138">
        <f>B231</f>
        <v>1</v>
      </c>
      <c r="BD11" s="52" t="s">
        <v>299</v>
      </c>
      <c r="BE11" s="138">
        <f>B231</f>
        <v>1</v>
      </c>
      <c r="BG11" s="52" t="s">
        <v>299</v>
      </c>
      <c r="BH11" s="138">
        <f>B231</f>
        <v>1</v>
      </c>
      <c r="BJ11" s="52" t="s">
        <v>219</v>
      </c>
      <c r="BK11" s="138">
        <f>B265</f>
        <v>3</v>
      </c>
      <c r="BL11" s="52" t="s">
        <v>112</v>
      </c>
      <c r="BM11" s="52" t="s">
        <v>219</v>
      </c>
      <c r="BN11" s="138">
        <f>B265</f>
        <v>3</v>
      </c>
      <c r="BO11" s="52" t="s">
        <v>112</v>
      </c>
      <c r="BP11" s="52" t="s">
        <v>219</v>
      </c>
      <c r="BQ11" s="138">
        <f>B265</f>
        <v>3</v>
      </c>
      <c r="BR11" s="52" t="s">
        <v>112</v>
      </c>
      <c r="BS11" s="83" t="s">
        <v>429</v>
      </c>
      <c r="BT11" s="141">
        <f>B103</f>
        <v>5</v>
      </c>
      <c r="BU11" s="92" t="s">
        <v>407</v>
      </c>
      <c r="BV11" s="83" t="s">
        <v>261</v>
      </c>
      <c r="BW11" s="159"/>
      <c r="BX11" s="92" t="s">
        <v>291</v>
      </c>
      <c r="BY11" s="83" t="s">
        <v>22</v>
      </c>
      <c r="BZ11" s="137">
        <f>0.693/BZ12</f>
        <v>1.6041666666666665E-3</v>
      </c>
      <c r="CB11" s="52" t="s">
        <v>300</v>
      </c>
      <c r="CC11" s="136">
        <f>B3</f>
        <v>2.41E-4</v>
      </c>
      <c r="CE11" s="52" t="s">
        <v>300</v>
      </c>
      <c r="CF11" s="136">
        <f>B6</f>
        <v>1.17E-4</v>
      </c>
      <c r="CH11" s="52" t="s">
        <v>300</v>
      </c>
      <c r="CI11" s="136">
        <f>B10</f>
        <v>2.2599999999999999E-4</v>
      </c>
      <c r="CN11" s="84" t="s">
        <v>161</v>
      </c>
      <c r="CO11" s="162">
        <f>B130</f>
        <v>2</v>
      </c>
      <c r="CP11" s="52" t="s">
        <v>246</v>
      </c>
      <c r="CT11" s="84" t="s">
        <v>16</v>
      </c>
      <c r="CU11" s="137">
        <f>(CU43*CU12)/(1-EXP(-CU12*CU43))</f>
        <v>1.0008022977791844</v>
      </c>
      <c r="CW11" s="52" t="s">
        <v>247</v>
      </c>
      <c r="CX11" s="139">
        <f>B18</f>
        <v>0.36297000000000001</v>
      </c>
      <c r="CY11" s="84" t="s">
        <v>259</v>
      </c>
      <c r="CZ11" s="83" t="s">
        <v>22</v>
      </c>
      <c r="DA11" s="137">
        <f>0.693/DA12</f>
        <v>1.6041666666666665E-3</v>
      </c>
      <c r="DC11" s="83" t="s">
        <v>515</v>
      </c>
      <c r="DD11" s="149">
        <f>(DD12*DD15*DD20)+(DD13*DD14*DD21)</f>
        <v>8250</v>
      </c>
      <c r="DE11" s="92" t="s">
        <v>347</v>
      </c>
      <c r="DF11" s="92" t="s">
        <v>49</v>
      </c>
      <c r="DG11" s="137">
        <f>DG19+DG20</f>
        <v>3.1394977168949772E-5</v>
      </c>
      <c r="DI11" s="91" t="s">
        <v>231</v>
      </c>
      <c r="DJ11" s="136">
        <f>B30</f>
        <v>432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B166</f>
        <v>150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B166</f>
        <v>150</v>
      </c>
      <c r="EI11" s="83" t="s">
        <v>24</v>
      </c>
      <c r="EJ11" s="92"/>
      <c r="EM11" s="83" t="s">
        <v>495</v>
      </c>
      <c r="EN11" s="138">
        <f>B207</f>
        <v>0.5</v>
      </c>
      <c r="EO11" s="52" t="s">
        <v>246</v>
      </c>
      <c r="EP11" s="83" t="s">
        <v>495</v>
      </c>
      <c r="EQ11" s="138">
        <f>B207</f>
        <v>0.5</v>
      </c>
      <c r="ER11" s="52" t="s">
        <v>246</v>
      </c>
      <c r="ES11" s="83" t="s">
        <v>495</v>
      </c>
      <c r="ET11" s="138">
        <f>B207</f>
        <v>0.5</v>
      </c>
      <c r="EU11" s="52" t="s">
        <v>246</v>
      </c>
      <c r="EV11" s="83" t="s">
        <v>456</v>
      </c>
      <c r="EW11" s="150">
        <f>B166</f>
        <v>150</v>
      </c>
      <c r="EX11" s="83" t="s">
        <v>24</v>
      </c>
      <c r="EY11" s="83"/>
      <c r="EZ11" s="83"/>
      <c r="FA11" s="83"/>
      <c r="FB11" s="83" t="s">
        <v>151</v>
      </c>
      <c r="FC11" s="142">
        <f>B212</f>
        <v>2.1999999999999999E-2</v>
      </c>
      <c r="FD11" s="52" t="s">
        <v>246</v>
      </c>
      <c r="FE11" s="83" t="s">
        <v>151</v>
      </c>
      <c r="FF11" s="142">
        <f>B212</f>
        <v>2.1999999999999999E-2</v>
      </c>
      <c r="FG11" s="52" t="s">
        <v>246</v>
      </c>
      <c r="FH11" s="83" t="s">
        <v>151</v>
      </c>
      <c r="FI11" s="142">
        <f>B212</f>
        <v>2.1999999999999999E-2</v>
      </c>
      <c r="FJ11" s="52" t="s">
        <v>246</v>
      </c>
      <c r="FK11" s="83" t="s">
        <v>456</v>
      </c>
      <c r="FL11" s="150">
        <f>B166</f>
        <v>150</v>
      </c>
      <c r="FM11" s="83" t="s">
        <v>24</v>
      </c>
      <c r="FN11" s="83"/>
      <c r="FO11" s="83"/>
      <c r="FP11" s="83"/>
      <c r="FQ11" s="88"/>
      <c r="FR11" s="169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B166</f>
        <v>150</v>
      </c>
      <c r="GB11" s="83" t="s">
        <v>24</v>
      </c>
      <c r="GC11" s="83"/>
      <c r="GD11" s="83"/>
      <c r="GE11" s="83"/>
      <c r="GF11" s="83" t="s">
        <v>487</v>
      </c>
      <c r="GG11" s="142">
        <f>B217</f>
        <v>2.1999999999999999E-2</v>
      </c>
      <c r="GH11" s="52" t="s">
        <v>246</v>
      </c>
      <c r="GI11" s="83" t="s">
        <v>487</v>
      </c>
      <c r="GJ11" s="142">
        <f>B217</f>
        <v>2.1999999999999999E-2</v>
      </c>
      <c r="GK11" s="52" t="s">
        <v>246</v>
      </c>
      <c r="GL11" s="83" t="s">
        <v>487</v>
      </c>
      <c r="GM11" s="142">
        <f>B217</f>
        <v>2.1999999999999999E-2</v>
      </c>
      <c r="GN11" s="52" t="s">
        <v>246</v>
      </c>
      <c r="GO11" s="83" t="s">
        <v>456</v>
      </c>
      <c r="GP11" s="150">
        <f>B166</f>
        <v>150</v>
      </c>
      <c r="GQ11" s="83" t="s">
        <v>24</v>
      </c>
      <c r="GR11" s="83"/>
      <c r="GS11" s="83"/>
      <c r="GT11" s="83"/>
      <c r="GU11" s="83" t="s">
        <v>491</v>
      </c>
      <c r="GV11" s="142">
        <f>B222</f>
        <v>0.37</v>
      </c>
      <c r="GW11" s="52" t="s">
        <v>246</v>
      </c>
      <c r="GX11" s="83" t="s">
        <v>491</v>
      </c>
      <c r="GY11" s="142">
        <f>B222</f>
        <v>0.37</v>
      </c>
      <c r="GZ11" s="52" t="s">
        <v>246</v>
      </c>
      <c r="HA11" s="83" t="s">
        <v>491</v>
      </c>
      <c r="HB11" s="142">
        <f>B222</f>
        <v>0.37</v>
      </c>
      <c r="HC11" s="52" t="s">
        <v>246</v>
      </c>
      <c r="HD11" s="84" t="s">
        <v>42</v>
      </c>
      <c r="HE11" s="150">
        <f>B94</f>
        <v>1.5</v>
      </c>
    </row>
    <row r="12" spans="1:214" x14ac:dyDescent="0.2">
      <c r="A12" s="116" t="s">
        <v>342</v>
      </c>
      <c r="B12" s="229">
        <v>1.5699999999999999E-5</v>
      </c>
      <c r="C12" s="117"/>
      <c r="D12" s="83" t="s">
        <v>43</v>
      </c>
      <c r="E12" s="140">
        <f>((E15/E16)*E23*E13*E25)+((E15/E16)*E24*E14*E26)</f>
        <v>1327.5</v>
      </c>
      <c r="F12" s="52" t="s">
        <v>426</v>
      </c>
      <c r="G12" s="83" t="s">
        <v>266</v>
      </c>
      <c r="H12" s="144">
        <f>(H5/(H8*(1/H43)*H21))/H70</f>
        <v>2.3657739687347363</v>
      </c>
      <c r="I12" s="92" t="s">
        <v>291</v>
      </c>
      <c r="J12" s="83" t="s">
        <v>22</v>
      </c>
      <c r="K12" s="137">
        <f>0.693/K13</f>
        <v>1.6041666666666665E-3</v>
      </c>
      <c r="M12" s="52" t="s">
        <v>300</v>
      </c>
      <c r="N12" s="136">
        <f>B3</f>
        <v>2.41E-4</v>
      </c>
      <c r="P12" s="52" t="s">
        <v>300</v>
      </c>
      <c r="Q12" s="136">
        <f>B6</f>
        <v>1.17E-4</v>
      </c>
      <c r="S12" s="52" t="s">
        <v>300</v>
      </c>
      <c r="T12" s="136">
        <f>B10</f>
        <v>2.2599999999999999E-4</v>
      </c>
      <c r="V12" s="52" t="s">
        <v>44</v>
      </c>
      <c r="W12" s="150">
        <f>B252</f>
        <v>5</v>
      </c>
      <c r="X12" s="84" t="s">
        <v>194</v>
      </c>
      <c r="Y12" s="52" t="s">
        <v>44</v>
      </c>
      <c r="Z12" s="150">
        <f>B233</f>
        <v>5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B262</f>
        <v>5</v>
      </c>
      <c r="AG12" s="150">
        <f>B273</f>
        <v>5</v>
      </c>
      <c r="AH12" s="83" t="s">
        <v>194</v>
      </c>
      <c r="AI12" s="52" t="s">
        <v>300</v>
      </c>
      <c r="AJ12" s="136">
        <f>B3</f>
        <v>2.41E-4</v>
      </c>
      <c r="AL12" s="52" t="s">
        <v>300</v>
      </c>
      <c r="AM12" s="136">
        <f>B6</f>
        <v>1.17E-4</v>
      </c>
      <c r="AO12" s="52" t="s">
        <v>300</v>
      </c>
      <c r="AP12" s="136">
        <f>B10</f>
        <v>2.2599999999999999E-4</v>
      </c>
      <c r="AR12" s="52" t="s">
        <v>300</v>
      </c>
      <c r="AS12" s="136">
        <f>B3</f>
        <v>2.41E-4</v>
      </c>
      <c r="AU12" s="52" t="s">
        <v>300</v>
      </c>
      <c r="AV12" s="136">
        <f>B6</f>
        <v>1.17E-4</v>
      </c>
      <c r="AX12" s="52" t="s">
        <v>300</v>
      </c>
      <c r="AY12" s="136">
        <f>B10</f>
        <v>2.2599999999999999E-4</v>
      </c>
      <c r="BA12" s="52" t="s">
        <v>300</v>
      </c>
      <c r="BB12" s="136">
        <f>B3</f>
        <v>2.41E-4</v>
      </c>
      <c r="BD12" s="52" t="s">
        <v>300</v>
      </c>
      <c r="BE12" s="136">
        <f>B6</f>
        <v>1.17E-4</v>
      </c>
      <c r="BG12" s="52" t="s">
        <v>300</v>
      </c>
      <c r="BH12" s="136">
        <f>B10</f>
        <v>2.2599999999999999E-4</v>
      </c>
      <c r="BJ12" s="52" t="s">
        <v>158</v>
      </c>
      <c r="BK12" s="138">
        <f>B258</f>
        <v>1</v>
      </c>
      <c r="BL12" s="52" t="s">
        <v>146</v>
      </c>
      <c r="BM12" s="52" t="s">
        <v>158</v>
      </c>
      <c r="BN12" s="138">
        <f>B258</f>
        <v>1</v>
      </c>
      <c r="BO12" s="52" t="s">
        <v>146</v>
      </c>
      <c r="BP12" s="52" t="s">
        <v>158</v>
      </c>
      <c r="BQ12" s="138">
        <f>B258</f>
        <v>1</v>
      </c>
      <c r="BR12" s="52" t="s">
        <v>146</v>
      </c>
      <c r="BS12" s="83" t="s">
        <v>430</v>
      </c>
      <c r="BT12" s="141">
        <f>B104</f>
        <v>10</v>
      </c>
      <c r="BU12" s="92" t="s">
        <v>407</v>
      </c>
      <c r="BV12" s="83" t="s">
        <v>266</v>
      </c>
      <c r="BW12" s="145">
        <f>(BW5/(BW8*(1/BW29)*BW16))/BW32</f>
        <v>0.81941807462539495</v>
      </c>
      <c r="BX12" s="92" t="s">
        <v>291</v>
      </c>
      <c r="BY12" s="91" t="s">
        <v>231</v>
      </c>
      <c r="BZ12" s="136">
        <f>B30</f>
        <v>432</v>
      </c>
      <c r="CA12" s="52" t="s">
        <v>60</v>
      </c>
      <c r="CB12" s="52" t="s">
        <v>413</v>
      </c>
      <c r="CC12" s="136">
        <f>B4</f>
        <v>0.753</v>
      </c>
      <c r="CE12" s="52" t="s">
        <v>414</v>
      </c>
      <c r="CF12" s="136">
        <f>B7</f>
        <v>0.74299999999999999</v>
      </c>
      <c r="CH12" s="52" t="s">
        <v>416</v>
      </c>
      <c r="CI12" s="136">
        <f>B11</f>
        <v>0.66200000000000003</v>
      </c>
      <c r="CN12" s="84" t="s">
        <v>162</v>
      </c>
      <c r="CO12" s="162">
        <f>B131</f>
        <v>2</v>
      </c>
      <c r="CP12" s="52" t="s">
        <v>41</v>
      </c>
      <c r="CT12" s="83" t="s">
        <v>22</v>
      </c>
      <c r="CU12" s="137">
        <f>0.693/CU13</f>
        <v>1.6041666666666665E-3</v>
      </c>
      <c r="CW12" s="83" t="s">
        <v>506</v>
      </c>
      <c r="CX12" s="140">
        <f>((CX16/24)*CX23*CX13*CX25)+((CX15/24)*CX24*CX14*CX26)</f>
        <v>1387.5</v>
      </c>
      <c r="CY12" s="52" t="s">
        <v>426</v>
      </c>
      <c r="CZ12" s="91" t="s">
        <v>231</v>
      </c>
      <c r="DA12" s="136">
        <f>B30</f>
        <v>432</v>
      </c>
      <c r="DB12" s="52" t="s">
        <v>60</v>
      </c>
      <c r="DC12" s="83" t="s">
        <v>467</v>
      </c>
      <c r="DD12" s="146">
        <f>B147</f>
        <v>55</v>
      </c>
      <c r="DE12" s="92" t="s">
        <v>221</v>
      </c>
      <c r="DF12" s="92" t="s">
        <v>52</v>
      </c>
      <c r="DG12" s="138">
        <f>B191</f>
        <v>10950</v>
      </c>
      <c r="DH12" s="52" t="s">
        <v>53</v>
      </c>
      <c r="DI12" s="84" t="s">
        <v>16</v>
      </c>
      <c r="DJ12" s="137">
        <f>(DJ9*DJ10)/(1-EXP(-DJ10*DJ9))</f>
        <v>1.0008022977791844</v>
      </c>
      <c r="DL12" s="92"/>
      <c r="DO12" s="92" t="s">
        <v>52</v>
      </c>
      <c r="DP12" s="138">
        <f>B191</f>
        <v>10950</v>
      </c>
      <c r="DQ12" s="52" t="s">
        <v>53</v>
      </c>
      <c r="DR12" s="83" t="s">
        <v>465</v>
      </c>
      <c r="DS12" s="150">
        <f>B166</f>
        <v>150</v>
      </c>
      <c r="DT12" s="83" t="s">
        <v>24</v>
      </c>
      <c r="DU12" s="92"/>
      <c r="DX12" s="83" t="s">
        <v>500</v>
      </c>
      <c r="DY12" s="138">
        <f>B203</f>
        <v>1</v>
      </c>
      <c r="EA12" s="83" t="s">
        <v>500</v>
      </c>
      <c r="EB12" s="138">
        <f>B203</f>
        <v>1</v>
      </c>
      <c r="EC12" s="84"/>
      <c r="ED12" s="83" t="s">
        <v>500</v>
      </c>
      <c r="EE12" s="138">
        <f>B203</f>
        <v>1</v>
      </c>
      <c r="EF12" s="84"/>
      <c r="EG12" s="83" t="s">
        <v>465</v>
      </c>
      <c r="EH12" s="150">
        <f>B166</f>
        <v>150</v>
      </c>
      <c r="EI12" s="83" t="s">
        <v>24</v>
      </c>
      <c r="EJ12" s="92"/>
      <c r="EM12" s="83" t="s">
        <v>496</v>
      </c>
      <c r="EN12" s="138">
        <f>B208</f>
        <v>1</v>
      </c>
      <c r="EP12" s="83" t="s">
        <v>496</v>
      </c>
      <c r="EQ12" s="138">
        <f>B208</f>
        <v>1</v>
      </c>
      <c r="ER12" s="84"/>
      <c r="ES12" s="83" t="s">
        <v>496</v>
      </c>
      <c r="ET12" s="138">
        <f>B208</f>
        <v>1</v>
      </c>
      <c r="EU12" s="84"/>
      <c r="EV12" s="83" t="s">
        <v>465</v>
      </c>
      <c r="EW12" s="150">
        <f>B166</f>
        <v>150</v>
      </c>
      <c r="EX12" s="83" t="s">
        <v>24</v>
      </c>
      <c r="EY12" s="83"/>
      <c r="EZ12" s="83"/>
      <c r="FA12" s="83"/>
      <c r="FB12" s="83" t="s">
        <v>153</v>
      </c>
      <c r="FC12" s="164">
        <f>B213</f>
        <v>1</v>
      </c>
      <c r="FD12" s="83"/>
      <c r="FE12" s="83" t="s">
        <v>153</v>
      </c>
      <c r="FF12" s="164">
        <f>B213</f>
        <v>1</v>
      </c>
      <c r="FG12" s="83"/>
      <c r="FH12" s="83" t="s">
        <v>153</v>
      </c>
      <c r="FI12" s="164">
        <f>B213</f>
        <v>1</v>
      </c>
      <c r="FJ12" s="84"/>
      <c r="FK12" s="83" t="s">
        <v>465</v>
      </c>
      <c r="FL12" s="150">
        <f>B166</f>
        <v>150</v>
      </c>
      <c r="FM12" s="83" t="s">
        <v>24</v>
      </c>
      <c r="FN12" s="83"/>
      <c r="FO12" s="83"/>
      <c r="FP12" s="83"/>
      <c r="FQ12" s="88"/>
      <c r="FR12" s="227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B166</f>
        <v>150</v>
      </c>
      <c r="GB12" s="83" t="s">
        <v>24</v>
      </c>
      <c r="GC12" s="83"/>
      <c r="GD12" s="83"/>
      <c r="GE12" s="83"/>
      <c r="GF12" s="83" t="s">
        <v>488</v>
      </c>
      <c r="GG12" s="142">
        <f>B218</f>
        <v>1</v>
      </c>
      <c r="GH12" s="83"/>
      <c r="GI12" s="83" t="s">
        <v>488</v>
      </c>
      <c r="GJ12" s="142">
        <f>B218</f>
        <v>1</v>
      </c>
      <c r="GK12" s="83"/>
      <c r="GL12" s="83" t="s">
        <v>488</v>
      </c>
      <c r="GM12" s="142">
        <f>B218</f>
        <v>1</v>
      </c>
      <c r="GN12" s="84"/>
      <c r="GO12" s="83" t="s">
        <v>465</v>
      </c>
      <c r="GP12" s="150">
        <f>B166</f>
        <v>150</v>
      </c>
      <c r="GQ12" s="83" t="s">
        <v>24</v>
      </c>
      <c r="GR12" s="83"/>
      <c r="GS12" s="83"/>
      <c r="GT12" s="83"/>
      <c r="GU12" s="83" t="s">
        <v>492</v>
      </c>
      <c r="GV12" s="142">
        <f>B223</f>
        <v>1</v>
      </c>
      <c r="GW12" s="83"/>
      <c r="GX12" s="83" t="s">
        <v>492</v>
      </c>
      <c r="GY12" s="142">
        <f>B223</f>
        <v>1</v>
      </c>
      <c r="GZ12" s="83"/>
      <c r="HA12" s="83" t="s">
        <v>492</v>
      </c>
      <c r="HB12" s="142">
        <f>B223</f>
        <v>1</v>
      </c>
      <c r="HC12" s="84"/>
      <c r="HD12" s="84" t="s">
        <v>47</v>
      </c>
      <c r="HE12" s="163">
        <v>1</v>
      </c>
    </row>
    <row r="13" spans="1:214" ht="13.5" thickBot="1" x14ac:dyDescent="0.25">
      <c r="A13" s="118" t="s">
        <v>245</v>
      </c>
      <c r="B13" s="230">
        <v>0.80900000000000005</v>
      </c>
      <c r="C13" s="119"/>
      <c r="D13" s="83" t="s">
        <v>366</v>
      </c>
      <c r="E13" s="141">
        <f>B50</f>
        <v>5</v>
      </c>
      <c r="F13" s="92" t="s">
        <v>407</v>
      </c>
      <c r="G13" s="83" t="s">
        <v>263</v>
      </c>
      <c r="H13" s="144">
        <f>(H14/((1/H40)*(H48+H49+H50)))/H70</f>
        <v>2.9611232047972457E-2</v>
      </c>
      <c r="I13" s="92" t="s">
        <v>291</v>
      </c>
      <c r="J13" s="91" t="s">
        <v>231</v>
      </c>
      <c r="K13" s="136">
        <f>B30</f>
        <v>432</v>
      </c>
      <c r="L13" s="52" t="s">
        <v>60</v>
      </c>
      <c r="M13" s="52" t="s">
        <v>54</v>
      </c>
      <c r="N13" s="136">
        <f>B4</f>
        <v>0.753</v>
      </c>
      <c r="P13" s="52" t="s">
        <v>54</v>
      </c>
      <c r="Q13" s="136">
        <f>B7</f>
        <v>0.74299999999999999</v>
      </c>
      <c r="S13" s="52" t="s">
        <v>54</v>
      </c>
      <c r="T13" s="136">
        <f>B11</f>
        <v>0.66200000000000003</v>
      </c>
      <c r="V13" s="52" t="s">
        <v>50</v>
      </c>
      <c r="W13" s="146">
        <f>B246</f>
        <v>50</v>
      </c>
      <c r="X13" s="84" t="s">
        <v>407</v>
      </c>
      <c r="Y13" s="52" t="s">
        <v>50</v>
      </c>
      <c r="Z13" s="146">
        <f>B226</f>
        <v>50</v>
      </c>
      <c r="AA13" s="84" t="s">
        <v>407</v>
      </c>
      <c r="AB13" s="83" t="s">
        <v>349</v>
      </c>
      <c r="AC13" s="146">
        <f>B229</f>
        <v>50</v>
      </c>
      <c r="AD13" s="146">
        <f>B239</f>
        <v>50</v>
      </c>
      <c r="AE13" s="146">
        <f>B249</f>
        <v>50</v>
      </c>
      <c r="AF13" s="146">
        <f>B259</f>
        <v>200</v>
      </c>
      <c r="AG13" s="146">
        <f>B271</f>
        <v>200</v>
      </c>
      <c r="AH13" s="52" t="s">
        <v>48</v>
      </c>
      <c r="AI13" s="52" t="s">
        <v>54</v>
      </c>
      <c r="AJ13" s="136">
        <f>B4</f>
        <v>0.753</v>
      </c>
      <c r="AL13" s="52" t="s">
        <v>54</v>
      </c>
      <c r="AM13" s="136">
        <f>B7</f>
        <v>0.74299999999999999</v>
      </c>
      <c r="AO13" s="52" t="s">
        <v>54</v>
      </c>
      <c r="AP13" s="136">
        <f>B11</f>
        <v>0.66200000000000003</v>
      </c>
      <c r="AR13" s="52" t="s">
        <v>54</v>
      </c>
      <c r="AS13" s="136">
        <f>B4</f>
        <v>0.753</v>
      </c>
      <c r="AU13" s="52" t="s">
        <v>54</v>
      </c>
      <c r="AV13" s="136">
        <f>B7</f>
        <v>0.74299999999999999</v>
      </c>
      <c r="AX13" s="52" t="s">
        <v>54</v>
      </c>
      <c r="AY13" s="136">
        <f>B11</f>
        <v>0.66200000000000003</v>
      </c>
      <c r="BA13" s="52" t="s">
        <v>54</v>
      </c>
      <c r="BB13" s="136">
        <f>B4</f>
        <v>0.753</v>
      </c>
      <c r="BD13" s="52" t="s">
        <v>54</v>
      </c>
      <c r="BE13" s="136">
        <f>B7</f>
        <v>0.74299999999999999</v>
      </c>
      <c r="BG13" s="52" t="s">
        <v>54</v>
      </c>
      <c r="BH13" s="136">
        <f>B11</f>
        <v>0.66200000000000003</v>
      </c>
      <c r="BJ13" s="52" t="s">
        <v>300</v>
      </c>
      <c r="BK13" s="136">
        <f>B3</f>
        <v>2.41E-4</v>
      </c>
      <c r="BM13" s="52" t="s">
        <v>300</v>
      </c>
      <c r="BN13" s="136">
        <f>B6</f>
        <v>1.17E-4</v>
      </c>
      <c r="BP13" s="52" t="s">
        <v>300</v>
      </c>
      <c r="BQ13" s="136">
        <f>B10</f>
        <v>2.2599999999999999E-4</v>
      </c>
      <c r="BS13" s="52" t="s">
        <v>431</v>
      </c>
      <c r="BT13" s="141">
        <f>B116</f>
        <v>5</v>
      </c>
      <c r="BU13" s="52" t="s">
        <v>194</v>
      </c>
      <c r="BV13" s="83" t="s">
        <v>440</v>
      </c>
      <c r="BW13" s="160">
        <f>((BW18*BW20*BW23*BW14*BW30)+(BW19*BW21*BW24*BW15*BW31))</f>
        <v>2750</v>
      </c>
      <c r="BX13" s="83" t="s">
        <v>345</v>
      </c>
      <c r="BY13" s="83" t="s">
        <v>260</v>
      </c>
      <c r="BZ13" s="143">
        <f>((BZ5/(BZ6*BZ16*(1/BZ33)))*BZ10)/BZ36</f>
        <v>12.431786168044685</v>
      </c>
      <c r="CA13" s="92" t="s">
        <v>290</v>
      </c>
      <c r="CB13" s="52" t="s">
        <v>90</v>
      </c>
      <c r="CC13" s="138">
        <f>B118</f>
        <v>5</v>
      </c>
      <c r="CD13" s="52" t="s">
        <v>194</v>
      </c>
      <c r="CE13" s="52" t="s">
        <v>90</v>
      </c>
      <c r="CF13" s="138">
        <f>B118</f>
        <v>5</v>
      </c>
      <c r="CG13" s="52" t="s">
        <v>194</v>
      </c>
      <c r="CH13" s="52" t="s">
        <v>90</v>
      </c>
      <c r="CI13" s="138">
        <f>B118</f>
        <v>5</v>
      </c>
      <c r="CJ13" s="52" t="s">
        <v>194</v>
      </c>
      <c r="CN13" s="84" t="s">
        <v>163</v>
      </c>
      <c r="CO13" s="162">
        <f>B132</f>
        <v>2</v>
      </c>
      <c r="CP13" s="52" t="s">
        <v>41</v>
      </c>
      <c r="CT13" s="91" t="s">
        <v>231</v>
      </c>
      <c r="CU13" s="136">
        <f>B30</f>
        <v>432</v>
      </c>
      <c r="CV13" s="52" t="s">
        <v>60</v>
      </c>
      <c r="CW13" s="83" t="s">
        <v>450</v>
      </c>
      <c r="CX13" s="141">
        <f>B145</f>
        <v>5</v>
      </c>
      <c r="CY13" s="92" t="s">
        <v>407</v>
      </c>
      <c r="CZ13" s="83" t="s">
        <v>260</v>
      </c>
      <c r="DA13" s="143">
        <f>(DA5/(DA6*DA24))/DA51</f>
        <v>0.21341870081365899</v>
      </c>
      <c r="DB13" s="83" t="s">
        <v>291</v>
      </c>
      <c r="DC13" s="83" t="s">
        <v>468</v>
      </c>
      <c r="DD13" s="146">
        <f>B148</f>
        <v>55</v>
      </c>
      <c r="DE13" s="92" t="s">
        <v>221</v>
      </c>
      <c r="DF13" s="92" t="s">
        <v>55</v>
      </c>
      <c r="DG13" s="138">
        <f>B192</f>
        <v>240</v>
      </c>
      <c r="DH13" s="52" t="s">
        <v>56</v>
      </c>
      <c r="DJ13" s="138"/>
      <c r="DL13" s="92"/>
      <c r="DO13" s="92" t="s">
        <v>55</v>
      </c>
      <c r="DP13" s="138">
        <f>B192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B204</f>
        <v>1</v>
      </c>
      <c r="EA13" s="83" t="s">
        <v>501</v>
      </c>
      <c r="EB13" s="138">
        <f>B204</f>
        <v>1</v>
      </c>
      <c r="EC13" s="84"/>
      <c r="ED13" s="83" t="s">
        <v>501</v>
      </c>
      <c r="EE13" s="138">
        <f>B204</f>
        <v>1</v>
      </c>
      <c r="EF13" s="84"/>
      <c r="EG13" s="83" t="s">
        <v>363</v>
      </c>
      <c r="EH13" s="150">
        <f>B168</f>
        <v>1</v>
      </c>
      <c r="EI13" s="84" t="s">
        <v>60</v>
      </c>
      <c r="EJ13" s="92"/>
      <c r="EM13" s="83" t="s">
        <v>497</v>
      </c>
      <c r="EN13" s="138">
        <f>B209</f>
        <v>1</v>
      </c>
      <c r="EP13" s="83" t="s">
        <v>497</v>
      </c>
      <c r="EQ13" s="138">
        <f>B209</f>
        <v>1</v>
      </c>
      <c r="ER13" s="84"/>
      <c r="ES13" s="83" t="s">
        <v>497</v>
      </c>
      <c r="ET13" s="138">
        <f>B209</f>
        <v>1</v>
      </c>
      <c r="EU13" s="84"/>
      <c r="EV13" s="83" t="s">
        <v>363</v>
      </c>
      <c r="EW13" s="150">
        <f>B168</f>
        <v>1</v>
      </c>
      <c r="EX13" s="84" t="s">
        <v>60</v>
      </c>
      <c r="EY13" s="83"/>
      <c r="EZ13" s="83"/>
      <c r="FA13" s="83"/>
      <c r="FB13" s="83" t="s">
        <v>154</v>
      </c>
      <c r="FC13" s="164">
        <f>B214</f>
        <v>1</v>
      </c>
      <c r="FD13" s="83"/>
      <c r="FE13" s="83" t="s">
        <v>154</v>
      </c>
      <c r="FF13" s="164">
        <f>B214</f>
        <v>1</v>
      </c>
      <c r="FG13" s="83"/>
      <c r="FH13" s="83" t="s">
        <v>154</v>
      </c>
      <c r="FI13" s="164">
        <f>B214</f>
        <v>1</v>
      </c>
      <c r="FJ13" s="84"/>
      <c r="FK13" s="83" t="s">
        <v>363</v>
      </c>
      <c r="FL13" s="141">
        <f>B168</f>
        <v>1</v>
      </c>
      <c r="FM13" s="92" t="s">
        <v>60</v>
      </c>
      <c r="FN13" s="83"/>
      <c r="FO13" s="83"/>
      <c r="FP13" s="83"/>
      <c r="FQ13" s="88"/>
      <c r="FR13" s="227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B168</f>
        <v>1</v>
      </c>
      <c r="GB13" s="92" t="s">
        <v>60</v>
      </c>
      <c r="GC13" s="83"/>
      <c r="GD13" s="83"/>
      <c r="GE13" s="83"/>
      <c r="GF13" s="83" t="s">
        <v>489</v>
      </c>
      <c r="GG13" s="142">
        <f>B219</f>
        <v>1</v>
      </c>
      <c r="GH13" s="83"/>
      <c r="GI13" s="83" t="s">
        <v>489</v>
      </c>
      <c r="GJ13" s="142">
        <f>B219</f>
        <v>1</v>
      </c>
      <c r="GK13" s="83"/>
      <c r="GL13" s="83" t="s">
        <v>489</v>
      </c>
      <c r="GM13" s="142">
        <f>B219</f>
        <v>1</v>
      </c>
      <c r="GN13" s="84"/>
      <c r="GO13" s="83" t="s">
        <v>363</v>
      </c>
      <c r="GP13" s="141">
        <f>B168</f>
        <v>1</v>
      </c>
      <c r="GQ13" s="92" t="s">
        <v>60</v>
      </c>
      <c r="GR13" s="83"/>
      <c r="GS13" s="83"/>
      <c r="GT13" s="83"/>
      <c r="GU13" s="83" t="s">
        <v>493</v>
      </c>
      <c r="GV13" s="142">
        <f>B224</f>
        <v>1</v>
      </c>
      <c r="GW13" s="83"/>
      <c r="GX13" s="83" t="s">
        <v>493</v>
      </c>
      <c r="GY13" s="142">
        <f>B224</f>
        <v>1</v>
      </c>
      <c r="GZ13" s="83"/>
      <c r="HA13" s="83" t="s">
        <v>493</v>
      </c>
      <c r="HB13" s="142">
        <f>B224</f>
        <v>1</v>
      </c>
      <c r="HC13" s="84"/>
      <c r="HD13" s="84" t="s">
        <v>59</v>
      </c>
      <c r="HE13" s="150">
        <f>B45</f>
        <v>4</v>
      </c>
    </row>
    <row r="14" spans="1:214" ht="13.5" thickTop="1" x14ac:dyDescent="0.2">
      <c r="A14" s="372" t="s">
        <v>233</v>
      </c>
      <c r="B14" s="373"/>
      <c r="C14" s="374"/>
      <c r="D14" s="83" t="s">
        <v>367</v>
      </c>
      <c r="E14" s="141">
        <f>B51</f>
        <v>10</v>
      </c>
      <c r="F14" s="92" t="s">
        <v>407</v>
      </c>
      <c r="G14" s="83" t="s">
        <v>264</v>
      </c>
      <c r="H14" s="145">
        <f>(H5/(H9*(H22+H25)*H41))/H70</f>
        <v>1.0185892538833724E-2</v>
      </c>
      <c r="I14" s="92" t="s">
        <v>290</v>
      </c>
      <c r="J14" s="83" t="s">
        <v>260</v>
      </c>
      <c r="K14" s="143">
        <f>((K5/(K6*K19*(1/K46)))*K11)/K53</f>
        <v>4.5583215949497173</v>
      </c>
      <c r="L14" s="92" t="s">
        <v>290</v>
      </c>
      <c r="M14" s="52" t="s">
        <v>408</v>
      </c>
      <c r="N14" s="150">
        <f>B88</f>
        <v>5</v>
      </c>
      <c r="O14" s="52" t="s">
        <v>194</v>
      </c>
      <c r="P14" s="52" t="s">
        <v>408</v>
      </c>
      <c r="Q14" s="150">
        <f>B88</f>
        <v>5</v>
      </c>
      <c r="R14" s="52" t="s">
        <v>194</v>
      </c>
      <c r="S14" s="52" t="s">
        <v>408</v>
      </c>
      <c r="T14" s="150">
        <f>B88</f>
        <v>5</v>
      </c>
      <c r="U14" s="52" t="s">
        <v>194</v>
      </c>
      <c r="V14" s="83" t="s">
        <v>256</v>
      </c>
      <c r="W14" s="136">
        <f>B27</f>
        <v>125.5296</v>
      </c>
      <c r="X14" s="83" t="s">
        <v>343</v>
      </c>
      <c r="Y14" s="83" t="s">
        <v>256</v>
      </c>
      <c r="Z14" s="136">
        <f>B27</f>
        <v>125.5296</v>
      </c>
      <c r="AA14" s="83" t="s">
        <v>343</v>
      </c>
      <c r="AB14" s="83" t="s">
        <v>300</v>
      </c>
      <c r="AC14" s="161">
        <f>B3</f>
        <v>2.41E-4</v>
      </c>
      <c r="AD14" s="161">
        <f>B3</f>
        <v>2.41E-4</v>
      </c>
      <c r="AE14" s="161">
        <f>B3</f>
        <v>2.41E-4</v>
      </c>
      <c r="AF14" s="161">
        <f>B3</f>
        <v>2.41E-4</v>
      </c>
      <c r="AG14" s="161">
        <f>B3</f>
        <v>2.41E-4</v>
      </c>
      <c r="AH14" s="92"/>
      <c r="AI14" s="52" t="s">
        <v>57</v>
      </c>
      <c r="AJ14" s="136">
        <f>B242</f>
        <v>5</v>
      </c>
      <c r="AK14" s="52" t="s">
        <v>194</v>
      </c>
      <c r="AL14" s="52" t="s">
        <v>57</v>
      </c>
      <c r="AM14" s="136">
        <f>B242</f>
        <v>5</v>
      </c>
      <c r="AN14" s="52" t="s">
        <v>194</v>
      </c>
      <c r="AO14" s="52" t="s">
        <v>57</v>
      </c>
      <c r="AP14" s="136">
        <f>B242</f>
        <v>5</v>
      </c>
      <c r="AQ14" s="52" t="s">
        <v>194</v>
      </c>
      <c r="AR14" s="52" t="s">
        <v>57</v>
      </c>
      <c r="AS14" s="136">
        <f>B252</f>
        <v>5</v>
      </c>
      <c r="AT14" s="52" t="s">
        <v>194</v>
      </c>
      <c r="AU14" s="52" t="s">
        <v>57</v>
      </c>
      <c r="AV14" s="136">
        <f>B252</f>
        <v>5</v>
      </c>
      <c r="AW14" s="52" t="s">
        <v>194</v>
      </c>
      <c r="AX14" s="52" t="s">
        <v>57</v>
      </c>
      <c r="AY14" s="136">
        <f>B252</f>
        <v>5</v>
      </c>
      <c r="AZ14" s="52" t="s">
        <v>194</v>
      </c>
      <c r="BA14" s="52" t="s">
        <v>57</v>
      </c>
      <c r="BB14" s="136">
        <f>B232</f>
        <v>5</v>
      </c>
      <c r="BC14" s="52" t="s">
        <v>194</v>
      </c>
      <c r="BD14" s="52" t="s">
        <v>57</v>
      </c>
      <c r="BE14" s="136">
        <f>B232</f>
        <v>5</v>
      </c>
      <c r="BF14" s="52" t="s">
        <v>194</v>
      </c>
      <c r="BG14" s="52" t="s">
        <v>58</v>
      </c>
      <c r="BH14" s="136">
        <f>B232</f>
        <v>5</v>
      </c>
      <c r="BI14" s="52" t="s">
        <v>194</v>
      </c>
      <c r="BJ14" s="52" t="s">
        <v>413</v>
      </c>
      <c r="BK14" s="136">
        <f>B4</f>
        <v>0.753</v>
      </c>
      <c r="BM14" s="52" t="s">
        <v>414</v>
      </c>
      <c r="BN14" s="136">
        <f>B7</f>
        <v>0.74299999999999999</v>
      </c>
      <c r="BP14" s="52" t="s">
        <v>416</v>
      </c>
      <c r="BQ14" s="136">
        <f>B11</f>
        <v>0.66200000000000003</v>
      </c>
      <c r="BS14" s="52" t="s">
        <v>432</v>
      </c>
      <c r="BT14" s="141">
        <f>B117</f>
        <v>5</v>
      </c>
      <c r="BU14" s="52" t="s">
        <v>194</v>
      </c>
      <c r="BV14" s="83" t="s">
        <v>439</v>
      </c>
      <c r="BW14" s="146">
        <f>B105</f>
        <v>2</v>
      </c>
      <c r="BX14" s="83" t="s">
        <v>357</v>
      </c>
      <c r="BY14" s="83" t="s">
        <v>261</v>
      </c>
      <c r="BZ14" s="144">
        <f>((BZ5/(BZ7*BZ17*(1/BZ9)*BZ32))*BZ10)/BZ36</f>
        <v>1367.5527573756397</v>
      </c>
      <c r="CA14" s="92" t="s">
        <v>290</v>
      </c>
      <c r="CB14" s="52" t="s">
        <v>412</v>
      </c>
      <c r="CC14" s="139">
        <f>B22</f>
        <v>3.7173200000000003E-2</v>
      </c>
      <c r="CD14" s="84" t="s">
        <v>353</v>
      </c>
      <c r="CE14" s="52" t="s">
        <v>415</v>
      </c>
      <c r="CF14" s="139">
        <f>B24</f>
        <v>1.83064E-2</v>
      </c>
      <c r="CG14" s="84" t="s">
        <v>353</v>
      </c>
      <c r="CH14" s="52" t="s">
        <v>417</v>
      </c>
      <c r="CI14" s="139">
        <f>B26</f>
        <v>3.7173200000000003E-2</v>
      </c>
      <c r="CJ14" s="84" t="s">
        <v>353</v>
      </c>
      <c r="CK14" s="84"/>
      <c r="CL14" s="84"/>
      <c r="CM14" s="84"/>
      <c r="CN14" s="52" t="s">
        <v>95</v>
      </c>
      <c r="CO14" s="164">
        <f>B127</f>
        <v>1</v>
      </c>
      <c r="CQ14" s="84"/>
      <c r="CR14" s="84"/>
      <c r="CS14" s="84"/>
      <c r="CT14" s="83" t="s">
        <v>260</v>
      </c>
      <c r="CU14" s="143">
        <f>((CU5/(CU6*CU25*(1/CU46)))*CU11)/CU49</f>
        <v>4.8754222276418737</v>
      </c>
      <c r="CV14" s="92" t="s">
        <v>290</v>
      </c>
      <c r="CW14" s="83" t="s">
        <v>459</v>
      </c>
      <c r="CX14" s="141">
        <f>B146</f>
        <v>10</v>
      </c>
      <c r="CY14" s="92" t="s">
        <v>407</v>
      </c>
      <c r="CZ14" s="83" t="s">
        <v>261</v>
      </c>
      <c r="DA14" s="144">
        <f>(DA5/(DA7*DA25*DA45))/DA51</f>
        <v>1.4693592675244063E-4</v>
      </c>
      <c r="DB14" s="83" t="s">
        <v>291</v>
      </c>
      <c r="DC14" s="83" t="s">
        <v>465</v>
      </c>
      <c r="DD14" s="146">
        <f>B166</f>
        <v>150</v>
      </c>
      <c r="DE14" s="83" t="s">
        <v>24</v>
      </c>
      <c r="DF14" s="92" t="s">
        <v>393</v>
      </c>
      <c r="DG14" s="138">
        <f>B47</f>
        <v>0.26</v>
      </c>
      <c r="DJ14" s="138"/>
      <c r="DL14" s="92"/>
      <c r="DO14" s="92" t="s">
        <v>393</v>
      </c>
      <c r="DP14" s="138">
        <f>B47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B200</f>
        <v>1.03</v>
      </c>
      <c r="DZ14" s="52" t="s">
        <v>286</v>
      </c>
      <c r="EA14" s="52" t="s">
        <v>518</v>
      </c>
      <c r="EB14" s="146">
        <f>B200</f>
        <v>1.03</v>
      </c>
      <c r="EC14" s="52" t="s">
        <v>286</v>
      </c>
      <c r="ED14" s="92" t="s">
        <v>392</v>
      </c>
      <c r="EE14" s="163">
        <f>B48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B168</f>
        <v>1</v>
      </c>
      <c r="EP14" s="92"/>
      <c r="EQ14" s="163"/>
      <c r="ER14" s="84"/>
      <c r="ES14" s="92" t="s">
        <v>392</v>
      </c>
      <c r="ET14" s="163">
        <f>B48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B168</f>
        <v>1</v>
      </c>
      <c r="FE14" s="83"/>
      <c r="FF14" s="142"/>
      <c r="FG14" s="83"/>
      <c r="FH14" s="83" t="s">
        <v>392</v>
      </c>
      <c r="FI14" s="142">
        <f>B48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227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B168</f>
        <v>1</v>
      </c>
      <c r="GI14" s="83"/>
      <c r="GJ14" s="142"/>
      <c r="GK14" s="83"/>
      <c r="GL14" s="83" t="s">
        <v>392</v>
      </c>
      <c r="GM14" s="142">
        <f>B48</f>
        <v>0.25</v>
      </c>
      <c r="GN14" s="84"/>
      <c r="GO14" s="92" t="s">
        <v>484</v>
      </c>
      <c r="GP14" s="146">
        <f>B188</f>
        <v>1</v>
      </c>
      <c r="GR14" s="83"/>
      <c r="GS14" s="83"/>
      <c r="GT14" s="83"/>
      <c r="GU14" s="52" t="s">
        <v>350</v>
      </c>
      <c r="GV14" s="164">
        <f>B168</f>
        <v>1</v>
      </c>
      <c r="GX14" s="83"/>
      <c r="GY14" s="142"/>
      <c r="GZ14" s="83"/>
      <c r="HA14" s="83" t="s">
        <v>392</v>
      </c>
      <c r="HB14" s="142">
        <f>B48</f>
        <v>0.25</v>
      </c>
      <c r="HC14" s="84"/>
      <c r="HD14" s="52" t="s">
        <v>225</v>
      </c>
      <c r="HE14" s="138">
        <v>1</v>
      </c>
    </row>
    <row r="15" spans="1:214" x14ac:dyDescent="0.2">
      <c r="A15" s="375"/>
      <c r="B15" s="376"/>
      <c r="C15" s="377"/>
      <c r="D15" s="52" t="s">
        <v>384</v>
      </c>
      <c r="E15" s="138">
        <f>B71</f>
        <v>24</v>
      </c>
      <c r="F15" s="52" t="s">
        <v>194</v>
      </c>
      <c r="G15" s="83" t="s">
        <v>395</v>
      </c>
      <c r="H15" s="147">
        <f>(H29*H17*H68)+(H30*H18*H69)</f>
        <v>181.875</v>
      </c>
      <c r="I15" s="83" t="s">
        <v>345</v>
      </c>
      <c r="J15" s="83" t="s">
        <v>261</v>
      </c>
      <c r="K15" s="144">
        <f>((K5/(K7*K20*(1/K10)*K45))*K11)/K53</f>
        <v>104.46583563286136</v>
      </c>
      <c r="L15" s="92" t="s">
        <v>290</v>
      </c>
      <c r="M15" s="52" t="s">
        <v>412</v>
      </c>
      <c r="N15" s="139">
        <f>B22</f>
        <v>3.7173200000000003E-2</v>
      </c>
      <c r="O15" s="84" t="s">
        <v>353</v>
      </c>
      <c r="P15" s="52" t="s">
        <v>415</v>
      </c>
      <c r="Q15" s="139">
        <f>B24</f>
        <v>1.83064E-2</v>
      </c>
      <c r="R15" s="84" t="s">
        <v>353</v>
      </c>
      <c r="S15" s="52" t="s">
        <v>417</v>
      </c>
      <c r="T15" s="139">
        <f>B26</f>
        <v>3.7173200000000003E-2</v>
      </c>
      <c r="U15" s="84" t="s">
        <v>353</v>
      </c>
      <c r="V15" s="83" t="s">
        <v>301</v>
      </c>
      <c r="W15" s="142">
        <f>B250</f>
        <v>2</v>
      </c>
      <c r="Y15" s="83" t="s">
        <v>301</v>
      </c>
      <c r="Z15" s="142">
        <f>B230</f>
        <v>2</v>
      </c>
      <c r="AB15" s="83" t="s">
        <v>232</v>
      </c>
      <c r="AC15" s="141">
        <f>B226</f>
        <v>50</v>
      </c>
      <c r="AD15" s="141">
        <f>B236</f>
        <v>50</v>
      </c>
      <c r="AE15" s="141">
        <f>B246</f>
        <v>50</v>
      </c>
      <c r="AF15" s="141">
        <f>B256</f>
        <v>50</v>
      </c>
      <c r="AG15" s="141">
        <f>B268</f>
        <v>50</v>
      </c>
      <c r="AH15" s="92" t="s">
        <v>407</v>
      </c>
      <c r="AI15" s="52" t="s">
        <v>412</v>
      </c>
      <c r="AJ15" s="139">
        <f>B22</f>
        <v>3.7173200000000003E-2</v>
      </c>
      <c r="AK15" s="84" t="s">
        <v>353</v>
      </c>
      <c r="AL15" s="52" t="s">
        <v>415</v>
      </c>
      <c r="AM15" s="139">
        <f>B24</f>
        <v>1.83064E-2</v>
      </c>
      <c r="AN15" s="84" t="s">
        <v>353</v>
      </c>
      <c r="AO15" s="52" t="s">
        <v>417</v>
      </c>
      <c r="AP15" s="139">
        <f>B26</f>
        <v>3.7173200000000003E-2</v>
      </c>
      <c r="AQ15" s="84" t="s">
        <v>353</v>
      </c>
      <c r="AR15" s="52" t="s">
        <v>412</v>
      </c>
      <c r="AS15" s="139">
        <f>B22</f>
        <v>3.7173200000000003E-2</v>
      </c>
      <c r="AT15" s="84" t="s">
        <v>353</v>
      </c>
      <c r="AU15" s="52" t="s">
        <v>415</v>
      </c>
      <c r="AV15" s="139">
        <f>B24</f>
        <v>1.83064E-2</v>
      </c>
      <c r="AW15" s="84" t="s">
        <v>353</v>
      </c>
      <c r="AX15" s="52" t="s">
        <v>417</v>
      </c>
      <c r="AY15" s="139">
        <f>B26</f>
        <v>3.7173200000000003E-2</v>
      </c>
      <c r="AZ15" s="84" t="s">
        <v>353</v>
      </c>
      <c r="BA15" s="52" t="s">
        <v>412</v>
      </c>
      <c r="BB15" s="139">
        <f>B22</f>
        <v>3.7173200000000003E-2</v>
      </c>
      <c r="BC15" s="84" t="s">
        <v>353</v>
      </c>
      <c r="BD15" s="52" t="s">
        <v>415</v>
      </c>
      <c r="BE15" s="139">
        <f>B24</f>
        <v>1.83064E-2</v>
      </c>
      <c r="BF15" s="84" t="s">
        <v>353</v>
      </c>
      <c r="BG15" s="52" t="s">
        <v>417</v>
      </c>
      <c r="BH15" s="139">
        <f>B26</f>
        <v>3.7173200000000003E-2</v>
      </c>
      <c r="BI15" s="84" t="s">
        <v>353</v>
      </c>
      <c r="BJ15" s="52" t="s">
        <v>57</v>
      </c>
      <c r="BK15" s="136">
        <f>B262</f>
        <v>5</v>
      </c>
      <c r="BL15" s="52" t="s">
        <v>194</v>
      </c>
      <c r="BM15" s="52" t="s">
        <v>57</v>
      </c>
      <c r="BN15" s="136">
        <f>B262</f>
        <v>5</v>
      </c>
      <c r="BO15" s="52" t="s">
        <v>194</v>
      </c>
      <c r="BP15" s="52" t="s">
        <v>57</v>
      </c>
      <c r="BQ15" s="136">
        <f>B262</f>
        <v>5</v>
      </c>
      <c r="BR15" s="52" t="s">
        <v>194</v>
      </c>
      <c r="BS15" s="52" t="s">
        <v>90</v>
      </c>
      <c r="BT15" s="138">
        <f>B118</f>
        <v>5</v>
      </c>
      <c r="BU15" s="52" t="s">
        <v>194</v>
      </c>
      <c r="BV15" s="83" t="s">
        <v>438</v>
      </c>
      <c r="BW15" s="146">
        <f>B106</f>
        <v>2</v>
      </c>
      <c r="BX15" s="83" t="s">
        <v>357</v>
      </c>
      <c r="BY15" s="83" t="s">
        <v>262</v>
      </c>
      <c r="BZ15" s="145">
        <f>(((BZ5)/(BZ8*BZ22*(1/BZ31)*BZ25*(1/24)*BZ28*BZ29))*BZ10)/BZ36</f>
        <v>174855.56672611201</v>
      </c>
      <c r="CA15" s="92" t="s">
        <v>290</v>
      </c>
      <c r="CB15" s="95" t="s">
        <v>287</v>
      </c>
      <c r="CC15" s="176">
        <v>27.027027027027</v>
      </c>
      <c r="CD15" s="52" t="s">
        <v>288</v>
      </c>
      <c r="CE15" s="95" t="s">
        <v>287</v>
      </c>
      <c r="CF15" s="176">
        <v>27.027027027027</v>
      </c>
      <c r="CG15" s="52" t="s">
        <v>288</v>
      </c>
      <c r="CH15" s="95" t="s">
        <v>287</v>
      </c>
      <c r="CI15" s="176">
        <v>27.027027027027</v>
      </c>
      <c r="CJ15" s="52" t="s">
        <v>288</v>
      </c>
      <c r="CN15" s="83" t="s">
        <v>22</v>
      </c>
      <c r="CO15" s="137">
        <f>0.693/CO16</f>
        <v>1.6041666666666665E-3</v>
      </c>
      <c r="CT15" s="83" t="s">
        <v>261</v>
      </c>
      <c r="CU15" s="144">
        <f>((CU5/(CU7*CU26*(1/CU10)*CU45))*CU11)/CU49</f>
        <v>99.948394091980873</v>
      </c>
      <c r="CV15" s="92" t="s">
        <v>290</v>
      </c>
      <c r="CW15" s="52" t="s">
        <v>365</v>
      </c>
      <c r="CX15" s="138">
        <f>B170</f>
        <v>24</v>
      </c>
      <c r="CY15" s="52" t="s">
        <v>194</v>
      </c>
      <c r="CZ15" s="83" t="s">
        <v>266</v>
      </c>
      <c r="DA15" s="153">
        <f>(DA5/(DA8*DA26*(DA46/DA47)))/DA51</f>
        <v>1.9766664080875755</v>
      </c>
      <c r="DB15" s="83" t="s">
        <v>291</v>
      </c>
      <c r="DC15" s="83" t="s">
        <v>456</v>
      </c>
      <c r="DD15" s="146">
        <f>B165</f>
        <v>150</v>
      </c>
      <c r="DE15" s="83" t="s">
        <v>24</v>
      </c>
      <c r="DF15" s="92" t="s">
        <v>61</v>
      </c>
      <c r="DG15" s="138">
        <f>B193</f>
        <v>0.42</v>
      </c>
      <c r="DH15" s="52" t="s">
        <v>41</v>
      </c>
      <c r="DL15" s="92"/>
      <c r="DO15" s="92" t="s">
        <v>61</v>
      </c>
      <c r="DP15" s="138">
        <f>B193</f>
        <v>0.42</v>
      </c>
      <c r="DQ15" s="52" t="s">
        <v>41</v>
      </c>
      <c r="DR15" s="92" t="s">
        <v>479</v>
      </c>
      <c r="DS15" s="146">
        <f>B183</f>
        <v>1</v>
      </c>
      <c r="DU15" s="92"/>
      <c r="DX15" s="52" t="s">
        <v>350</v>
      </c>
      <c r="DY15" s="164">
        <f>B168</f>
        <v>1</v>
      </c>
      <c r="EA15" s="92"/>
      <c r="EB15" s="84"/>
      <c r="EC15" s="84"/>
      <c r="ED15" s="83" t="s">
        <v>27</v>
      </c>
      <c r="EE15" s="142">
        <f>B199</f>
        <v>92</v>
      </c>
      <c r="EF15" s="83" t="s">
        <v>28</v>
      </c>
      <c r="EG15" s="92" t="s">
        <v>480</v>
      </c>
      <c r="EH15" s="146">
        <f>B184</f>
        <v>1</v>
      </c>
      <c r="EJ15" s="92"/>
      <c r="EM15" s="83" t="s">
        <v>22</v>
      </c>
      <c r="EN15" s="137">
        <f>0.693/EN16</f>
        <v>1.6041666666666665E-3</v>
      </c>
      <c r="EP15" s="92"/>
      <c r="EQ15" s="84"/>
      <c r="ER15" s="84"/>
      <c r="ES15" s="83" t="s">
        <v>29</v>
      </c>
      <c r="ET15" s="142">
        <f>B205</f>
        <v>53</v>
      </c>
      <c r="EU15" s="83" t="s">
        <v>28</v>
      </c>
      <c r="EV15" s="92" t="s">
        <v>481</v>
      </c>
      <c r="EW15" s="146">
        <f>B185</f>
        <v>1</v>
      </c>
      <c r="EY15" s="83"/>
      <c r="EZ15" s="83"/>
      <c r="FA15" s="83"/>
      <c r="FB15" s="83" t="s">
        <v>22</v>
      </c>
      <c r="FC15" s="137">
        <f>0.693/FC16</f>
        <v>1.6041666666666665E-3</v>
      </c>
      <c r="FE15" s="83"/>
      <c r="FF15" s="83"/>
      <c r="FG15" s="83"/>
      <c r="FH15" s="83" t="s">
        <v>148</v>
      </c>
      <c r="FI15" s="164">
        <f>B210</f>
        <v>0.4</v>
      </c>
      <c r="FJ15" s="83" t="s">
        <v>28</v>
      </c>
      <c r="FK15" s="92" t="s">
        <v>482</v>
      </c>
      <c r="FL15" s="146">
        <f>B186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B187</f>
        <v>1</v>
      </c>
      <c r="GC15" s="83"/>
      <c r="GD15" s="83"/>
      <c r="GE15" s="83"/>
      <c r="GF15" s="83" t="s">
        <v>22</v>
      </c>
      <c r="GG15" s="137">
        <f>0.693/GG16</f>
        <v>1.6041666666666665E-3</v>
      </c>
      <c r="GI15" s="83"/>
      <c r="GJ15" s="83"/>
      <c r="GK15" s="83"/>
      <c r="GL15" s="83" t="s">
        <v>149</v>
      </c>
      <c r="GM15" s="164">
        <f>B215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1.6041666666666665E-3</v>
      </c>
      <c r="GX15" s="83"/>
      <c r="GY15" s="83"/>
      <c r="GZ15" s="83"/>
      <c r="HA15" s="83" t="s">
        <v>150</v>
      </c>
      <c r="HB15" s="142">
        <f>B220</f>
        <v>11.4</v>
      </c>
      <c r="HC15" s="83" t="s">
        <v>28</v>
      </c>
      <c r="HD15" s="84"/>
      <c r="HE15" s="138"/>
    </row>
    <row r="16" spans="1:214" s="83" customFormat="1" ht="13.5" thickBot="1" x14ac:dyDescent="0.25">
      <c r="A16" s="378"/>
      <c r="B16" s="379"/>
      <c r="C16" s="380"/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1327.5</v>
      </c>
      <c r="I16" s="83" t="s">
        <v>426</v>
      </c>
      <c r="J16" s="83" t="s">
        <v>262</v>
      </c>
      <c r="K16" s="144">
        <f>((K5/(K8*K42*((K37*K41*(1/K35))+(K38*K40*(1/K35)))*K32*(1/K44)*K33))*K11)/K53</f>
        <v>7.7247709549486414</v>
      </c>
      <c r="L16" s="92" t="s">
        <v>290</v>
      </c>
      <c r="M16" s="52" t="s">
        <v>409</v>
      </c>
      <c r="N16" s="150">
        <f>B89</f>
        <v>25</v>
      </c>
      <c r="O16" s="52" t="s">
        <v>194</v>
      </c>
      <c r="P16" s="52" t="s">
        <v>409</v>
      </c>
      <c r="Q16" s="150">
        <f>B89</f>
        <v>25</v>
      </c>
      <c r="R16" s="52" t="s">
        <v>194</v>
      </c>
      <c r="S16" s="52" t="s">
        <v>409</v>
      </c>
      <c r="T16" s="150">
        <f>B89</f>
        <v>25</v>
      </c>
      <c r="U16" s="52" t="s">
        <v>194</v>
      </c>
      <c r="V16" s="52" t="s">
        <v>261</v>
      </c>
      <c r="W16" s="143">
        <f>((W5)/((W12/24)*W9*W10*W11*W13))/W20</f>
        <v>7.8287461773700364E-5</v>
      </c>
      <c r="X16" s="52" t="s">
        <v>15</v>
      </c>
      <c r="Y16" s="52" t="s">
        <v>261</v>
      </c>
      <c r="Z16" s="143">
        <f>((Z5)/((Z12/24)*Z9*Z10*Z11*Z13))/Z20</f>
        <v>7.8287461773700364E-5</v>
      </c>
      <c r="AA16" s="52" t="s">
        <v>15</v>
      </c>
      <c r="AB16" s="83" t="s">
        <v>299</v>
      </c>
      <c r="AC16" s="141">
        <f>B231</f>
        <v>1</v>
      </c>
      <c r="AD16" s="141">
        <f>B241</f>
        <v>1</v>
      </c>
      <c r="AE16" s="141">
        <f>B251</f>
        <v>1</v>
      </c>
      <c r="AF16" s="141">
        <f>B261</f>
        <v>1</v>
      </c>
      <c r="AG16" s="141">
        <f>B272</f>
        <v>1</v>
      </c>
      <c r="AH16" s="92"/>
      <c r="AI16" s="52" t="s">
        <v>69</v>
      </c>
      <c r="AJ16" s="136">
        <f>B243</f>
        <v>5</v>
      </c>
      <c r="AK16" s="52" t="s">
        <v>194</v>
      </c>
      <c r="AL16" s="52" t="s">
        <v>69</v>
      </c>
      <c r="AM16" s="136">
        <f>B243</f>
        <v>5</v>
      </c>
      <c r="AN16" s="52" t="s">
        <v>194</v>
      </c>
      <c r="AO16" s="52" t="s">
        <v>69</v>
      </c>
      <c r="AP16" s="136">
        <f>B243</f>
        <v>5</v>
      </c>
      <c r="AQ16" s="52" t="s">
        <v>194</v>
      </c>
      <c r="AR16" s="52" t="s">
        <v>69</v>
      </c>
      <c r="AS16" s="136">
        <f>B253</f>
        <v>5</v>
      </c>
      <c r="AT16" s="52" t="s">
        <v>194</v>
      </c>
      <c r="AU16" s="52" t="s">
        <v>69</v>
      </c>
      <c r="AV16" s="136">
        <f>B253</f>
        <v>5</v>
      </c>
      <c r="AW16" s="52" t="s">
        <v>194</v>
      </c>
      <c r="AX16" s="52" t="s">
        <v>69</v>
      </c>
      <c r="AY16" s="136">
        <f>B253</f>
        <v>5</v>
      </c>
      <c r="AZ16" s="52" t="s">
        <v>194</v>
      </c>
      <c r="BA16" s="52" t="s">
        <v>69</v>
      </c>
      <c r="BB16" s="136">
        <f>B233</f>
        <v>5</v>
      </c>
      <c r="BC16" s="52" t="s">
        <v>194</v>
      </c>
      <c r="BD16" s="52" t="s">
        <v>69</v>
      </c>
      <c r="BE16" s="136">
        <f>B233</f>
        <v>5</v>
      </c>
      <c r="BF16" s="52" t="s">
        <v>194</v>
      </c>
      <c r="BG16" s="52" t="s">
        <v>69</v>
      </c>
      <c r="BH16" s="136">
        <f>B233</f>
        <v>5</v>
      </c>
      <c r="BI16" s="52" t="s">
        <v>194</v>
      </c>
      <c r="BJ16" s="52" t="s">
        <v>412</v>
      </c>
      <c r="BK16" s="139">
        <f>B22</f>
        <v>3.7173200000000003E-2</v>
      </c>
      <c r="BL16" s="84" t="s">
        <v>353</v>
      </c>
      <c r="BM16" s="52" t="s">
        <v>415</v>
      </c>
      <c r="BN16" s="139">
        <f>B24</f>
        <v>1.83064E-2</v>
      </c>
      <c r="BO16" s="84" t="s">
        <v>353</v>
      </c>
      <c r="BP16" s="52" t="s">
        <v>417</v>
      </c>
      <c r="BQ16" s="139">
        <f>B26</f>
        <v>3.7173200000000003E-2</v>
      </c>
      <c r="BR16" s="84" t="s">
        <v>353</v>
      </c>
      <c r="BS16" s="83" t="s">
        <v>256</v>
      </c>
      <c r="BT16" s="136">
        <f>E17</f>
        <v>125.5296</v>
      </c>
      <c r="BU16" s="83" t="s">
        <v>343</v>
      </c>
      <c r="BV16" s="83" t="s">
        <v>437</v>
      </c>
      <c r="BW16" s="140">
        <f>((BW18*BW20*BW23*BW30)+(BW19*BW21*BW24*BW31))</f>
        <v>1375</v>
      </c>
      <c r="BX16" s="83" t="s">
        <v>356</v>
      </c>
      <c r="BY16" s="83" t="s">
        <v>46</v>
      </c>
      <c r="BZ16" s="149">
        <f>(BZ18*BZ22*BZ34)+(BZ19*BZ23*BZ35)</f>
        <v>3382.5</v>
      </c>
      <c r="CA16" s="83" t="s">
        <v>346</v>
      </c>
      <c r="CN16" s="91" t="s">
        <v>231</v>
      </c>
      <c r="CO16" s="136">
        <f>B30</f>
        <v>432</v>
      </c>
      <c r="CP16" s="52" t="s">
        <v>60</v>
      </c>
      <c r="CT16" s="83" t="s">
        <v>262</v>
      </c>
      <c r="CU16" s="144">
        <f>((CU5/(CU8*CU42*((CU37*CU41*(1/24))+(CU38*CU40*(1/24)))*CU32*(1/CU44)))*CU11)/CU49</f>
        <v>15.440240285970672</v>
      </c>
      <c r="CV16" s="92" t="s">
        <v>290</v>
      </c>
      <c r="CW16" s="52" t="s">
        <v>364</v>
      </c>
      <c r="CX16" s="138">
        <f>B169</f>
        <v>24</v>
      </c>
      <c r="CY16" s="52" t="s">
        <v>194</v>
      </c>
      <c r="CZ16" s="83" t="s">
        <v>512</v>
      </c>
      <c r="DA16" s="153">
        <f>DG2</f>
        <v>0.20007589221602992</v>
      </c>
      <c r="DB16" s="83" t="s">
        <v>291</v>
      </c>
      <c r="DC16" s="83" t="s">
        <v>363</v>
      </c>
      <c r="DD16" s="146">
        <f>B168</f>
        <v>1</v>
      </c>
      <c r="DE16" s="83" t="s">
        <v>60</v>
      </c>
      <c r="DF16" s="92" t="s">
        <v>63</v>
      </c>
      <c r="DG16" s="151">
        <f>DG20+(0.693/DG22)</f>
        <v>4.9504394977168943E-2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1.6041666666666665E-3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B30</f>
        <v>432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B30</f>
        <v>432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B30</f>
        <v>432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B163</f>
        <v>0.15</v>
      </c>
      <c r="GQ16" s="52"/>
      <c r="GU16" s="91" t="s">
        <v>231</v>
      </c>
      <c r="GV16" s="136">
        <f>B30</f>
        <v>432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  <c r="HE16" s="142"/>
    </row>
    <row r="17" spans="1:214" ht="14.25" thickTop="1" thickBot="1" x14ac:dyDescent="0.25">
      <c r="A17" s="52" t="s">
        <v>267</v>
      </c>
      <c r="B17" s="129">
        <v>1</v>
      </c>
      <c r="C17" s="52" t="s">
        <v>344</v>
      </c>
      <c r="D17" s="83" t="s">
        <v>256</v>
      </c>
      <c r="E17" s="136">
        <f>B27</f>
        <v>125.5296</v>
      </c>
      <c r="F17" s="83" t="s">
        <v>343</v>
      </c>
      <c r="G17" s="83" t="s">
        <v>370</v>
      </c>
      <c r="H17" s="146">
        <f>B54</f>
        <v>0.25</v>
      </c>
      <c r="I17" s="52" t="s">
        <v>28</v>
      </c>
      <c r="J17" s="83" t="s">
        <v>263</v>
      </c>
      <c r="K17" s="153">
        <f>((K18/(K47+K48))*K11)/K53</f>
        <v>1.4505870311642293E-3</v>
      </c>
      <c r="L17" s="92" t="s">
        <v>290</v>
      </c>
      <c r="M17" s="95" t="s">
        <v>287</v>
      </c>
      <c r="N17" s="176">
        <v>27.027027027027</v>
      </c>
      <c r="O17" s="52" t="s">
        <v>288</v>
      </c>
      <c r="P17" s="95" t="s">
        <v>287</v>
      </c>
      <c r="Q17" s="176">
        <v>27.027027027027</v>
      </c>
      <c r="R17" s="52" t="s">
        <v>288</v>
      </c>
      <c r="S17" s="95" t="s">
        <v>287</v>
      </c>
      <c r="T17" s="176">
        <v>27.027027027027</v>
      </c>
      <c r="U17" s="52" t="s">
        <v>288</v>
      </c>
      <c r="V17" s="52" t="s">
        <v>271</v>
      </c>
      <c r="W17" s="144">
        <f>((W5)/((W12/24)*W9*W14*(1/365)))/W20</f>
        <v>4.1312327929030326E-3</v>
      </c>
      <c r="X17" s="52" t="s">
        <v>15</v>
      </c>
      <c r="Y17" s="52" t="s">
        <v>271</v>
      </c>
      <c r="Z17" s="144">
        <f>((Z5)/((Z12/24)*Z9*Z14*(1/365)))/Z20</f>
        <v>4.1312327929030326E-3</v>
      </c>
      <c r="AA17" s="52" t="s">
        <v>15</v>
      </c>
      <c r="AB17" s="83" t="s">
        <v>413</v>
      </c>
      <c r="AC17" s="161">
        <f>B4</f>
        <v>0.753</v>
      </c>
      <c r="AD17" s="161">
        <f>B4</f>
        <v>0.753</v>
      </c>
      <c r="AE17" s="161">
        <f>B4</f>
        <v>0.753</v>
      </c>
      <c r="AF17" s="161">
        <f>B4</f>
        <v>0.753</v>
      </c>
      <c r="AG17" s="161">
        <f>B4</f>
        <v>0.753</v>
      </c>
      <c r="AH17" s="92"/>
      <c r="AI17" s="95" t="s">
        <v>287</v>
      </c>
      <c r="AJ17" s="176">
        <v>27.027027027027</v>
      </c>
      <c r="AK17" s="52" t="s">
        <v>288</v>
      </c>
      <c r="AL17" s="95" t="s">
        <v>287</v>
      </c>
      <c r="AM17" s="176">
        <v>27.027027027027</v>
      </c>
      <c r="AN17" s="52" t="s">
        <v>288</v>
      </c>
      <c r="AO17" s="95" t="s">
        <v>287</v>
      </c>
      <c r="AP17" s="176">
        <v>27.027027027027</v>
      </c>
      <c r="AQ17" s="52" t="s">
        <v>288</v>
      </c>
      <c r="AR17" s="95" t="s">
        <v>287</v>
      </c>
      <c r="AS17" s="176">
        <v>27.027027027027</v>
      </c>
      <c r="AT17" s="52" t="s">
        <v>288</v>
      </c>
      <c r="AU17" s="95" t="s">
        <v>287</v>
      </c>
      <c r="AV17" s="176">
        <v>27.027027027027</v>
      </c>
      <c r="AW17" s="52" t="s">
        <v>288</v>
      </c>
      <c r="AX17" s="95" t="s">
        <v>287</v>
      </c>
      <c r="AY17" s="176">
        <v>27.027027027027</v>
      </c>
      <c r="AZ17" s="52" t="s">
        <v>288</v>
      </c>
      <c r="BA17" s="95" t="s">
        <v>287</v>
      </c>
      <c r="BB17" s="176">
        <v>27.027027027027</v>
      </c>
      <c r="BC17" s="52" t="s">
        <v>288</v>
      </c>
      <c r="BD17" s="95" t="s">
        <v>287</v>
      </c>
      <c r="BE17" s="176">
        <v>27.027027027027</v>
      </c>
      <c r="BF17" s="52" t="s">
        <v>288</v>
      </c>
      <c r="BG17" s="95" t="s">
        <v>287</v>
      </c>
      <c r="BH17" s="176">
        <v>27.027027027027</v>
      </c>
      <c r="BI17" s="52" t="s">
        <v>288</v>
      </c>
      <c r="BJ17" s="95" t="s">
        <v>287</v>
      </c>
      <c r="BK17" s="176">
        <v>27.027027027027</v>
      </c>
      <c r="BL17" s="52" t="s">
        <v>288</v>
      </c>
      <c r="BM17" s="95" t="s">
        <v>287</v>
      </c>
      <c r="BN17" s="176">
        <v>27.027027027027</v>
      </c>
      <c r="BO17" s="52" t="s">
        <v>288</v>
      </c>
      <c r="BP17" s="95" t="s">
        <v>287</v>
      </c>
      <c r="BQ17" s="176">
        <v>27.027027027027</v>
      </c>
      <c r="BR17" s="52" t="s">
        <v>288</v>
      </c>
      <c r="BS17" s="83" t="s">
        <v>301</v>
      </c>
      <c r="BT17" s="142">
        <f>B121</f>
        <v>2</v>
      </c>
      <c r="BV17" s="83" t="s">
        <v>65</v>
      </c>
      <c r="BW17" s="141">
        <f>B126</f>
        <v>0.5</v>
      </c>
      <c r="BX17" s="52" t="s">
        <v>66</v>
      </c>
      <c r="BY17" s="83" t="s">
        <v>43</v>
      </c>
      <c r="BZ17" s="149">
        <f>(BZ24*BZ20*(BZ26/24)*BZ34)+(BZ23*BZ21*(BZ27/24)*BZ35)</f>
        <v>101.40625</v>
      </c>
      <c r="CA17" s="52" t="s">
        <v>426</v>
      </c>
      <c r="CN17" s="84" t="s">
        <v>16</v>
      </c>
      <c r="CO17" s="137">
        <f>(CO14*CO15)/(1-EXP(-CO15*CO14))</f>
        <v>1.0008022977791844</v>
      </c>
      <c r="CT17" s="83" t="s">
        <v>263</v>
      </c>
      <c r="CU17" s="153">
        <f>DJ2</f>
        <v>9.8012637240826213E-3</v>
      </c>
      <c r="CV17" s="92" t="s">
        <v>290</v>
      </c>
      <c r="CW17" s="83" t="s">
        <v>256</v>
      </c>
      <c r="CX17" s="136">
        <f>B27</f>
        <v>125.5296</v>
      </c>
      <c r="CY17" s="83" t="s">
        <v>343</v>
      </c>
      <c r="CZ17" s="83" t="s">
        <v>511</v>
      </c>
      <c r="DA17" s="153">
        <f>DD2</f>
        <v>2.5464731347084311E-3</v>
      </c>
      <c r="DB17" s="83" t="s">
        <v>290</v>
      </c>
      <c r="DC17" s="93"/>
      <c r="DD17" s="136">
        <v>9.9999999999999995E-7</v>
      </c>
      <c r="DE17" s="88"/>
      <c r="DF17" s="92" t="s">
        <v>67</v>
      </c>
      <c r="DG17" s="142">
        <f>B194</f>
        <v>60</v>
      </c>
      <c r="DH17" s="83" t="s">
        <v>53</v>
      </c>
      <c r="DL17" s="92"/>
      <c r="DM17" s="83"/>
      <c r="DN17" s="83"/>
      <c r="DO17" s="92" t="s">
        <v>67</v>
      </c>
      <c r="DP17" s="142">
        <f>B194</f>
        <v>60</v>
      </c>
      <c r="DQ17" s="83" t="s">
        <v>53</v>
      </c>
      <c r="DR17" s="83" t="s">
        <v>475</v>
      </c>
      <c r="DS17" s="146">
        <f>B163</f>
        <v>0.15</v>
      </c>
      <c r="DU17" s="92"/>
      <c r="DV17" s="87"/>
      <c r="DW17" s="83"/>
      <c r="DX17" s="91" t="s">
        <v>231</v>
      </c>
      <c r="DY17" s="136">
        <f>B30</f>
        <v>432</v>
      </c>
      <c r="DZ17" s="52" t="s">
        <v>60</v>
      </c>
      <c r="EA17" s="92"/>
      <c r="EB17" s="83"/>
      <c r="EC17" s="83"/>
      <c r="ED17" s="92" t="s">
        <v>67</v>
      </c>
      <c r="EE17" s="142">
        <f>B194</f>
        <v>60</v>
      </c>
      <c r="EF17" s="83" t="s">
        <v>53</v>
      </c>
      <c r="EG17" s="83" t="s">
        <v>475</v>
      </c>
      <c r="EH17" s="146">
        <f>B163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1.0008022977791844</v>
      </c>
      <c r="EP17" s="92"/>
      <c r="EQ17" s="83"/>
      <c r="ER17" s="83"/>
      <c r="ES17" s="92" t="s">
        <v>67</v>
      </c>
      <c r="ET17" s="142">
        <f>B194</f>
        <v>60</v>
      </c>
      <c r="EU17" s="83" t="s">
        <v>53</v>
      </c>
      <c r="EV17" s="83" t="s">
        <v>475</v>
      </c>
      <c r="EW17" s="141">
        <f>B163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1.0008022977791844</v>
      </c>
      <c r="FE17" s="83"/>
      <c r="FF17" s="83"/>
      <c r="FG17" s="83"/>
      <c r="FH17" s="83" t="s">
        <v>67</v>
      </c>
      <c r="FI17" s="142">
        <f>B194</f>
        <v>60</v>
      </c>
      <c r="FJ17" s="83" t="s">
        <v>53</v>
      </c>
      <c r="FK17" s="83" t="s">
        <v>475</v>
      </c>
      <c r="FL17" s="141">
        <f>B163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B163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1.0008022977791844</v>
      </c>
      <c r="GI17" s="83"/>
      <c r="GJ17" s="83"/>
      <c r="GK17" s="83"/>
      <c r="GL17" s="83" t="s">
        <v>67</v>
      </c>
      <c r="GM17" s="142">
        <f>B194</f>
        <v>60</v>
      </c>
      <c r="GN17" s="83" t="s">
        <v>53</v>
      </c>
      <c r="GO17" s="83" t="s">
        <v>476</v>
      </c>
      <c r="GP17" s="141">
        <f>B164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1.0008022977791844</v>
      </c>
      <c r="GX17" s="83"/>
      <c r="GY17" s="83"/>
      <c r="GZ17" s="83"/>
      <c r="HA17" s="83" t="s">
        <v>67</v>
      </c>
      <c r="HB17" s="142">
        <f>B194</f>
        <v>60</v>
      </c>
      <c r="HC17" s="83" t="s">
        <v>53</v>
      </c>
      <c r="HD17" s="84"/>
      <c r="HE17" s="163"/>
    </row>
    <row r="18" spans="1:214" ht="19.5" thickTop="1" thickBot="1" x14ac:dyDescent="0.25">
      <c r="A18" s="83" t="s">
        <v>247</v>
      </c>
      <c r="B18" s="184">
        <v>0.36297000000000001</v>
      </c>
      <c r="C18" s="84" t="s">
        <v>259</v>
      </c>
      <c r="D18" s="83" t="s">
        <v>301</v>
      </c>
      <c r="E18" s="142">
        <f>B72</f>
        <v>2</v>
      </c>
      <c r="G18" s="83" t="s">
        <v>371</v>
      </c>
      <c r="H18" s="146">
        <f>B55</f>
        <v>1.5</v>
      </c>
      <c r="I18" s="52" t="s">
        <v>28</v>
      </c>
      <c r="J18" s="83" t="s">
        <v>264</v>
      </c>
      <c r="K18" s="154">
        <f>(K5/(K9*(K25+K28)*K36))/K53</f>
        <v>1.0185892538833724E-2</v>
      </c>
      <c r="L18" s="92" t="s">
        <v>290</v>
      </c>
      <c r="V18" s="52" t="s">
        <v>261</v>
      </c>
      <c r="W18" s="144">
        <f>((W5*W7*W6)/((W12/24)*(1-EXP(-W7*W10))*W11*W13*W9*W10))/W20</f>
        <v>7.835027163041939E-5</v>
      </c>
      <c r="X18" s="52" t="s">
        <v>16</v>
      </c>
      <c r="Y18" s="52" t="s">
        <v>261</v>
      </c>
      <c r="Z18" s="144">
        <f>((Z5*Z7*Z6)/((Z12/24)*(1-EXP(-Z7*Z10))*Z11*Z13*Z9*Z10))/Z20</f>
        <v>7.835027163041939E-5</v>
      </c>
      <c r="AA18" s="52" t="s">
        <v>16</v>
      </c>
      <c r="AB18" s="83" t="s">
        <v>412</v>
      </c>
      <c r="AC18" s="136">
        <f>B22</f>
        <v>3.7173200000000003E-2</v>
      </c>
      <c r="AD18" s="136">
        <f>B22</f>
        <v>3.7173200000000003E-2</v>
      </c>
      <c r="AE18" s="136">
        <f>B22</f>
        <v>3.7173200000000003E-2</v>
      </c>
      <c r="AF18" s="136">
        <f>B22</f>
        <v>3.7173200000000003E-2</v>
      </c>
      <c r="AG18" s="136">
        <f>B22</f>
        <v>3.7173200000000003E-2</v>
      </c>
      <c r="AH18" s="83" t="s">
        <v>351</v>
      </c>
      <c r="BS18" s="52" t="s">
        <v>261</v>
      </c>
      <c r="BT18" s="143">
        <f>((BT5)/(BT9*BT10))/BT27</f>
        <v>1.0052319179982075E-3</v>
      </c>
      <c r="BU18" s="52" t="s">
        <v>15</v>
      </c>
      <c r="BV18" s="83" t="s">
        <v>433</v>
      </c>
      <c r="BW18" s="150">
        <f>B122</f>
        <v>55</v>
      </c>
      <c r="BX18" s="83" t="s">
        <v>24</v>
      </c>
      <c r="BY18" s="83" t="s">
        <v>441</v>
      </c>
      <c r="BZ18" s="146">
        <f>B107</f>
        <v>100</v>
      </c>
      <c r="CA18" s="84" t="s">
        <v>48</v>
      </c>
      <c r="CB18" s="274" t="s">
        <v>572</v>
      </c>
      <c r="CC18" s="270"/>
      <c r="CD18" s="270"/>
      <c r="CE18" s="271" t="s">
        <v>573</v>
      </c>
      <c r="CF18" s="270"/>
      <c r="CG18" s="273"/>
      <c r="CH18" s="83"/>
      <c r="CI18" s="83"/>
      <c r="CJ18" s="83"/>
      <c r="CT18" s="83" t="s">
        <v>264</v>
      </c>
      <c r="CU18" s="153">
        <f>DD2</f>
        <v>2.5464731347084311E-3</v>
      </c>
      <c r="CV18" s="92" t="s">
        <v>290</v>
      </c>
      <c r="CW18" s="83" t="s">
        <v>301</v>
      </c>
      <c r="CX18" s="142">
        <f>B176</f>
        <v>2</v>
      </c>
      <c r="CZ18" s="91" t="s">
        <v>272</v>
      </c>
      <c r="DA18" s="144">
        <f>EZ2</f>
        <v>4244.1218911807182</v>
      </c>
      <c r="DB18" s="83" t="s">
        <v>290</v>
      </c>
      <c r="DC18" s="88"/>
      <c r="DD18" s="136">
        <v>1000</v>
      </c>
      <c r="DE18" s="92" t="s">
        <v>99</v>
      </c>
      <c r="DF18" s="92" t="s">
        <v>68</v>
      </c>
      <c r="DG18" s="142">
        <f>B195</f>
        <v>2</v>
      </c>
      <c r="DH18" s="83" t="s">
        <v>56</v>
      </c>
      <c r="DL18" s="92"/>
      <c r="DM18" s="83"/>
      <c r="DN18" s="83"/>
      <c r="DO18" s="92" t="s">
        <v>68</v>
      </c>
      <c r="DP18" s="142">
        <f>B195</f>
        <v>2</v>
      </c>
      <c r="DQ18" s="83" t="s">
        <v>56</v>
      </c>
      <c r="DR18" s="83" t="s">
        <v>476</v>
      </c>
      <c r="DS18" s="146">
        <f>B164</f>
        <v>0.85</v>
      </c>
      <c r="DU18" s="92"/>
      <c r="DV18" s="83"/>
      <c r="DW18" s="83"/>
      <c r="DX18" s="84" t="s">
        <v>16</v>
      </c>
      <c r="DY18" s="137">
        <f>(DY15*DY16)/(1-EXP(-DY16*DY15))</f>
        <v>1.0008022977791844</v>
      </c>
      <c r="EA18" s="92"/>
      <c r="EB18" s="83"/>
      <c r="EC18" s="83"/>
      <c r="ED18" s="92" t="s">
        <v>68</v>
      </c>
      <c r="EE18" s="142">
        <f>B195</f>
        <v>2</v>
      </c>
      <c r="EF18" s="83" t="s">
        <v>56</v>
      </c>
      <c r="EG18" s="83" t="s">
        <v>476</v>
      </c>
      <c r="EH18" s="146">
        <f>B164</f>
        <v>0.85</v>
      </c>
      <c r="EJ18" s="92"/>
      <c r="EK18" s="83"/>
      <c r="EL18" s="83"/>
      <c r="EN18" s="138"/>
      <c r="EP18" s="92"/>
      <c r="EQ18" s="83"/>
      <c r="ER18" s="83"/>
      <c r="ES18" s="92" t="s">
        <v>68</v>
      </c>
      <c r="ET18" s="142">
        <f>B195</f>
        <v>2</v>
      </c>
      <c r="EU18" s="83" t="s">
        <v>56</v>
      </c>
      <c r="EV18" s="83" t="s">
        <v>476</v>
      </c>
      <c r="EW18" s="141">
        <f>B164</f>
        <v>0.85</v>
      </c>
      <c r="EX18" s="92"/>
      <c r="EY18" s="83"/>
      <c r="EZ18" s="83"/>
      <c r="FA18" s="83"/>
      <c r="FB18" s="83"/>
      <c r="FC18" s="142"/>
      <c r="FD18" s="83"/>
      <c r="FE18" s="83"/>
      <c r="FF18" s="83"/>
      <c r="FG18" s="83"/>
      <c r="FH18" s="83" t="s">
        <v>68</v>
      </c>
      <c r="FI18" s="142">
        <f>B195</f>
        <v>2</v>
      </c>
      <c r="FJ18" s="83" t="s">
        <v>56</v>
      </c>
      <c r="FK18" s="83" t="s">
        <v>476</v>
      </c>
      <c r="FL18" s="141">
        <f>B164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B164</f>
        <v>0.85</v>
      </c>
      <c r="GB18" s="92"/>
      <c r="GC18" s="83"/>
      <c r="GD18" s="83"/>
      <c r="GE18" s="83"/>
      <c r="GF18" s="83"/>
      <c r="GG18" s="142"/>
      <c r="GH18" s="83"/>
      <c r="GI18" s="83"/>
      <c r="GJ18" s="83"/>
      <c r="GK18" s="83"/>
      <c r="GL18" s="83" t="s">
        <v>68</v>
      </c>
      <c r="GM18" s="142">
        <f>B195</f>
        <v>2</v>
      </c>
      <c r="GN18" s="83" t="s">
        <v>56</v>
      </c>
      <c r="GO18" s="95" t="s">
        <v>287</v>
      </c>
      <c r="GP18" s="176">
        <v>27.027027027027</v>
      </c>
      <c r="GQ18" s="52" t="s">
        <v>288</v>
      </c>
      <c r="GR18" s="83"/>
      <c r="GS18" s="83"/>
      <c r="GT18" s="83"/>
      <c r="GU18" s="83"/>
      <c r="GV18" s="142"/>
      <c r="GW18" s="83"/>
      <c r="GX18" s="83"/>
      <c r="GY18" s="83"/>
      <c r="GZ18" s="83"/>
      <c r="HA18" s="83" t="s">
        <v>68</v>
      </c>
      <c r="HB18" s="142">
        <f>B195</f>
        <v>2</v>
      </c>
      <c r="HC18" s="83" t="s">
        <v>56</v>
      </c>
    </row>
    <row r="19" spans="1:214" ht="19.5" thickTop="1" thickBot="1" x14ac:dyDescent="0.25">
      <c r="A19" s="83" t="s">
        <v>248</v>
      </c>
      <c r="B19" s="183">
        <v>8.8060000000000005E-4</v>
      </c>
      <c r="C19" s="84" t="s">
        <v>259</v>
      </c>
      <c r="D19" s="52" t="s">
        <v>261</v>
      </c>
      <c r="E19" s="143">
        <f>((E5)/((E15/E16)*E11*E12))/E27</f>
        <v>7.6788549291529712E-5</v>
      </c>
      <c r="F19" s="52" t="s">
        <v>15</v>
      </c>
      <c r="G19" s="83" t="s">
        <v>366</v>
      </c>
      <c r="H19" s="146">
        <f>B50</f>
        <v>5</v>
      </c>
      <c r="I19" s="52" t="s">
        <v>407</v>
      </c>
      <c r="J19" s="83" t="s">
        <v>445</v>
      </c>
      <c r="K19" s="155">
        <f>K21*K31*K51+K22*K32*K52</f>
        <v>9225</v>
      </c>
      <c r="L19" s="83" t="s">
        <v>346</v>
      </c>
      <c r="V19" s="52" t="s">
        <v>271</v>
      </c>
      <c r="W19" s="145">
        <f>((W5*W7*W6)/((W12/24)*(1-EXP(-W7*W6))*W14*W9*(1/365)))/W20</f>
        <v>4.1345472717980725E-3</v>
      </c>
      <c r="X19" s="52" t="s">
        <v>16</v>
      </c>
      <c r="Y19" s="52" t="s">
        <v>271</v>
      </c>
      <c r="Z19" s="145">
        <f>((Z5*Z7*Z6)/((Z12/24)*(1-EXP(-Z7*Z6))*Z14*Z9*(1/365)))/Z20</f>
        <v>4.1345472717980725E-3</v>
      </c>
      <c r="AA19" s="52" t="s">
        <v>16</v>
      </c>
      <c r="AB19" s="83" t="s">
        <v>247</v>
      </c>
      <c r="AC19" s="139">
        <f>B18</f>
        <v>0.36297000000000001</v>
      </c>
      <c r="AD19" s="139">
        <f>B18</f>
        <v>0.36297000000000001</v>
      </c>
      <c r="AE19" s="139">
        <f>B18</f>
        <v>0.36297000000000001</v>
      </c>
      <c r="AF19" s="139">
        <f>B18</f>
        <v>0.36297000000000001</v>
      </c>
      <c r="AG19" s="139">
        <f>B18</f>
        <v>0.36297000000000001</v>
      </c>
      <c r="AH19" s="84" t="s">
        <v>259</v>
      </c>
      <c r="BS19" s="52" t="s">
        <v>271</v>
      </c>
      <c r="BT19" s="144">
        <f>((BT5)/(BT16*BT8*(1/365)*BT15*(1/24)*BT17))/BT27</f>
        <v>4.6945827192079919E-3</v>
      </c>
      <c r="BU19" s="52" t="s">
        <v>15</v>
      </c>
      <c r="BV19" s="83" t="s">
        <v>434</v>
      </c>
      <c r="BW19" s="150">
        <f>B123</f>
        <v>55</v>
      </c>
      <c r="BX19" s="83" t="s">
        <v>24</v>
      </c>
      <c r="BY19" s="83" t="s">
        <v>442</v>
      </c>
      <c r="BZ19" s="146">
        <f>B108</f>
        <v>50</v>
      </c>
      <c r="CA19" s="84" t="s">
        <v>48</v>
      </c>
      <c r="CB19" s="267" t="s">
        <v>537</v>
      </c>
      <c r="CC19" s="261">
        <f>((CC22*CC23*CC24)/((1-EXP(-CC24*CC23))*CC31*(CC26/365)*CC29*(CC30/24)*CC28))/CC32</f>
        <v>3644200.3996565836</v>
      </c>
      <c r="CD19" s="278" t="s">
        <v>290</v>
      </c>
      <c r="CE19" s="258" t="s">
        <v>537</v>
      </c>
      <c r="CF19" s="261">
        <f>((CF22*CF23*CF24)/((1-EXP(-CF24*CF23))*CF31*(CF26/365)*CF29*(CF30/24)*CF28))/CF32</f>
        <v>355606.31167522271</v>
      </c>
      <c r="CG19" s="264" t="s">
        <v>290</v>
      </c>
      <c r="CK19" s="274" t="s">
        <v>576</v>
      </c>
      <c r="CL19" s="270"/>
      <c r="CM19" s="270"/>
      <c r="CN19" s="271" t="s">
        <v>576</v>
      </c>
      <c r="CO19" s="270"/>
      <c r="CP19" s="270"/>
      <c r="CQ19" s="271" t="s">
        <v>576</v>
      </c>
      <c r="CR19" s="270"/>
      <c r="CS19" s="273"/>
      <c r="CT19" s="91" t="s">
        <v>272</v>
      </c>
      <c r="CU19" s="144">
        <f>FC2</f>
        <v>23.595929919552699</v>
      </c>
      <c r="CV19" s="92" t="s">
        <v>290</v>
      </c>
      <c r="CW19" s="52" t="s">
        <v>261</v>
      </c>
      <c r="CX19" s="143">
        <f>((CX5)/((CX15/CX16)*CX11*CX12))/CX27</f>
        <v>7.3467963376220316E-5</v>
      </c>
      <c r="CY19" s="52" t="s">
        <v>15</v>
      </c>
      <c r="CZ19" s="91" t="s">
        <v>273</v>
      </c>
      <c r="DA19" s="144">
        <f>GS2</f>
        <v>2627.9392515050886</v>
      </c>
      <c r="DB19" s="83" t="s">
        <v>290</v>
      </c>
      <c r="DC19" s="92" t="s">
        <v>72</v>
      </c>
      <c r="DD19" s="146">
        <f>B182</f>
        <v>1</v>
      </c>
      <c r="DE19" s="93"/>
      <c r="DF19" s="92" t="s">
        <v>70</v>
      </c>
      <c r="DG19" s="138">
        <f>B196</f>
        <v>2.6999999999999999E-5</v>
      </c>
      <c r="DH19" s="52" t="s">
        <v>64</v>
      </c>
      <c r="DL19" s="92"/>
      <c r="DO19" s="92" t="s">
        <v>70</v>
      </c>
      <c r="DP19" s="138">
        <f>B196</f>
        <v>2.6999999999999999E-5</v>
      </c>
      <c r="DQ19" s="52" t="s">
        <v>64</v>
      </c>
      <c r="DR19" s="95" t="s">
        <v>287</v>
      </c>
      <c r="DS19" s="176">
        <v>27.027027027027</v>
      </c>
      <c r="DT19" s="52" t="s">
        <v>288</v>
      </c>
      <c r="DU19" s="92"/>
      <c r="EA19" s="92"/>
      <c r="EB19" s="84"/>
      <c r="EC19" s="84"/>
      <c r="ED19" s="92" t="s">
        <v>70</v>
      </c>
      <c r="EE19" s="163">
        <f>B196</f>
        <v>2.6999999999999999E-5</v>
      </c>
      <c r="EF19" s="84" t="s">
        <v>64</v>
      </c>
      <c r="EG19" s="95" t="s">
        <v>287</v>
      </c>
      <c r="EH19" s="176">
        <v>27.027027027027</v>
      </c>
      <c r="EI19" s="52" t="s">
        <v>288</v>
      </c>
      <c r="EJ19" s="92"/>
      <c r="EP19" s="92"/>
      <c r="EQ19" s="84"/>
      <c r="ER19" s="84"/>
      <c r="ES19" s="92" t="s">
        <v>70</v>
      </c>
      <c r="ET19" s="163">
        <f>B196</f>
        <v>2.6999999999999999E-5</v>
      </c>
      <c r="EU19" s="84" t="s">
        <v>64</v>
      </c>
      <c r="EV19" s="95" t="s">
        <v>287</v>
      </c>
      <c r="EW19" s="176">
        <v>27.027027027027</v>
      </c>
      <c r="EX19" s="52" t="s">
        <v>288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B196</f>
        <v>2.6999999999999999E-5</v>
      </c>
      <c r="FJ19" s="84" t="s">
        <v>64</v>
      </c>
      <c r="FK19" s="95" t="s">
        <v>287</v>
      </c>
      <c r="FL19" s="176">
        <v>27.027027027027</v>
      </c>
      <c r="FM19" s="52" t="s">
        <v>288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95" t="s">
        <v>287</v>
      </c>
      <c r="GA19" s="176">
        <v>27.027027027027</v>
      </c>
      <c r="GB19" s="52" t="s">
        <v>288</v>
      </c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B196</f>
        <v>2.6999999999999999E-5</v>
      </c>
      <c r="GN19" s="84" t="s">
        <v>64</v>
      </c>
      <c r="GP19" s="138"/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B196</f>
        <v>2.6999999999999999E-5</v>
      </c>
      <c r="HC19" s="84" t="s">
        <v>64</v>
      </c>
    </row>
    <row r="20" spans="1:214" ht="19.5" thickTop="1" thickBot="1" x14ac:dyDescent="0.25">
      <c r="A20" s="83" t="s">
        <v>249</v>
      </c>
      <c r="B20" s="183">
        <v>8.8060000000000005E-4</v>
      </c>
      <c r="C20" s="83" t="s">
        <v>259</v>
      </c>
      <c r="D20" s="52" t="s">
        <v>271</v>
      </c>
      <c r="E20" s="144">
        <f>((E5)/((E15/E16)*E8*E17*(1/365)*E18))/E27</f>
        <v>3.586139577172772E-4</v>
      </c>
      <c r="F20" s="52" t="s">
        <v>15</v>
      </c>
      <c r="G20" s="83" t="s">
        <v>367</v>
      </c>
      <c r="H20" s="146">
        <f>B51</f>
        <v>10</v>
      </c>
      <c r="I20" s="52" t="s">
        <v>407</v>
      </c>
      <c r="J20" s="83" t="s">
        <v>396</v>
      </c>
      <c r="K20" s="155">
        <f>(K31*K23*(K34/24)*K51)+(K32*K24*(K35/24)*K52)</f>
        <v>1327.5</v>
      </c>
      <c r="L20" s="52" t="s">
        <v>407</v>
      </c>
      <c r="M20" s="325" t="s">
        <v>566</v>
      </c>
      <c r="N20" s="326"/>
      <c r="O20" s="326"/>
      <c r="P20" s="327" t="s">
        <v>536</v>
      </c>
      <c r="Q20" s="326"/>
      <c r="R20" s="329"/>
      <c r="V20" s="95" t="s">
        <v>287</v>
      </c>
      <c r="W20" s="176">
        <v>27.027027027027</v>
      </c>
      <c r="X20" s="52" t="s">
        <v>288</v>
      </c>
      <c r="Y20" s="95" t="s">
        <v>287</v>
      </c>
      <c r="Z20" s="176">
        <v>27.027027027027</v>
      </c>
      <c r="AA20" s="52" t="s">
        <v>288</v>
      </c>
      <c r="AB20" s="83" t="s">
        <v>83</v>
      </c>
      <c r="AC20" s="139">
        <f>B232</f>
        <v>5</v>
      </c>
      <c r="AD20" s="139">
        <f>B242</f>
        <v>5</v>
      </c>
      <c r="AE20" s="139">
        <f>B252</f>
        <v>5</v>
      </c>
      <c r="AF20" s="139">
        <f>B262</f>
        <v>5</v>
      </c>
      <c r="AG20" s="139">
        <f>B273</f>
        <v>5</v>
      </c>
      <c r="AH20" s="84" t="s">
        <v>194</v>
      </c>
      <c r="AI20" s="296" t="s">
        <v>558</v>
      </c>
      <c r="AJ20" s="294"/>
      <c r="AK20" s="297"/>
      <c r="AL20" s="293" t="s">
        <v>545</v>
      </c>
      <c r="AM20" s="294"/>
      <c r="AN20" s="295"/>
      <c r="AR20" s="296" t="s">
        <v>560</v>
      </c>
      <c r="AS20" s="294"/>
      <c r="AT20" s="297"/>
      <c r="AU20" s="293" t="s">
        <v>550</v>
      </c>
      <c r="AV20" s="294"/>
      <c r="AW20" s="295"/>
      <c r="BA20" s="296" t="s">
        <v>562</v>
      </c>
      <c r="BB20" s="294"/>
      <c r="BC20" s="297"/>
      <c r="BD20" s="293" t="s">
        <v>553</v>
      </c>
      <c r="BE20" s="294"/>
      <c r="BF20" s="295"/>
      <c r="BJ20" s="296" t="s">
        <v>563</v>
      </c>
      <c r="BK20" s="294"/>
      <c r="BL20" s="297"/>
      <c r="BM20" s="293" t="s">
        <v>556</v>
      </c>
      <c r="BN20" s="294"/>
      <c r="BO20" s="295"/>
      <c r="BS20" s="52" t="s">
        <v>261</v>
      </c>
      <c r="BT20" s="144">
        <f>((BT5*BT24*BT6)/((1-EXP(-BT6*BT24))*BT9*BT10))/BT27</f>
        <v>1.0060384133335825E-3</v>
      </c>
      <c r="BU20" s="52" t="s">
        <v>16</v>
      </c>
      <c r="BV20" s="52" t="s">
        <v>443</v>
      </c>
      <c r="BW20" s="138">
        <f>B119</f>
        <v>5</v>
      </c>
      <c r="BX20" s="52" t="s">
        <v>89</v>
      </c>
      <c r="BY20" s="83" t="s">
        <v>429</v>
      </c>
      <c r="BZ20" s="141">
        <f>B103</f>
        <v>5</v>
      </c>
      <c r="CA20" s="92" t="s">
        <v>407</v>
      </c>
      <c r="CB20" s="268"/>
      <c r="CC20" s="262"/>
      <c r="CD20" s="279"/>
      <c r="CE20" s="259"/>
      <c r="CF20" s="262"/>
      <c r="CG20" s="265"/>
      <c r="CK20" s="267" t="s">
        <v>530</v>
      </c>
      <c r="CL20" s="261">
        <f>(CL23/(CL24*CL25*CL26))/CL27</f>
        <v>0.25464731347084313</v>
      </c>
      <c r="CM20" s="255" t="s">
        <v>290</v>
      </c>
      <c r="CN20" s="258" t="s">
        <v>7</v>
      </c>
      <c r="CO20" s="261">
        <f>(CL20/(CO23*((CO28*CO30*CO31*(CO24+CO25))+(CO29*CO30))))*CO34</f>
        <v>85.016182403685661</v>
      </c>
      <c r="CP20" s="255" t="s">
        <v>290</v>
      </c>
      <c r="CQ20" s="258" t="s">
        <v>6</v>
      </c>
      <c r="CR20" s="261">
        <f>CL20/(CR23*CR24*(1/CR25))</f>
        <v>254647.31347084313</v>
      </c>
      <c r="CS20" s="264" t="s">
        <v>290</v>
      </c>
      <c r="CT20" s="91" t="s">
        <v>273</v>
      </c>
      <c r="CU20" s="144">
        <f>GV2</f>
        <v>19.404878088525717</v>
      </c>
      <c r="CV20" s="92" t="s">
        <v>290</v>
      </c>
      <c r="CW20" s="52" t="s">
        <v>271</v>
      </c>
      <c r="CX20" s="144">
        <f>((CX5)/((CX15/CX16)*CX8*CX17*(1/365)*CX18))/CX27</f>
        <v>3.586139577172772E-4</v>
      </c>
      <c r="CY20" s="52" t="s">
        <v>15</v>
      </c>
      <c r="CZ20" s="91" t="s">
        <v>274</v>
      </c>
      <c r="DA20" s="144">
        <f>EK2</f>
        <v>0.19218665167610802</v>
      </c>
      <c r="DB20" s="83" t="s">
        <v>290</v>
      </c>
      <c r="DC20" s="83" t="s">
        <v>475</v>
      </c>
      <c r="DD20" s="146">
        <f>B163</f>
        <v>0.15</v>
      </c>
      <c r="DF20" s="92" t="s">
        <v>71</v>
      </c>
      <c r="DG20" s="137">
        <f>0.693/DG23</f>
        <v>4.3949771689497717E-6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H20" s="138"/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GA20" s="138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83" t="s">
        <v>250</v>
      </c>
      <c r="B21" s="183">
        <v>7.5480000000000002E-4</v>
      </c>
      <c r="C21" s="83" t="s">
        <v>259</v>
      </c>
      <c r="D21" s="52" t="s">
        <v>261</v>
      </c>
      <c r="E21" s="144">
        <f>((E5*E10*E6)/((1-EXP(-E6*E10))*E11*E12))/E27</f>
        <v>7.6850156574093098E-5</v>
      </c>
      <c r="F21" s="52" t="s">
        <v>16</v>
      </c>
      <c r="G21" s="83" t="s">
        <v>397</v>
      </c>
      <c r="H21" s="148">
        <f>(H29*H36*H32*H68)+(H30*H37*H33*H69)</f>
        <v>476.25</v>
      </c>
      <c r="I21" s="83" t="s">
        <v>356</v>
      </c>
      <c r="J21" s="83" t="s">
        <v>368</v>
      </c>
      <c r="K21" s="146">
        <f>B52</f>
        <v>100</v>
      </c>
      <c r="L21" s="84" t="s">
        <v>48</v>
      </c>
      <c r="M21" s="330" t="s">
        <v>537</v>
      </c>
      <c r="N21" s="333">
        <f>((N24*N25*N26)/((1-EXP(-N26*N25))*N34*N32*(N28/365)*(((N33/24)*N31)+((N35/24)*N30))))/N36</f>
        <v>4.1956762190479528</v>
      </c>
      <c r="O21" s="336" t="s">
        <v>292</v>
      </c>
      <c r="P21" s="339" t="s">
        <v>537</v>
      </c>
      <c r="Q21" s="333">
        <f>((Q24*Q25*Q26)/((1-EXP(-Q26*Q25))*Q34*Q32*(Q28/365)*(((Q33/24)*Q31)+((Q35/24)*Q30))))/Q36</f>
        <v>3.5204074345839707</v>
      </c>
      <c r="R21" s="342" t="s">
        <v>290</v>
      </c>
      <c r="AB21" s="83" t="s">
        <v>85</v>
      </c>
      <c r="AC21" s="139">
        <f>B233</f>
        <v>5</v>
      </c>
      <c r="AD21" s="139">
        <f>B243</f>
        <v>5</v>
      </c>
      <c r="AE21" s="139">
        <f>B253</f>
        <v>5</v>
      </c>
      <c r="AF21" s="139">
        <f>B263</f>
        <v>5</v>
      </c>
      <c r="AG21" s="139">
        <f>B274</f>
        <v>5</v>
      </c>
      <c r="AH21" s="84" t="s">
        <v>194</v>
      </c>
      <c r="AI21" s="306" t="s">
        <v>537</v>
      </c>
      <c r="AJ21" s="303">
        <f>((AJ24*AJ25*AJ26)/((1-EXP(-AJ26*AJ25))*AJ34*(AJ28/365)*AJ29*(AJ35/24)*AJ30*AJ32))/AJ36</f>
        <v>25.174136360827681</v>
      </c>
      <c r="AK21" s="290" t="s">
        <v>292</v>
      </c>
      <c r="AL21" s="287" t="s">
        <v>537</v>
      </c>
      <c r="AM21" s="303">
        <f>((AM24*AM25*AM26)/((1-EXP(-AM26*AM25))*AM34*(AM28/365)*AM29*(AM35/24)*AM30*AM32))/AM36</f>
        <v>21.123014913508229</v>
      </c>
      <c r="AN21" s="281" t="s">
        <v>290</v>
      </c>
      <c r="AR21" s="306" t="s">
        <v>537</v>
      </c>
      <c r="AS21" s="303">
        <f>((AS24*AS25*AS26)/((1-EXP(-AS26*AS25))*AS34*(AS28/365)*AS29*(AS33/24)*AS31*AS32))/AS36</f>
        <v>1603448.1758488973</v>
      </c>
      <c r="AT21" s="290" t="s">
        <v>292</v>
      </c>
      <c r="AU21" s="287" t="s">
        <v>537</v>
      </c>
      <c r="AV21" s="303">
        <f>((AV24*AV25*AV26)/((1-EXP(-AV26*AV25))*AV34*(AV28/365)*AV29*(AV33/24)*AV31*AV32))/AV36</f>
        <v>156466.77713709796</v>
      </c>
      <c r="AW21" s="281" t="s">
        <v>290</v>
      </c>
      <c r="BA21" s="306" t="s">
        <v>537</v>
      </c>
      <c r="BB21" s="303">
        <f>((BB24*BB25*BB26)/((1-EXP(-BB26*BB25))*BB34*(BB28/365)*(BB33/24)*BB31*BB32))/BB36</f>
        <v>1603448.1758488973</v>
      </c>
      <c r="BC21" s="290" t="s">
        <v>292</v>
      </c>
      <c r="BD21" s="287" t="s">
        <v>537</v>
      </c>
      <c r="BE21" s="303">
        <f>((BE24*BE25*BE26)/((1-EXP(-BE26*BE25))*BE34*(BE28/365)*(BE33/24)*BE31*BE32))/BE36</f>
        <v>156466.77713709796</v>
      </c>
      <c r="BF21" s="281" t="s">
        <v>290</v>
      </c>
      <c r="BJ21" s="306" t="s">
        <v>537</v>
      </c>
      <c r="BK21" s="284">
        <f>((BK24*BK25*BK26)/((1-EXP(-BK26*BK25))*BK35*(BK28/365)*(BK34/24)*BK32*BK33))/BK36</f>
        <v>2672413.6264148285</v>
      </c>
      <c r="BL21" s="290" t="s">
        <v>292</v>
      </c>
      <c r="BM21" s="287" t="s">
        <v>537</v>
      </c>
      <c r="BN21" s="284">
        <f>((BN24*BN25*BN26)/((1-EXP(-BN26*BN25))*BN35*(BN28/365)*(BN34/24)*BN32*BN33))/BN36</f>
        <v>260777.96189516332</v>
      </c>
      <c r="BO21" s="281" t="s">
        <v>290</v>
      </c>
      <c r="BS21" s="52" t="s">
        <v>271</v>
      </c>
      <c r="BT21" s="145">
        <f>((BT5*BT24*BT6)/((1-EXP(-BT6*BT24))*BT16*BT8*(1/365)*BT15*(1/24)*BT17))/BT27</f>
        <v>4.6983491724978087E-3</v>
      </c>
      <c r="BU21" s="52" t="s">
        <v>16</v>
      </c>
      <c r="BV21" s="52" t="s">
        <v>444</v>
      </c>
      <c r="BW21" s="138">
        <f>B120</f>
        <v>5</v>
      </c>
      <c r="BX21" s="52" t="s">
        <v>89</v>
      </c>
      <c r="BY21" s="83" t="s">
        <v>430</v>
      </c>
      <c r="BZ21" s="141">
        <f>B104</f>
        <v>10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56"/>
      <c r="CN21" s="259"/>
      <c r="CO21" s="262"/>
      <c r="CP21" s="256"/>
      <c r="CQ21" s="259"/>
      <c r="CR21" s="262"/>
      <c r="CS21" s="265"/>
      <c r="CT21" s="91" t="s">
        <v>274</v>
      </c>
      <c r="CU21" s="144">
        <f>EN2</f>
        <v>2.9610161023346704</v>
      </c>
      <c r="CV21" s="92" t="s">
        <v>290</v>
      </c>
      <c r="CW21" s="52" t="s">
        <v>261</v>
      </c>
      <c r="CX21" s="144">
        <f>((CX5*CX10*CX6)/((CX15/CX16)*(1-EXP(-CX6*CX9))*CX11*CX12))/CX27</f>
        <v>7.3526906560078268E-5</v>
      </c>
      <c r="CY21" s="52" t="s">
        <v>16</v>
      </c>
      <c r="CZ21" s="91" t="s">
        <v>509</v>
      </c>
      <c r="DA21" s="144">
        <f>DV2</f>
        <v>135759.17850671243</v>
      </c>
      <c r="DB21" s="83" t="s">
        <v>290</v>
      </c>
      <c r="DC21" s="83" t="s">
        <v>476</v>
      </c>
      <c r="DD21" s="146">
        <f>B164</f>
        <v>0.85</v>
      </c>
      <c r="DF21" s="92" t="s">
        <v>73</v>
      </c>
      <c r="DG21" s="138">
        <f>B197</f>
        <v>1</v>
      </c>
      <c r="DH21" s="52" t="s">
        <v>41</v>
      </c>
      <c r="DL21" s="92"/>
      <c r="DO21" s="92" t="s">
        <v>73</v>
      </c>
      <c r="DP21" s="138">
        <f>B197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B197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B197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B197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B197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B197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83" t="s">
        <v>251</v>
      </c>
      <c r="B22" s="183">
        <v>3.7173200000000003E-2</v>
      </c>
      <c r="C22" s="83" t="s">
        <v>351</v>
      </c>
      <c r="D22" s="52" t="s">
        <v>271</v>
      </c>
      <c r="E22" s="145">
        <f>((E5*E10*E6)/((E15/E16)*E8*(1-EXP(-E6*E10))*E17*(1/365)*E18))/E27</f>
        <v>3.5890167289913822E-4</v>
      </c>
      <c r="F22" s="52" t="s">
        <v>16</v>
      </c>
      <c r="G22" s="83" t="s">
        <v>398</v>
      </c>
      <c r="H22" s="149">
        <f>(H29*H23*H68)+(H30*H24*H69)</f>
        <v>8250</v>
      </c>
      <c r="I22" s="92" t="s">
        <v>347</v>
      </c>
      <c r="J22" s="83" t="s">
        <v>369</v>
      </c>
      <c r="K22" s="146">
        <f>B53</f>
        <v>50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B234</f>
        <v>0.4</v>
      </c>
      <c r="AD22" s="150">
        <f>B244</f>
        <v>0.4</v>
      </c>
      <c r="AE22" s="150">
        <f>B254</f>
        <v>0.4</v>
      </c>
      <c r="AF22" s="150">
        <f>B264</f>
        <v>0.4</v>
      </c>
      <c r="AG22" s="150">
        <f>B275</f>
        <v>0.4</v>
      </c>
      <c r="AI22" s="307"/>
      <c r="AJ22" s="304"/>
      <c r="AK22" s="291"/>
      <c r="AL22" s="288"/>
      <c r="AM22" s="304"/>
      <c r="AN22" s="282"/>
      <c r="AR22" s="307"/>
      <c r="AS22" s="304"/>
      <c r="AT22" s="291"/>
      <c r="AU22" s="288"/>
      <c r="AV22" s="304"/>
      <c r="AW22" s="282"/>
      <c r="BA22" s="307"/>
      <c r="BB22" s="304"/>
      <c r="BC22" s="291"/>
      <c r="BD22" s="288"/>
      <c r="BE22" s="304"/>
      <c r="BF22" s="282"/>
      <c r="BJ22" s="307"/>
      <c r="BK22" s="285"/>
      <c r="BL22" s="291"/>
      <c r="BM22" s="288"/>
      <c r="BN22" s="285"/>
      <c r="BO22" s="282"/>
      <c r="BS22" s="52" t="s">
        <v>433</v>
      </c>
      <c r="BT22" s="138">
        <f>B114</f>
        <v>55</v>
      </c>
      <c r="BU22" s="52" t="s">
        <v>24</v>
      </c>
      <c r="BV22" s="83" t="s">
        <v>90</v>
      </c>
      <c r="BW22" s="150">
        <f>B118</f>
        <v>5</v>
      </c>
      <c r="BX22" s="52" t="s">
        <v>194</v>
      </c>
      <c r="BY22" s="83" t="s">
        <v>140</v>
      </c>
      <c r="BZ22" s="150">
        <f>B113</f>
        <v>55</v>
      </c>
      <c r="CA22" s="83" t="s">
        <v>24</v>
      </c>
      <c r="CB22" s="52" t="s">
        <v>267</v>
      </c>
      <c r="CC22" s="136">
        <f>B17</f>
        <v>1</v>
      </c>
      <c r="CD22" s="52" t="s">
        <v>344</v>
      </c>
      <c r="CE22" s="52" t="s">
        <v>267</v>
      </c>
      <c r="CF22" s="136">
        <f>B17</f>
        <v>1</v>
      </c>
      <c r="CG22" s="52" t="s">
        <v>344</v>
      </c>
      <c r="CK22" s="269"/>
      <c r="CL22" s="263"/>
      <c r="CM22" s="257"/>
      <c r="CN22" s="260"/>
      <c r="CO22" s="263"/>
      <c r="CP22" s="257"/>
      <c r="CQ22" s="260"/>
      <c r="CR22" s="263"/>
      <c r="CS22" s="266"/>
      <c r="CT22" s="91" t="s">
        <v>275</v>
      </c>
      <c r="CU22" s="144">
        <f>DY2</f>
        <v>2282.8941473121422</v>
      </c>
      <c r="CV22" s="92" t="s">
        <v>290</v>
      </c>
      <c r="CW22" s="52" t="s">
        <v>271</v>
      </c>
      <c r="CX22" s="145">
        <f>((CX5*CX10*CX6)/((CX15/CX16)*CX8*(1-EXP(-CX6*CX10))*CX17*(1/365)*CX18))/CX27</f>
        <v>3.5890167289913822E-4</v>
      </c>
      <c r="CY22" s="52" t="s">
        <v>16</v>
      </c>
      <c r="CZ22" s="91" t="s">
        <v>510</v>
      </c>
      <c r="DA22" s="144">
        <f>GD2</f>
        <v>2122.0609455903591</v>
      </c>
      <c r="DB22" s="83" t="s">
        <v>290</v>
      </c>
      <c r="DC22" s="95" t="s">
        <v>287</v>
      </c>
      <c r="DD22" s="176">
        <v>27.027027027027</v>
      </c>
      <c r="DE22" s="52" t="s">
        <v>288</v>
      </c>
      <c r="DF22" s="92" t="s">
        <v>74</v>
      </c>
      <c r="DG22" s="138">
        <f>B198</f>
        <v>14</v>
      </c>
      <c r="DH22" s="52" t="s">
        <v>75</v>
      </c>
      <c r="DL22" s="92"/>
      <c r="DO22" s="92" t="s">
        <v>74</v>
      </c>
      <c r="DP22" s="138">
        <f>B198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B198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B198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B198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B198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B198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252</v>
      </c>
      <c r="B23" s="183">
        <v>2.5484199999999999E-2</v>
      </c>
      <c r="C23" s="83" t="s">
        <v>352</v>
      </c>
      <c r="D23" s="52" t="s">
        <v>380</v>
      </c>
      <c r="E23" s="138">
        <f>B66</f>
        <v>150</v>
      </c>
      <c r="F23" s="52" t="s">
        <v>24</v>
      </c>
      <c r="G23" s="83" t="s">
        <v>399</v>
      </c>
      <c r="H23" s="146">
        <f>B147</f>
        <v>55</v>
      </c>
      <c r="I23" s="92" t="s">
        <v>221</v>
      </c>
      <c r="J23" s="83" t="s">
        <v>366</v>
      </c>
      <c r="K23" s="141">
        <f>B50</f>
        <v>5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308"/>
      <c r="AS23" s="305"/>
      <c r="AT23" s="292"/>
      <c r="AU23" s="289"/>
      <c r="AV23" s="305"/>
      <c r="AW23" s="283"/>
      <c r="BA23" s="308"/>
      <c r="BB23" s="305"/>
      <c r="BC23" s="292"/>
      <c r="BD23" s="289"/>
      <c r="BE23" s="305"/>
      <c r="BF23" s="283"/>
      <c r="BJ23" s="308"/>
      <c r="BK23" s="286"/>
      <c r="BL23" s="292"/>
      <c r="BM23" s="289"/>
      <c r="BN23" s="286"/>
      <c r="BO23" s="283"/>
      <c r="BS23" s="52" t="s">
        <v>434</v>
      </c>
      <c r="BT23" s="138">
        <f>B115</f>
        <v>55</v>
      </c>
      <c r="BU23" s="52" t="s">
        <v>24</v>
      </c>
      <c r="BV23" s="83" t="s">
        <v>435</v>
      </c>
      <c r="BW23" s="138">
        <f>B124</f>
        <v>5</v>
      </c>
      <c r="BX23" s="52" t="s">
        <v>80</v>
      </c>
      <c r="BY23" s="83" t="s">
        <v>434</v>
      </c>
      <c r="BZ23" s="150">
        <f>B115</f>
        <v>55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B17</f>
        <v>1</v>
      </c>
      <c r="CM23" s="52" t="s">
        <v>344</v>
      </c>
      <c r="CN23" s="52" t="s">
        <v>229</v>
      </c>
      <c r="CO23" s="136">
        <f>B41</f>
        <v>5.0000000000000001E-4</v>
      </c>
      <c r="CP23" s="52" t="s">
        <v>268</v>
      </c>
      <c r="CQ23" s="83" t="s">
        <v>229</v>
      </c>
      <c r="CR23" s="136">
        <f>CO23</f>
        <v>5.0000000000000001E-4</v>
      </c>
      <c r="CS23" s="52" t="s">
        <v>268</v>
      </c>
      <c r="CT23" s="91" t="s">
        <v>276</v>
      </c>
      <c r="CU23" s="144">
        <f>GG2</f>
        <v>11.797964959776349</v>
      </c>
      <c r="CV23" s="92" t="s">
        <v>290</v>
      </c>
      <c r="CW23" s="52" t="s">
        <v>456</v>
      </c>
      <c r="CX23" s="138">
        <f>B165</f>
        <v>150</v>
      </c>
      <c r="CY23" s="52" t="s">
        <v>24</v>
      </c>
      <c r="CZ23" s="91" t="s">
        <v>277</v>
      </c>
      <c r="DA23" s="145">
        <f>FO2</f>
        <v>2.1220609455903594E-2</v>
      </c>
      <c r="DB23" s="83" t="s">
        <v>290</v>
      </c>
      <c r="DD23" s="138"/>
      <c r="DF23" s="83" t="s">
        <v>267</v>
      </c>
      <c r="DG23" s="136">
        <f>B34</f>
        <v>157680</v>
      </c>
      <c r="DH23" s="52" t="s">
        <v>222</v>
      </c>
      <c r="DO23" s="83" t="s">
        <v>19</v>
      </c>
      <c r="DP23" s="161">
        <f>DP25</f>
        <v>1.914E-5</v>
      </c>
      <c r="EA23" s="83"/>
      <c r="EB23" s="83"/>
      <c r="EC23" s="84"/>
      <c r="ED23" s="83" t="s">
        <v>19</v>
      </c>
      <c r="EE23" s="161">
        <f>EE25</f>
        <v>2.1999999999999999E-5</v>
      </c>
      <c r="EF23" s="84"/>
      <c r="EP23" s="83"/>
      <c r="EQ23" s="83"/>
      <c r="ER23" s="84"/>
      <c r="ES23" s="83" t="s">
        <v>19</v>
      </c>
      <c r="ET23" s="161">
        <f>ET25</f>
        <v>2.1999999999999999E-5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2.1999999999999999E-5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2.1999999999999999E-5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2.1999999999999999E-5</v>
      </c>
      <c r="HC23" s="84"/>
      <c r="HD23" s="67" t="s">
        <v>14</v>
      </c>
      <c r="HE23" s="222">
        <f>((HE25*HE42)*HE38*HE33*10^-3*HE32*HE27)/(HE31*HE41*(1-EXP(-HE27*HE32)))</f>
        <v>2.9493076098124648E-3</v>
      </c>
      <c r="HF23" s="220" t="s">
        <v>595</v>
      </c>
    </row>
    <row r="24" spans="1:214" ht="14.25" thickTop="1" thickBot="1" x14ac:dyDescent="0.25">
      <c r="A24" s="83" t="s">
        <v>253</v>
      </c>
      <c r="B24" s="183">
        <v>1.83064E-2</v>
      </c>
      <c r="C24" s="83" t="s">
        <v>351</v>
      </c>
      <c r="D24" s="52" t="s">
        <v>381</v>
      </c>
      <c r="E24" s="138">
        <f>B67</f>
        <v>150</v>
      </c>
      <c r="F24" s="52" t="s">
        <v>24</v>
      </c>
      <c r="G24" s="83" t="s">
        <v>310</v>
      </c>
      <c r="H24" s="146">
        <f>B58</f>
        <v>55</v>
      </c>
      <c r="I24" s="92" t="s">
        <v>221</v>
      </c>
      <c r="J24" s="83" t="s">
        <v>367</v>
      </c>
      <c r="K24" s="141">
        <f>B51</f>
        <v>10</v>
      </c>
      <c r="L24" s="52" t="s">
        <v>407</v>
      </c>
      <c r="M24" s="52" t="s">
        <v>267</v>
      </c>
      <c r="N24" s="136">
        <f>B17</f>
        <v>1</v>
      </c>
      <c r="O24" s="52" t="s">
        <v>344</v>
      </c>
      <c r="P24" s="52" t="s">
        <v>267</v>
      </c>
      <c r="Q24" s="136">
        <f>B17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1.6041666666666665E-3</v>
      </c>
      <c r="AD24" s="137">
        <f>0.693/AD25</f>
        <v>1.6041666666666665E-3</v>
      </c>
      <c r="AE24" s="137">
        <f>0.693/AE25</f>
        <v>1.6041666666666665E-3</v>
      </c>
      <c r="AF24" s="137">
        <f>0.693/AF25</f>
        <v>1.6041666666666665E-3</v>
      </c>
      <c r="AG24" s="137">
        <f>0.693/AG25</f>
        <v>1.6041666666666665E-3</v>
      </c>
      <c r="AI24" s="52" t="s">
        <v>267</v>
      </c>
      <c r="AJ24" s="136">
        <f>B17</f>
        <v>1</v>
      </c>
      <c r="AK24" s="52" t="s">
        <v>344</v>
      </c>
      <c r="AL24" s="52" t="s">
        <v>267</v>
      </c>
      <c r="AM24" s="136">
        <f>B17</f>
        <v>1</v>
      </c>
      <c r="AN24" s="52" t="s">
        <v>344</v>
      </c>
      <c r="AR24" s="52" t="s">
        <v>267</v>
      </c>
      <c r="AS24" s="136">
        <f>B17</f>
        <v>1</v>
      </c>
      <c r="AT24" s="52" t="s">
        <v>344</v>
      </c>
      <c r="AU24" s="52" t="s">
        <v>267</v>
      </c>
      <c r="AV24" s="136">
        <f>B17</f>
        <v>1</v>
      </c>
      <c r="AW24" s="52" t="s">
        <v>344</v>
      </c>
      <c r="BA24" s="52" t="s">
        <v>267</v>
      </c>
      <c r="BB24" s="136">
        <f>B17</f>
        <v>1</v>
      </c>
      <c r="BC24" s="52" t="s">
        <v>344</v>
      </c>
      <c r="BD24" s="52" t="s">
        <v>267</v>
      </c>
      <c r="BE24" s="136">
        <f>B17</f>
        <v>1</v>
      </c>
      <c r="BF24" s="52" t="s">
        <v>344</v>
      </c>
      <c r="BJ24" s="52" t="s">
        <v>267</v>
      </c>
      <c r="BK24" s="136">
        <f>B17</f>
        <v>1</v>
      </c>
      <c r="BL24" s="52" t="s">
        <v>344</v>
      </c>
      <c r="BM24" s="52" t="s">
        <v>267</v>
      </c>
      <c r="BN24" s="136">
        <f>B17</f>
        <v>1</v>
      </c>
      <c r="BO24" s="52" t="s">
        <v>344</v>
      </c>
      <c r="BS24" s="91" t="s">
        <v>95</v>
      </c>
      <c r="BT24" s="158">
        <f>B127</f>
        <v>1</v>
      </c>
      <c r="BU24" s="91" t="s">
        <v>60</v>
      </c>
      <c r="BV24" s="83" t="s">
        <v>436</v>
      </c>
      <c r="BW24" s="138">
        <f>B125</f>
        <v>5</v>
      </c>
      <c r="BX24" s="52" t="s">
        <v>80</v>
      </c>
      <c r="BY24" s="83" t="s">
        <v>433</v>
      </c>
      <c r="BZ24" s="150">
        <f>B114</f>
        <v>55</v>
      </c>
      <c r="CA24" s="83" t="s">
        <v>24</v>
      </c>
      <c r="CB24" s="83" t="s">
        <v>22</v>
      </c>
      <c r="CC24" s="137">
        <f>0.693/CC25</f>
        <v>1.6041666666666665E-3</v>
      </c>
      <c r="CE24" s="83" t="s">
        <v>22</v>
      </c>
      <c r="CF24" s="137">
        <f>0.693/CF25</f>
        <v>1.6041666666666665E-3</v>
      </c>
      <c r="CK24" s="52" t="s">
        <v>258</v>
      </c>
      <c r="CL24" s="136">
        <f>B29</f>
        <v>8.8060000000000005E-4</v>
      </c>
      <c r="CM24" s="91" t="s">
        <v>10</v>
      </c>
      <c r="CN24" s="52" t="s">
        <v>20</v>
      </c>
      <c r="CO24" s="139">
        <f>CO26</f>
        <v>2.1999999999999999E-5</v>
      </c>
      <c r="CQ24" s="84" t="s">
        <v>170</v>
      </c>
      <c r="CR24" s="162">
        <f>B139</f>
        <v>2</v>
      </c>
      <c r="CS24" s="52" t="s">
        <v>28</v>
      </c>
      <c r="CT24" s="91" t="s">
        <v>277</v>
      </c>
      <c r="CU24" s="145">
        <f>FR2</f>
        <v>8.4950538814972001E-5</v>
      </c>
      <c r="CV24" s="92" t="s">
        <v>290</v>
      </c>
      <c r="CW24" s="52" t="s">
        <v>465</v>
      </c>
      <c r="CX24" s="138">
        <f>B166</f>
        <v>150</v>
      </c>
      <c r="CY24" s="52" t="s">
        <v>24</v>
      </c>
      <c r="CZ24" s="83" t="s">
        <v>45</v>
      </c>
      <c r="DA24" s="149">
        <f>(DA35*DA27*DA49)+(DA36*DA28*DA50)</f>
        <v>196.875</v>
      </c>
      <c r="DB24" s="52" t="s">
        <v>345</v>
      </c>
      <c r="DD24" s="138"/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223">
        <f>((HE26*HE42)*HE38*HE33*10^-3*HE32*HE27)/(HE31*HE41*(1-EXP(-HE27*HE32)))</f>
        <v>1.3794773455697452E-4</v>
      </c>
      <c r="HF24" s="221" t="s">
        <v>596</v>
      </c>
    </row>
    <row r="25" spans="1:214" ht="15" thickTop="1" x14ac:dyDescent="0.2">
      <c r="A25" s="83" t="s">
        <v>254</v>
      </c>
      <c r="B25" s="183">
        <v>3.4557999999999998E-2</v>
      </c>
      <c r="C25" s="83" t="s">
        <v>351</v>
      </c>
      <c r="D25" s="83" t="s">
        <v>376</v>
      </c>
      <c r="E25" s="146">
        <f>B61</f>
        <v>0.23</v>
      </c>
      <c r="G25" s="83" t="s">
        <v>400</v>
      </c>
      <c r="H25" s="149">
        <f>(H29*H26*H68)+(H30*H27*H69)</f>
        <v>8250</v>
      </c>
      <c r="I25" s="92" t="s">
        <v>347</v>
      </c>
      <c r="J25" s="83" t="s">
        <v>446</v>
      </c>
      <c r="K25" s="149">
        <f>(K31*K26*K51)+(K32*K27*K52)</f>
        <v>8250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7.6893135537913165E-5</v>
      </c>
      <c r="X25" s="62" t="s">
        <v>289</v>
      </c>
      <c r="Y25" s="202" t="s">
        <v>16</v>
      </c>
      <c r="Z25" s="187">
        <f>1/((1/Z41)+(1/Z40))</f>
        <v>7.6893135537913165E-5</v>
      </c>
      <c r="AA25" s="63" t="s">
        <v>289</v>
      </c>
      <c r="AB25" s="91" t="s">
        <v>231</v>
      </c>
      <c r="AC25" s="136">
        <f>B30</f>
        <v>432</v>
      </c>
      <c r="AD25" s="136">
        <f>B30</f>
        <v>432</v>
      </c>
      <c r="AE25" s="136">
        <f>B30</f>
        <v>432</v>
      </c>
      <c r="AF25" s="136">
        <f>B30</f>
        <v>432</v>
      </c>
      <c r="AG25" s="136">
        <f>B30</f>
        <v>432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B111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B118</f>
        <v>5</v>
      </c>
      <c r="CA25" s="94" t="s">
        <v>194</v>
      </c>
      <c r="CB25" s="91" t="s">
        <v>231</v>
      </c>
      <c r="CC25" s="136">
        <f>B30</f>
        <v>432</v>
      </c>
      <c r="CD25" s="52" t="s">
        <v>60</v>
      </c>
      <c r="CE25" s="91" t="s">
        <v>231</v>
      </c>
      <c r="CF25" s="136">
        <f>B30</f>
        <v>432</v>
      </c>
      <c r="CG25" s="52" t="s">
        <v>60</v>
      </c>
      <c r="CK25" s="52" t="s">
        <v>140</v>
      </c>
      <c r="CL25" s="138">
        <f>B113</f>
        <v>55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8625</v>
      </c>
      <c r="CV25" s="83" t="s">
        <v>346</v>
      </c>
      <c r="CW25" s="83" t="s">
        <v>475</v>
      </c>
      <c r="CX25" s="146">
        <f>B163</f>
        <v>0.15</v>
      </c>
      <c r="CZ25" s="83" t="s">
        <v>43</v>
      </c>
      <c r="DA25" s="140">
        <f>(DA35*DA29*(DA38/24)*DA49)+(DA36*DA30*(DA39/24)*DA50)</f>
        <v>1387.5</v>
      </c>
      <c r="DB25" s="83" t="s">
        <v>426</v>
      </c>
      <c r="DF25" s="52" t="s">
        <v>33</v>
      </c>
      <c r="DG25" s="136">
        <f>B44</f>
        <v>2.1999999999999999E-5</v>
      </c>
      <c r="DO25" s="83" t="s">
        <v>32</v>
      </c>
      <c r="DP25" s="136">
        <f>B43</f>
        <v>1.914E-5</v>
      </c>
      <c r="EA25" s="83"/>
      <c r="EC25" s="84"/>
      <c r="ED25" s="83" t="s">
        <v>33</v>
      </c>
      <c r="EE25" s="136">
        <f>B44</f>
        <v>2.1999999999999999E-5</v>
      </c>
      <c r="EF25" s="84"/>
      <c r="EP25" s="83"/>
      <c r="ER25" s="84"/>
      <c r="ES25" s="83" t="s">
        <v>33</v>
      </c>
      <c r="ET25" s="136">
        <f>B44</f>
        <v>2.1999999999999999E-5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B44</f>
        <v>2.1999999999999999E-5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B44</f>
        <v>2.1999999999999999E-5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B44</f>
        <v>2.1999999999999999E-5</v>
      </c>
      <c r="HC25" s="84"/>
      <c r="HD25" s="89" t="s">
        <v>21</v>
      </c>
      <c r="HE25" s="150">
        <f>B46</f>
        <v>0.55500055500055501</v>
      </c>
      <c r="HF25" s="83" t="s">
        <v>291</v>
      </c>
    </row>
    <row r="26" spans="1:214" ht="13.5" thickBot="1" x14ac:dyDescent="0.25">
      <c r="A26" s="83" t="s">
        <v>255</v>
      </c>
      <c r="B26" s="183">
        <v>3.7173200000000003E-2</v>
      </c>
      <c r="C26" s="83" t="s">
        <v>351</v>
      </c>
      <c r="D26" s="83" t="s">
        <v>377</v>
      </c>
      <c r="E26" s="146">
        <f>B62</f>
        <v>0.77</v>
      </c>
      <c r="G26" s="83" t="s">
        <v>401</v>
      </c>
      <c r="H26" s="146">
        <f>B149</f>
        <v>55</v>
      </c>
      <c r="I26" s="92" t="s">
        <v>221</v>
      </c>
      <c r="J26" s="83" t="s">
        <v>399</v>
      </c>
      <c r="K26" s="146">
        <f>B57</f>
        <v>55</v>
      </c>
      <c r="L26" s="92" t="s">
        <v>221</v>
      </c>
      <c r="M26" s="83" t="s">
        <v>22</v>
      </c>
      <c r="N26" s="137">
        <f>0.693/N27</f>
        <v>1.6041666666666665E-3</v>
      </c>
      <c r="P26" s="83" t="s">
        <v>22</v>
      </c>
      <c r="Q26" s="137">
        <f>0.693/Q27</f>
        <v>1.6041666666666665E-3</v>
      </c>
      <c r="V26" s="201" t="s">
        <v>15</v>
      </c>
      <c r="W26" s="75">
        <f>1/((1/W38)+(1/W39))</f>
        <v>7.6831493801065139E-5</v>
      </c>
      <c r="X26" s="76" t="s">
        <v>289</v>
      </c>
      <c r="Y26" s="203" t="s">
        <v>15</v>
      </c>
      <c r="Z26" s="185">
        <f>1/((1/Z38)+(1/Z39))</f>
        <v>7.6831493801065139E-5</v>
      </c>
      <c r="AA26" s="77" t="s">
        <v>289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1.6041666666666665E-3</v>
      </c>
      <c r="AL26" s="83" t="s">
        <v>22</v>
      </c>
      <c r="AM26" s="137">
        <f>0.693/AM27</f>
        <v>1.6041666666666665E-3</v>
      </c>
      <c r="AR26" s="83" t="s">
        <v>22</v>
      </c>
      <c r="AS26" s="137">
        <f>0.693/AS27</f>
        <v>1.6041666666666665E-3</v>
      </c>
      <c r="AU26" s="83" t="s">
        <v>22</v>
      </c>
      <c r="AV26" s="137">
        <f>0.693/AV27</f>
        <v>1.6041666666666665E-3</v>
      </c>
      <c r="BA26" s="83" t="s">
        <v>22</v>
      </c>
      <c r="BB26" s="137">
        <f>0.693/BB27</f>
        <v>1.6041666666666665E-3</v>
      </c>
      <c r="BD26" s="83" t="s">
        <v>22</v>
      </c>
      <c r="BE26" s="137">
        <f>0.693/BE27</f>
        <v>1.6041666666666665E-3</v>
      </c>
      <c r="BJ26" s="83" t="s">
        <v>22</v>
      </c>
      <c r="BK26" s="137">
        <f>0.693/BK27</f>
        <v>1.6041666666666665E-3</v>
      </c>
      <c r="BM26" s="83" t="s">
        <v>22</v>
      </c>
      <c r="BN26" s="137">
        <f>0.693/BN27</f>
        <v>1.6041666666666665E-3</v>
      </c>
      <c r="BS26" s="91" t="s">
        <v>309</v>
      </c>
      <c r="BT26" s="177">
        <f>B112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B116</f>
        <v>5</v>
      </c>
      <c r="CA26" s="94" t="s">
        <v>194</v>
      </c>
      <c r="CB26" s="52" t="s">
        <v>140</v>
      </c>
      <c r="CC26" s="138">
        <f>B113</f>
        <v>55</v>
      </c>
      <c r="CD26" s="52" t="s">
        <v>24</v>
      </c>
      <c r="CE26" s="52" t="s">
        <v>140</v>
      </c>
      <c r="CF26" s="138">
        <f>B113</f>
        <v>55</v>
      </c>
      <c r="CG26" s="52" t="s">
        <v>24</v>
      </c>
      <c r="CK26" s="52" t="s">
        <v>160</v>
      </c>
      <c r="CL26" s="162">
        <f>B134</f>
        <v>3</v>
      </c>
      <c r="CM26" s="52" t="s">
        <v>221</v>
      </c>
      <c r="CN26" s="52" t="s">
        <v>33</v>
      </c>
      <c r="CO26" s="136">
        <f>B44</f>
        <v>2.1999999999999999E-5</v>
      </c>
      <c r="CT26" s="83" t="s">
        <v>506</v>
      </c>
      <c r="CU26" s="155">
        <f>((CU31*CU29*CU47)+(CU32*CU30*CU48))</f>
        <v>1387.5</v>
      </c>
      <c r="CV26" s="52" t="s">
        <v>426</v>
      </c>
      <c r="CW26" s="83" t="s">
        <v>476</v>
      </c>
      <c r="CX26" s="141">
        <f>B164</f>
        <v>0.85</v>
      </c>
      <c r="CY26" s="83"/>
      <c r="CZ26" s="83" t="s">
        <v>142</v>
      </c>
      <c r="DA26" s="149">
        <f>(DA35*DA40*DA42*DA49)+(DA36*DA41*DA43*DA50)</f>
        <v>570</v>
      </c>
      <c r="DB26" s="52" t="s">
        <v>356</v>
      </c>
      <c r="DG26" s="138"/>
      <c r="DO26" s="83" t="s">
        <v>393</v>
      </c>
      <c r="DP26" s="138">
        <f>B47</f>
        <v>0.26</v>
      </c>
      <c r="EA26" s="83"/>
      <c r="EB26" s="84"/>
      <c r="EC26" s="84"/>
      <c r="ED26" s="83" t="s">
        <v>392</v>
      </c>
      <c r="EE26" s="163">
        <f>B48</f>
        <v>0.25</v>
      </c>
      <c r="EF26" s="84"/>
      <c r="EP26" s="83"/>
      <c r="EQ26" s="84"/>
      <c r="ER26" s="84"/>
      <c r="ES26" s="83" t="s">
        <v>392</v>
      </c>
      <c r="ET26" s="163">
        <f>B48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B48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B48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B48</f>
        <v>0.25</v>
      </c>
      <c r="HC26" s="84"/>
      <c r="HD26" s="84" t="s">
        <v>265</v>
      </c>
      <c r="HE26" s="139">
        <f>H2</f>
        <v>2.5958997625567554E-2</v>
      </c>
      <c r="HF26" s="83" t="s">
        <v>291</v>
      </c>
    </row>
    <row r="27" spans="1:214" ht="13.5" thickTop="1" x14ac:dyDescent="0.2">
      <c r="A27" s="83" t="s">
        <v>256</v>
      </c>
      <c r="B27" s="183">
        <v>125.5296</v>
      </c>
      <c r="C27" s="83" t="s">
        <v>351</v>
      </c>
      <c r="D27" s="95" t="s">
        <v>287</v>
      </c>
      <c r="E27" s="176">
        <v>27.027027027027</v>
      </c>
      <c r="F27" s="52" t="s">
        <v>288</v>
      </c>
      <c r="G27" s="83" t="s">
        <v>402</v>
      </c>
      <c r="H27" s="146">
        <f>B60</f>
        <v>55</v>
      </c>
      <c r="I27" s="92" t="s">
        <v>221</v>
      </c>
      <c r="J27" s="83" t="s">
        <v>310</v>
      </c>
      <c r="K27" s="146">
        <f>B58</f>
        <v>55</v>
      </c>
      <c r="L27" s="92" t="s">
        <v>221</v>
      </c>
      <c r="M27" s="91" t="s">
        <v>231</v>
      </c>
      <c r="N27" s="136">
        <f>B30</f>
        <v>432</v>
      </c>
      <c r="O27" s="52" t="s">
        <v>60</v>
      </c>
      <c r="P27" s="91" t="s">
        <v>231</v>
      </c>
      <c r="Q27" s="136">
        <f>B30</f>
        <v>432</v>
      </c>
      <c r="R27" s="52" t="s">
        <v>60</v>
      </c>
      <c r="V27" s="52" t="s">
        <v>267</v>
      </c>
      <c r="W27" s="136">
        <f>B17</f>
        <v>1</v>
      </c>
      <c r="X27" s="52" t="s">
        <v>344</v>
      </c>
      <c r="Y27" s="52" t="s">
        <v>267</v>
      </c>
      <c r="Z27" s="136">
        <f>B17</f>
        <v>1</v>
      </c>
      <c r="AA27" s="52" t="s">
        <v>344</v>
      </c>
      <c r="AB27" s="84" t="s">
        <v>16</v>
      </c>
      <c r="AC27" s="156">
        <f>(AC23*AC24)/(1-EXP(-AC24*AC23))</f>
        <v>1.0008022977791844</v>
      </c>
      <c r="AD27" s="156">
        <f>(AD23*AD24)/(1-EXP(-AD24*AD23))</f>
        <v>1.0008022977791844</v>
      </c>
      <c r="AE27" s="156">
        <f>(AE23*AE24)/(1-EXP(-AE24*AE23))</f>
        <v>1.0008022977791844</v>
      </c>
      <c r="AF27" s="156">
        <f>(AF23*AF24)/(1-EXP(-AF24*AF23))</f>
        <v>1.0008022977791844</v>
      </c>
      <c r="AG27" s="156">
        <f>(AG23*AG24)/(1-EXP(-AG24*AG23))</f>
        <v>1.0008022977791844</v>
      </c>
      <c r="AI27" s="91" t="s">
        <v>231</v>
      </c>
      <c r="AJ27" s="136">
        <f>B30</f>
        <v>432</v>
      </c>
      <c r="AK27" s="52" t="s">
        <v>60</v>
      </c>
      <c r="AL27" s="91" t="s">
        <v>231</v>
      </c>
      <c r="AM27" s="136">
        <f>B30</f>
        <v>432</v>
      </c>
      <c r="AN27" s="52" t="s">
        <v>60</v>
      </c>
      <c r="AR27" s="91" t="s">
        <v>231</v>
      </c>
      <c r="AS27" s="136">
        <f>B30</f>
        <v>432</v>
      </c>
      <c r="AT27" s="52" t="s">
        <v>60</v>
      </c>
      <c r="AU27" s="91" t="s">
        <v>231</v>
      </c>
      <c r="AV27" s="136">
        <f>B30</f>
        <v>432</v>
      </c>
      <c r="AW27" s="52" t="s">
        <v>60</v>
      </c>
      <c r="BA27" s="91" t="s">
        <v>231</v>
      </c>
      <c r="BB27" s="136">
        <f>B30</f>
        <v>432</v>
      </c>
      <c r="BC27" s="52" t="s">
        <v>60</v>
      </c>
      <c r="BD27" s="91" t="s">
        <v>231</v>
      </c>
      <c r="BE27" s="136">
        <f>B30</f>
        <v>432</v>
      </c>
      <c r="BF27" s="52" t="s">
        <v>60</v>
      </c>
      <c r="BJ27" s="91" t="s">
        <v>231</v>
      </c>
      <c r="BK27" s="136">
        <f>B30</f>
        <v>432</v>
      </c>
      <c r="BL27" s="52" t="s">
        <v>60</v>
      </c>
      <c r="BM27" s="91" t="s">
        <v>231</v>
      </c>
      <c r="BN27" s="136">
        <f>B30</f>
        <v>432</v>
      </c>
      <c r="BO27" s="52" t="s">
        <v>60</v>
      </c>
      <c r="BS27" s="95" t="s">
        <v>287</v>
      </c>
      <c r="BT27" s="176">
        <v>27.027027027027</v>
      </c>
      <c r="BU27" s="52" t="s">
        <v>288</v>
      </c>
      <c r="BW27" s="138">
        <v>1000</v>
      </c>
      <c r="BX27" s="52" t="s">
        <v>218</v>
      </c>
      <c r="BY27" s="83" t="s">
        <v>90</v>
      </c>
      <c r="BZ27" s="150">
        <f>B117</f>
        <v>5</v>
      </c>
      <c r="CA27" s="52" t="s">
        <v>194</v>
      </c>
      <c r="CB27" s="52" t="s">
        <v>51</v>
      </c>
      <c r="CC27" s="138">
        <f>B127</f>
        <v>1</v>
      </c>
      <c r="CD27" s="52" t="s">
        <v>146</v>
      </c>
      <c r="CE27" s="52" t="s">
        <v>51</v>
      </c>
      <c r="CF27" s="138">
        <f>B127</f>
        <v>1</v>
      </c>
      <c r="CG27" s="52" t="s">
        <v>146</v>
      </c>
      <c r="CK27" s="95" t="s">
        <v>287</v>
      </c>
      <c r="CL27" s="176">
        <v>27.027027027027</v>
      </c>
      <c r="CM27" s="52" t="s">
        <v>288</v>
      </c>
      <c r="CN27" s="52" t="s">
        <v>392</v>
      </c>
      <c r="CO27" s="162">
        <f>B48</f>
        <v>0.25</v>
      </c>
      <c r="CT27" s="83" t="s">
        <v>449</v>
      </c>
      <c r="CU27" s="146">
        <f>B141</f>
        <v>100</v>
      </c>
      <c r="CV27" s="84" t="s">
        <v>48</v>
      </c>
      <c r="CW27" s="95" t="s">
        <v>287</v>
      </c>
      <c r="CX27" s="176">
        <v>27.027027027027</v>
      </c>
      <c r="CY27" s="52" t="s">
        <v>288</v>
      </c>
      <c r="CZ27" s="92" t="s">
        <v>451</v>
      </c>
      <c r="DA27" s="142">
        <f t="shared" ref="DA27:DA34" si="0">B143</f>
        <v>0.25</v>
      </c>
      <c r="DB27" s="83" t="s">
        <v>28</v>
      </c>
      <c r="DG27" s="138"/>
      <c r="DW27" s="88"/>
      <c r="DX27" s="88"/>
      <c r="DY27" s="88"/>
      <c r="DZ27" s="88"/>
      <c r="EA27" s="83"/>
      <c r="EB27" s="85"/>
      <c r="ED27" s="83" t="s">
        <v>517</v>
      </c>
      <c r="EE27" s="136">
        <f>B36</f>
        <v>4.2E-7</v>
      </c>
      <c r="EF27" s="52" t="s">
        <v>601</v>
      </c>
      <c r="EP27" s="83"/>
      <c r="EQ27" s="86"/>
      <c r="ES27" s="83" t="s">
        <v>236</v>
      </c>
      <c r="ET27" s="169">
        <f>B37</f>
        <v>5.0000000000000001E-4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B39</f>
        <v>3.0000000000000001E-3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B38</f>
        <v>6.0000000000000001E-3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B40</f>
        <v>1.7000000000000001E-4</v>
      </c>
      <c r="HC27" s="52" t="s">
        <v>388</v>
      </c>
      <c r="HD27" s="83" t="s">
        <v>22</v>
      </c>
      <c r="HE27" s="137">
        <f>0.693/HE29</f>
        <v>1.6041666666666665E-3</v>
      </c>
    </row>
    <row r="28" spans="1:214" x14ac:dyDescent="0.2">
      <c r="A28" s="91" t="s">
        <v>257</v>
      </c>
      <c r="B28" s="183">
        <v>0.28767199999999998</v>
      </c>
      <c r="C28" s="84" t="s">
        <v>259</v>
      </c>
      <c r="G28" s="83" t="s">
        <v>65</v>
      </c>
      <c r="H28" s="141">
        <f>B75</f>
        <v>0.5</v>
      </c>
      <c r="I28" s="52" t="s">
        <v>66</v>
      </c>
      <c r="J28" s="83" t="s">
        <v>447</v>
      </c>
      <c r="K28" s="149">
        <f>(K31*K29*K51)+(K32*K30*K52)</f>
        <v>8250</v>
      </c>
      <c r="L28" s="92" t="s">
        <v>347</v>
      </c>
      <c r="M28" s="52" t="s">
        <v>382</v>
      </c>
      <c r="N28" s="138">
        <f>B68</f>
        <v>150</v>
      </c>
      <c r="O28" s="52" t="s">
        <v>24</v>
      </c>
      <c r="P28" s="52" t="s">
        <v>382</v>
      </c>
      <c r="Q28" s="138">
        <f>B68</f>
        <v>150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B237</f>
        <v>125</v>
      </c>
      <c r="AK28" s="52" t="s">
        <v>24</v>
      </c>
      <c r="AL28" s="52" t="s">
        <v>35</v>
      </c>
      <c r="AM28" s="138">
        <f>B237</f>
        <v>125</v>
      </c>
      <c r="AN28" s="52" t="s">
        <v>24</v>
      </c>
      <c r="AR28" s="52" t="s">
        <v>423</v>
      </c>
      <c r="AS28" s="138">
        <f>B247</f>
        <v>125</v>
      </c>
      <c r="AT28" s="52" t="s">
        <v>24</v>
      </c>
      <c r="AU28" s="52" t="s">
        <v>423</v>
      </c>
      <c r="AV28" s="138">
        <f>B247</f>
        <v>125</v>
      </c>
      <c r="AW28" s="52" t="s">
        <v>24</v>
      </c>
      <c r="BA28" s="52" t="s">
        <v>316</v>
      </c>
      <c r="BB28" s="138">
        <f>B227</f>
        <v>125</v>
      </c>
      <c r="BC28" s="52" t="s">
        <v>24</v>
      </c>
      <c r="BD28" s="52" t="s">
        <v>316</v>
      </c>
      <c r="BE28" s="138">
        <f>B227</f>
        <v>125</v>
      </c>
      <c r="BF28" s="52" t="s">
        <v>24</v>
      </c>
      <c r="BJ28" s="52" t="s">
        <v>191</v>
      </c>
      <c r="BK28" s="138">
        <f>BK29*BK30</f>
        <v>75</v>
      </c>
      <c r="BL28" s="52" t="s">
        <v>24</v>
      </c>
      <c r="BM28" s="52" t="s">
        <v>191</v>
      </c>
      <c r="BN28" s="138">
        <f>BN29*BN30</f>
        <v>75</v>
      </c>
      <c r="BO28" s="52" t="s">
        <v>24</v>
      </c>
      <c r="BS28" s="96"/>
      <c r="BV28" s="83"/>
      <c r="BW28" s="146">
        <v>365</v>
      </c>
      <c r="BX28" s="84" t="s">
        <v>24</v>
      </c>
      <c r="BY28" s="83" t="s">
        <v>302</v>
      </c>
      <c r="BZ28" s="161">
        <f>B3</f>
        <v>2.41E-4</v>
      </c>
      <c r="CB28" s="52" t="s">
        <v>300</v>
      </c>
      <c r="CC28" s="136">
        <f>B12</f>
        <v>1.5699999999999999E-5</v>
      </c>
      <c r="CE28" s="52" t="s">
        <v>300</v>
      </c>
      <c r="CF28" s="136">
        <f>B8</f>
        <v>1.35E-4</v>
      </c>
      <c r="CN28" s="52" t="s">
        <v>165</v>
      </c>
      <c r="CO28" s="162">
        <f>B135</f>
        <v>2</v>
      </c>
      <c r="CP28" s="52" t="s">
        <v>246</v>
      </c>
      <c r="CT28" s="83" t="s">
        <v>458</v>
      </c>
      <c r="CU28" s="146">
        <f>B142</f>
        <v>50</v>
      </c>
      <c r="CV28" s="84" t="s">
        <v>48</v>
      </c>
      <c r="CZ28" s="92" t="s">
        <v>460</v>
      </c>
      <c r="DA28" s="142">
        <f t="shared" si="0"/>
        <v>1.5</v>
      </c>
      <c r="DB28" s="83" t="s">
        <v>28</v>
      </c>
      <c r="DW28" s="88"/>
      <c r="DX28" s="88"/>
      <c r="DY28" s="88"/>
      <c r="DZ28" s="88"/>
      <c r="ET28" s="138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227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D28" s="52" t="s">
        <v>16</v>
      </c>
      <c r="HE28" s="137">
        <f>1-EXP(-HE27*HE32)</f>
        <v>1.6028806790575612E-3</v>
      </c>
    </row>
    <row r="29" spans="1:214" ht="15.75" thickBot="1" x14ac:dyDescent="0.25">
      <c r="A29" s="83" t="s">
        <v>258</v>
      </c>
      <c r="B29" s="183">
        <v>8.8060000000000005E-4</v>
      </c>
      <c r="C29" s="92" t="s">
        <v>259</v>
      </c>
      <c r="G29" s="83" t="s">
        <v>380</v>
      </c>
      <c r="H29" s="150">
        <f>B66</f>
        <v>150</v>
      </c>
      <c r="I29" s="83" t="s">
        <v>24</v>
      </c>
      <c r="J29" s="83" t="s">
        <v>401</v>
      </c>
      <c r="K29" s="146">
        <f>B59</f>
        <v>55</v>
      </c>
      <c r="L29" s="92" t="s">
        <v>221</v>
      </c>
      <c r="M29" s="52" t="s">
        <v>379</v>
      </c>
      <c r="N29" s="138">
        <f>B65</f>
        <v>1</v>
      </c>
      <c r="O29" s="52" t="s">
        <v>146</v>
      </c>
      <c r="P29" s="52" t="s">
        <v>379</v>
      </c>
      <c r="Q29" s="138">
        <f>B65</f>
        <v>1</v>
      </c>
      <c r="R29" s="52" t="s">
        <v>146</v>
      </c>
      <c r="V29" s="83" t="s">
        <v>22</v>
      </c>
      <c r="W29" s="137">
        <f>0.693/W30</f>
        <v>1.6041666666666665E-3</v>
      </c>
      <c r="Y29" s="83" t="s">
        <v>22</v>
      </c>
      <c r="Z29" s="137">
        <f>0.693/Z30</f>
        <v>1.6041666666666665E-3</v>
      </c>
      <c r="AB29" s="83" t="s">
        <v>260</v>
      </c>
      <c r="AC29" s="143">
        <f>((AC5/(AC8*AC13*AC7*AC9*(1/AC6)))*AC27)/AC35</f>
        <v>7.8494297865034142</v>
      </c>
      <c r="AD29" s="143">
        <f>((AD5/(AD8*AD13*AD7*AD9*(1/AD6)))*AD27)/AD35</f>
        <v>7.8494297865034142</v>
      </c>
      <c r="AE29" s="143">
        <f>((AE5/(AE8*AE13*AE7*AE9*(1/AE6)))*AE27)/AE35</f>
        <v>7.8494297865034142</v>
      </c>
      <c r="AF29" s="143">
        <f>((AF5*AF23*AF24)/((1-EXP(-AF24*AF23))*AF8*AF7*AF9*AF13*(1/AF28)))/AF35</f>
        <v>1.9623574466258531</v>
      </c>
      <c r="AG29" s="143">
        <f>((AG5*AG23*AG24)/((1-EXP(-AG24*AG23))*AG8*AG7*AG9*AG13*(1/AG28)))/AG35</f>
        <v>1.9623574466258531</v>
      </c>
      <c r="AH29" s="83" t="s">
        <v>290</v>
      </c>
      <c r="AI29" s="52" t="s">
        <v>420</v>
      </c>
      <c r="AJ29" s="138">
        <f>B238</f>
        <v>1</v>
      </c>
      <c r="AK29" s="52" t="s">
        <v>146</v>
      </c>
      <c r="AL29" s="52" t="s">
        <v>420</v>
      </c>
      <c r="AM29" s="138">
        <f>B238</f>
        <v>1</v>
      </c>
      <c r="AN29" s="52" t="s">
        <v>146</v>
      </c>
      <c r="AR29" s="52" t="s">
        <v>424</v>
      </c>
      <c r="AS29" s="138">
        <f>B248</f>
        <v>1</v>
      </c>
      <c r="AT29" s="52" t="s">
        <v>146</v>
      </c>
      <c r="AU29" s="52" t="s">
        <v>424</v>
      </c>
      <c r="AV29" s="138">
        <f>B248</f>
        <v>1</v>
      </c>
      <c r="AW29" s="52" t="s">
        <v>146</v>
      </c>
      <c r="BA29" s="52" t="s">
        <v>422</v>
      </c>
      <c r="BB29" s="138">
        <f>B228</f>
        <v>1</v>
      </c>
      <c r="BC29" s="52" t="s">
        <v>146</v>
      </c>
      <c r="BD29" s="52" t="s">
        <v>422</v>
      </c>
      <c r="BE29" s="138">
        <f>B228</f>
        <v>1</v>
      </c>
      <c r="BF29" s="52" t="s">
        <v>146</v>
      </c>
      <c r="BJ29" s="52" t="s">
        <v>220</v>
      </c>
      <c r="BK29" s="138">
        <f>B266</f>
        <v>25</v>
      </c>
      <c r="BL29" s="52" t="s">
        <v>113</v>
      </c>
      <c r="BM29" s="52" t="s">
        <v>220</v>
      </c>
      <c r="BN29" s="138">
        <f>B266</f>
        <v>25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61">
        <f>B4</f>
        <v>0.753</v>
      </c>
      <c r="CB29" s="52" t="s">
        <v>411</v>
      </c>
      <c r="CC29" s="136">
        <f>B13</f>
        <v>0.80900000000000005</v>
      </c>
      <c r="CE29" s="52" t="s">
        <v>418</v>
      </c>
      <c r="CF29" s="136">
        <f>B9</f>
        <v>0.71099999999999997</v>
      </c>
      <c r="CN29" s="52" t="s">
        <v>166</v>
      </c>
      <c r="CO29" s="162">
        <f>B136</f>
        <v>2</v>
      </c>
      <c r="CP29" s="52" t="s">
        <v>246</v>
      </c>
      <c r="CT29" s="83" t="s">
        <v>450</v>
      </c>
      <c r="CU29" s="141">
        <f>B145</f>
        <v>5</v>
      </c>
      <c r="CV29" s="92" t="s">
        <v>407</v>
      </c>
      <c r="CZ29" s="92" t="s">
        <v>450</v>
      </c>
      <c r="DA29" s="142">
        <f t="shared" si="0"/>
        <v>5</v>
      </c>
      <c r="DB29" s="83" t="s">
        <v>143</v>
      </c>
      <c r="DW29" s="88"/>
      <c r="DX29" s="88"/>
      <c r="DY29" s="88"/>
      <c r="DZ29" s="88"/>
      <c r="ET29" s="13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B30</f>
        <v>432</v>
      </c>
      <c r="HF29" s="52" t="s">
        <v>60</v>
      </c>
    </row>
    <row r="30" spans="1:214" ht="19.5" thickTop="1" thickBot="1" x14ac:dyDescent="0.25">
      <c r="A30" s="91" t="s">
        <v>231</v>
      </c>
      <c r="B30" s="183">
        <v>432</v>
      </c>
      <c r="C30" s="52" t="s">
        <v>235</v>
      </c>
      <c r="D30" s="353" t="s">
        <v>528</v>
      </c>
      <c r="E30" s="354"/>
      <c r="F30" s="355"/>
      <c r="G30" s="83" t="s">
        <v>381</v>
      </c>
      <c r="H30" s="150">
        <f>B67</f>
        <v>150</v>
      </c>
      <c r="I30" s="83" t="s">
        <v>24</v>
      </c>
      <c r="J30" s="83" t="s">
        <v>402</v>
      </c>
      <c r="K30" s="146">
        <f>B60</f>
        <v>55</v>
      </c>
      <c r="L30" s="92" t="s">
        <v>221</v>
      </c>
      <c r="M30" s="52" t="s">
        <v>299</v>
      </c>
      <c r="N30" s="138">
        <f>B73</f>
        <v>1</v>
      </c>
      <c r="P30" s="52" t="s">
        <v>299</v>
      </c>
      <c r="Q30" s="138">
        <f>B73</f>
        <v>1</v>
      </c>
      <c r="V30" s="91" t="s">
        <v>231</v>
      </c>
      <c r="W30" s="136">
        <f>B30</f>
        <v>432</v>
      </c>
      <c r="X30" s="52" t="s">
        <v>60</v>
      </c>
      <c r="Y30" s="91" t="s">
        <v>231</v>
      </c>
      <c r="Z30" s="136">
        <f>B30</f>
        <v>432</v>
      </c>
      <c r="AA30" s="52" t="s">
        <v>60</v>
      </c>
      <c r="AB30" s="83" t="s">
        <v>261</v>
      </c>
      <c r="AC30" s="144">
        <f>((AC5/(AC19*AC15*AC7*AC9*(1/AC32)*((8/1)/(24/1))*AC28))*AC27)/AC35</f>
        <v>66.565630465259247</v>
      </c>
      <c r="AD30" s="144">
        <f>((AD5/(AD19*AD15*AD7*((8/1)/(24/1))*AD9*(1/AD32)*AD28))*AD27)/AD35</f>
        <v>66.565630465259247</v>
      </c>
      <c r="AE30" s="144">
        <f>((AE5/(AE19*AE15*AE7*((8/1)/(24/1))*AE9*(1/AE32)*AE28))*AE27)/AE35</f>
        <v>66.565630465259247</v>
      </c>
      <c r="AF30" s="144">
        <f>((AF5*AF23*AF24)/((1-EXP(-AF24*AF23))*AF19*AF7*AF9*(AF12/24)*AF15*(1/AF33)*AF28))/AF35</f>
        <v>6.0809949921763959E-2</v>
      </c>
      <c r="AG30" s="144">
        <f>((AG5*AG23*AG24)/((1-EXP(-AG24*AG23))*AG19*AG7*AG9*(AG12/24)*AG15*(1/AG34)*AG28))/AG35</f>
        <v>5.4498541749996363</v>
      </c>
      <c r="AH30" s="83" t="s">
        <v>290</v>
      </c>
      <c r="AI30" s="52" t="s">
        <v>299</v>
      </c>
      <c r="AJ30" s="138">
        <f>B241</f>
        <v>1</v>
      </c>
      <c r="AL30" s="52" t="s">
        <v>299</v>
      </c>
      <c r="AM30" s="138">
        <f>B241</f>
        <v>1</v>
      </c>
      <c r="AR30" s="52" t="s">
        <v>299</v>
      </c>
      <c r="AS30" s="138">
        <f>B251</f>
        <v>1</v>
      </c>
      <c r="AV30" s="138"/>
      <c r="BA30" s="52" t="s">
        <v>299</v>
      </c>
      <c r="BB30" s="138">
        <f>B231</f>
        <v>1</v>
      </c>
      <c r="BD30" s="52" t="s">
        <v>299</v>
      </c>
      <c r="BE30" s="138">
        <f>B231</f>
        <v>1</v>
      </c>
      <c r="BJ30" s="52" t="s">
        <v>219</v>
      </c>
      <c r="BK30" s="138">
        <f>B265</f>
        <v>3</v>
      </c>
      <c r="BL30" s="52" t="s">
        <v>112</v>
      </c>
      <c r="BM30" s="52" t="s">
        <v>219</v>
      </c>
      <c r="BN30" s="138">
        <f>B265</f>
        <v>3</v>
      </c>
      <c r="BO30" s="52" t="s">
        <v>112</v>
      </c>
      <c r="BS30" s="91"/>
      <c r="BT30" s="97"/>
      <c r="BU30" s="91"/>
      <c r="BV30" s="91" t="s">
        <v>308</v>
      </c>
      <c r="BW30" s="146">
        <f>B111</f>
        <v>0.23</v>
      </c>
      <c r="BY30" s="94" t="s">
        <v>95</v>
      </c>
      <c r="BZ30" s="150">
        <f>B127</f>
        <v>1</v>
      </c>
      <c r="CA30" s="94" t="s">
        <v>60</v>
      </c>
      <c r="CB30" s="52" t="s">
        <v>90</v>
      </c>
      <c r="CC30" s="138">
        <f>B118</f>
        <v>5</v>
      </c>
      <c r="CD30" s="52" t="s">
        <v>194</v>
      </c>
      <c r="CE30" s="52" t="s">
        <v>90</v>
      </c>
      <c r="CF30" s="138">
        <f>B118</f>
        <v>5</v>
      </c>
      <c r="CG30" s="52" t="s">
        <v>194</v>
      </c>
      <c r="CM30" s="83"/>
      <c r="CN30" s="93" t="s">
        <v>167</v>
      </c>
      <c r="CO30" s="162">
        <f>B137</f>
        <v>2</v>
      </c>
      <c r="CP30" s="52" t="s">
        <v>41</v>
      </c>
      <c r="CQ30" s="88"/>
      <c r="CR30" s="83"/>
      <c r="CS30" s="83"/>
      <c r="CT30" s="83" t="s">
        <v>459</v>
      </c>
      <c r="CU30" s="141">
        <f>B146</f>
        <v>10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10</v>
      </c>
      <c r="DB30" s="83" t="s">
        <v>143</v>
      </c>
      <c r="DW30" s="88"/>
      <c r="DX30" s="88"/>
      <c r="DY30" s="88"/>
      <c r="DZ30" s="88"/>
      <c r="ET30" s="13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B93</f>
        <v>0.3</v>
      </c>
    </row>
    <row r="31" spans="1:214" x14ac:dyDescent="0.2">
      <c r="A31" s="91" t="s">
        <v>77</v>
      </c>
      <c r="B31" s="183">
        <f>PEF!D3</f>
        <v>1359344473.5814338</v>
      </c>
      <c r="C31" s="52" t="s">
        <v>524</v>
      </c>
      <c r="D31" s="323" t="s">
        <v>530</v>
      </c>
      <c r="E31" s="347">
        <f>E38</f>
        <v>8.0032012805122121E-3</v>
      </c>
      <c r="F31" s="345" t="s">
        <v>290</v>
      </c>
      <c r="G31" s="83" t="s">
        <v>379</v>
      </c>
      <c r="H31" s="150">
        <f>B65</f>
        <v>1</v>
      </c>
      <c r="I31" s="84" t="s">
        <v>60</v>
      </c>
      <c r="J31" s="83" t="s">
        <v>380</v>
      </c>
      <c r="K31" s="150">
        <f>B66</f>
        <v>150</v>
      </c>
      <c r="L31" s="83" t="s">
        <v>24</v>
      </c>
      <c r="M31" s="52" t="s">
        <v>300</v>
      </c>
      <c r="N31" s="136">
        <f>B12</f>
        <v>1.5699999999999999E-5</v>
      </c>
      <c r="P31" s="52" t="s">
        <v>300</v>
      </c>
      <c r="Q31" s="136">
        <f>B8</f>
        <v>1.35E-4</v>
      </c>
      <c r="V31" s="52" t="s">
        <v>35</v>
      </c>
      <c r="W31" s="138">
        <f>B237</f>
        <v>125</v>
      </c>
      <c r="X31" s="52" t="s">
        <v>24</v>
      </c>
      <c r="Y31" s="52" t="s">
        <v>191</v>
      </c>
      <c r="Z31" s="138">
        <f>B257</f>
        <v>125</v>
      </c>
      <c r="AA31" s="52" t="s">
        <v>24</v>
      </c>
      <c r="AB31" s="83" t="s">
        <v>262</v>
      </c>
      <c r="AC31" s="145">
        <f>((AC5*AC23*AC24)/((1-EXP(-AC24*AC23))*AC18*AC7*(1/365)*AC12*(1/24)*AC14*AC17))/AC35</f>
        <v>48085.280849680792</v>
      </c>
      <c r="AD31" s="145">
        <f>((AD5*AD23*AD24)/((1-EXP(-AD24*AD23))*AD18*AD7*(1/365)*AD12*(1/24)*AD16*AD17))/AD35</f>
        <v>11.588552684773072</v>
      </c>
      <c r="AE31" s="145">
        <f>((AE5*AE23*AE24)/((1-EXP(-AE24*AE23))*AE18*AE7*(1/365)*AE12*(1/24)*AE14*AE17))/AE35</f>
        <v>48085.280849680792</v>
      </c>
      <c r="AF31" s="145">
        <f>((AF5*AF23*AF24)/((1-EXP(-AF24*AF23))*AF18*(AF11*AF10)*(1/365)*AF12*(1/24)*AF14*AF17))/AF35</f>
        <v>128227.41559914879</v>
      </c>
      <c r="AG31" s="145">
        <f>((AG5*AG23*AG24)/((1-EXP(-AG24*AG23))*AG18*AG7*(1/365)*AG9*(AG12/24)*AG14*AG17))/AG35</f>
        <v>76936.44935948927</v>
      </c>
      <c r="AH31" s="83" t="s">
        <v>290</v>
      </c>
      <c r="AI31" s="52" t="s">
        <v>300</v>
      </c>
      <c r="AJ31" s="136">
        <f>B12</f>
        <v>1.5699999999999999E-5</v>
      </c>
      <c r="AL31" s="52" t="s">
        <v>300</v>
      </c>
      <c r="AM31" s="136">
        <f>B8</f>
        <v>1.35E-4</v>
      </c>
      <c r="AR31" s="52" t="s">
        <v>300</v>
      </c>
      <c r="AS31" s="136">
        <f>B12</f>
        <v>1.5699999999999999E-5</v>
      </c>
      <c r="AU31" s="52" t="s">
        <v>300</v>
      </c>
      <c r="AV31" s="136">
        <f>B8</f>
        <v>1.35E-4</v>
      </c>
      <c r="BA31" s="52" t="s">
        <v>300</v>
      </c>
      <c r="BB31" s="136">
        <f>B12</f>
        <v>1.5699999999999999E-5</v>
      </c>
      <c r="BD31" s="52" t="s">
        <v>300</v>
      </c>
      <c r="BE31" s="136">
        <f>B8</f>
        <v>1.35E-4</v>
      </c>
      <c r="BJ31" s="52" t="s">
        <v>158</v>
      </c>
      <c r="BK31" s="138">
        <f>B258</f>
        <v>1</v>
      </c>
      <c r="BL31" s="52" t="s">
        <v>146</v>
      </c>
      <c r="BM31" s="52" t="s">
        <v>158</v>
      </c>
      <c r="BN31" s="138">
        <f>B258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B112</f>
        <v>0.77</v>
      </c>
      <c r="BZ31" s="150">
        <v>365</v>
      </c>
      <c r="CA31" s="52" t="s">
        <v>24</v>
      </c>
      <c r="CB31" s="52" t="s">
        <v>410</v>
      </c>
      <c r="CC31" s="139">
        <f>B23</f>
        <v>2.5484199999999999E-2</v>
      </c>
      <c r="CD31" s="84" t="s">
        <v>353</v>
      </c>
      <c r="CE31" s="52" t="s">
        <v>419</v>
      </c>
      <c r="CF31" s="139">
        <f>B25</f>
        <v>3.4557999999999998E-2</v>
      </c>
      <c r="CG31" s="84" t="s">
        <v>353</v>
      </c>
      <c r="CM31" s="83"/>
      <c r="CN31" s="83" t="s">
        <v>168</v>
      </c>
      <c r="CO31" s="162">
        <f>B138</f>
        <v>2</v>
      </c>
      <c r="CP31" s="52" t="s">
        <v>41</v>
      </c>
      <c r="CQ31" s="83"/>
      <c r="CR31" s="83"/>
      <c r="CS31" s="83"/>
      <c r="CT31" s="83" t="s">
        <v>456</v>
      </c>
      <c r="CU31" s="150">
        <f>B165</f>
        <v>150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55</v>
      </c>
      <c r="DB31" s="83" t="s">
        <v>221</v>
      </c>
      <c r="DW31" s="88"/>
      <c r="DX31" s="88"/>
      <c r="DY31" s="88"/>
      <c r="DZ31" s="88"/>
      <c r="ET31" s="13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B94</f>
        <v>1.5</v>
      </c>
    </row>
    <row r="32" spans="1:214" ht="13.5" thickBot="1" x14ac:dyDescent="0.25">
      <c r="A32" s="91" t="s">
        <v>103</v>
      </c>
      <c r="B32" s="183">
        <f>PEF!G3</f>
        <v>776129.4078035407</v>
      </c>
      <c r="C32" s="52" t="s">
        <v>524</v>
      </c>
      <c r="D32" s="324"/>
      <c r="E32" s="348"/>
      <c r="F32" s="346"/>
      <c r="G32" s="52" t="s">
        <v>403</v>
      </c>
      <c r="H32" s="138">
        <f>B69</f>
        <v>0.25</v>
      </c>
      <c r="I32" s="52" t="s">
        <v>89</v>
      </c>
      <c r="J32" s="83" t="s">
        <v>381</v>
      </c>
      <c r="K32" s="150">
        <f>B67</f>
        <v>150</v>
      </c>
      <c r="L32" s="83" t="s">
        <v>24</v>
      </c>
      <c r="M32" s="52" t="s">
        <v>54</v>
      </c>
      <c r="N32" s="136">
        <f>B13</f>
        <v>0.80900000000000005</v>
      </c>
      <c r="P32" s="52" t="s">
        <v>54</v>
      </c>
      <c r="Q32" s="136">
        <f>B9</f>
        <v>0.71099999999999997</v>
      </c>
      <c r="V32" s="52" t="s">
        <v>420</v>
      </c>
      <c r="W32" s="138">
        <f>B238</f>
        <v>1</v>
      </c>
      <c r="X32" s="52" t="s">
        <v>146</v>
      </c>
      <c r="Y32" s="52" t="s">
        <v>158</v>
      </c>
      <c r="Z32" s="138">
        <f>B258</f>
        <v>1</v>
      </c>
      <c r="AA32" s="52" t="s">
        <v>146</v>
      </c>
      <c r="AB32" s="83" t="s">
        <v>77</v>
      </c>
      <c r="AC32" s="136">
        <f>B31</f>
        <v>1359344473.5814338</v>
      </c>
      <c r="AD32" s="136">
        <f>B31</f>
        <v>1359344473.5814338</v>
      </c>
      <c r="AE32" s="136">
        <f>B31</f>
        <v>1359344473.5814338</v>
      </c>
      <c r="AF32" s="136"/>
      <c r="AG32" s="136"/>
      <c r="AH32" s="104" t="s">
        <v>78</v>
      </c>
      <c r="AI32" s="52" t="s">
        <v>54</v>
      </c>
      <c r="AJ32" s="136">
        <f>B13</f>
        <v>0.80900000000000005</v>
      </c>
      <c r="AL32" s="52" t="s">
        <v>54</v>
      </c>
      <c r="AM32" s="136">
        <f>B9</f>
        <v>0.71099999999999997</v>
      </c>
      <c r="AR32" s="52" t="s">
        <v>54</v>
      </c>
      <c r="AS32" s="136">
        <f>B13</f>
        <v>0.80900000000000005</v>
      </c>
      <c r="AU32" s="52" t="s">
        <v>54</v>
      </c>
      <c r="AV32" s="136">
        <f>B9</f>
        <v>0.71099999999999997</v>
      </c>
      <c r="BA32" s="52" t="s">
        <v>54</v>
      </c>
      <c r="BB32" s="136">
        <f>B13</f>
        <v>0.80900000000000005</v>
      </c>
      <c r="BD32" s="52" t="s">
        <v>54</v>
      </c>
      <c r="BE32" s="136">
        <f>B9</f>
        <v>0.71099999999999997</v>
      </c>
      <c r="BJ32" s="52" t="s">
        <v>300</v>
      </c>
      <c r="BK32" s="136">
        <f>B12</f>
        <v>1.5699999999999999E-5</v>
      </c>
      <c r="BM32" s="52" t="s">
        <v>300</v>
      </c>
      <c r="BN32" s="136">
        <f>B8</f>
        <v>1.35E-4</v>
      </c>
      <c r="BS32" s="91"/>
      <c r="BT32" s="99"/>
      <c r="BU32" s="100"/>
      <c r="BV32" s="95" t="s">
        <v>287</v>
      </c>
      <c r="BW32" s="176">
        <v>27.027027027027</v>
      </c>
      <c r="BX32" s="52" t="s">
        <v>288</v>
      </c>
      <c r="BZ32" s="138">
        <v>1000</v>
      </c>
      <c r="CA32" s="52" t="s">
        <v>99</v>
      </c>
      <c r="CB32" s="95" t="s">
        <v>287</v>
      </c>
      <c r="CC32" s="176">
        <v>27.027027027027</v>
      </c>
      <c r="CD32" s="52" t="s">
        <v>288</v>
      </c>
      <c r="CE32" s="95" t="s">
        <v>287</v>
      </c>
      <c r="CF32" s="176">
        <v>27.027027027027</v>
      </c>
      <c r="CG32" s="52" t="s">
        <v>288</v>
      </c>
      <c r="CM32" s="83"/>
      <c r="CN32" s="83" t="s">
        <v>22</v>
      </c>
      <c r="CO32" s="137">
        <f>0.693/CO33</f>
        <v>1.6041666666666665E-3</v>
      </c>
      <c r="CR32" s="83"/>
      <c r="CS32" s="83"/>
      <c r="CT32" s="83" t="s">
        <v>465</v>
      </c>
      <c r="CU32" s="150">
        <f>B166</f>
        <v>150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55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5" thickTop="1" x14ac:dyDescent="0.2">
      <c r="A33" s="91" t="s">
        <v>104</v>
      </c>
      <c r="B33" s="183">
        <f>PEF!J3</f>
        <v>69557565.807898715</v>
      </c>
      <c r="C33" s="52" t="s">
        <v>524</v>
      </c>
      <c r="D33" s="83" t="s">
        <v>267</v>
      </c>
      <c r="E33" s="136">
        <f>B17</f>
        <v>1</v>
      </c>
      <c r="F33" s="52" t="s">
        <v>344</v>
      </c>
      <c r="G33" s="52" t="s">
        <v>404</v>
      </c>
      <c r="H33" s="138">
        <f>B70</f>
        <v>0.75</v>
      </c>
      <c r="I33" s="52" t="s">
        <v>89</v>
      </c>
      <c r="J33" s="83" t="s">
        <v>379</v>
      </c>
      <c r="K33" s="141">
        <f>B65</f>
        <v>1</v>
      </c>
      <c r="L33" s="92" t="s">
        <v>60</v>
      </c>
      <c r="M33" s="52" t="s">
        <v>408</v>
      </c>
      <c r="N33" s="150">
        <f>B88</f>
        <v>5</v>
      </c>
      <c r="O33" s="52" t="s">
        <v>194</v>
      </c>
      <c r="P33" s="52" t="s">
        <v>408</v>
      </c>
      <c r="Q33" s="150">
        <f>B88</f>
        <v>5</v>
      </c>
      <c r="R33" s="52" t="s">
        <v>194</v>
      </c>
      <c r="V33" s="52" t="s">
        <v>247</v>
      </c>
      <c r="W33" s="139">
        <f>B18</f>
        <v>0.36297000000000001</v>
      </c>
      <c r="X33" s="84" t="s">
        <v>39</v>
      </c>
      <c r="Y33" s="52" t="s">
        <v>247</v>
      </c>
      <c r="Z33" s="139">
        <f>B18</f>
        <v>0.36297000000000001</v>
      </c>
      <c r="AA33" s="84" t="s">
        <v>39</v>
      </c>
      <c r="AB33" s="104" t="s">
        <v>103</v>
      </c>
      <c r="AC33" s="136"/>
      <c r="AD33" s="136"/>
      <c r="AE33" s="136"/>
      <c r="AF33" s="157">
        <f>B32</f>
        <v>776129.4078035407</v>
      </c>
      <c r="AG33" s="136"/>
      <c r="AH33" s="104" t="s">
        <v>78</v>
      </c>
      <c r="AI33" s="52" t="s">
        <v>57</v>
      </c>
      <c r="AJ33" s="136">
        <f>B242</f>
        <v>5</v>
      </c>
      <c r="AK33" s="52" t="s">
        <v>194</v>
      </c>
      <c r="AL33" s="52" t="s">
        <v>57</v>
      </c>
      <c r="AM33" s="136">
        <f>B242</f>
        <v>5</v>
      </c>
      <c r="AN33" s="52" t="s">
        <v>194</v>
      </c>
      <c r="AR33" s="52" t="s">
        <v>57</v>
      </c>
      <c r="AS33" s="136">
        <f>B252</f>
        <v>5</v>
      </c>
      <c r="AT33" s="52" t="s">
        <v>194</v>
      </c>
      <c r="AU33" s="52" t="s">
        <v>57</v>
      </c>
      <c r="AV33" s="136">
        <f>B252</f>
        <v>5</v>
      </c>
      <c r="AW33" s="52" t="s">
        <v>194</v>
      </c>
      <c r="BA33" s="52" t="s">
        <v>58</v>
      </c>
      <c r="BB33" s="136">
        <f>B232</f>
        <v>5</v>
      </c>
      <c r="BC33" s="52" t="s">
        <v>194</v>
      </c>
      <c r="BD33" s="52" t="s">
        <v>57</v>
      </c>
      <c r="BE33" s="136">
        <f>B232</f>
        <v>5</v>
      </c>
      <c r="BF33" s="52" t="s">
        <v>194</v>
      </c>
      <c r="BJ33" s="52" t="s">
        <v>411</v>
      </c>
      <c r="BK33" s="136">
        <f>B13</f>
        <v>0.80900000000000005</v>
      </c>
      <c r="BM33" s="52" t="s">
        <v>418</v>
      </c>
      <c r="BN33" s="136">
        <f>B9</f>
        <v>0.71099999999999997</v>
      </c>
      <c r="BS33" s="91"/>
      <c r="BT33" s="99"/>
      <c r="BU33" s="100"/>
      <c r="BW33" s="90"/>
      <c r="BZ33" s="146">
        <v>1000</v>
      </c>
      <c r="CA33" s="52" t="s">
        <v>23</v>
      </c>
      <c r="CM33" s="83"/>
      <c r="CN33" s="91" t="s">
        <v>231</v>
      </c>
      <c r="CO33" s="136">
        <f>B30</f>
        <v>432</v>
      </c>
      <c r="CP33" s="52" t="s">
        <v>60</v>
      </c>
      <c r="CR33" s="83"/>
      <c r="CS33" s="83"/>
      <c r="CT33" s="83" t="s">
        <v>363</v>
      </c>
      <c r="CU33" s="141">
        <f t="shared" ref="CU33:CU40" si="1">B168</f>
        <v>1</v>
      </c>
      <c r="CV33" s="92" t="s">
        <v>60</v>
      </c>
      <c r="CZ33" s="92" t="s">
        <v>513</v>
      </c>
      <c r="DA33" s="141">
        <f t="shared" si="0"/>
        <v>55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B92</f>
        <v>70</v>
      </c>
    </row>
    <row r="34" spans="1:214" x14ac:dyDescent="0.2">
      <c r="A34" s="91" t="s">
        <v>231</v>
      </c>
      <c r="B34" s="183">
        <f>B30*365</f>
        <v>157680</v>
      </c>
      <c r="C34" s="52" t="s">
        <v>222</v>
      </c>
      <c r="D34" s="83" t="s">
        <v>382</v>
      </c>
      <c r="E34" s="150">
        <f>B68</f>
        <v>150</v>
      </c>
      <c r="F34" s="83" t="s">
        <v>24</v>
      </c>
      <c r="G34" s="83" t="s">
        <v>383</v>
      </c>
      <c r="H34" s="150">
        <f>B71</f>
        <v>24</v>
      </c>
      <c r="I34" s="94" t="s">
        <v>194</v>
      </c>
      <c r="J34" s="83" t="s">
        <v>383</v>
      </c>
      <c r="K34" s="150">
        <f>B71</f>
        <v>24</v>
      </c>
      <c r="L34" s="94" t="s">
        <v>194</v>
      </c>
      <c r="M34" s="52" t="s">
        <v>410</v>
      </c>
      <c r="N34" s="139">
        <f>B23</f>
        <v>2.5484199999999999E-2</v>
      </c>
      <c r="O34" s="84" t="s">
        <v>354</v>
      </c>
      <c r="P34" s="52" t="s">
        <v>419</v>
      </c>
      <c r="Q34" s="139">
        <f>B25</f>
        <v>3.4557999999999998E-2</v>
      </c>
      <c r="R34" s="84" t="s">
        <v>353</v>
      </c>
      <c r="V34" s="52" t="s">
        <v>421</v>
      </c>
      <c r="W34" s="150">
        <f>B243</f>
        <v>5</v>
      </c>
      <c r="X34" s="84" t="s">
        <v>194</v>
      </c>
      <c r="Y34" s="52" t="s">
        <v>192</v>
      </c>
      <c r="Z34" s="150">
        <f>B262</f>
        <v>5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B33</f>
        <v>69557565.807898715</v>
      </c>
      <c r="AH34" s="104" t="s">
        <v>78</v>
      </c>
      <c r="AI34" s="52" t="s">
        <v>410</v>
      </c>
      <c r="AJ34" s="139">
        <f>B23</f>
        <v>2.5484199999999999E-2</v>
      </c>
      <c r="AK34" s="84" t="s">
        <v>353</v>
      </c>
      <c r="AL34" s="52" t="s">
        <v>419</v>
      </c>
      <c r="AM34" s="139">
        <f>B25</f>
        <v>3.4557999999999998E-2</v>
      </c>
      <c r="AN34" s="84" t="s">
        <v>353</v>
      </c>
      <c r="AR34" s="52" t="s">
        <v>410</v>
      </c>
      <c r="AS34" s="139">
        <f>B23</f>
        <v>2.5484199999999999E-2</v>
      </c>
      <c r="AT34" s="84" t="s">
        <v>353</v>
      </c>
      <c r="AU34" s="52" t="s">
        <v>419</v>
      </c>
      <c r="AV34" s="139">
        <f>B25</f>
        <v>3.4557999999999998E-2</v>
      </c>
      <c r="AW34" s="84" t="s">
        <v>353</v>
      </c>
      <c r="BA34" s="52" t="s">
        <v>410</v>
      </c>
      <c r="BB34" s="139">
        <f>B23</f>
        <v>2.5484199999999999E-2</v>
      </c>
      <c r="BC34" s="84" t="s">
        <v>353</v>
      </c>
      <c r="BD34" s="52" t="s">
        <v>419</v>
      </c>
      <c r="BE34" s="139">
        <f>B25</f>
        <v>3.4557999999999998E-2</v>
      </c>
      <c r="BF34" s="84" t="s">
        <v>353</v>
      </c>
      <c r="BJ34" s="52" t="s">
        <v>57</v>
      </c>
      <c r="BK34" s="136">
        <f>B262</f>
        <v>5</v>
      </c>
      <c r="BL34" s="52" t="s">
        <v>194</v>
      </c>
      <c r="BM34" s="52" t="s">
        <v>57</v>
      </c>
      <c r="BN34" s="136">
        <f>B262</f>
        <v>5</v>
      </c>
      <c r="BO34" s="52" t="s">
        <v>194</v>
      </c>
      <c r="BT34" s="102"/>
      <c r="BU34" s="91"/>
      <c r="BY34" s="91" t="s">
        <v>308</v>
      </c>
      <c r="BZ34" s="146">
        <f>B111</f>
        <v>0.23</v>
      </c>
      <c r="CM34" s="83"/>
      <c r="CN34" s="84" t="s">
        <v>16</v>
      </c>
      <c r="CO34" s="137">
        <f>(CO31*CO32)/(1-EXP(-CO32*CO31))</f>
        <v>1.00160502445007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55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B45</f>
        <v>4</v>
      </c>
    </row>
    <row r="35" spans="1:214" x14ac:dyDescent="0.2">
      <c r="A35" s="83" t="s">
        <v>105</v>
      </c>
      <c r="B35" s="182">
        <v>240</v>
      </c>
      <c r="C35" s="84" t="s">
        <v>18</v>
      </c>
      <c r="D35" s="83" t="s">
        <v>258</v>
      </c>
      <c r="E35" s="136">
        <f>B29</f>
        <v>8.8060000000000005E-4</v>
      </c>
      <c r="F35" s="83" t="s">
        <v>87</v>
      </c>
      <c r="G35" s="83" t="s">
        <v>384</v>
      </c>
      <c r="H35" s="150">
        <f>B71</f>
        <v>24</v>
      </c>
      <c r="I35" s="52" t="s">
        <v>194</v>
      </c>
      <c r="J35" s="83" t="s">
        <v>384</v>
      </c>
      <c r="K35" s="150">
        <f>B71</f>
        <v>24</v>
      </c>
      <c r="L35" s="52" t="s">
        <v>194</v>
      </c>
      <c r="M35" s="52" t="s">
        <v>409</v>
      </c>
      <c r="N35" s="150">
        <f>B89</f>
        <v>25</v>
      </c>
      <c r="O35" s="52" t="s">
        <v>194</v>
      </c>
      <c r="P35" s="52" t="s">
        <v>409</v>
      </c>
      <c r="Q35" s="150">
        <f>B89</f>
        <v>25</v>
      </c>
      <c r="R35" s="52" t="s">
        <v>194</v>
      </c>
      <c r="V35" s="52" t="s">
        <v>304</v>
      </c>
      <c r="W35" s="146">
        <f>B236</f>
        <v>50</v>
      </c>
      <c r="X35" s="84" t="s">
        <v>407</v>
      </c>
      <c r="Y35" s="52" t="s">
        <v>348</v>
      </c>
      <c r="Z35" s="146">
        <f>B256</f>
        <v>50</v>
      </c>
      <c r="AA35" s="84" t="s">
        <v>407</v>
      </c>
      <c r="AB35" s="95" t="s">
        <v>287</v>
      </c>
      <c r="AC35" s="176">
        <v>27.027027027027</v>
      </c>
      <c r="AD35" s="176">
        <v>27.027027027027</v>
      </c>
      <c r="AE35" s="176">
        <v>27.027027027027</v>
      </c>
      <c r="AF35" s="176">
        <v>27.027027027027</v>
      </c>
      <c r="AG35" s="176">
        <v>27.027027027027</v>
      </c>
      <c r="AH35" s="52" t="s">
        <v>288</v>
      </c>
      <c r="AI35" s="52" t="s">
        <v>69</v>
      </c>
      <c r="AJ35" s="136">
        <f>B243</f>
        <v>5</v>
      </c>
      <c r="AK35" s="52" t="s">
        <v>194</v>
      </c>
      <c r="AL35" s="52" t="s">
        <v>69</v>
      </c>
      <c r="AM35" s="136">
        <f>B243</f>
        <v>5</v>
      </c>
      <c r="AN35" s="52" t="s">
        <v>194</v>
      </c>
      <c r="AR35" s="52" t="s">
        <v>69</v>
      </c>
      <c r="AS35" s="136">
        <f>B253</f>
        <v>5</v>
      </c>
      <c r="AT35" s="52" t="s">
        <v>194</v>
      </c>
      <c r="AU35" s="52" t="s">
        <v>69</v>
      </c>
      <c r="AV35" s="136">
        <f>B253</f>
        <v>5</v>
      </c>
      <c r="AW35" s="52" t="s">
        <v>194</v>
      </c>
      <c r="BA35" s="52" t="s">
        <v>69</v>
      </c>
      <c r="BB35" s="136">
        <f>B233</f>
        <v>5</v>
      </c>
      <c r="BC35" s="52" t="s">
        <v>194</v>
      </c>
      <c r="BD35" s="52" t="s">
        <v>69</v>
      </c>
      <c r="BE35" s="136">
        <f>B233</f>
        <v>5</v>
      </c>
      <c r="BF35" s="52" t="s">
        <v>194</v>
      </c>
      <c r="BJ35" s="52" t="s">
        <v>410</v>
      </c>
      <c r="BK35" s="139">
        <f>B23</f>
        <v>2.5484199999999999E-2</v>
      </c>
      <c r="BL35" s="84" t="s">
        <v>353</v>
      </c>
      <c r="BM35" s="52" t="s">
        <v>419</v>
      </c>
      <c r="BN35" s="139">
        <f>B25</f>
        <v>3.4557999999999998E-2</v>
      </c>
      <c r="BO35" s="84" t="s">
        <v>353</v>
      </c>
      <c r="BY35" s="91" t="s">
        <v>309</v>
      </c>
      <c r="BZ35" s="146">
        <f>B112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B165</f>
        <v>150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B75</f>
        <v>0.5</v>
      </c>
      <c r="HF35" s="52" t="s">
        <v>355</v>
      </c>
    </row>
    <row r="36" spans="1:214" x14ac:dyDescent="0.2">
      <c r="A36" s="83" t="s">
        <v>239</v>
      </c>
      <c r="B36" s="183">
        <v>4.2E-7</v>
      </c>
      <c r="C36" s="52" t="s">
        <v>601</v>
      </c>
      <c r="D36" s="83" t="s">
        <v>389</v>
      </c>
      <c r="E36" s="146">
        <f>B90</f>
        <v>1</v>
      </c>
      <c r="G36" s="83" t="s">
        <v>405</v>
      </c>
      <c r="H36" s="138">
        <f>B76</f>
        <v>5</v>
      </c>
      <c r="I36" s="52" t="s">
        <v>80</v>
      </c>
      <c r="J36" s="83" t="s">
        <v>390</v>
      </c>
      <c r="K36" s="141">
        <f>B78</f>
        <v>0.25</v>
      </c>
      <c r="M36" s="95" t="s">
        <v>287</v>
      </c>
      <c r="N36" s="176">
        <v>27.027027027027</v>
      </c>
      <c r="O36" s="52" t="s">
        <v>288</v>
      </c>
      <c r="P36" s="95" t="s">
        <v>287</v>
      </c>
      <c r="Q36" s="176">
        <v>27.027027027027</v>
      </c>
      <c r="R36" s="52" t="s">
        <v>288</v>
      </c>
      <c r="V36" s="83" t="s">
        <v>256</v>
      </c>
      <c r="W36" s="136">
        <f>B27</f>
        <v>125.5296</v>
      </c>
      <c r="X36" s="83" t="s">
        <v>343</v>
      </c>
      <c r="Y36" s="83" t="s">
        <v>256</v>
      </c>
      <c r="Z36" s="136">
        <f>B27</f>
        <v>125.5296</v>
      </c>
      <c r="AA36" s="83" t="s">
        <v>343</v>
      </c>
      <c r="AI36" s="95" t="s">
        <v>287</v>
      </c>
      <c r="AJ36" s="176">
        <v>27.027027027027</v>
      </c>
      <c r="AK36" s="52" t="s">
        <v>288</v>
      </c>
      <c r="AL36" s="95" t="s">
        <v>287</v>
      </c>
      <c r="AM36" s="176">
        <v>27.027027027027</v>
      </c>
      <c r="AN36" s="52" t="s">
        <v>288</v>
      </c>
      <c r="AR36" s="95" t="s">
        <v>287</v>
      </c>
      <c r="AS36" s="176">
        <v>27.027027027027</v>
      </c>
      <c r="AT36" s="52" t="s">
        <v>288</v>
      </c>
      <c r="AU36" s="95" t="s">
        <v>287</v>
      </c>
      <c r="AV36" s="176">
        <v>27.027027027027</v>
      </c>
      <c r="AW36" s="52" t="s">
        <v>288</v>
      </c>
      <c r="BA36" s="95" t="s">
        <v>287</v>
      </c>
      <c r="BB36" s="176">
        <v>27.027027027027</v>
      </c>
      <c r="BC36" s="52" t="s">
        <v>288</v>
      </c>
      <c r="BD36" s="95" t="s">
        <v>287</v>
      </c>
      <c r="BE36" s="176">
        <v>27.027027027027</v>
      </c>
      <c r="BF36" s="52" t="s">
        <v>288</v>
      </c>
      <c r="BJ36" s="95" t="s">
        <v>287</v>
      </c>
      <c r="BK36" s="176">
        <v>27.027027027027</v>
      </c>
      <c r="BL36" s="52" t="s">
        <v>288</v>
      </c>
      <c r="BM36" s="95" t="s">
        <v>287</v>
      </c>
      <c r="BN36" s="176">
        <v>27.027027027027</v>
      </c>
      <c r="BO36" s="52" t="s">
        <v>288</v>
      </c>
      <c r="BS36" s="100"/>
      <c r="BT36" s="100"/>
      <c r="BU36" s="91"/>
      <c r="BY36" s="95" t="s">
        <v>287</v>
      </c>
      <c r="BZ36" s="176">
        <v>27.027027027027</v>
      </c>
      <c r="CA36" s="52" t="s">
        <v>288</v>
      </c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B166</f>
        <v>150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B97</f>
        <v>5</v>
      </c>
      <c r="HF36" s="52" t="s">
        <v>94</v>
      </c>
    </row>
    <row r="37" spans="1:214" x14ac:dyDescent="0.2">
      <c r="A37" s="83" t="s">
        <v>236</v>
      </c>
      <c r="B37" s="183">
        <v>5.0000000000000001E-4</v>
      </c>
      <c r="C37" s="52" t="s">
        <v>388</v>
      </c>
      <c r="D37" s="83" t="s">
        <v>394</v>
      </c>
      <c r="E37" s="146">
        <f>B56</f>
        <v>35</v>
      </c>
      <c r="F37" s="52" t="s">
        <v>48</v>
      </c>
      <c r="G37" s="83" t="s">
        <v>406</v>
      </c>
      <c r="H37" s="138">
        <f>B77</f>
        <v>5</v>
      </c>
      <c r="I37" s="52" t="s">
        <v>80</v>
      </c>
      <c r="J37" s="83" t="s">
        <v>408</v>
      </c>
      <c r="K37" s="150">
        <f>B88</f>
        <v>5</v>
      </c>
      <c r="L37" s="84" t="s">
        <v>194</v>
      </c>
      <c r="V37" s="83" t="s">
        <v>301</v>
      </c>
      <c r="W37" s="142">
        <f>B240</f>
        <v>2</v>
      </c>
      <c r="Y37" s="83" t="s">
        <v>301</v>
      </c>
      <c r="Z37" s="142">
        <f>B260</f>
        <v>2</v>
      </c>
      <c r="BS37" s="91"/>
      <c r="BT37" s="91"/>
      <c r="BU37" s="91"/>
      <c r="BZ37" s="90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15</v>
      </c>
      <c r="CV37" s="84" t="s">
        <v>194</v>
      </c>
      <c r="CZ37" s="92" t="s">
        <v>363</v>
      </c>
      <c r="DA37" s="141">
        <f>B168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4.25" x14ac:dyDescent="0.2">
      <c r="A38" s="83" t="s">
        <v>237</v>
      </c>
      <c r="B38" s="183">
        <v>6.0000000000000001E-3</v>
      </c>
      <c r="C38" s="52" t="s">
        <v>388</v>
      </c>
      <c r="D38" s="83" t="s">
        <v>260</v>
      </c>
      <c r="E38" s="152">
        <f>(E33/(E35*E34*E37*E36))/E39</f>
        <v>8.0032012805122121E-3</v>
      </c>
      <c r="F38" s="84" t="s">
        <v>290</v>
      </c>
      <c r="H38" s="138">
        <f>1/1000</f>
        <v>1E-3</v>
      </c>
      <c r="I38" s="52" t="s">
        <v>82</v>
      </c>
      <c r="J38" s="83" t="s">
        <v>409</v>
      </c>
      <c r="K38" s="150">
        <f>B89</f>
        <v>25</v>
      </c>
      <c r="L38" s="84" t="s">
        <v>194</v>
      </c>
      <c r="V38" s="52" t="s">
        <v>261</v>
      </c>
      <c r="W38" s="143">
        <f>((W27)/((W34/24)*W31*W32*W33*W35))/W42</f>
        <v>7.8287461773700364E-5</v>
      </c>
      <c r="X38" s="52" t="s">
        <v>15</v>
      </c>
      <c r="Y38" s="52" t="s">
        <v>261</v>
      </c>
      <c r="Z38" s="143">
        <f>((Z27)/((Z34/24)*Z31*Z32*Z33*Z35))/Z45</f>
        <v>7.8287461773700364E-5</v>
      </c>
      <c r="AA38" s="52" t="s">
        <v>15</v>
      </c>
      <c r="AE38" s="352" t="s">
        <v>226</v>
      </c>
      <c r="AF38" s="352"/>
      <c r="AG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5</v>
      </c>
      <c r="CV38" s="84" t="s">
        <v>194</v>
      </c>
      <c r="CZ38" s="92" t="s">
        <v>364</v>
      </c>
      <c r="DA38" s="141">
        <f>B169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B98</f>
        <v>0.18</v>
      </c>
      <c r="HF38" s="52" t="s">
        <v>355</v>
      </c>
    </row>
    <row r="39" spans="1:214" x14ac:dyDescent="0.2">
      <c r="A39" s="83" t="s">
        <v>171</v>
      </c>
      <c r="B39" s="183">
        <v>3.0000000000000001E-3</v>
      </c>
      <c r="C39" s="52" t="s">
        <v>388</v>
      </c>
      <c r="D39" s="95" t="s">
        <v>287</v>
      </c>
      <c r="E39" s="176">
        <v>27.027027027027</v>
      </c>
      <c r="F39" s="52" t="s">
        <v>288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((W27)/((W34/24)*W31*W36*(1/365)))/W42</f>
        <v>4.1312327929030326E-3</v>
      </c>
      <c r="X39" s="52" t="s">
        <v>15</v>
      </c>
      <c r="Y39" s="52" t="s">
        <v>271</v>
      </c>
      <c r="Z39" s="144">
        <f>((Z27)/((Z34/24)*Z31*Z36*(1/365)))/Z45</f>
        <v>4.1312327929030326E-3</v>
      </c>
      <c r="AA39" s="52" t="s">
        <v>15</v>
      </c>
      <c r="AE39" s="352"/>
      <c r="AF39" s="352"/>
      <c r="AG39" s="352"/>
      <c r="BK39" s="352" t="s">
        <v>230</v>
      </c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B170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B99</f>
        <v>55</v>
      </c>
      <c r="HF39" s="52" t="s">
        <v>97</v>
      </c>
    </row>
    <row r="40" spans="1:214" x14ac:dyDescent="0.2">
      <c r="A40" s="83" t="s">
        <v>238</v>
      </c>
      <c r="B40" s="183">
        <v>1.7000000000000001E-4</v>
      </c>
      <c r="C40" s="52" t="s">
        <v>388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((W27*W29*W28)/((W34/24)*(1-EXP(-W29*W32))*W33*W35*W31*W32))/W42</f>
        <v>7.835027163041939E-5</v>
      </c>
      <c r="X40" s="52" t="s">
        <v>16</v>
      </c>
      <c r="Y40" s="52" t="s">
        <v>261</v>
      </c>
      <c r="Z40" s="144">
        <f>((Z27*Z29*Z28)/((Z34/24)*(1-EXP(-Z29*Z32))*Z33*Z35*Z31*Z32))/Z45</f>
        <v>7.835027163041939E-5</v>
      </c>
      <c r="AA40" s="52" t="s">
        <v>16</v>
      </c>
      <c r="AE40" s="352"/>
      <c r="AF40" s="352"/>
      <c r="AG40" s="352"/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1</v>
      </c>
      <c r="CZ40" s="92" t="s">
        <v>457</v>
      </c>
      <c r="DA40" s="141">
        <f>B177</f>
        <v>5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B100</f>
        <v>5</v>
      </c>
      <c r="HF40" s="52" t="s">
        <v>97</v>
      </c>
    </row>
    <row r="41" spans="1:214" x14ac:dyDescent="0.2">
      <c r="A41" s="52" t="s">
        <v>229</v>
      </c>
      <c r="B41" s="183">
        <v>5.0000000000000001E-4</v>
      </c>
      <c r="C41" s="52" t="s">
        <v>388</v>
      </c>
      <c r="G41" s="83" t="s">
        <v>390</v>
      </c>
      <c r="H41" s="141">
        <f>B78</f>
        <v>0.25</v>
      </c>
      <c r="I41" s="84"/>
      <c r="J41" s="83" t="s">
        <v>302</v>
      </c>
      <c r="K41" s="161">
        <f>B3</f>
        <v>2.41E-4</v>
      </c>
      <c r="V41" s="52" t="s">
        <v>271</v>
      </c>
      <c r="W41" s="145">
        <f>((W27*W29*W28)/((W34/24)*(1-EXP(-W29*W28))*W36*W31*(1/365)))/W42</f>
        <v>4.1345472717980725E-3</v>
      </c>
      <c r="X41" s="52" t="s">
        <v>16</v>
      </c>
      <c r="Y41" s="52" t="s">
        <v>271</v>
      </c>
      <c r="Z41" s="145">
        <f>((Z27*Z29*Z28)/((Z34/24)*(1-EXP(-Z29*Z28))*Z36*Z31*(1/365)))/Z45</f>
        <v>4.1345472717980725E-3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61">
        <f>B3</f>
        <v>2.41E-4</v>
      </c>
      <c r="CZ41" s="92" t="s">
        <v>466</v>
      </c>
      <c r="DA41" s="141">
        <f>B178</f>
        <v>5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B101</f>
        <v>5</v>
      </c>
      <c r="HF41" s="52" t="s">
        <v>97</v>
      </c>
    </row>
    <row r="42" spans="1:214" ht="13.5" thickBot="1" x14ac:dyDescent="0.25">
      <c r="A42" s="83" t="s">
        <v>228</v>
      </c>
      <c r="B42" s="183">
        <v>6.0000000000000001E-3</v>
      </c>
      <c r="C42" s="52" t="s">
        <v>388</v>
      </c>
      <c r="G42" s="83"/>
      <c r="H42" s="146">
        <v>365</v>
      </c>
      <c r="I42" s="84" t="s">
        <v>24</v>
      </c>
      <c r="J42" s="83" t="s">
        <v>413</v>
      </c>
      <c r="K42" s="161">
        <f>B4</f>
        <v>0.753</v>
      </c>
      <c r="V42" s="95" t="s">
        <v>287</v>
      </c>
      <c r="W42" s="176">
        <v>27.027027027027</v>
      </c>
      <c r="X42" s="52" t="s">
        <v>288</v>
      </c>
      <c r="Y42" s="52" t="s">
        <v>220</v>
      </c>
      <c r="Z42" s="138">
        <f>B266</f>
        <v>25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61">
        <f>B4</f>
        <v>0.753</v>
      </c>
      <c r="CW42" s="84"/>
      <c r="CX42" s="84"/>
      <c r="CY42" s="84"/>
      <c r="CZ42" s="52" t="s">
        <v>477</v>
      </c>
      <c r="DA42" s="141">
        <f>B179</f>
        <v>0.25</v>
      </c>
      <c r="DB42" s="92" t="s">
        <v>358</v>
      </c>
      <c r="DW42" s="88"/>
      <c r="DX42" s="88"/>
      <c r="DY42" s="88"/>
      <c r="DZ42" s="88"/>
      <c r="HD42" s="52" t="s">
        <v>225</v>
      </c>
      <c r="HE42" s="138">
        <f>1+((HE35*HE36*HE37)/(HE38*HE39))</f>
        <v>3.1605966718331597</v>
      </c>
    </row>
    <row r="43" spans="1:214" ht="19.5" thickTop="1" thickBot="1" x14ac:dyDescent="0.25">
      <c r="A43" s="84" t="s">
        <v>32</v>
      </c>
      <c r="B43" s="183">
        <f>0.00001914</f>
        <v>1.914E-5</v>
      </c>
      <c r="D43" s="353" t="s">
        <v>529</v>
      </c>
      <c r="E43" s="354"/>
      <c r="F43" s="355"/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Y43" s="52" t="s">
        <v>219</v>
      </c>
      <c r="Z43" s="138">
        <f>B265</f>
        <v>3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B180</f>
        <v>0.85</v>
      </c>
      <c r="DB43" s="92" t="s">
        <v>358</v>
      </c>
      <c r="DW43" s="88"/>
      <c r="DX43" s="88"/>
      <c r="DY43" s="88"/>
      <c r="DZ43" s="88"/>
    </row>
    <row r="44" spans="1:214" x14ac:dyDescent="0.2">
      <c r="A44" s="52" t="s">
        <v>33</v>
      </c>
      <c r="B44" s="183">
        <v>2.1999999999999999E-5</v>
      </c>
      <c r="D44" s="323" t="s">
        <v>530</v>
      </c>
      <c r="E44" s="347">
        <f>E54</f>
        <v>3.3346672002134217E-2</v>
      </c>
      <c r="F44" s="345" t="s">
        <v>291</v>
      </c>
      <c r="G44" s="52" t="s">
        <v>19</v>
      </c>
      <c r="H44" s="136">
        <f>H46</f>
        <v>1.914E-5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5.75" thickBot="1" x14ac:dyDescent="0.25">
      <c r="A45" s="83" t="s">
        <v>156</v>
      </c>
      <c r="B45" s="182">
        <v>4</v>
      </c>
      <c r="C45" s="83" t="s">
        <v>18</v>
      </c>
      <c r="D45" s="324"/>
      <c r="E45" s="348"/>
      <c r="F45" s="346"/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Y45" s="95" t="s">
        <v>287</v>
      </c>
      <c r="Z45" s="176">
        <v>27.027027027027</v>
      </c>
      <c r="AA45" s="52" t="s">
        <v>288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B181</f>
        <v>0.5</v>
      </c>
      <c r="DB45" s="92" t="s">
        <v>145</v>
      </c>
      <c r="DW45" s="88"/>
      <c r="DX45" s="88"/>
      <c r="DY45" s="88"/>
      <c r="DZ45" s="88"/>
    </row>
    <row r="46" spans="1:214" ht="13.5" thickTop="1" x14ac:dyDescent="0.2">
      <c r="A46" s="84" t="s">
        <v>21</v>
      </c>
      <c r="B46" s="188">
        <f>15/27.027</f>
        <v>0.55500055500055501</v>
      </c>
      <c r="C46" s="52" t="s">
        <v>291</v>
      </c>
      <c r="D46" s="83" t="s">
        <v>267</v>
      </c>
      <c r="E46" s="136">
        <f>B17</f>
        <v>1</v>
      </c>
      <c r="F46" s="52" t="s">
        <v>344</v>
      </c>
      <c r="G46" s="84" t="s">
        <v>32</v>
      </c>
      <c r="H46" s="139">
        <f>B43</f>
        <v>1.914E-5</v>
      </c>
      <c r="K46" s="146">
        <v>1000</v>
      </c>
      <c r="L46" s="52" t="s">
        <v>23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52" t="s">
        <v>393</v>
      </c>
      <c r="B47" s="131">
        <v>0.26</v>
      </c>
      <c r="D47" s="83" t="s">
        <v>382</v>
      </c>
      <c r="E47" s="150">
        <f>B68</f>
        <v>150</v>
      </c>
      <c r="F47" s="83" t="s">
        <v>24</v>
      </c>
      <c r="G47" s="83" t="s">
        <v>393</v>
      </c>
      <c r="H47" s="142">
        <f>B47</f>
        <v>0.26</v>
      </c>
      <c r="J47" s="52" t="s">
        <v>19</v>
      </c>
      <c r="K47" s="136">
        <f>K49</f>
        <v>1.914E-5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B163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52" t="s">
        <v>392</v>
      </c>
      <c r="B48" s="131">
        <v>0.25</v>
      </c>
      <c r="D48" s="83" t="s">
        <v>258</v>
      </c>
      <c r="E48" s="136">
        <f>B29</f>
        <v>8.8060000000000005E-4</v>
      </c>
      <c r="F48" s="83" t="s">
        <v>87</v>
      </c>
      <c r="G48" s="52" t="s">
        <v>17</v>
      </c>
      <c r="H48" s="137">
        <f>((H51*H52*H53)*((1-EXP(-H54*H55))))/(H56*H54)</f>
        <v>6.6877504027585484E-4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B164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381" t="s">
        <v>2</v>
      </c>
      <c r="B49" s="382"/>
      <c r="C49" s="383"/>
      <c r="D49" s="83" t="s">
        <v>379</v>
      </c>
      <c r="E49" s="146">
        <f>B65</f>
        <v>1</v>
      </c>
      <c r="F49" s="52" t="s">
        <v>60</v>
      </c>
      <c r="G49" s="52" t="s">
        <v>25</v>
      </c>
      <c r="H49" s="137">
        <f>(H51*H52*H57*((1-EXP(-H54*H55))))/(H56*H54)</f>
        <v>9.0847184154504852</v>
      </c>
      <c r="I49" s="52" t="s">
        <v>18</v>
      </c>
      <c r="J49" s="84" t="s">
        <v>32</v>
      </c>
      <c r="K49" s="139">
        <f>B43</f>
        <v>1.914E-5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T49" s="95" t="s">
        <v>287</v>
      </c>
      <c r="CU49" s="176">
        <v>27.027027027027</v>
      </c>
      <c r="CV49" s="52" t="s">
        <v>288</v>
      </c>
      <c r="CZ49" s="83" t="s">
        <v>475</v>
      </c>
      <c r="DA49" s="146">
        <f>B163</f>
        <v>0.15</v>
      </c>
      <c r="DW49" s="88"/>
      <c r="DX49" s="88"/>
      <c r="DY49" s="88"/>
      <c r="DZ49" s="88"/>
    </row>
    <row r="50" spans="1:130" x14ac:dyDescent="0.2">
      <c r="A50" s="83" t="s">
        <v>366</v>
      </c>
      <c r="B50" s="130">
        <v>5</v>
      </c>
      <c r="C50" s="92" t="s">
        <v>407</v>
      </c>
      <c r="D50" s="83" t="s">
        <v>394</v>
      </c>
      <c r="E50" s="146">
        <f>B56</f>
        <v>35</v>
      </c>
      <c r="F50" s="52" t="s">
        <v>48</v>
      </c>
      <c r="G50" s="52" t="s">
        <v>31</v>
      </c>
      <c r="H50" s="137">
        <f>(H51*H52*H58*H64*((1-EXP(-H59*H60))))/(H61*H59)</f>
        <v>3.6421488784670224</v>
      </c>
      <c r="I50" s="52" t="s">
        <v>18</v>
      </c>
      <c r="J50" s="83" t="s">
        <v>393</v>
      </c>
      <c r="K50" s="142">
        <f>B47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Z50" s="83" t="s">
        <v>476</v>
      </c>
      <c r="DA50" s="146">
        <f>B164</f>
        <v>0.85</v>
      </c>
      <c r="DW50" s="88"/>
      <c r="DX50" s="88"/>
      <c r="DY50" s="88"/>
      <c r="DZ50" s="88"/>
    </row>
    <row r="51" spans="1:130" x14ac:dyDescent="0.2">
      <c r="A51" s="83" t="s">
        <v>367</v>
      </c>
      <c r="B51" s="130">
        <v>10</v>
      </c>
      <c r="C51" s="92" t="s">
        <v>407</v>
      </c>
      <c r="D51" s="83"/>
      <c r="E51" s="150">
        <v>1000</v>
      </c>
      <c r="F51" s="84" t="s">
        <v>99</v>
      </c>
      <c r="G51" s="83" t="s">
        <v>36</v>
      </c>
      <c r="H51" s="138">
        <f>B79</f>
        <v>3.62</v>
      </c>
      <c r="I51" s="52" t="s">
        <v>37</v>
      </c>
      <c r="J51" s="83" t="s">
        <v>376</v>
      </c>
      <c r="K51" s="146">
        <f>B61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CZ51" s="95" t="s">
        <v>287</v>
      </c>
      <c r="DA51" s="176">
        <v>27.027027027027</v>
      </c>
      <c r="DB51" s="52" t="s">
        <v>288</v>
      </c>
      <c r="DW51" s="88"/>
      <c r="DX51" s="88"/>
      <c r="DY51" s="88"/>
      <c r="DZ51" s="88"/>
    </row>
    <row r="52" spans="1:130" x14ac:dyDescent="0.2">
      <c r="A52" s="83" t="s">
        <v>368</v>
      </c>
      <c r="B52" s="130">
        <v>100</v>
      </c>
      <c r="C52" s="84" t="s">
        <v>48</v>
      </c>
      <c r="D52" s="83" t="s">
        <v>105</v>
      </c>
      <c r="E52" s="150">
        <f>B35</f>
        <v>240</v>
      </c>
      <c r="F52" s="84" t="s">
        <v>18</v>
      </c>
      <c r="G52" s="83" t="s">
        <v>40</v>
      </c>
      <c r="H52" s="138">
        <f>B80</f>
        <v>0.25</v>
      </c>
      <c r="I52" s="52" t="s">
        <v>41</v>
      </c>
      <c r="J52" s="83" t="s">
        <v>377</v>
      </c>
      <c r="K52" s="146">
        <f>B62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DW52" s="88"/>
      <c r="DX52" s="88"/>
      <c r="DY52" s="88"/>
      <c r="DZ52" s="88"/>
    </row>
    <row r="53" spans="1:130" x14ac:dyDescent="0.2">
      <c r="A53" s="83" t="s">
        <v>369</v>
      </c>
      <c r="B53" s="130">
        <v>50</v>
      </c>
      <c r="C53" s="84" t="s">
        <v>48</v>
      </c>
      <c r="D53" s="83" t="s">
        <v>107</v>
      </c>
      <c r="E53" s="138">
        <f>B74</f>
        <v>1</v>
      </c>
      <c r="F53" s="84" t="s">
        <v>108</v>
      </c>
      <c r="G53" s="92" t="s">
        <v>32</v>
      </c>
      <c r="H53" s="136">
        <f>B43</f>
        <v>1.914E-5</v>
      </c>
      <c r="J53" s="95" t="s">
        <v>287</v>
      </c>
      <c r="K53" s="176">
        <v>27.027027027027</v>
      </c>
      <c r="L53" s="52" t="s">
        <v>288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83" t="s">
        <v>370</v>
      </c>
      <c r="B54" s="130">
        <v>0.25</v>
      </c>
      <c r="C54" s="83" t="s">
        <v>28</v>
      </c>
      <c r="D54" s="83" t="s">
        <v>260</v>
      </c>
      <c r="E54" s="152">
        <f>(E46/(E48*E47*E49*E50*E52*E53*(1/E51)))/E55</f>
        <v>3.3346672002134217E-2</v>
      </c>
      <c r="F54" s="52" t="s">
        <v>291</v>
      </c>
      <c r="G54" s="92" t="s">
        <v>49</v>
      </c>
      <c r="H54" s="137">
        <f>H62+H63</f>
        <v>3.1394977168949772E-5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83" t="s">
        <v>371</v>
      </c>
      <c r="B55" s="130">
        <v>1.5</v>
      </c>
      <c r="C55" s="52" t="s">
        <v>28</v>
      </c>
      <c r="D55" s="95" t="s">
        <v>287</v>
      </c>
      <c r="E55" s="176">
        <v>27.027027027027</v>
      </c>
      <c r="F55" s="52" t="s">
        <v>288</v>
      </c>
      <c r="G55" s="92" t="s">
        <v>52</v>
      </c>
      <c r="H55" s="138">
        <f>B81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83" t="s">
        <v>310</v>
      </c>
      <c r="B56" s="130">
        <v>35</v>
      </c>
      <c r="C56" s="52" t="s">
        <v>48</v>
      </c>
      <c r="G56" s="92" t="s">
        <v>55</v>
      </c>
      <c r="H56" s="138">
        <f>B82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83" t="s">
        <v>372</v>
      </c>
      <c r="B57" s="130">
        <v>55</v>
      </c>
      <c r="C57" s="92" t="s">
        <v>221</v>
      </c>
      <c r="G57" s="92" t="s">
        <v>393</v>
      </c>
      <c r="H57" s="138">
        <f>B47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83" t="s">
        <v>373</v>
      </c>
      <c r="B58" s="130">
        <v>55</v>
      </c>
      <c r="C58" s="92" t="s">
        <v>221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83" t="s">
        <v>374</v>
      </c>
      <c r="B59" s="130">
        <v>55</v>
      </c>
      <c r="C59" s="92" t="s">
        <v>221</v>
      </c>
      <c r="G59" s="92" t="s">
        <v>63</v>
      </c>
      <c r="H59" s="151">
        <f>H63+(0.693/H65)</f>
        <v>4.9504394977168943E-2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83" t="s">
        <v>375</v>
      </c>
      <c r="B60" s="130">
        <v>55</v>
      </c>
      <c r="C60" s="92" t="s">
        <v>221</v>
      </c>
      <c r="G60" s="92" t="s">
        <v>67</v>
      </c>
      <c r="H60" s="142">
        <f>B83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83" t="s">
        <v>376</v>
      </c>
      <c r="B61" s="130">
        <v>0.23</v>
      </c>
      <c r="G61" s="92" t="s">
        <v>68</v>
      </c>
      <c r="H61" s="142">
        <f>B84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83" t="s">
        <v>377</v>
      </c>
      <c r="B62" s="130">
        <v>0.77</v>
      </c>
      <c r="G62" s="92" t="s">
        <v>70</v>
      </c>
      <c r="H62" s="138">
        <f>B85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378</v>
      </c>
      <c r="B63" s="131">
        <v>1</v>
      </c>
      <c r="C63" s="52" t="s">
        <v>60</v>
      </c>
      <c r="G63" s="92" t="s">
        <v>71</v>
      </c>
      <c r="H63" s="137">
        <f>0.693/H67</f>
        <v>4.3949771689497717E-6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52" t="s">
        <v>448</v>
      </c>
      <c r="B64" s="131">
        <v>1</v>
      </c>
      <c r="C64" s="52" t="s">
        <v>60</v>
      </c>
      <c r="G64" s="92" t="s">
        <v>73</v>
      </c>
      <c r="H64" s="138">
        <f>B86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379</v>
      </c>
      <c r="B65" s="131">
        <v>1</v>
      </c>
      <c r="C65" s="52" t="s">
        <v>60</v>
      </c>
      <c r="G65" s="92" t="s">
        <v>74</v>
      </c>
      <c r="H65" s="138">
        <f>B87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380</v>
      </c>
      <c r="B66" s="131">
        <v>150</v>
      </c>
      <c r="C66" s="83" t="s">
        <v>24</v>
      </c>
      <c r="G66" s="52" t="s">
        <v>33</v>
      </c>
      <c r="H66" s="136">
        <f>B44</f>
        <v>2.1999999999999999E-5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381</v>
      </c>
      <c r="B67" s="131">
        <v>150</v>
      </c>
      <c r="C67" s="83" t="s">
        <v>24</v>
      </c>
      <c r="G67" s="83" t="s">
        <v>234</v>
      </c>
      <c r="H67" s="136">
        <f>B34</f>
        <v>157680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382</v>
      </c>
      <c r="B68" s="131">
        <v>150</v>
      </c>
      <c r="C68" s="83" t="s">
        <v>24</v>
      </c>
      <c r="G68" s="83" t="s">
        <v>376</v>
      </c>
      <c r="H68" s="146">
        <f>B61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52" t="s">
        <v>403</v>
      </c>
      <c r="B69" s="131">
        <v>0.25</v>
      </c>
      <c r="C69" s="52" t="s">
        <v>89</v>
      </c>
      <c r="G69" s="83" t="s">
        <v>377</v>
      </c>
      <c r="H69" s="146">
        <f>B62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52" t="s">
        <v>404</v>
      </c>
      <c r="B70" s="131">
        <v>0.75</v>
      </c>
      <c r="C70" s="52" t="s">
        <v>89</v>
      </c>
      <c r="G70" s="95" t="s">
        <v>287</v>
      </c>
      <c r="H70" s="176">
        <v>27.027027027027</v>
      </c>
      <c r="I70" s="52" t="s">
        <v>288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52" t="s">
        <v>385</v>
      </c>
      <c r="B71" s="131">
        <v>24</v>
      </c>
      <c r="C71" s="52" t="s">
        <v>194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52" t="s">
        <v>318</v>
      </c>
      <c r="B72" s="131">
        <v>2</v>
      </c>
      <c r="AF72" s="109"/>
      <c r="AG72" s="106"/>
      <c r="AH72" s="106"/>
      <c r="AI72" s="106"/>
      <c r="AJ72" s="106"/>
      <c r="AK72" s="106"/>
    </row>
    <row r="73" spans="1:105" x14ac:dyDescent="0.2">
      <c r="A73" s="52" t="s">
        <v>303</v>
      </c>
      <c r="B73" s="131">
        <v>1</v>
      </c>
      <c r="AF73" s="109"/>
      <c r="AG73" s="106"/>
      <c r="AH73" s="106"/>
      <c r="AI73" s="106"/>
      <c r="AJ73" s="106"/>
      <c r="AK73" s="106"/>
    </row>
    <row r="74" spans="1:105" x14ac:dyDescent="0.2">
      <c r="A74" s="83" t="s">
        <v>107</v>
      </c>
      <c r="B74" s="131">
        <v>1</v>
      </c>
      <c r="C74" s="84" t="s">
        <v>108</v>
      </c>
      <c r="AF74" s="109"/>
      <c r="AG74" s="106"/>
      <c r="AH74" s="106"/>
      <c r="AI74" s="106"/>
      <c r="AJ74" s="106"/>
      <c r="AK74" s="106"/>
    </row>
    <row r="75" spans="1:105" x14ac:dyDescent="0.2">
      <c r="A75" s="52" t="s">
        <v>65</v>
      </c>
      <c r="B75" s="131">
        <v>0.5</v>
      </c>
      <c r="C75" s="52" t="s">
        <v>66</v>
      </c>
      <c r="AF75" s="108"/>
      <c r="AG75" s="106"/>
      <c r="AH75" s="106"/>
      <c r="AI75" s="106"/>
      <c r="AJ75" s="106"/>
      <c r="AK75" s="106"/>
    </row>
    <row r="76" spans="1:105" x14ac:dyDescent="0.2">
      <c r="A76" s="52" t="s">
        <v>79</v>
      </c>
      <c r="B76" s="131">
        <v>5</v>
      </c>
      <c r="C76" s="52" t="s">
        <v>80</v>
      </c>
      <c r="AF76" s="109"/>
      <c r="AG76" s="106"/>
      <c r="AH76" s="106"/>
      <c r="AI76" s="106"/>
      <c r="AJ76" s="106"/>
      <c r="AK76" s="106"/>
    </row>
    <row r="77" spans="1:105" x14ac:dyDescent="0.2">
      <c r="A77" s="52" t="s">
        <v>81</v>
      </c>
      <c r="B77" s="131">
        <v>5</v>
      </c>
      <c r="C77" s="52" t="s">
        <v>80</v>
      </c>
      <c r="AF77" s="109"/>
      <c r="AG77" s="106"/>
      <c r="AH77" s="106"/>
      <c r="AI77" s="106"/>
      <c r="AJ77" s="106"/>
      <c r="AK77" s="106"/>
    </row>
    <row r="78" spans="1:105" x14ac:dyDescent="0.2">
      <c r="A78" s="52" t="s">
        <v>390</v>
      </c>
      <c r="B78" s="131">
        <v>0.25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36</v>
      </c>
      <c r="B79" s="131">
        <v>3.62</v>
      </c>
      <c r="C79" s="52" t="s">
        <v>37</v>
      </c>
      <c r="AF79" s="109"/>
      <c r="AG79" s="106"/>
    </row>
    <row r="80" spans="1:105" x14ac:dyDescent="0.2">
      <c r="A80" s="83" t="s">
        <v>40</v>
      </c>
      <c r="B80" s="131">
        <v>0.25</v>
      </c>
      <c r="C80" s="52" t="s">
        <v>41</v>
      </c>
      <c r="AF80" s="109"/>
      <c r="AG80" s="106"/>
      <c r="AH80" s="106"/>
      <c r="AI80" s="106"/>
      <c r="AJ80" s="106"/>
      <c r="AK80" s="106"/>
    </row>
    <row r="81" spans="1:37" x14ac:dyDescent="0.2">
      <c r="A81" s="92" t="s">
        <v>52</v>
      </c>
      <c r="B81" s="131">
        <v>10950</v>
      </c>
      <c r="C81" s="52" t="s">
        <v>53</v>
      </c>
      <c r="AF81" s="109"/>
      <c r="AG81" s="106"/>
      <c r="AH81" s="106"/>
      <c r="AI81" s="106"/>
      <c r="AJ81" s="106"/>
      <c r="AK81" s="106"/>
    </row>
    <row r="82" spans="1:37" x14ac:dyDescent="0.2">
      <c r="A82" s="92" t="s">
        <v>55</v>
      </c>
      <c r="B82" s="131">
        <v>240</v>
      </c>
      <c r="C82" s="52" t="s">
        <v>56</v>
      </c>
      <c r="AF82" s="109"/>
      <c r="AG82" s="106"/>
      <c r="AH82" s="106"/>
      <c r="AI82" s="106"/>
      <c r="AJ82" s="106"/>
      <c r="AK82" s="106"/>
    </row>
    <row r="83" spans="1:37" x14ac:dyDescent="0.2">
      <c r="A83" s="92" t="s">
        <v>67</v>
      </c>
      <c r="B83" s="131">
        <v>60</v>
      </c>
      <c r="C83" s="83" t="s">
        <v>53</v>
      </c>
      <c r="AF83" s="109"/>
      <c r="AG83" s="106"/>
      <c r="AH83" s="106"/>
      <c r="AI83" s="106"/>
      <c r="AJ83" s="106"/>
      <c r="AK83" s="106"/>
    </row>
    <row r="84" spans="1:37" x14ac:dyDescent="0.2">
      <c r="A84" s="92" t="s">
        <v>68</v>
      </c>
      <c r="B84" s="131">
        <v>2</v>
      </c>
      <c r="C84" s="83" t="s">
        <v>56</v>
      </c>
      <c r="AF84" s="108"/>
      <c r="AG84" s="106"/>
    </row>
    <row r="85" spans="1:37" x14ac:dyDescent="0.2">
      <c r="A85" s="92" t="s">
        <v>70</v>
      </c>
      <c r="B85" s="131">
        <v>2.6999999999999999E-5</v>
      </c>
      <c r="C85" s="52" t="s">
        <v>64</v>
      </c>
      <c r="AF85" s="108"/>
      <c r="AG85" s="106"/>
      <c r="AH85" s="106"/>
      <c r="AI85" s="106"/>
      <c r="AJ85" s="106"/>
      <c r="AK85" s="106"/>
    </row>
    <row r="86" spans="1:37" x14ac:dyDescent="0.2">
      <c r="A86" s="92" t="s">
        <v>73</v>
      </c>
      <c r="B86" s="131">
        <v>1</v>
      </c>
      <c r="C86" s="52" t="s">
        <v>41</v>
      </c>
      <c r="AF86" s="108"/>
      <c r="AG86" s="106"/>
    </row>
    <row r="87" spans="1:37" x14ac:dyDescent="0.2">
      <c r="A87" s="92" t="s">
        <v>74</v>
      </c>
      <c r="B87" s="131">
        <v>14</v>
      </c>
      <c r="C87" s="52" t="s">
        <v>75</v>
      </c>
      <c r="AH87" s="108"/>
      <c r="AI87" s="108"/>
      <c r="AJ87" s="108"/>
      <c r="AK87" s="108"/>
    </row>
    <row r="88" spans="1:37" x14ac:dyDescent="0.2">
      <c r="A88" s="83" t="s">
        <v>408</v>
      </c>
      <c r="B88" s="130">
        <v>5</v>
      </c>
      <c r="C88" s="84" t="s">
        <v>194</v>
      </c>
    </row>
    <row r="89" spans="1:37" x14ac:dyDescent="0.2">
      <c r="A89" s="83" t="s">
        <v>409</v>
      </c>
      <c r="B89" s="130">
        <v>25</v>
      </c>
      <c r="C89" s="84" t="s">
        <v>194</v>
      </c>
    </row>
    <row r="90" spans="1:37" x14ac:dyDescent="0.2">
      <c r="A90" s="83" t="s">
        <v>389</v>
      </c>
      <c r="B90" s="130">
        <v>1</v>
      </c>
      <c r="C90" s="84"/>
    </row>
    <row r="91" spans="1:37" x14ac:dyDescent="0.2">
      <c r="A91" s="385" t="s">
        <v>387</v>
      </c>
      <c r="B91" s="385"/>
      <c r="C91" s="385"/>
    </row>
    <row r="92" spans="1:37" x14ac:dyDescent="0.2">
      <c r="A92" s="52" t="s">
        <v>34</v>
      </c>
      <c r="B92" s="131">
        <v>70</v>
      </c>
      <c r="C92" s="52" t="s">
        <v>60</v>
      </c>
    </row>
    <row r="93" spans="1:37" x14ac:dyDescent="0.2">
      <c r="A93" s="84" t="s">
        <v>38</v>
      </c>
      <c r="B93" s="131">
        <v>0.3</v>
      </c>
      <c r="C93" s="52" t="s">
        <v>391</v>
      </c>
    </row>
    <row r="94" spans="1:37" x14ac:dyDescent="0.2">
      <c r="A94" s="84" t="s">
        <v>42</v>
      </c>
      <c r="B94" s="130">
        <v>1.5</v>
      </c>
      <c r="C94" s="52" t="s">
        <v>286</v>
      </c>
    </row>
    <row r="95" spans="1:37" x14ac:dyDescent="0.2">
      <c r="A95" s="84" t="s">
        <v>47</v>
      </c>
      <c r="B95" s="131">
        <v>1</v>
      </c>
      <c r="C95" s="52" t="s">
        <v>60</v>
      </c>
    </row>
    <row r="96" spans="1:37" x14ac:dyDescent="0.2">
      <c r="A96" s="84" t="s">
        <v>225</v>
      </c>
      <c r="B96" s="130">
        <v>1</v>
      </c>
    </row>
    <row r="97" spans="1:3" x14ac:dyDescent="0.2">
      <c r="A97" s="52" t="s">
        <v>93</v>
      </c>
      <c r="B97" s="130">
        <v>5</v>
      </c>
      <c r="C97" s="52" t="s">
        <v>94</v>
      </c>
    </row>
    <row r="98" spans="1:3" x14ac:dyDescent="0.2">
      <c r="A98" s="52" t="s">
        <v>98</v>
      </c>
      <c r="B98" s="130">
        <v>0.18</v>
      </c>
      <c r="C98" s="52" t="s">
        <v>355</v>
      </c>
    </row>
    <row r="99" spans="1:3" x14ac:dyDescent="0.2">
      <c r="A99" s="52" t="s">
        <v>100</v>
      </c>
      <c r="B99" s="130">
        <v>55</v>
      </c>
      <c r="C99" s="52" t="s">
        <v>97</v>
      </c>
    </row>
    <row r="100" spans="1:3" x14ac:dyDescent="0.2">
      <c r="A100" s="52" t="s">
        <v>101</v>
      </c>
      <c r="B100" s="130">
        <v>5</v>
      </c>
      <c r="C100" s="52" t="s">
        <v>97</v>
      </c>
    </row>
    <row r="101" spans="1:3" x14ac:dyDescent="0.2">
      <c r="A101" s="52" t="s">
        <v>102</v>
      </c>
      <c r="B101" s="130">
        <v>5</v>
      </c>
      <c r="C101" s="52" t="s">
        <v>97</v>
      </c>
    </row>
    <row r="102" spans="1:3" x14ac:dyDescent="0.2">
      <c r="A102" s="384" t="s">
        <v>5</v>
      </c>
      <c r="B102" s="384"/>
      <c r="C102" s="384"/>
    </row>
    <row r="103" spans="1:3" x14ac:dyDescent="0.2">
      <c r="A103" s="83" t="s">
        <v>429</v>
      </c>
      <c r="B103" s="131">
        <v>5</v>
      </c>
      <c r="C103" s="92" t="s">
        <v>407</v>
      </c>
    </row>
    <row r="104" spans="1:3" x14ac:dyDescent="0.2">
      <c r="A104" s="83" t="s">
        <v>430</v>
      </c>
      <c r="B104" s="131">
        <v>10</v>
      </c>
      <c r="C104" s="92" t="s">
        <v>407</v>
      </c>
    </row>
    <row r="105" spans="1:3" x14ac:dyDescent="0.2">
      <c r="A105" s="83" t="s">
        <v>439</v>
      </c>
      <c r="B105" s="130">
        <v>2</v>
      </c>
      <c r="C105" s="83" t="s">
        <v>357</v>
      </c>
    </row>
    <row r="106" spans="1:3" x14ac:dyDescent="0.2">
      <c r="A106" s="83" t="s">
        <v>438</v>
      </c>
      <c r="B106" s="130">
        <v>2</v>
      </c>
      <c r="C106" s="83" t="s">
        <v>357</v>
      </c>
    </row>
    <row r="107" spans="1:3" x14ac:dyDescent="0.2">
      <c r="A107" s="83" t="s">
        <v>441</v>
      </c>
      <c r="B107" s="131">
        <v>100</v>
      </c>
      <c r="C107" s="84" t="s">
        <v>48</v>
      </c>
    </row>
    <row r="108" spans="1:3" x14ac:dyDescent="0.2">
      <c r="A108" s="83" t="s">
        <v>442</v>
      </c>
      <c r="B108" s="131">
        <v>50</v>
      </c>
      <c r="C108" s="84" t="s">
        <v>48</v>
      </c>
    </row>
    <row r="109" spans="1:3" x14ac:dyDescent="0.2">
      <c r="A109" s="52" t="s">
        <v>159</v>
      </c>
      <c r="B109" s="131">
        <v>3</v>
      </c>
      <c r="C109" s="52" t="s">
        <v>221</v>
      </c>
    </row>
    <row r="110" spans="1:3" x14ac:dyDescent="0.2">
      <c r="A110" s="52" t="s">
        <v>160</v>
      </c>
      <c r="B110" s="131">
        <v>3</v>
      </c>
      <c r="C110" s="52" t="s">
        <v>221</v>
      </c>
    </row>
    <row r="111" spans="1:3" x14ac:dyDescent="0.2">
      <c r="A111" s="83" t="s">
        <v>308</v>
      </c>
      <c r="B111" s="130">
        <v>0.23</v>
      </c>
    </row>
    <row r="112" spans="1:3" x14ac:dyDescent="0.2">
      <c r="A112" s="83" t="s">
        <v>309</v>
      </c>
      <c r="B112" s="130">
        <v>0.77</v>
      </c>
    </row>
    <row r="113" spans="1:3" x14ac:dyDescent="0.2">
      <c r="A113" s="52" t="s">
        <v>140</v>
      </c>
      <c r="B113" s="131">
        <v>55</v>
      </c>
      <c r="C113" s="52" t="s">
        <v>24</v>
      </c>
    </row>
    <row r="114" spans="1:3" x14ac:dyDescent="0.2">
      <c r="A114" s="52" t="s">
        <v>433</v>
      </c>
      <c r="B114" s="131">
        <v>55</v>
      </c>
      <c r="C114" s="52" t="s">
        <v>24</v>
      </c>
    </row>
    <row r="115" spans="1:3" x14ac:dyDescent="0.2">
      <c r="A115" s="52" t="s">
        <v>434</v>
      </c>
      <c r="B115" s="131">
        <v>55</v>
      </c>
      <c r="C115" s="52" t="s">
        <v>24</v>
      </c>
    </row>
    <row r="116" spans="1:3" x14ac:dyDescent="0.2">
      <c r="A116" s="52" t="s">
        <v>431</v>
      </c>
      <c r="B116" s="130">
        <v>5</v>
      </c>
      <c r="C116" s="52" t="s">
        <v>194</v>
      </c>
    </row>
    <row r="117" spans="1:3" x14ac:dyDescent="0.2">
      <c r="A117" s="52" t="s">
        <v>432</v>
      </c>
      <c r="B117" s="130">
        <v>5</v>
      </c>
      <c r="C117" s="52" t="s">
        <v>194</v>
      </c>
    </row>
    <row r="118" spans="1:3" x14ac:dyDescent="0.2">
      <c r="A118" s="52" t="s">
        <v>90</v>
      </c>
      <c r="B118" s="131">
        <v>5</v>
      </c>
      <c r="C118" s="52" t="s">
        <v>194</v>
      </c>
    </row>
    <row r="119" spans="1:3" x14ac:dyDescent="0.2">
      <c r="A119" s="52" t="s">
        <v>443</v>
      </c>
      <c r="B119" s="131">
        <v>5</v>
      </c>
      <c r="C119" s="52" t="s">
        <v>89</v>
      </c>
    </row>
    <row r="120" spans="1:3" x14ac:dyDescent="0.2">
      <c r="A120" s="52" t="s">
        <v>444</v>
      </c>
      <c r="B120" s="131">
        <v>5</v>
      </c>
      <c r="C120" s="52" t="s">
        <v>89</v>
      </c>
    </row>
    <row r="121" spans="1:3" x14ac:dyDescent="0.2">
      <c r="A121" s="83" t="s">
        <v>301</v>
      </c>
      <c r="B121" s="131">
        <v>2</v>
      </c>
    </row>
    <row r="122" spans="1:3" x14ac:dyDescent="0.2">
      <c r="A122" s="83" t="s">
        <v>433</v>
      </c>
      <c r="B122" s="130">
        <v>55</v>
      </c>
      <c r="C122" s="83" t="s">
        <v>24</v>
      </c>
    </row>
    <row r="123" spans="1:3" x14ac:dyDescent="0.2">
      <c r="A123" s="83" t="s">
        <v>434</v>
      </c>
      <c r="B123" s="130">
        <v>55</v>
      </c>
      <c r="C123" s="83" t="s">
        <v>24</v>
      </c>
    </row>
    <row r="124" spans="1:3" x14ac:dyDescent="0.2">
      <c r="A124" s="83" t="s">
        <v>435</v>
      </c>
      <c r="B124" s="131">
        <v>5</v>
      </c>
      <c r="C124" s="52" t="s">
        <v>80</v>
      </c>
    </row>
    <row r="125" spans="1:3" x14ac:dyDescent="0.2">
      <c r="A125" s="83" t="s">
        <v>436</v>
      </c>
      <c r="B125" s="131">
        <v>5</v>
      </c>
      <c r="C125" s="52" t="s">
        <v>80</v>
      </c>
    </row>
    <row r="126" spans="1:3" x14ac:dyDescent="0.2">
      <c r="A126" s="83" t="s">
        <v>65</v>
      </c>
      <c r="B126" s="130">
        <v>0.5</v>
      </c>
      <c r="C126" s="52" t="s">
        <v>66</v>
      </c>
    </row>
    <row r="127" spans="1:3" x14ac:dyDescent="0.2">
      <c r="A127" s="52" t="s">
        <v>51</v>
      </c>
      <c r="B127" s="131">
        <v>1</v>
      </c>
      <c r="C127" s="52" t="s">
        <v>60</v>
      </c>
    </row>
    <row r="128" spans="1:3" x14ac:dyDescent="0.2">
      <c r="A128" s="52" t="s">
        <v>159</v>
      </c>
      <c r="B128" s="130">
        <v>3</v>
      </c>
      <c r="C128" s="52" t="s">
        <v>221</v>
      </c>
    </row>
    <row r="129" spans="1:3" x14ac:dyDescent="0.2">
      <c r="A129" s="84" t="s">
        <v>164</v>
      </c>
      <c r="B129" s="130">
        <v>2</v>
      </c>
      <c r="C129" s="52" t="s">
        <v>246</v>
      </c>
    </row>
    <row r="130" spans="1:3" x14ac:dyDescent="0.2">
      <c r="A130" s="84" t="s">
        <v>161</v>
      </c>
      <c r="B130" s="130">
        <v>2</v>
      </c>
      <c r="C130" s="52" t="s">
        <v>246</v>
      </c>
    </row>
    <row r="131" spans="1:3" x14ac:dyDescent="0.2">
      <c r="A131" s="84" t="s">
        <v>162</v>
      </c>
      <c r="B131" s="130">
        <v>2</v>
      </c>
      <c r="C131" s="52" t="s">
        <v>41</v>
      </c>
    </row>
    <row r="132" spans="1:3" x14ac:dyDescent="0.2">
      <c r="A132" s="84" t="s">
        <v>163</v>
      </c>
      <c r="B132" s="130">
        <v>2</v>
      </c>
      <c r="C132" s="52" t="s">
        <v>41</v>
      </c>
    </row>
    <row r="133" spans="1:3" x14ac:dyDescent="0.2">
      <c r="A133" s="84" t="s">
        <v>169</v>
      </c>
      <c r="B133" s="130">
        <v>2</v>
      </c>
      <c r="C133" s="52" t="s">
        <v>28</v>
      </c>
    </row>
    <row r="134" spans="1:3" x14ac:dyDescent="0.2">
      <c r="A134" s="52" t="s">
        <v>160</v>
      </c>
      <c r="B134" s="130">
        <v>3</v>
      </c>
      <c r="C134" s="52" t="s">
        <v>221</v>
      </c>
    </row>
    <row r="135" spans="1:3" x14ac:dyDescent="0.2">
      <c r="A135" s="52" t="s">
        <v>165</v>
      </c>
      <c r="B135" s="130">
        <v>2</v>
      </c>
      <c r="C135" s="52" t="s">
        <v>246</v>
      </c>
    </row>
    <row r="136" spans="1:3" x14ac:dyDescent="0.2">
      <c r="A136" s="52" t="s">
        <v>166</v>
      </c>
      <c r="B136" s="130">
        <v>2</v>
      </c>
      <c r="C136" s="52" t="s">
        <v>246</v>
      </c>
    </row>
    <row r="137" spans="1:3" x14ac:dyDescent="0.2">
      <c r="A137" s="93" t="s">
        <v>167</v>
      </c>
      <c r="B137" s="130">
        <v>2</v>
      </c>
      <c r="C137" s="52" t="s">
        <v>41</v>
      </c>
    </row>
    <row r="138" spans="1:3" x14ac:dyDescent="0.2">
      <c r="A138" s="83" t="s">
        <v>168</v>
      </c>
      <c r="B138" s="130">
        <v>2</v>
      </c>
      <c r="C138" s="52" t="s">
        <v>41</v>
      </c>
    </row>
    <row r="139" spans="1:3" x14ac:dyDescent="0.2">
      <c r="A139" s="84" t="s">
        <v>170</v>
      </c>
      <c r="B139" s="130">
        <v>2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100</v>
      </c>
      <c r="C141" s="84" t="s">
        <v>48</v>
      </c>
    </row>
    <row r="142" spans="1:3" x14ac:dyDescent="0.2">
      <c r="A142" s="83" t="s">
        <v>458</v>
      </c>
      <c r="B142" s="130">
        <v>50</v>
      </c>
      <c r="C142" s="84" t="s">
        <v>48</v>
      </c>
    </row>
    <row r="143" spans="1:3" x14ac:dyDescent="0.2">
      <c r="A143" s="92" t="s">
        <v>451</v>
      </c>
      <c r="B143" s="131">
        <v>0.25</v>
      </c>
      <c r="C143" s="83" t="s">
        <v>28</v>
      </c>
    </row>
    <row r="144" spans="1:3" x14ac:dyDescent="0.2">
      <c r="A144" s="92" t="s">
        <v>460</v>
      </c>
      <c r="B144" s="131">
        <v>1.5</v>
      </c>
      <c r="C144" s="83" t="s">
        <v>28</v>
      </c>
    </row>
    <row r="145" spans="1:3" ht="15" x14ac:dyDescent="0.2">
      <c r="A145" s="92" t="s">
        <v>450</v>
      </c>
      <c r="B145" s="131">
        <v>5</v>
      </c>
      <c r="C145" s="83" t="s">
        <v>143</v>
      </c>
    </row>
    <row r="146" spans="1:3" ht="15" x14ac:dyDescent="0.2">
      <c r="A146" s="92" t="s">
        <v>459</v>
      </c>
      <c r="B146" s="131">
        <v>10</v>
      </c>
      <c r="C146" s="83" t="s">
        <v>143</v>
      </c>
    </row>
    <row r="147" spans="1:3" x14ac:dyDescent="0.2">
      <c r="A147" s="83" t="s">
        <v>467</v>
      </c>
      <c r="B147" s="130">
        <v>55</v>
      </c>
      <c r="C147" s="92" t="s">
        <v>221</v>
      </c>
    </row>
    <row r="148" spans="1:3" x14ac:dyDescent="0.2">
      <c r="A148" s="83" t="s">
        <v>468</v>
      </c>
      <c r="B148" s="130">
        <v>55</v>
      </c>
      <c r="C148" s="92" t="s">
        <v>221</v>
      </c>
    </row>
    <row r="149" spans="1:3" x14ac:dyDescent="0.2">
      <c r="A149" s="83" t="s">
        <v>469</v>
      </c>
      <c r="B149" s="130">
        <v>55</v>
      </c>
      <c r="C149" s="92" t="s">
        <v>221</v>
      </c>
    </row>
    <row r="150" spans="1:3" x14ac:dyDescent="0.2">
      <c r="A150" s="83" t="s">
        <v>470</v>
      </c>
      <c r="B150" s="130">
        <v>55</v>
      </c>
      <c r="C150" s="92" t="s">
        <v>221</v>
      </c>
    </row>
    <row r="151" spans="1:3" x14ac:dyDescent="0.2">
      <c r="A151" s="83" t="s">
        <v>452</v>
      </c>
      <c r="B151" s="130">
        <v>55</v>
      </c>
      <c r="C151" s="92" t="s">
        <v>221</v>
      </c>
    </row>
    <row r="152" spans="1:3" x14ac:dyDescent="0.2">
      <c r="A152" s="83" t="s">
        <v>461</v>
      </c>
      <c r="B152" s="130">
        <v>55</v>
      </c>
      <c r="C152" s="92" t="s">
        <v>221</v>
      </c>
    </row>
    <row r="153" spans="1:3" x14ac:dyDescent="0.2">
      <c r="A153" s="83" t="s">
        <v>453</v>
      </c>
      <c r="B153" s="130">
        <v>55</v>
      </c>
      <c r="C153" s="92" t="s">
        <v>221</v>
      </c>
    </row>
    <row r="154" spans="1:3" x14ac:dyDescent="0.2">
      <c r="A154" s="83" t="s">
        <v>462</v>
      </c>
      <c r="B154" s="130">
        <v>55</v>
      </c>
      <c r="C154" s="92" t="s">
        <v>221</v>
      </c>
    </row>
    <row r="155" spans="1:3" x14ac:dyDescent="0.2">
      <c r="A155" s="83" t="s">
        <v>454</v>
      </c>
      <c r="B155" s="130">
        <v>55</v>
      </c>
      <c r="C155" s="92" t="s">
        <v>221</v>
      </c>
    </row>
    <row r="156" spans="1:3" x14ac:dyDescent="0.2">
      <c r="A156" s="83" t="s">
        <v>463</v>
      </c>
      <c r="B156" s="130">
        <v>55</v>
      </c>
      <c r="C156" s="92" t="s">
        <v>221</v>
      </c>
    </row>
    <row r="157" spans="1:3" x14ac:dyDescent="0.2">
      <c r="A157" s="83" t="s">
        <v>471</v>
      </c>
      <c r="B157" s="130">
        <v>55</v>
      </c>
      <c r="C157" s="92" t="s">
        <v>221</v>
      </c>
    </row>
    <row r="158" spans="1:3" x14ac:dyDescent="0.2">
      <c r="A158" s="83" t="s">
        <v>472</v>
      </c>
      <c r="B158" s="130">
        <v>55</v>
      </c>
      <c r="C158" s="92" t="s">
        <v>221</v>
      </c>
    </row>
    <row r="159" spans="1:3" x14ac:dyDescent="0.2">
      <c r="A159" s="83" t="s">
        <v>473</v>
      </c>
      <c r="B159" s="130">
        <v>55</v>
      </c>
      <c r="C159" s="92" t="s">
        <v>221</v>
      </c>
    </row>
    <row r="160" spans="1:3" x14ac:dyDescent="0.2">
      <c r="A160" s="83" t="s">
        <v>474</v>
      </c>
      <c r="B160" s="130">
        <v>55</v>
      </c>
      <c r="C160" s="92" t="s">
        <v>221</v>
      </c>
    </row>
    <row r="161" spans="1:3" x14ac:dyDescent="0.2">
      <c r="A161" s="83" t="s">
        <v>455</v>
      </c>
      <c r="B161" s="130">
        <v>55</v>
      </c>
      <c r="C161" s="92" t="s">
        <v>221</v>
      </c>
    </row>
    <row r="162" spans="1:3" x14ac:dyDescent="0.2">
      <c r="A162" s="83" t="s">
        <v>464</v>
      </c>
      <c r="B162" s="130">
        <v>55</v>
      </c>
      <c r="C162" s="92" t="s">
        <v>221</v>
      </c>
    </row>
    <row r="163" spans="1:3" x14ac:dyDescent="0.2">
      <c r="A163" s="83" t="s">
        <v>475</v>
      </c>
      <c r="B163" s="130">
        <v>0.15</v>
      </c>
      <c r="C163" s="88"/>
    </row>
    <row r="164" spans="1:3" x14ac:dyDescent="0.2">
      <c r="A164" s="83" t="s">
        <v>476</v>
      </c>
      <c r="B164" s="130">
        <v>0.85</v>
      </c>
      <c r="C164" s="88"/>
    </row>
    <row r="165" spans="1:3" x14ac:dyDescent="0.2">
      <c r="A165" s="83" t="s">
        <v>456</v>
      </c>
      <c r="B165" s="130">
        <v>150</v>
      </c>
      <c r="C165" s="83" t="s">
        <v>24</v>
      </c>
    </row>
    <row r="166" spans="1:3" x14ac:dyDescent="0.2">
      <c r="A166" s="83" t="s">
        <v>465</v>
      </c>
      <c r="B166" s="130">
        <v>150</v>
      </c>
      <c r="C166" s="83" t="s">
        <v>24</v>
      </c>
    </row>
    <row r="167" spans="1:3" x14ac:dyDescent="0.2">
      <c r="A167" s="52" t="s">
        <v>362</v>
      </c>
      <c r="B167" s="131">
        <v>150</v>
      </c>
      <c r="C167" s="83" t="s">
        <v>24</v>
      </c>
    </row>
    <row r="168" spans="1:3" x14ac:dyDescent="0.2">
      <c r="A168" s="83" t="s">
        <v>363</v>
      </c>
      <c r="B168" s="130">
        <v>1</v>
      </c>
      <c r="C168" s="92" t="s">
        <v>60</v>
      </c>
    </row>
    <row r="169" spans="1:3" x14ac:dyDescent="0.2">
      <c r="A169" s="83" t="s">
        <v>364</v>
      </c>
      <c r="B169" s="130">
        <v>24</v>
      </c>
      <c r="C169" s="94" t="s">
        <v>194</v>
      </c>
    </row>
    <row r="170" spans="1:3" x14ac:dyDescent="0.2">
      <c r="A170" s="83" t="s">
        <v>365</v>
      </c>
      <c r="B170" s="130">
        <v>24</v>
      </c>
      <c r="C170" s="52" t="s">
        <v>194</v>
      </c>
    </row>
    <row r="171" spans="1:3" x14ac:dyDescent="0.2">
      <c r="A171" s="83" t="s">
        <v>361</v>
      </c>
      <c r="B171" s="130">
        <v>1</v>
      </c>
    </row>
    <row r="172" spans="1:3" x14ac:dyDescent="0.2">
      <c r="A172" s="83" t="s">
        <v>507</v>
      </c>
      <c r="B172" s="130">
        <v>15</v>
      </c>
      <c r="C172" s="84" t="s">
        <v>194</v>
      </c>
    </row>
    <row r="173" spans="1:3" x14ac:dyDescent="0.2">
      <c r="A173" s="83" t="s">
        <v>508</v>
      </c>
      <c r="B173" s="130">
        <v>5</v>
      </c>
      <c r="C173" s="84" t="s">
        <v>194</v>
      </c>
    </row>
    <row r="174" spans="1:3" x14ac:dyDescent="0.2">
      <c r="A174" s="83" t="s">
        <v>88</v>
      </c>
      <c r="B174" s="130">
        <v>0.4</v>
      </c>
    </row>
    <row r="175" spans="1:3" x14ac:dyDescent="0.2">
      <c r="A175" s="83" t="s">
        <v>303</v>
      </c>
      <c r="B175" s="130">
        <v>1</v>
      </c>
    </row>
    <row r="176" spans="1:3" x14ac:dyDescent="0.2">
      <c r="A176" s="83" t="s">
        <v>301</v>
      </c>
      <c r="B176" s="131">
        <v>2</v>
      </c>
    </row>
    <row r="177" spans="1:3" x14ac:dyDescent="0.2">
      <c r="A177" s="92" t="s">
        <v>457</v>
      </c>
      <c r="B177" s="130">
        <v>5</v>
      </c>
      <c r="C177" s="92" t="s">
        <v>144</v>
      </c>
    </row>
    <row r="178" spans="1:3" x14ac:dyDescent="0.2">
      <c r="A178" s="92" t="s">
        <v>466</v>
      </c>
      <c r="B178" s="130">
        <v>5</v>
      </c>
      <c r="C178" s="92" t="s">
        <v>144</v>
      </c>
    </row>
    <row r="179" spans="1:3" x14ac:dyDescent="0.2">
      <c r="A179" s="52" t="s">
        <v>477</v>
      </c>
      <c r="B179" s="130">
        <v>0.25</v>
      </c>
      <c r="C179" s="92" t="s">
        <v>358</v>
      </c>
    </row>
    <row r="180" spans="1:3" x14ac:dyDescent="0.2">
      <c r="A180" s="52" t="s">
        <v>478</v>
      </c>
      <c r="B180" s="130">
        <v>0.85</v>
      </c>
      <c r="C180" s="92" t="s">
        <v>358</v>
      </c>
    </row>
    <row r="181" spans="1:3" x14ac:dyDescent="0.2">
      <c r="A181" s="84" t="s">
        <v>65</v>
      </c>
      <c r="B181" s="130">
        <v>0.5</v>
      </c>
      <c r="C181" s="92" t="s">
        <v>600</v>
      </c>
    </row>
    <row r="182" spans="1:3" x14ac:dyDescent="0.2">
      <c r="A182" s="92" t="s">
        <v>361</v>
      </c>
      <c r="B182" s="130">
        <v>1</v>
      </c>
    </row>
    <row r="183" spans="1:3" x14ac:dyDescent="0.2">
      <c r="A183" s="92" t="s">
        <v>479</v>
      </c>
      <c r="B183" s="130">
        <v>1</v>
      </c>
    </row>
    <row r="184" spans="1:3" x14ac:dyDescent="0.2">
      <c r="A184" s="92" t="s">
        <v>480</v>
      </c>
      <c r="B184" s="130">
        <v>1</v>
      </c>
    </row>
    <row r="185" spans="1:3" x14ac:dyDescent="0.2">
      <c r="A185" s="92" t="s">
        <v>481</v>
      </c>
      <c r="B185" s="130">
        <v>1</v>
      </c>
    </row>
    <row r="186" spans="1:3" x14ac:dyDescent="0.2">
      <c r="A186" s="92" t="s">
        <v>482</v>
      </c>
      <c r="B186" s="130">
        <v>1</v>
      </c>
    </row>
    <row r="187" spans="1:3" x14ac:dyDescent="0.2">
      <c r="A187" s="92" t="s">
        <v>483</v>
      </c>
      <c r="B187" s="130">
        <v>1</v>
      </c>
    </row>
    <row r="188" spans="1:3" x14ac:dyDescent="0.2">
      <c r="A188" s="92" t="s">
        <v>484</v>
      </c>
      <c r="B188" s="131">
        <v>1</v>
      </c>
    </row>
    <row r="189" spans="1:3" x14ac:dyDescent="0.2">
      <c r="A189" s="83" t="s">
        <v>36</v>
      </c>
      <c r="B189" s="131">
        <v>3.62</v>
      </c>
      <c r="C189" s="52" t="s">
        <v>37</v>
      </c>
    </row>
    <row r="190" spans="1:3" x14ac:dyDescent="0.2">
      <c r="A190" s="83" t="s">
        <v>40</v>
      </c>
      <c r="B190" s="131">
        <v>0.25</v>
      </c>
      <c r="C190" s="52" t="s">
        <v>41</v>
      </c>
    </row>
    <row r="191" spans="1:3" x14ac:dyDescent="0.2">
      <c r="A191" s="92" t="s">
        <v>52</v>
      </c>
      <c r="B191" s="131">
        <v>10950</v>
      </c>
      <c r="C191" s="52" t="s">
        <v>53</v>
      </c>
    </row>
    <row r="192" spans="1:3" x14ac:dyDescent="0.2">
      <c r="A192" s="92" t="s">
        <v>55</v>
      </c>
      <c r="B192" s="131">
        <v>240</v>
      </c>
      <c r="C192" s="52" t="s">
        <v>56</v>
      </c>
    </row>
    <row r="193" spans="1:3" x14ac:dyDescent="0.2">
      <c r="A193" s="92" t="s">
        <v>61</v>
      </c>
      <c r="B193" s="131">
        <v>0.42</v>
      </c>
      <c r="C193" s="52" t="s">
        <v>41</v>
      </c>
    </row>
    <row r="194" spans="1:3" x14ac:dyDescent="0.2">
      <c r="A194" s="92" t="s">
        <v>67</v>
      </c>
      <c r="B194" s="131">
        <v>60</v>
      </c>
      <c r="C194" s="83" t="s">
        <v>53</v>
      </c>
    </row>
    <row r="195" spans="1:3" x14ac:dyDescent="0.2">
      <c r="A195" s="92" t="s">
        <v>68</v>
      </c>
      <c r="B195" s="131">
        <v>2</v>
      </c>
      <c r="C195" s="83" t="s">
        <v>56</v>
      </c>
    </row>
    <row r="196" spans="1:3" x14ac:dyDescent="0.2">
      <c r="A196" s="92" t="s">
        <v>70</v>
      </c>
      <c r="B196" s="131">
        <v>2.6999999999999999E-5</v>
      </c>
      <c r="C196" s="52" t="s">
        <v>64</v>
      </c>
    </row>
    <row r="197" spans="1:3" x14ac:dyDescent="0.2">
      <c r="A197" s="92" t="s">
        <v>73</v>
      </c>
      <c r="B197" s="131">
        <v>1</v>
      </c>
      <c r="C197" s="52" t="s">
        <v>41</v>
      </c>
    </row>
    <row r="198" spans="1:3" x14ac:dyDescent="0.2">
      <c r="A198" s="92" t="s">
        <v>74</v>
      </c>
      <c r="B198" s="131">
        <v>14</v>
      </c>
      <c r="C198" s="52" t="s">
        <v>75</v>
      </c>
    </row>
    <row r="199" spans="1:3" x14ac:dyDescent="0.2">
      <c r="A199" s="83" t="s">
        <v>27</v>
      </c>
      <c r="B199" s="131">
        <v>92</v>
      </c>
      <c r="C199" s="83" t="s">
        <v>28</v>
      </c>
    </row>
    <row r="200" spans="1:3" x14ac:dyDescent="0.2">
      <c r="A200" s="52" t="s">
        <v>285</v>
      </c>
      <c r="B200" s="130">
        <v>1.03</v>
      </c>
      <c r="C200" s="52" t="s">
        <v>286</v>
      </c>
    </row>
    <row r="201" spans="1:3" x14ac:dyDescent="0.2">
      <c r="A201" s="83" t="s">
        <v>498</v>
      </c>
      <c r="B201" s="131">
        <v>20.3</v>
      </c>
      <c r="C201" s="52" t="s">
        <v>246</v>
      </c>
    </row>
    <row r="202" spans="1:3" x14ac:dyDescent="0.2">
      <c r="A202" s="83" t="s">
        <v>499</v>
      </c>
      <c r="B202" s="131">
        <v>0.04</v>
      </c>
      <c r="C202" s="52" t="s">
        <v>246</v>
      </c>
    </row>
    <row r="203" spans="1:3" x14ac:dyDescent="0.2">
      <c r="A203" s="83" t="s">
        <v>500</v>
      </c>
      <c r="B203" s="131">
        <v>1</v>
      </c>
    </row>
    <row r="204" spans="1:3" x14ac:dyDescent="0.2">
      <c r="A204" s="83" t="s">
        <v>501</v>
      </c>
      <c r="B204" s="131">
        <v>1</v>
      </c>
    </row>
    <row r="205" spans="1:3" x14ac:dyDescent="0.2">
      <c r="A205" s="83" t="s">
        <v>29</v>
      </c>
      <c r="B205" s="131">
        <v>53</v>
      </c>
      <c r="C205" s="83" t="s">
        <v>28</v>
      </c>
    </row>
    <row r="206" spans="1:3" x14ac:dyDescent="0.2">
      <c r="A206" s="83" t="s">
        <v>494</v>
      </c>
      <c r="B206" s="131">
        <v>11.77</v>
      </c>
      <c r="C206" s="52" t="s">
        <v>246</v>
      </c>
    </row>
    <row r="207" spans="1:3" x14ac:dyDescent="0.2">
      <c r="A207" s="83" t="s">
        <v>495</v>
      </c>
      <c r="B207" s="131">
        <v>0.5</v>
      </c>
      <c r="C207" s="52" t="s">
        <v>246</v>
      </c>
    </row>
    <row r="208" spans="1:3" x14ac:dyDescent="0.2">
      <c r="A208" s="83" t="s">
        <v>496</v>
      </c>
      <c r="B208" s="131">
        <v>1</v>
      </c>
    </row>
    <row r="209" spans="1:3" x14ac:dyDescent="0.2">
      <c r="A209" s="83" t="s">
        <v>497</v>
      </c>
      <c r="B209" s="131">
        <v>1</v>
      </c>
    </row>
    <row r="210" spans="1:3" x14ac:dyDescent="0.2">
      <c r="A210" s="83" t="s">
        <v>148</v>
      </c>
      <c r="B210" s="130">
        <v>0.4</v>
      </c>
      <c r="C210" s="83" t="s">
        <v>28</v>
      </c>
    </row>
    <row r="211" spans="1:3" x14ac:dyDescent="0.2">
      <c r="A211" s="83" t="s">
        <v>152</v>
      </c>
      <c r="B211" s="131">
        <v>0.2</v>
      </c>
      <c r="C211" s="52" t="s">
        <v>246</v>
      </c>
    </row>
    <row r="212" spans="1:3" x14ac:dyDescent="0.2">
      <c r="A212" s="83" t="s">
        <v>151</v>
      </c>
      <c r="B212" s="131">
        <v>2.1999999999999999E-2</v>
      </c>
      <c r="C212" s="52" t="s">
        <v>246</v>
      </c>
    </row>
    <row r="213" spans="1:3" x14ac:dyDescent="0.2">
      <c r="A213" s="83" t="s">
        <v>153</v>
      </c>
      <c r="B213" s="130">
        <v>1</v>
      </c>
    </row>
    <row r="214" spans="1:3" x14ac:dyDescent="0.2">
      <c r="A214" s="83" t="s">
        <v>154</v>
      </c>
      <c r="B214" s="130">
        <v>1</v>
      </c>
    </row>
    <row r="215" spans="1:3" x14ac:dyDescent="0.2">
      <c r="A215" s="83" t="s">
        <v>485</v>
      </c>
      <c r="B215" s="130">
        <v>0.4</v>
      </c>
      <c r="C215" s="83" t="s">
        <v>28</v>
      </c>
    </row>
    <row r="216" spans="1:3" x14ac:dyDescent="0.2">
      <c r="A216" s="83" t="s">
        <v>486</v>
      </c>
      <c r="B216" s="131">
        <v>0.2</v>
      </c>
      <c r="C216" s="52" t="s">
        <v>246</v>
      </c>
    </row>
    <row r="217" spans="1:3" x14ac:dyDescent="0.2">
      <c r="A217" s="83" t="s">
        <v>487</v>
      </c>
      <c r="B217" s="131">
        <v>2.1999999999999999E-2</v>
      </c>
      <c r="C217" s="52" t="s">
        <v>246</v>
      </c>
    </row>
    <row r="218" spans="1:3" x14ac:dyDescent="0.2">
      <c r="A218" s="83" t="s">
        <v>488</v>
      </c>
      <c r="B218" s="131">
        <v>1</v>
      </c>
    </row>
    <row r="219" spans="1:3" x14ac:dyDescent="0.2">
      <c r="A219" s="83" t="s">
        <v>489</v>
      </c>
      <c r="B219" s="131">
        <v>1</v>
      </c>
    </row>
    <row r="220" spans="1:3" x14ac:dyDescent="0.2">
      <c r="A220" s="83" t="s">
        <v>150</v>
      </c>
      <c r="B220" s="131">
        <v>11.4</v>
      </c>
      <c r="C220" s="83" t="s">
        <v>28</v>
      </c>
    </row>
    <row r="221" spans="1:3" x14ac:dyDescent="0.2">
      <c r="A221" s="83" t="s">
        <v>490</v>
      </c>
      <c r="B221" s="131">
        <v>4.7</v>
      </c>
      <c r="C221" s="52" t="s">
        <v>246</v>
      </c>
    </row>
    <row r="222" spans="1:3" x14ac:dyDescent="0.2">
      <c r="A222" s="83" t="s">
        <v>491</v>
      </c>
      <c r="B222" s="131">
        <v>0.37</v>
      </c>
      <c r="C222" s="52" t="s">
        <v>246</v>
      </c>
    </row>
    <row r="223" spans="1:3" x14ac:dyDescent="0.2">
      <c r="A223" s="83" t="s">
        <v>492</v>
      </c>
      <c r="B223" s="131">
        <v>1</v>
      </c>
    </row>
    <row r="224" spans="1:3" x14ac:dyDescent="0.2">
      <c r="A224" s="83" t="s">
        <v>493</v>
      </c>
      <c r="B224" s="131">
        <v>1</v>
      </c>
    </row>
    <row r="225" spans="1:3" x14ac:dyDescent="0.2">
      <c r="A225" s="370" t="s">
        <v>311</v>
      </c>
      <c r="B225" s="370"/>
      <c r="C225" s="370"/>
    </row>
    <row r="226" spans="1:3" x14ac:dyDescent="0.2">
      <c r="A226" s="52" t="s">
        <v>504</v>
      </c>
      <c r="B226" s="130">
        <v>50</v>
      </c>
      <c r="C226" s="84" t="s">
        <v>407</v>
      </c>
    </row>
    <row r="227" spans="1:3" x14ac:dyDescent="0.2">
      <c r="A227" s="83" t="s">
        <v>316</v>
      </c>
      <c r="B227" s="130">
        <v>125</v>
      </c>
      <c r="C227" s="52" t="s">
        <v>24</v>
      </c>
    </row>
    <row r="228" spans="1:3" x14ac:dyDescent="0.2">
      <c r="A228" s="83" t="s">
        <v>422</v>
      </c>
      <c r="B228" s="131">
        <v>1</v>
      </c>
      <c r="C228" s="52" t="s">
        <v>60</v>
      </c>
    </row>
    <row r="229" spans="1:3" x14ac:dyDescent="0.2">
      <c r="A229" s="83" t="s">
        <v>317</v>
      </c>
      <c r="B229" s="130">
        <v>50</v>
      </c>
      <c r="C229" s="84" t="s">
        <v>48</v>
      </c>
    </row>
    <row r="230" spans="1:3" x14ac:dyDescent="0.2">
      <c r="A230" s="52" t="s">
        <v>318</v>
      </c>
      <c r="B230" s="131">
        <v>2</v>
      </c>
    </row>
    <row r="231" spans="1:3" x14ac:dyDescent="0.2">
      <c r="A231" s="83" t="s">
        <v>299</v>
      </c>
      <c r="B231" s="131">
        <v>1</v>
      </c>
    </row>
    <row r="232" spans="1:3" x14ac:dyDescent="0.2">
      <c r="A232" s="83" t="s">
        <v>83</v>
      </c>
      <c r="B232" s="130">
        <v>5</v>
      </c>
      <c r="C232" s="52" t="s">
        <v>194</v>
      </c>
    </row>
    <row r="233" spans="1:3" x14ac:dyDescent="0.2">
      <c r="A233" s="83" t="s">
        <v>85</v>
      </c>
      <c r="B233" s="130">
        <v>5</v>
      </c>
      <c r="C233" s="52" t="s">
        <v>194</v>
      </c>
    </row>
    <row r="234" spans="1:3" x14ac:dyDescent="0.2">
      <c r="A234" s="83" t="s">
        <v>88</v>
      </c>
      <c r="B234" s="130">
        <v>0.4</v>
      </c>
    </row>
    <row r="235" spans="1:3" x14ac:dyDescent="0.2">
      <c r="A235" s="370" t="s">
        <v>312</v>
      </c>
      <c r="B235" s="370"/>
      <c r="C235" s="370"/>
    </row>
    <row r="236" spans="1:3" x14ac:dyDescent="0.2">
      <c r="A236" s="52" t="s">
        <v>304</v>
      </c>
      <c r="B236" s="130">
        <v>50</v>
      </c>
      <c r="C236" s="84" t="s">
        <v>407</v>
      </c>
    </row>
    <row r="237" spans="1:3" x14ac:dyDescent="0.2">
      <c r="A237" s="83" t="s">
        <v>35</v>
      </c>
      <c r="B237" s="130">
        <v>125</v>
      </c>
      <c r="C237" s="52" t="s">
        <v>24</v>
      </c>
    </row>
    <row r="238" spans="1:3" x14ac:dyDescent="0.2">
      <c r="A238" s="83" t="s">
        <v>420</v>
      </c>
      <c r="B238" s="131">
        <v>1</v>
      </c>
      <c r="C238" s="52" t="s">
        <v>60</v>
      </c>
    </row>
    <row r="239" spans="1:3" x14ac:dyDescent="0.2">
      <c r="A239" s="83" t="s">
        <v>62</v>
      </c>
      <c r="B239" s="130">
        <v>50</v>
      </c>
      <c r="C239" s="84" t="s">
        <v>48</v>
      </c>
    </row>
    <row r="240" spans="1:3" x14ac:dyDescent="0.2">
      <c r="A240" s="52" t="s">
        <v>318</v>
      </c>
      <c r="B240" s="131">
        <v>2</v>
      </c>
    </row>
    <row r="241" spans="1:3" x14ac:dyDescent="0.2">
      <c r="A241" s="83" t="s">
        <v>299</v>
      </c>
      <c r="B241" s="131">
        <v>1</v>
      </c>
    </row>
    <row r="242" spans="1:3" x14ac:dyDescent="0.2">
      <c r="A242" s="83" t="s">
        <v>83</v>
      </c>
      <c r="B242" s="130">
        <v>5</v>
      </c>
      <c r="C242" s="52" t="s">
        <v>194</v>
      </c>
    </row>
    <row r="243" spans="1:3" x14ac:dyDescent="0.2">
      <c r="A243" s="83" t="s">
        <v>85</v>
      </c>
      <c r="B243" s="130">
        <v>5</v>
      </c>
      <c r="C243" s="52" t="s">
        <v>194</v>
      </c>
    </row>
    <row r="244" spans="1:3" x14ac:dyDescent="0.2">
      <c r="A244" s="83" t="s">
        <v>88</v>
      </c>
      <c r="B244" s="130">
        <v>0.4</v>
      </c>
    </row>
    <row r="245" spans="1:3" x14ac:dyDescent="0.2">
      <c r="A245" s="370" t="s">
        <v>313</v>
      </c>
      <c r="B245" s="370"/>
      <c r="C245" s="370"/>
    </row>
    <row r="246" spans="1:3" x14ac:dyDescent="0.2">
      <c r="A246" s="52" t="s">
        <v>50</v>
      </c>
      <c r="B246" s="130">
        <v>50</v>
      </c>
      <c r="C246" s="84" t="s">
        <v>407</v>
      </c>
    </row>
    <row r="247" spans="1:3" x14ac:dyDescent="0.2">
      <c r="A247" s="83" t="s">
        <v>423</v>
      </c>
      <c r="B247" s="130">
        <v>125</v>
      </c>
      <c r="C247" s="52" t="s">
        <v>24</v>
      </c>
    </row>
    <row r="248" spans="1:3" x14ac:dyDescent="0.2">
      <c r="A248" s="83" t="s">
        <v>424</v>
      </c>
      <c r="B248" s="131">
        <v>1</v>
      </c>
      <c r="C248" s="52" t="s">
        <v>60</v>
      </c>
    </row>
    <row r="249" spans="1:3" x14ac:dyDescent="0.2">
      <c r="A249" s="83" t="s">
        <v>503</v>
      </c>
      <c r="B249" s="130">
        <v>50</v>
      </c>
      <c r="C249" s="84" t="s">
        <v>48</v>
      </c>
    </row>
    <row r="250" spans="1:3" x14ac:dyDescent="0.2">
      <c r="A250" s="52" t="s">
        <v>318</v>
      </c>
      <c r="B250" s="131">
        <v>2</v>
      </c>
    </row>
    <row r="251" spans="1:3" x14ac:dyDescent="0.2">
      <c r="A251" s="83" t="s">
        <v>299</v>
      </c>
      <c r="B251" s="131">
        <v>1</v>
      </c>
    </row>
    <row r="252" spans="1:3" x14ac:dyDescent="0.2">
      <c r="A252" s="83" t="s">
        <v>83</v>
      </c>
      <c r="B252" s="130">
        <v>5</v>
      </c>
      <c r="C252" s="52" t="s">
        <v>194</v>
      </c>
    </row>
    <row r="253" spans="1:3" x14ac:dyDescent="0.2">
      <c r="A253" s="83" t="s">
        <v>85</v>
      </c>
      <c r="B253" s="130">
        <v>5</v>
      </c>
      <c r="C253" s="52" t="s">
        <v>194</v>
      </c>
    </row>
    <row r="254" spans="1:3" x14ac:dyDescent="0.2">
      <c r="A254" s="83" t="s">
        <v>88</v>
      </c>
      <c r="B254" s="130">
        <v>0.4</v>
      </c>
    </row>
    <row r="255" spans="1:3" x14ac:dyDescent="0.2">
      <c r="A255" s="370" t="s">
        <v>314</v>
      </c>
      <c r="B255" s="370"/>
      <c r="C255" s="370"/>
    </row>
    <row r="256" spans="1:3" x14ac:dyDescent="0.2">
      <c r="A256" s="52" t="s">
        <v>348</v>
      </c>
      <c r="B256" s="130">
        <v>50</v>
      </c>
      <c r="C256" s="84" t="s">
        <v>407</v>
      </c>
    </row>
    <row r="257" spans="1:3" x14ac:dyDescent="0.2">
      <c r="A257" s="83" t="s">
        <v>191</v>
      </c>
      <c r="B257" s="130">
        <v>125</v>
      </c>
      <c r="C257" s="52" t="s">
        <v>24</v>
      </c>
    </row>
    <row r="258" spans="1:3" x14ac:dyDescent="0.2">
      <c r="A258" s="83" t="s">
        <v>158</v>
      </c>
      <c r="B258" s="131">
        <v>1</v>
      </c>
      <c r="C258" s="52" t="s">
        <v>60</v>
      </c>
    </row>
    <row r="259" spans="1:3" x14ac:dyDescent="0.2">
      <c r="A259" s="83" t="s">
        <v>502</v>
      </c>
      <c r="B259" s="130">
        <v>200</v>
      </c>
      <c r="C259" s="84" t="s">
        <v>48</v>
      </c>
    </row>
    <row r="260" spans="1:3" x14ac:dyDescent="0.2">
      <c r="A260" s="52" t="s">
        <v>318</v>
      </c>
      <c r="B260" s="131">
        <v>2</v>
      </c>
    </row>
    <row r="261" spans="1:3" x14ac:dyDescent="0.2">
      <c r="A261" s="83" t="s">
        <v>299</v>
      </c>
      <c r="B261" s="131">
        <v>1</v>
      </c>
    </row>
    <row r="262" spans="1:3" x14ac:dyDescent="0.2">
      <c r="A262" s="83" t="s">
        <v>83</v>
      </c>
      <c r="B262" s="130">
        <v>5</v>
      </c>
      <c r="C262" s="52" t="s">
        <v>194</v>
      </c>
    </row>
    <row r="263" spans="1:3" x14ac:dyDescent="0.2">
      <c r="A263" s="83" t="s">
        <v>85</v>
      </c>
      <c r="B263" s="130">
        <v>5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83" t="s">
        <v>219</v>
      </c>
      <c r="B265" s="130">
        <v>3</v>
      </c>
      <c r="C265" s="52" t="s">
        <v>112</v>
      </c>
    </row>
    <row r="266" spans="1:3" x14ac:dyDescent="0.2">
      <c r="A266" s="83" t="s">
        <v>220</v>
      </c>
      <c r="B266" s="130">
        <v>25</v>
      </c>
      <c r="C266" s="52" t="s">
        <v>113</v>
      </c>
    </row>
    <row r="267" spans="1:3" x14ac:dyDescent="0.2">
      <c r="A267" s="370" t="s">
        <v>315</v>
      </c>
      <c r="B267" s="370"/>
      <c r="C267" s="370"/>
    </row>
    <row r="268" spans="1:3" x14ac:dyDescent="0.2">
      <c r="A268" s="52" t="s">
        <v>348</v>
      </c>
      <c r="B268" s="130">
        <v>50</v>
      </c>
      <c r="C268" s="84" t="s">
        <v>407</v>
      </c>
    </row>
    <row r="269" spans="1:3" x14ac:dyDescent="0.2">
      <c r="A269" s="83" t="s">
        <v>191</v>
      </c>
      <c r="B269" s="130">
        <v>125</v>
      </c>
      <c r="C269" s="52" t="s">
        <v>24</v>
      </c>
    </row>
    <row r="270" spans="1:3" x14ac:dyDescent="0.2">
      <c r="A270" s="83" t="s">
        <v>158</v>
      </c>
      <c r="B270" s="131">
        <v>1</v>
      </c>
      <c r="C270" s="52" t="s">
        <v>60</v>
      </c>
    </row>
    <row r="271" spans="1:3" x14ac:dyDescent="0.2">
      <c r="A271" s="83" t="s">
        <v>502</v>
      </c>
      <c r="B271" s="130">
        <v>200</v>
      </c>
      <c r="C271" s="84" t="s">
        <v>48</v>
      </c>
    </row>
    <row r="272" spans="1:3" x14ac:dyDescent="0.2">
      <c r="A272" s="83" t="s">
        <v>299</v>
      </c>
      <c r="B272" s="131">
        <v>1</v>
      </c>
    </row>
    <row r="273" spans="1:3" x14ac:dyDescent="0.2">
      <c r="A273" s="83" t="s">
        <v>83</v>
      </c>
      <c r="B273" s="130">
        <v>5</v>
      </c>
      <c r="C273" s="52" t="s">
        <v>194</v>
      </c>
    </row>
    <row r="274" spans="1:3" x14ac:dyDescent="0.2">
      <c r="A274" s="83" t="s">
        <v>85</v>
      </c>
      <c r="B274" s="130">
        <v>5</v>
      </c>
      <c r="C274" s="52" t="s">
        <v>194</v>
      </c>
    </row>
    <row r="275" spans="1:3" x14ac:dyDescent="0.2">
      <c r="A275" s="83" t="s">
        <v>88</v>
      </c>
      <c r="B275" s="130">
        <v>0.4</v>
      </c>
    </row>
    <row r="276" spans="1:3" x14ac:dyDescent="0.2">
      <c r="A276" s="83" t="s">
        <v>219</v>
      </c>
      <c r="B276" s="130">
        <v>3</v>
      </c>
      <c r="C276" s="52" t="s">
        <v>112</v>
      </c>
    </row>
    <row r="277" spans="1:3" x14ac:dyDescent="0.2">
      <c r="A277" s="83" t="s">
        <v>220</v>
      </c>
      <c r="B277" s="130">
        <v>25</v>
      </c>
      <c r="C277" s="52" t="s">
        <v>113</v>
      </c>
    </row>
  </sheetData>
  <mergeCells count="348">
    <mergeCell ref="K2:K4"/>
    <mergeCell ref="J2:J4"/>
    <mergeCell ref="L2:L4"/>
    <mergeCell ref="A140:C140"/>
    <mergeCell ref="A225:C225"/>
    <mergeCell ref="A235:C235"/>
    <mergeCell ref="A245:C245"/>
    <mergeCell ref="A255:C255"/>
    <mergeCell ref="A267:C267"/>
    <mergeCell ref="D44:D45"/>
    <mergeCell ref="E44:E45"/>
    <mergeCell ref="F44:F45"/>
    <mergeCell ref="A49:C49"/>
    <mergeCell ref="A91:C91"/>
    <mergeCell ref="A102:C102"/>
    <mergeCell ref="D31:D32"/>
    <mergeCell ref="E31:E32"/>
    <mergeCell ref="F31:F32"/>
    <mergeCell ref="D43:F43"/>
    <mergeCell ref="HD21:HF21"/>
    <mergeCell ref="V23:X23"/>
    <mergeCell ref="Y23:AA23"/>
    <mergeCell ref="D30:F30"/>
    <mergeCell ref="BA21:BA23"/>
    <mergeCell ref="BB21:BB23"/>
    <mergeCell ref="BC21:BC23"/>
    <mergeCell ref="BD21:BD23"/>
    <mergeCell ref="BE21:BE23"/>
    <mergeCell ref="BF21:BF23"/>
    <mergeCell ref="AR21:AR23"/>
    <mergeCell ref="AS21:AS23"/>
    <mergeCell ref="AT21:AT23"/>
    <mergeCell ref="AU21:AU23"/>
    <mergeCell ref="AV21:AV23"/>
    <mergeCell ref="AW21:AW23"/>
    <mergeCell ref="AI21:AI23"/>
    <mergeCell ref="AJ21:AJ23"/>
    <mergeCell ref="M21:M23"/>
    <mergeCell ref="N21:N23"/>
    <mergeCell ref="O21:O23"/>
    <mergeCell ref="P21:P23"/>
    <mergeCell ref="Q21:Q23"/>
    <mergeCell ref="R21:R23"/>
    <mergeCell ref="CC35:CG38"/>
    <mergeCell ref="AE38:AG40"/>
    <mergeCell ref="BK39:BO42"/>
    <mergeCell ref="BM20:BO20"/>
    <mergeCell ref="CK20:CK22"/>
    <mergeCell ref="CL20:CL22"/>
    <mergeCell ref="CM20:CM22"/>
    <mergeCell ref="BJ21:BJ23"/>
    <mergeCell ref="BK21:BK23"/>
    <mergeCell ref="BL21:BL23"/>
    <mergeCell ref="BM21:BM23"/>
    <mergeCell ref="AK21:AK23"/>
    <mergeCell ref="AL21:AL23"/>
    <mergeCell ref="AM21:AM23"/>
    <mergeCell ref="AN21:AN23"/>
    <mergeCell ref="BN21:BN23"/>
    <mergeCell ref="BO21:BO23"/>
    <mergeCell ref="CK19:CM19"/>
    <mergeCell ref="CN19:CP19"/>
    <mergeCell ref="CQ19:CS19"/>
    <mergeCell ref="M20:O20"/>
    <mergeCell ref="P20:R20"/>
    <mergeCell ref="AI20:AK20"/>
    <mergeCell ref="AL20:AN20"/>
    <mergeCell ref="AR20:AT20"/>
    <mergeCell ref="AU20:AW20"/>
    <mergeCell ref="BA20:BC20"/>
    <mergeCell ref="CB19:CB21"/>
    <mergeCell ref="CC19:CC21"/>
    <mergeCell ref="CD19:CD21"/>
    <mergeCell ref="CE19:CE21"/>
    <mergeCell ref="CF19:CF21"/>
    <mergeCell ref="CG19:CG21"/>
    <mergeCell ref="CN20:CN22"/>
    <mergeCell ref="CO20:CO22"/>
    <mergeCell ref="CP20:CP22"/>
    <mergeCell ref="CQ20:CQ22"/>
    <mergeCell ref="CR20:CR22"/>
    <mergeCell ref="CS20:CS22"/>
    <mergeCell ref="BD20:BF20"/>
    <mergeCell ref="BJ20:BL20"/>
    <mergeCell ref="HA2:HA4"/>
    <mergeCell ref="HB2:HB4"/>
    <mergeCell ref="HC2:HC4"/>
    <mergeCell ref="A5:C5"/>
    <mergeCell ref="A14:C16"/>
    <mergeCell ref="CB18:CD18"/>
    <mergeCell ref="CE18:CG18"/>
    <mergeCell ref="G2:G4"/>
    <mergeCell ref="H2:H4"/>
    <mergeCell ref="I2:I4"/>
    <mergeCell ref="GU2:GU4"/>
    <mergeCell ref="GV2:GV4"/>
    <mergeCell ref="GW2:GW4"/>
    <mergeCell ref="GX2:GX4"/>
    <mergeCell ref="GY2:GY4"/>
    <mergeCell ref="GZ2:GZ4"/>
    <mergeCell ref="GO2:GO4"/>
    <mergeCell ref="GP2:GP4"/>
    <mergeCell ref="GQ2:GQ4"/>
    <mergeCell ref="GR2:GR4"/>
    <mergeCell ref="GS2:GS4"/>
    <mergeCell ref="GT2:GT4"/>
    <mergeCell ref="GI2:GI4"/>
    <mergeCell ref="GJ2:GJ4"/>
    <mergeCell ref="GK2:GK4"/>
    <mergeCell ref="GL2:GL4"/>
    <mergeCell ref="GM2:GM4"/>
    <mergeCell ref="GN2:GN4"/>
    <mergeCell ref="GC2:GC4"/>
    <mergeCell ref="GD2:GD4"/>
    <mergeCell ref="GE2:GE4"/>
    <mergeCell ref="GF2:GF4"/>
    <mergeCell ref="GG2:GG4"/>
    <mergeCell ref="GH2:GH4"/>
    <mergeCell ref="FW2:FW4"/>
    <mergeCell ref="FX2:FX4"/>
    <mergeCell ref="FY2:FY4"/>
    <mergeCell ref="FZ2:FZ4"/>
    <mergeCell ref="GA2:GA4"/>
    <mergeCell ref="GB2:GB4"/>
    <mergeCell ref="FQ2:FQ4"/>
    <mergeCell ref="FR2:FR4"/>
    <mergeCell ref="FS2:FS4"/>
    <mergeCell ref="FT2:FT4"/>
    <mergeCell ref="FU2:FU4"/>
    <mergeCell ref="FV2:FV4"/>
    <mergeCell ref="FK2:FK4"/>
    <mergeCell ref="FL2:FL4"/>
    <mergeCell ref="FM2:FM4"/>
    <mergeCell ref="FN2:FN4"/>
    <mergeCell ref="FO2:FO4"/>
    <mergeCell ref="FP2:FP4"/>
    <mergeCell ref="FE2:FE4"/>
    <mergeCell ref="FF2:FF4"/>
    <mergeCell ref="FG2:FG4"/>
    <mergeCell ref="FH2:FH4"/>
    <mergeCell ref="FI2:FI4"/>
    <mergeCell ref="FJ2:FJ4"/>
    <mergeCell ref="EY2:EY4"/>
    <mergeCell ref="EZ2:EZ4"/>
    <mergeCell ref="FA2:FA4"/>
    <mergeCell ref="FB2:FB4"/>
    <mergeCell ref="FC2:FC4"/>
    <mergeCell ref="FD2:FD4"/>
    <mergeCell ref="ES2:ES4"/>
    <mergeCell ref="ET2:ET4"/>
    <mergeCell ref="EU2:EU4"/>
    <mergeCell ref="EV2:EV4"/>
    <mergeCell ref="EW2:EW4"/>
    <mergeCell ref="EX2:EX4"/>
    <mergeCell ref="EM2:EM4"/>
    <mergeCell ref="EN2:EN4"/>
    <mergeCell ref="EO2:EO4"/>
    <mergeCell ref="EP2:EP4"/>
    <mergeCell ref="EQ2:EQ4"/>
    <mergeCell ref="ER2:ER4"/>
    <mergeCell ref="EG2:EG4"/>
    <mergeCell ref="EH2:EH4"/>
    <mergeCell ref="EI2:EI4"/>
    <mergeCell ref="EJ2:EJ4"/>
    <mergeCell ref="EK2:EK4"/>
    <mergeCell ref="EL2:EL4"/>
    <mergeCell ref="EA2:EA4"/>
    <mergeCell ref="EB2:EB4"/>
    <mergeCell ref="EC2:EC4"/>
    <mergeCell ref="ED2:ED4"/>
    <mergeCell ref="EE2:EE4"/>
    <mergeCell ref="EF2:EF4"/>
    <mergeCell ref="DU2:DU4"/>
    <mergeCell ref="DV2:DV4"/>
    <mergeCell ref="DW2:DW4"/>
    <mergeCell ref="DX2:DX4"/>
    <mergeCell ref="DY2:DY4"/>
    <mergeCell ref="DZ2:DZ4"/>
    <mergeCell ref="DO2:DO4"/>
    <mergeCell ref="DP2:DP4"/>
    <mergeCell ref="DQ2:DQ4"/>
    <mergeCell ref="DR2:DR4"/>
    <mergeCell ref="DS2:DS4"/>
    <mergeCell ref="DT2:DT4"/>
    <mergeCell ref="DI2:DI4"/>
    <mergeCell ref="DJ2:DJ4"/>
    <mergeCell ref="DK2:DK4"/>
    <mergeCell ref="DL2:DL4"/>
    <mergeCell ref="DM2:DM4"/>
    <mergeCell ref="DN2:DN4"/>
    <mergeCell ref="DC2:DC4"/>
    <mergeCell ref="DD2:DD4"/>
    <mergeCell ref="DE2:DE4"/>
    <mergeCell ref="DF2:DF4"/>
    <mergeCell ref="DG2:DG4"/>
    <mergeCell ref="DH2:DH4"/>
    <mergeCell ref="CT2:CT4"/>
    <mergeCell ref="CU2:CU4"/>
    <mergeCell ref="CV2:CV4"/>
    <mergeCell ref="CZ2:CZ4"/>
    <mergeCell ref="DA2:DA4"/>
    <mergeCell ref="DB2:DB4"/>
    <mergeCell ref="CN2:CN4"/>
    <mergeCell ref="CO2:CO4"/>
    <mergeCell ref="CP2:CP4"/>
    <mergeCell ref="CQ2:CQ4"/>
    <mergeCell ref="CR2:CR4"/>
    <mergeCell ref="CS2:CS4"/>
    <mergeCell ref="CH2:CH4"/>
    <mergeCell ref="CI2:CI4"/>
    <mergeCell ref="CJ2:CJ4"/>
    <mergeCell ref="CK2:CK4"/>
    <mergeCell ref="CL2:CL4"/>
    <mergeCell ref="CM2:CM4"/>
    <mergeCell ref="CB2:CB4"/>
    <mergeCell ref="CC2:CC4"/>
    <mergeCell ref="CD2:CD4"/>
    <mergeCell ref="CE2:CE4"/>
    <mergeCell ref="CF2:CF4"/>
    <mergeCell ref="CG2:CG4"/>
    <mergeCell ref="BV2:BV4"/>
    <mergeCell ref="BW2:BW4"/>
    <mergeCell ref="BX2:BX4"/>
    <mergeCell ref="BY2:BY4"/>
    <mergeCell ref="BZ2:BZ4"/>
    <mergeCell ref="CA2:CA4"/>
    <mergeCell ref="BM2:BM4"/>
    <mergeCell ref="BN2:BN4"/>
    <mergeCell ref="BO2:BO4"/>
    <mergeCell ref="BP2:BP4"/>
    <mergeCell ref="BQ2:BQ4"/>
    <mergeCell ref="BR2:BR4"/>
    <mergeCell ref="BG2:BG4"/>
    <mergeCell ref="BH2:BH4"/>
    <mergeCell ref="BI2:BI4"/>
    <mergeCell ref="BJ2:BJ4"/>
    <mergeCell ref="BK2:BK4"/>
    <mergeCell ref="BL2:BL4"/>
    <mergeCell ref="BD2:BD4"/>
    <mergeCell ref="BE2:BE4"/>
    <mergeCell ref="BF2:BF4"/>
    <mergeCell ref="AU2:AU4"/>
    <mergeCell ref="AV2:AV4"/>
    <mergeCell ref="AW2:AW4"/>
    <mergeCell ref="AX2:AX4"/>
    <mergeCell ref="AY2:AY4"/>
    <mergeCell ref="AZ2:AZ4"/>
    <mergeCell ref="R2:R4"/>
    <mergeCell ref="S2:S4"/>
    <mergeCell ref="T2:T4"/>
    <mergeCell ref="U2:U4"/>
    <mergeCell ref="AC2:AC4"/>
    <mergeCell ref="AD2:AD4"/>
    <mergeCell ref="GU1:GW1"/>
    <mergeCell ref="GX1:GZ1"/>
    <mergeCell ref="HA1:HC1"/>
    <mergeCell ref="FH1:FJ1"/>
    <mergeCell ref="EA1:EC1"/>
    <mergeCell ref="ED1:EF1"/>
    <mergeCell ref="EG1:EI1"/>
    <mergeCell ref="EJ1:EL1"/>
    <mergeCell ref="EM1:EO1"/>
    <mergeCell ref="EP1:ER1"/>
    <mergeCell ref="DI1:DK1"/>
    <mergeCell ref="DL1:DN1"/>
    <mergeCell ref="DO1:DQ1"/>
    <mergeCell ref="DR1:DT1"/>
    <mergeCell ref="DU1:DW1"/>
    <mergeCell ref="DX1:DZ1"/>
    <mergeCell ref="CQ1:CS1"/>
    <mergeCell ref="CT1:CV1"/>
    <mergeCell ref="HD1:HF1"/>
    <mergeCell ref="A2:C2"/>
    <mergeCell ref="M2:M4"/>
    <mergeCell ref="N2:N4"/>
    <mergeCell ref="O2:O4"/>
    <mergeCell ref="P2:P4"/>
    <mergeCell ref="Q2:Q4"/>
    <mergeCell ref="GC1:GE1"/>
    <mergeCell ref="GF1:GH1"/>
    <mergeCell ref="GI1:GK1"/>
    <mergeCell ref="GL1:GN1"/>
    <mergeCell ref="GO1:GQ1"/>
    <mergeCell ref="GR1:GT1"/>
    <mergeCell ref="FK1:FM1"/>
    <mergeCell ref="FN1:FP1"/>
    <mergeCell ref="FQ1:FS1"/>
    <mergeCell ref="FT1:FV1"/>
    <mergeCell ref="FW1:FX1"/>
    <mergeCell ref="FZ1:GB1"/>
    <mergeCell ref="ES1:EU1"/>
    <mergeCell ref="EV1:EX1"/>
    <mergeCell ref="EY1:FA1"/>
    <mergeCell ref="FB1:FD1"/>
    <mergeCell ref="FE1:FG1"/>
    <mergeCell ref="CW1:CY1"/>
    <mergeCell ref="CZ1:DB1"/>
    <mergeCell ref="DC1:DE1"/>
    <mergeCell ref="DF1:DH1"/>
    <mergeCell ref="BY1:CA1"/>
    <mergeCell ref="CB1:CD1"/>
    <mergeCell ref="CE1:CG1"/>
    <mergeCell ref="CH1:CJ1"/>
    <mergeCell ref="CK1:CM1"/>
    <mergeCell ref="CN1:CP1"/>
    <mergeCell ref="BM1:BO1"/>
    <mergeCell ref="BP1:BR1"/>
    <mergeCell ref="BS1:BU1"/>
    <mergeCell ref="BV1:BX1"/>
    <mergeCell ref="AO1:AQ1"/>
    <mergeCell ref="AR1:AT1"/>
    <mergeCell ref="AU1:AW1"/>
    <mergeCell ref="AX1:AZ1"/>
    <mergeCell ref="BA1:BC1"/>
    <mergeCell ref="BD1:BF1"/>
    <mergeCell ref="AB1:AB4"/>
    <mergeCell ref="AI1:AK1"/>
    <mergeCell ref="AL1:AN1"/>
    <mergeCell ref="AE2:AE4"/>
    <mergeCell ref="AF2:AF4"/>
    <mergeCell ref="AG2:AG4"/>
    <mergeCell ref="AH2:AH4"/>
    <mergeCell ref="BG1:BI1"/>
    <mergeCell ref="BJ1:BL1"/>
    <mergeCell ref="AO2:AO4"/>
    <mergeCell ref="AP2:AP4"/>
    <mergeCell ref="AQ2:AQ4"/>
    <mergeCell ref="AR2:AR4"/>
    <mergeCell ref="AS2:AS4"/>
    <mergeCell ref="AT2:AT4"/>
    <mergeCell ref="AI2:AI4"/>
    <mergeCell ref="AJ2:AJ4"/>
    <mergeCell ref="AK2:AK4"/>
    <mergeCell ref="AL2:AL4"/>
    <mergeCell ref="AM2:AM4"/>
    <mergeCell ref="AN2:AN4"/>
    <mergeCell ref="BA2:BA4"/>
    <mergeCell ref="BB2:BB4"/>
    <mergeCell ref="BC2:BC4"/>
    <mergeCell ref="A1:C1"/>
    <mergeCell ref="D1:F1"/>
    <mergeCell ref="G1:I1"/>
    <mergeCell ref="J1:L1"/>
    <mergeCell ref="M1:O1"/>
    <mergeCell ref="P1:R1"/>
    <mergeCell ref="S1:U1"/>
    <mergeCell ref="V1:X1"/>
    <mergeCell ref="Y1:AA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77"/>
  <sheetViews>
    <sheetView zoomScale="80" zoomScaleNormal="80" workbookViewId="0">
      <selection activeCell="B21" sqref="B21"/>
    </sheetView>
  </sheetViews>
  <sheetFormatPr defaultRowHeight="12.75" x14ac:dyDescent="0.2"/>
  <cols>
    <col min="1" max="1" width="15" style="52" bestFit="1" customWidth="1"/>
    <col min="2" max="2" width="9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28515625" style="52" bestFit="1" customWidth="1"/>
    <col min="79" max="79" width="18.85546875" style="52" bestFit="1" customWidth="1"/>
    <col min="80" max="80" width="11" style="52" bestFit="1" customWidth="1"/>
    <col min="81" max="81" width="9.28515625" style="52" bestFit="1" customWidth="1"/>
    <col min="82" max="82" width="20.28515625" style="52" bestFit="1" customWidth="1"/>
    <col min="83" max="83" width="12.42578125" style="52" bestFit="1" customWidth="1"/>
    <col min="84" max="84" width="9.28515625" style="52" bestFit="1" customWidth="1"/>
    <col min="85" max="85" width="20.28515625" style="52" bestFit="1" customWidth="1"/>
    <col min="86" max="86" width="13.5703125" style="52" bestFit="1" customWidth="1"/>
    <col min="87" max="87" width="9.2851562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6.285156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9.28515625" style="52" bestFit="1" customWidth="1"/>
    <col min="142" max="142" width="7" style="52" bestFit="1" customWidth="1"/>
    <col min="143" max="143" width="12" style="52" bestFit="1" customWidth="1"/>
    <col min="144" max="144" width="9.28515625" style="52" bestFit="1" customWidth="1"/>
    <col min="145" max="145" width="7" style="52" bestFit="1" customWidth="1"/>
    <col min="146" max="146" width="12" style="52" bestFit="1" customWidth="1"/>
    <col min="147" max="147" width="9.28515625" style="52" bestFit="1" customWidth="1"/>
    <col min="148" max="148" width="7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7" style="52" bestFit="1" customWidth="1"/>
    <col min="158" max="158" width="12" style="52" bestFit="1" customWidth="1"/>
    <col min="159" max="159" width="9.28515625" style="52" bestFit="1" customWidth="1"/>
    <col min="160" max="160" width="7" style="52" bestFit="1" customWidth="1"/>
    <col min="161" max="161" width="12" style="52" bestFit="1" customWidth="1"/>
    <col min="162" max="162" width="9.28515625" style="52" bestFit="1" customWidth="1"/>
    <col min="163" max="163" width="7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6.285156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9.28515625" style="52" bestFit="1" customWidth="1"/>
    <col min="187" max="187" width="7" style="52" bestFit="1" customWidth="1"/>
    <col min="188" max="188" width="12" style="52" bestFit="1" customWidth="1"/>
    <col min="189" max="189" width="9.28515625" style="52" bestFit="1" customWidth="1"/>
    <col min="190" max="190" width="7" style="52" bestFit="1" customWidth="1"/>
    <col min="191" max="191" width="12" style="52" bestFit="1" customWidth="1"/>
    <col min="192" max="192" width="9.28515625" style="52" bestFit="1" customWidth="1"/>
    <col min="193" max="193" width="7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7" style="52" bestFit="1" customWidth="1"/>
    <col min="203" max="203" width="12" style="52" bestFit="1" customWidth="1"/>
    <col min="204" max="204" width="9.28515625" style="52" bestFit="1" customWidth="1"/>
    <col min="205" max="205" width="7" style="52" bestFit="1" customWidth="1"/>
    <col min="206" max="206" width="12" style="52" bestFit="1" customWidth="1"/>
    <col min="207" max="207" width="9.28515625" style="52" bestFit="1" customWidth="1"/>
    <col min="208" max="208" width="7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13" style="52" bestFit="1" customWidth="1"/>
    <col min="214" max="214" width="21.28515625" style="52" bestFit="1" customWidth="1"/>
    <col min="215" max="16384" width="9.140625" style="52"/>
  </cols>
  <sheetData>
    <row r="1" spans="1:214" ht="21.75" customHeight="1" thickTop="1" thickBot="1" x14ac:dyDescent="0.25">
      <c r="A1" s="649" t="s">
        <v>8</v>
      </c>
      <c r="B1" s="650"/>
      <c r="C1" s="651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565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296" t="s">
        <v>557</v>
      </c>
      <c r="AJ1" s="294"/>
      <c r="AK1" s="297"/>
      <c r="AL1" s="293" t="s">
        <v>546</v>
      </c>
      <c r="AM1" s="294"/>
      <c r="AN1" s="297"/>
      <c r="AO1" s="293" t="s">
        <v>547</v>
      </c>
      <c r="AP1" s="294"/>
      <c r="AQ1" s="295"/>
      <c r="AR1" s="296" t="s">
        <v>559</v>
      </c>
      <c r="AS1" s="294"/>
      <c r="AT1" s="297"/>
      <c r="AU1" s="293" t="s">
        <v>548</v>
      </c>
      <c r="AV1" s="294"/>
      <c r="AW1" s="297"/>
      <c r="AX1" s="293" t="s">
        <v>549</v>
      </c>
      <c r="AY1" s="294"/>
      <c r="AZ1" s="295"/>
      <c r="BA1" s="296" t="s">
        <v>561</v>
      </c>
      <c r="BB1" s="294"/>
      <c r="BC1" s="297"/>
      <c r="BD1" s="293" t="s">
        <v>551</v>
      </c>
      <c r="BE1" s="294"/>
      <c r="BF1" s="297"/>
      <c r="BG1" s="293" t="s">
        <v>552</v>
      </c>
      <c r="BH1" s="294"/>
      <c r="BI1" s="295"/>
      <c r="BJ1" s="296" t="s">
        <v>564</v>
      </c>
      <c r="BK1" s="294"/>
      <c r="BL1" s="297"/>
      <c r="BM1" s="293" t="s">
        <v>554</v>
      </c>
      <c r="BN1" s="294"/>
      <c r="BO1" s="297"/>
      <c r="BP1" s="293" t="s">
        <v>555</v>
      </c>
      <c r="BQ1" s="294"/>
      <c r="BR1" s="295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274" t="s">
        <v>569</v>
      </c>
      <c r="CC1" s="270"/>
      <c r="CD1" s="270"/>
      <c r="CE1" s="271" t="s">
        <v>570</v>
      </c>
      <c r="CF1" s="270"/>
      <c r="CG1" s="272"/>
      <c r="CH1" s="270" t="s">
        <v>571</v>
      </c>
      <c r="CI1" s="270"/>
      <c r="CJ1" s="273"/>
      <c r="CK1" s="270" t="s">
        <v>575</v>
      </c>
      <c r="CL1" s="270"/>
      <c r="CM1" s="270"/>
      <c r="CN1" s="271" t="s">
        <v>575</v>
      </c>
      <c r="CO1" s="270"/>
      <c r="CP1" s="272"/>
      <c r="CQ1" s="270" t="s">
        <v>575</v>
      </c>
      <c r="CR1" s="270"/>
      <c r="CS1" s="273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4.25" customHeight="1" thickTop="1" thickBot="1" x14ac:dyDescent="0.25">
      <c r="A2" s="681" t="s">
        <v>240</v>
      </c>
      <c r="B2" s="682"/>
      <c r="C2" s="683"/>
      <c r="D2" s="193"/>
      <c r="E2" s="194"/>
      <c r="F2" s="194"/>
      <c r="G2" s="363" t="s">
        <v>531</v>
      </c>
      <c r="H2" s="360">
        <f>1/((1/H10)+(1/H12)+(1/H13))</f>
        <v>5.8781553687358809E-2</v>
      </c>
      <c r="I2" s="625" t="s">
        <v>291</v>
      </c>
      <c r="J2" s="622" t="s">
        <v>531</v>
      </c>
      <c r="K2" s="360">
        <f>1/((1/K14)+(1/K15)+(1/K16)+(1/K17))</f>
        <v>1.8852674531944918E-2</v>
      </c>
      <c r="L2" s="345" t="s">
        <v>290</v>
      </c>
      <c r="M2" s="330" t="s">
        <v>537</v>
      </c>
      <c r="N2" s="333">
        <f>((N5*N6*N7)/((1-EXP(-N7*N6))*N15*N13*(N9/365)*(((N14/24)*N12)+((N16/24)*N11))))/N17</f>
        <v>3.6269949297539975E-2</v>
      </c>
      <c r="O2" s="336" t="s">
        <v>290</v>
      </c>
      <c r="P2" s="339" t="s">
        <v>537</v>
      </c>
      <c r="Q2" s="333">
        <f>((Q5*Q6*Q7)/((1-EXP(-Q7*Q6))*Q15*Q13*(Q9/365)*(((Q14/24)*Q12)+((Q16/24)*Q11))))/Q17</f>
        <v>0.20899676354609903</v>
      </c>
      <c r="R2" s="336" t="s">
        <v>290</v>
      </c>
      <c r="S2" s="339" t="s">
        <v>537</v>
      </c>
      <c r="T2" s="333">
        <f>((T5*T6*T7)/((1-EXP(-T7*T6))*T15*T13*(T9/365)*(((T14/24)*T12)+((T16/24)*T11))))/T17</f>
        <v>4.1239326677319846E-2</v>
      </c>
      <c r="U2" s="342" t="s">
        <v>290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1.6035476890998295</v>
      </c>
      <c r="AD2" s="315">
        <f>1/((1/AD29)+(1/AD30)+(1/AD31))</f>
        <v>0.13816651681815523</v>
      </c>
      <c r="AE2" s="315">
        <f>1/((1/AE29)+(1/AE30)+(1/AE31))</f>
        <v>1.6035476890998295</v>
      </c>
      <c r="AF2" s="315">
        <f>1/((1/AF29)+(1/AF30)+(1/AF31))</f>
        <v>3.6869581214502745</v>
      </c>
      <c r="AG2" s="320">
        <f>1/((1/AG29)+(1/AG31)+(1/AG30))</f>
        <v>2.3912321091267579</v>
      </c>
      <c r="AH2" s="318" t="s">
        <v>290</v>
      </c>
      <c r="AI2" s="306" t="s">
        <v>537</v>
      </c>
      <c r="AJ2" s="303">
        <f>((AJ5*AJ6*AJ7)/((1-EXP(-AJ7*AJ6))*AJ15*(AJ9/365)*AJ10*(AJ16/24)*AJ11*AJ13))/AJ17</f>
        <v>0.2213235830075046</v>
      </c>
      <c r="AK2" s="290" t="s">
        <v>290</v>
      </c>
      <c r="AL2" s="287" t="s">
        <v>537</v>
      </c>
      <c r="AM2" s="303">
        <f>((AM5*AM6*AM7)/((1-EXP(-AM7*AM6))*AM15*(AM9/365)*AM10*(AM16/24)*AM11*AM13))/AM17</f>
        <v>1.2648400531104493</v>
      </c>
      <c r="AN2" s="290" t="s">
        <v>290</v>
      </c>
      <c r="AO2" s="287" t="s">
        <v>537</v>
      </c>
      <c r="AP2" s="303">
        <f>((AP5*AP6*AP7)/((1-EXP(-AP7*AP6))*AP15*(AP9/365)*AP10*(AP16/24)*AP11*AP13))/AP17</f>
        <v>0.25101883276564463</v>
      </c>
      <c r="AQ2" s="281" t="s">
        <v>290</v>
      </c>
      <c r="AR2" s="306" t="s">
        <v>537</v>
      </c>
      <c r="AS2" s="303">
        <f>((AS5*AS6*AS7)/((1-EXP(-AS7*AS6))*AS15*(AS9/365)*AS10*(AS14/24)*AS12*AS13))/AS17</f>
        <v>2.6007471563749074</v>
      </c>
      <c r="AT2" s="290" t="s">
        <v>290</v>
      </c>
      <c r="AU2" s="287" t="s">
        <v>537</v>
      </c>
      <c r="AV2" s="303">
        <f>((AV5*AV6*AV7)/((1-EXP(-AV7*AV6))*AV15*(AV9/365)*AV10*(AV14/24)*AV12*AV13))/AV17</f>
        <v>29.211086676915688</v>
      </c>
      <c r="AW2" s="290" t="s">
        <v>290</v>
      </c>
      <c r="AX2" s="287" t="s">
        <v>537</v>
      </c>
      <c r="AY2" s="303">
        <f>((AY5*AY6*AY7)/((1-EXP(-AY7*AY6))*AY15*(AY9/365)*AY10*(AY14/24)*AY12*AY13))/AY17</f>
        <v>3.4671109498017216</v>
      </c>
      <c r="AZ2" s="281" t="s">
        <v>290</v>
      </c>
      <c r="BA2" s="306" t="s">
        <v>537</v>
      </c>
      <c r="BB2" s="303">
        <f>((BB5*BB6*BB7)/((1-EXP(-BB7*BB6))*BB15*(BB9/365)*(BB14/24)*BB12*BB13))/BB17</f>
        <v>2.6007471563749074</v>
      </c>
      <c r="BC2" s="290" t="s">
        <v>290</v>
      </c>
      <c r="BD2" s="287" t="s">
        <v>537</v>
      </c>
      <c r="BE2" s="303">
        <f>((BE5*BE6*BE7)/((1-EXP(-BE7*BE6))*BE15*(BE9/365)*(BE14/24)*BE12*BE13))/BE17</f>
        <v>29.211086676915688</v>
      </c>
      <c r="BF2" s="290" t="s">
        <v>290</v>
      </c>
      <c r="BG2" s="287" t="s">
        <v>537</v>
      </c>
      <c r="BH2" s="303">
        <f>((BH5*BH6*BH7)/((1-EXP(-BH7*BH6))*BH15*(BH9/365)*(BH14/24)*BH12*BH13))/BH17</f>
        <v>3.4671109498017216</v>
      </c>
      <c r="BI2" s="281" t="s">
        <v>290</v>
      </c>
      <c r="BJ2" s="306" t="s">
        <v>537</v>
      </c>
      <c r="BK2" s="284">
        <f>((BK5*BK6*BK7)/((1-EXP(-BK7*BK6))*BK16*(BK9/365)*(BK15/24)*BK13*BK14))/BK17</f>
        <v>4.3345785939581782</v>
      </c>
      <c r="BL2" s="290" t="s">
        <v>290</v>
      </c>
      <c r="BM2" s="287" t="s">
        <v>537</v>
      </c>
      <c r="BN2" s="284">
        <f>((BN5*BN6*BN7)/((1-EXP(-BN7*BN6))*BN16*(BN9/365)*(BN15/24)*BN13*BN14))/BN17</f>
        <v>48.685144461526157</v>
      </c>
      <c r="BO2" s="290" t="s">
        <v>290</v>
      </c>
      <c r="BP2" s="287" t="s">
        <v>537</v>
      </c>
      <c r="BQ2" s="284">
        <f>((BQ5*BQ6*BQ7)/((1-EXP(-BQ7*BQ6))*BQ16*(BQ9/365)*(BQ15/24)*BQ13*BQ14))/BQ17</f>
        <v>5.7785182496695349</v>
      </c>
      <c r="BR2" s="281" t="s">
        <v>290</v>
      </c>
      <c r="BS2" s="214"/>
      <c r="BT2" s="120"/>
      <c r="BU2" s="215"/>
      <c r="BV2" s="258" t="s">
        <v>531</v>
      </c>
      <c r="BW2" s="261">
        <f>1/((1/BW10)+(1/BW12))</f>
        <v>2.1135301138466751E-2</v>
      </c>
      <c r="BX2" s="278" t="s">
        <v>291</v>
      </c>
      <c r="BY2" s="258" t="s">
        <v>531</v>
      </c>
      <c r="BZ2" s="261">
        <f>1/((1/BZ13)+(1/BZ14)+(1/BZ15))</f>
        <v>5.7596781147228775</v>
      </c>
      <c r="CA2" s="264" t="s">
        <v>290</v>
      </c>
      <c r="CB2" s="267" t="s">
        <v>537</v>
      </c>
      <c r="CC2" s="261">
        <f>((CC5*CC6*CC7)/((1-EXP(-CC7*CC6))*CC14*(CC9/365)*CC12*(CC13/24)*CC11))/CC15</f>
        <v>5.9107889917611525</v>
      </c>
      <c r="CD2" s="278" t="s">
        <v>290</v>
      </c>
      <c r="CE2" s="258" t="s">
        <v>537</v>
      </c>
      <c r="CF2" s="261">
        <f>((CF5*CF6*CF7)/((1-EXP(-CF7*CF6))*CF14*(CF9/365)*CF12*(CF13/24)*CF11))/CF15</f>
        <v>66.388833356626563</v>
      </c>
      <c r="CG2" s="278" t="s">
        <v>290</v>
      </c>
      <c r="CH2" s="258" t="s">
        <v>537</v>
      </c>
      <c r="CI2" s="261">
        <f>((CI5*CI6*CI7)/((1-EXP(-CI7*CI6))*CI14*(CI9/365)*CI12*(CI13/24)*CI11))/CI15</f>
        <v>7.8797976131857306</v>
      </c>
      <c r="CJ2" s="264" t="s">
        <v>290</v>
      </c>
      <c r="CK2" s="267" t="s">
        <v>530</v>
      </c>
      <c r="CL2" s="261">
        <f>(CL5/(CL6*CL7*CL8))/CL9</f>
        <v>4.5661808185543773</v>
      </c>
      <c r="CM2" s="255" t="s">
        <v>290</v>
      </c>
      <c r="CN2" s="258" t="s">
        <v>7</v>
      </c>
      <c r="CO2" s="261">
        <f>(CL2/(CO5*((CO10*CO12*CO13*(CO6+CO7))+(CO11*CO12))))*CO17</f>
        <v>0.27449893485741683</v>
      </c>
      <c r="CP2" s="278" t="s">
        <v>290</v>
      </c>
      <c r="CQ2" s="275" t="s">
        <v>6</v>
      </c>
      <c r="CR2" s="261">
        <f>CL2/(CR5*CR6*(1/CR7))</f>
        <v>845.58904047303281</v>
      </c>
      <c r="CS2" s="264" t="s">
        <v>290</v>
      </c>
      <c r="CT2" s="395" t="s">
        <v>531</v>
      </c>
      <c r="CU2" s="392">
        <f>1/((1/CU14)+(1/CU15)+(1/CU16)+(1/CU17))</f>
        <v>7.6965469285390248E-2</v>
      </c>
      <c r="CV2" s="389" t="s">
        <v>290</v>
      </c>
      <c r="CW2" s="218"/>
      <c r="CX2" s="219"/>
      <c r="CY2" s="219"/>
      <c r="CZ2" s="407" t="s">
        <v>531</v>
      </c>
      <c r="DA2" s="404">
        <f>1/((1/DA13)+(1/DA15)+(1/DA16))</f>
        <v>5.3746504203864516E-2</v>
      </c>
      <c r="DB2" s="401" t="s">
        <v>291</v>
      </c>
      <c r="DC2" s="442" t="s">
        <v>530</v>
      </c>
      <c r="DD2" s="439">
        <f>DD7</f>
        <v>4.5661808185543766E-2</v>
      </c>
      <c r="DE2" s="436" t="s">
        <v>290</v>
      </c>
      <c r="DF2" s="433" t="s">
        <v>530</v>
      </c>
      <c r="DG2" s="424">
        <f>DD7/((1/DG24)*(DG5+DG6+DG7))</f>
        <v>4.1023257134524194</v>
      </c>
      <c r="DH2" s="430" t="s">
        <v>291</v>
      </c>
      <c r="DI2" s="427" t="s">
        <v>530</v>
      </c>
      <c r="DJ2" s="424">
        <f>(DD7/(DJ5+DJ6))*DJ12</f>
        <v>0.16193348797408544</v>
      </c>
      <c r="DK2" s="430" t="s">
        <v>290</v>
      </c>
      <c r="DL2" s="427" t="s">
        <v>581</v>
      </c>
      <c r="DM2" s="424">
        <f>((DD7)/(DM5+DM6))*DJ12</f>
        <v>0.16193348797408544</v>
      </c>
      <c r="DN2" s="430" t="s">
        <v>290</v>
      </c>
      <c r="DO2" s="427" t="s">
        <v>582</v>
      </c>
      <c r="DP2" s="424">
        <f>-(DP5+DP6+DP7)/(DP23+DP24)</f>
        <v>-48.516527231988597</v>
      </c>
      <c r="DQ2" s="421" t="s">
        <v>18</v>
      </c>
      <c r="DR2" s="574" t="s">
        <v>530</v>
      </c>
      <c r="DS2" s="445">
        <f>DS7</f>
        <v>9.1323616371087532E-2</v>
      </c>
      <c r="DT2" s="484" t="s">
        <v>290</v>
      </c>
      <c r="DU2" s="481" t="s">
        <v>530</v>
      </c>
      <c r="DV2" s="463">
        <f>(DS7*DV8)/(DV5*DV6*(1/1000))</f>
        <v>222.26683568577539</v>
      </c>
      <c r="DW2" s="466" t="s">
        <v>291</v>
      </c>
      <c r="DX2" s="478" t="s">
        <v>530</v>
      </c>
      <c r="DY2" s="463">
        <f>(DS7*DY14)/(DY9*((DY10*DY12*DY13*(DY5+DY6))+(DY11*DY12)))*DY18</f>
        <v>3.411171500116791</v>
      </c>
      <c r="DZ2" s="466" t="s">
        <v>290</v>
      </c>
      <c r="EA2" s="478" t="s">
        <v>581</v>
      </c>
      <c r="EB2" s="463">
        <f>(DS7*DY14)/(EB9*((EB10*EB12*EB13*(EB5+EB6))+(EB11*EB12)))*DY18</f>
        <v>3.411171500116791</v>
      </c>
      <c r="EC2" s="466" t="s">
        <v>290</v>
      </c>
      <c r="ED2" s="478" t="s">
        <v>582</v>
      </c>
      <c r="EE2" s="463">
        <f>-EE15/((EE10*EE12*EE13*(EE5+EE6))+(EE11*EE12))</f>
        <v>-15.172254564045053</v>
      </c>
      <c r="EF2" s="460" t="s">
        <v>18</v>
      </c>
      <c r="EG2" s="475" t="s">
        <v>530</v>
      </c>
      <c r="EH2" s="469">
        <f>EH7</f>
        <v>9.1323616371087532E-2</v>
      </c>
      <c r="EI2" s="457" t="s">
        <v>290</v>
      </c>
      <c r="EJ2" s="472" t="s">
        <v>530</v>
      </c>
      <c r="EK2" s="454">
        <f>EH7/(EK5*EK6)</f>
        <v>7.8322140970057921E-2</v>
      </c>
      <c r="EL2" s="451" t="s">
        <v>291</v>
      </c>
      <c r="EM2" s="448" t="s">
        <v>530</v>
      </c>
      <c r="EN2" s="454">
        <f>(EH7/(EN9*((EN10*EN12*EN13*(EN5+EN6))+(EN11*EN12))))*EN17</f>
        <v>1.1097050721538853</v>
      </c>
      <c r="EO2" s="451" t="s">
        <v>290</v>
      </c>
      <c r="EP2" s="448" t="s">
        <v>581</v>
      </c>
      <c r="EQ2" s="454">
        <f>(EH7/(EQ9*((EQ10*EQ12*EQ13*(EQ5+EQ6))+(EQ11*EQ12))))*EN17</f>
        <v>1.1097050721538853</v>
      </c>
      <c r="ER2" s="451" t="s">
        <v>290</v>
      </c>
      <c r="ES2" s="448" t="s">
        <v>582</v>
      </c>
      <c r="ET2" s="454">
        <f>-ET15/((ET10*ET12*ET13*(ET5+ET6))+(ET11*ET12))</f>
        <v>-14.006971771987642</v>
      </c>
      <c r="EU2" s="499" t="s">
        <v>18</v>
      </c>
      <c r="EV2" s="496" t="s">
        <v>530</v>
      </c>
      <c r="EW2" s="493">
        <f>EW7</f>
        <v>9.1323616371087532E-2</v>
      </c>
      <c r="EX2" s="490" t="s">
        <v>290</v>
      </c>
      <c r="EY2" s="487" t="s">
        <v>530</v>
      </c>
      <c r="EZ2" s="586">
        <f>EW7/(EZ5*EZ6*(1/EZ7))</f>
        <v>570.77260231929688</v>
      </c>
      <c r="FA2" s="592" t="s">
        <v>291</v>
      </c>
      <c r="FB2" s="589" t="s">
        <v>530</v>
      </c>
      <c r="FC2" s="586">
        <f>(EW7/(FC9*((FC10*FC12*FC13*(FC5+FC6))+(FC11*FC12))))*FC17</f>
        <v>2.9683990215198186</v>
      </c>
      <c r="FD2" s="595" t="s">
        <v>290</v>
      </c>
      <c r="FE2" s="589" t="s">
        <v>581</v>
      </c>
      <c r="FF2" s="586">
        <f>(EW7/(FF9*(FF10*FF12*FF13*(FF5*FF6))+(FF11*FF12)))*FC17</f>
        <v>4.0910796080468019</v>
      </c>
      <c r="FG2" s="592" t="s">
        <v>290</v>
      </c>
      <c r="FH2" s="589" t="s">
        <v>582</v>
      </c>
      <c r="FI2" s="586">
        <f>FI15/((FI10*FI12*FI13*(FI5+FI6))+(FI11*FI12))</f>
        <v>5.1413881748071981</v>
      </c>
      <c r="FJ2" s="583" t="s">
        <v>18</v>
      </c>
      <c r="FK2" s="580" t="s">
        <v>530</v>
      </c>
      <c r="FL2" s="577">
        <f>FL7</f>
        <v>9.1323616371087532E-2</v>
      </c>
      <c r="FM2" s="571" t="s">
        <v>290</v>
      </c>
      <c r="FN2" s="568" t="s">
        <v>530</v>
      </c>
      <c r="FO2" s="505">
        <f>FL7/(FO5*(1/FO6))</f>
        <v>3.6529446548435013E-2</v>
      </c>
      <c r="FP2" s="511" t="s">
        <v>291</v>
      </c>
      <c r="FQ2" s="508" t="s">
        <v>530</v>
      </c>
      <c r="FR2" s="505">
        <f>((FL7*FR6)/FR5)*FR10</f>
        <v>3.6950631019878709E-4</v>
      </c>
      <c r="FS2" s="511" t="s">
        <v>290</v>
      </c>
      <c r="FT2" s="508" t="s">
        <v>581</v>
      </c>
      <c r="FU2" s="505">
        <f>((FL7*FU6)/FU5)*FR10</f>
        <v>3.6950631019878709E-4</v>
      </c>
      <c r="FV2" s="511" t="s">
        <v>290</v>
      </c>
      <c r="FW2" s="508" t="s">
        <v>582</v>
      </c>
      <c r="FX2" s="505">
        <f>-FX5/FX6</f>
        <v>-0.01</v>
      </c>
      <c r="FY2" s="502" t="s">
        <v>18</v>
      </c>
      <c r="FZ2" s="556" t="s">
        <v>530</v>
      </c>
      <c r="GA2" s="553">
        <f>GA7</f>
        <v>9.1323616371087532E-2</v>
      </c>
      <c r="GB2" s="550" t="s">
        <v>290</v>
      </c>
      <c r="GC2" s="559" t="s">
        <v>530</v>
      </c>
      <c r="GD2" s="538">
        <f>GA7/(GD5*GD6*(1/GD7))</f>
        <v>84.558904047303272</v>
      </c>
      <c r="GE2" s="544" t="s">
        <v>291</v>
      </c>
      <c r="GF2" s="541" t="s">
        <v>530</v>
      </c>
      <c r="GG2" s="538">
        <f>(GA7/((GG9)*((GG10*GG12*GG13*(GG5+GG6))+(GG11*GG12))))*GG17</f>
        <v>0.43976281800293615</v>
      </c>
      <c r="GH2" s="544" t="s">
        <v>290</v>
      </c>
      <c r="GI2" s="541" t="s">
        <v>581</v>
      </c>
      <c r="GJ2" s="538">
        <f>(GA7/((GJ9)*((GJ10*GJ12*GJ13*(GJ5+GJ6))+(GJ11*GJ12))))*GG17</f>
        <v>0.43976281800293615</v>
      </c>
      <c r="GK2" s="544" t="s">
        <v>290</v>
      </c>
      <c r="GL2" s="541" t="s">
        <v>582</v>
      </c>
      <c r="GM2" s="538">
        <f>GM15/((GM10*GM12*GM13*(GM5+GM6))+(GM11*GM12))</f>
        <v>5.1413881748071981</v>
      </c>
      <c r="GN2" s="535" t="s">
        <v>18</v>
      </c>
      <c r="GO2" s="532" t="s">
        <v>530</v>
      </c>
      <c r="GP2" s="529">
        <f>GP7</f>
        <v>9.1323616371087532E-2</v>
      </c>
      <c r="GQ2" s="526" t="s">
        <v>290</v>
      </c>
      <c r="GR2" s="523" t="s">
        <v>530</v>
      </c>
      <c r="GS2" s="517">
        <f>GP7/(GS5*GS6*(1/GS7))</f>
        <v>40.054217706617329</v>
      </c>
      <c r="GT2" s="514" t="s">
        <v>291</v>
      </c>
      <c r="GU2" s="520" t="s">
        <v>530</v>
      </c>
      <c r="GV2" s="517">
        <f>(GP7/((GV9)*((GV10*GV12*GV13*(GV5+GV6))+(GV11*GV12))))*GV17</f>
        <v>0.27471771114523508</v>
      </c>
      <c r="GW2" s="514" t="s">
        <v>290</v>
      </c>
      <c r="GX2" s="520" t="s">
        <v>581</v>
      </c>
      <c r="GY2" s="517">
        <f>(GP7/((GY9*((GY10*GY12*GY13*(GY5+GY6))+(GY11*GY12)))))*GV17</f>
        <v>0.27471771114523508</v>
      </c>
      <c r="GZ2" s="514" t="s">
        <v>290</v>
      </c>
      <c r="HA2" s="520" t="s">
        <v>582</v>
      </c>
      <c r="HB2" s="517">
        <f>GP7/((HB10*HB12*HB13*(HB5+HB6))+(HB11*HB12))</f>
        <v>5.4317264242602463E-2</v>
      </c>
      <c r="HC2" s="547" t="s">
        <v>18</v>
      </c>
      <c r="HD2" s="54"/>
      <c r="HE2" s="55"/>
      <c r="HF2" s="56"/>
    </row>
    <row r="3" spans="1:214" ht="13.5" customHeight="1" thickTop="1" x14ac:dyDescent="0.2">
      <c r="A3" s="114" t="s">
        <v>302</v>
      </c>
      <c r="B3" s="228">
        <v>8.5099999999999995E-2</v>
      </c>
      <c r="C3" s="115"/>
      <c r="D3" s="189" t="s">
        <v>15</v>
      </c>
      <c r="E3" s="134">
        <f>1/((1/E19)+(1/E20))</f>
        <v>9.4500385247056993E-6</v>
      </c>
      <c r="F3" s="58" t="s">
        <v>289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1.1006039607724479E-4</v>
      </c>
      <c r="X3" s="62" t="s">
        <v>289</v>
      </c>
      <c r="Y3" s="202" t="s">
        <v>16</v>
      </c>
      <c r="Z3" s="187">
        <f>1/((1/Z18)+(1/Z19))</f>
        <v>1.1006039607724479E-4</v>
      </c>
      <c r="AA3" s="63" t="s">
        <v>289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307"/>
      <c r="AS3" s="304"/>
      <c r="AT3" s="291"/>
      <c r="AU3" s="288"/>
      <c r="AV3" s="304"/>
      <c r="AW3" s="291"/>
      <c r="AX3" s="288"/>
      <c r="AY3" s="304"/>
      <c r="AZ3" s="282"/>
      <c r="BA3" s="307"/>
      <c r="BB3" s="304"/>
      <c r="BC3" s="291"/>
      <c r="BD3" s="288"/>
      <c r="BE3" s="304"/>
      <c r="BF3" s="291"/>
      <c r="BG3" s="288"/>
      <c r="BH3" s="304"/>
      <c r="BI3" s="282"/>
      <c r="BJ3" s="307"/>
      <c r="BK3" s="285"/>
      <c r="BL3" s="291"/>
      <c r="BM3" s="288"/>
      <c r="BN3" s="285"/>
      <c r="BO3" s="291"/>
      <c r="BP3" s="288"/>
      <c r="BQ3" s="285"/>
      <c r="BR3" s="282"/>
      <c r="BS3" s="212" t="s">
        <v>15</v>
      </c>
      <c r="BT3" s="64">
        <f>1/((1/BT18)+(1/BT19))</f>
        <v>1.2370959523251099E-4</v>
      </c>
      <c r="BU3" s="53" t="s">
        <v>289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56"/>
      <c r="CN3" s="259"/>
      <c r="CO3" s="262"/>
      <c r="CP3" s="279"/>
      <c r="CQ3" s="276"/>
      <c r="CR3" s="262"/>
      <c r="CS3" s="265"/>
      <c r="CT3" s="396"/>
      <c r="CU3" s="393"/>
      <c r="CV3" s="390"/>
      <c r="CW3" s="216" t="s">
        <v>15</v>
      </c>
      <c r="CX3" s="65">
        <f>1/((1/CX19)+(1/CX20))</f>
        <v>9.4500161978768336E-6</v>
      </c>
      <c r="CY3" s="66" t="s">
        <v>289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222">
        <f>(HE5*HE14)*(10^-3)*(HE13+(HE10/HE11))*((HE12*HE7)/HE8)</f>
        <v>7.6350360652708851E-2</v>
      </c>
      <c r="HF3" s="220" t="s">
        <v>595</v>
      </c>
    </row>
    <row r="4" spans="1:214" ht="13.5" customHeight="1" thickBot="1" x14ac:dyDescent="0.25">
      <c r="A4" s="118" t="s">
        <v>54</v>
      </c>
      <c r="B4" s="230">
        <v>0.74199999999999999</v>
      </c>
      <c r="C4" s="119"/>
      <c r="D4" s="190" t="s">
        <v>16</v>
      </c>
      <c r="E4" s="135">
        <f>1/((1/E21)+(1/E22))</f>
        <v>9.5589974566696257E-6</v>
      </c>
      <c r="F4" s="68" t="s">
        <v>289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1.0880586459918317E-4</v>
      </c>
      <c r="X4" s="76" t="s">
        <v>289</v>
      </c>
      <c r="Y4" s="203" t="s">
        <v>15</v>
      </c>
      <c r="Z4" s="186">
        <f>1/((1/Z16)+(1/Z17))</f>
        <v>1.0880586459918317E-4</v>
      </c>
      <c r="AA4" s="77" t="s">
        <v>289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308"/>
      <c r="AS4" s="305"/>
      <c r="AT4" s="292"/>
      <c r="AU4" s="289"/>
      <c r="AV4" s="305"/>
      <c r="AW4" s="292"/>
      <c r="AX4" s="289"/>
      <c r="AY4" s="305"/>
      <c r="AZ4" s="283"/>
      <c r="BA4" s="308"/>
      <c r="BB4" s="305"/>
      <c r="BC4" s="292"/>
      <c r="BD4" s="289"/>
      <c r="BE4" s="305"/>
      <c r="BF4" s="292"/>
      <c r="BG4" s="289"/>
      <c r="BH4" s="305"/>
      <c r="BI4" s="283"/>
      <c r="BJ4" s="308"/>
      <c r="BK4" s="286"/>
      <c r="BL4" s="292"/>
      <c r="BM4" s="289"/>
      <c r="BN4" s="286"/>
      <c r="BO4" s="292"/>
      <c r="BP4" s="289"/>
      <c r="BQ4" s="286"/>
      <c r="BR4" s="283"/>
      <c r="BS4" s="213" t="s">
        <v>16</v>
      </c>
      <c r="BT4" s="78">
        <f>1/((1/BT20)+(1/BT21))</f>
        <v>1.2513596670549326E-4</v>
      </c>
      <c r="BU4" s="79" t="s">
        <v>289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57"/>
      <c r="CN4" s="260"/>
      <c r="CO4" s="263"/>
      <c r="CP4" s="280"/>
      <c r="CQ4" s="277"/>
      <c r="CR4" s="263"/>
      <c r="CS4" s="266"/>
      <c r="CT4" s="397"/>
      <c r="CU4" s="394"/>
      <c r="CV4" s="391"/>
      <c r="CW4" s="217" t="s">
        <v>16</v>
      </c>
      <c r="CX4" s="80">
        <f>1/((1/CX21)+(1/CX22))</f>
        <v>9.5589748724124532E-6</v>
      </c>
      <c r="CY4" s="81" t="s">
        <v>289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224">
        <f>(HE6*HE14)*10^-3*(HE13+(HE10/HE11))*((HE12*HE7)/(HE8))</f>
        <v>6.0648491023832277E-4</v>
      </c>
      <c r="HF4" s="221" t="s">
        <v>596</v>
      </c>
    </row>
    <row r="5" spans="1:214" ht="14.25" thickTop="1" thickBot="1" x14ac:dyDescent="0.25">
      <c r="A5" s="681" t="s">
        <v>241</v>
      </c>
      <c r="B5" s="682"/>
      <c r="C5" s="683"/>
      <c r="D5" s="52" t="s">
        <v>267</v>
      </c>
      <c r="E5" s="136">
        <f>B17</f>
        <v>1</v>
      </c>
      <c r="F5" s="52" t="s">
        <v>344</v>
      </c>
      <c r="G5" s="83" t="s">
        <v>267</v>
      </c>
      <c r="H5" s="136">
        <f>B17</f>
        <v>1</v>
      </c>
      <c r="I5" s="52" t="s">
        <v>344</v>
      </c>
      <c r="J5" s="83" t="s">
        <v>267</v>
      </c>
      <c r="K5" s="136">
        <f>B17</f>
        <v>1</v>
      </c>
      <c r="L5" s="52" t="s">
        <v>344</v>
      </c>
      <c r="M5" s="52" t="s">
        <v>267</v>
      </c>
      <c r="N5" s="136">
        <f>B17</f>
        <v>1</v>
      </c>
      <c r="O5" s="52" t="s">
        <v>344</v>
      </c>
      <c r="P5" s="52" t="s">
        <v>267</v>
      </c>
      <c r="Q5" s="136">
        <f>B17</f>
        <v>1</v>
      </c>
      <c r="R5" s="52" t="s">
        <v>344</v>
      </c>
      <c r="S5" s="52" t="s">
        <v>267</v>
      </c>
      <c r="T5" s="136">
        <f>B17</f>
        <v>1</v>
      </c>
      <c r="U5" s="52" t="s">
        <v>344</v>
      </c>
      <c r="V5" s="52" t="s">
        <v>267</v>
      </c>
      <c r="W5" s="136">
        <f>B17</f>
        <v>1</v>
      </c>
      <c r="X5" s="52" t="s">
        <v>344</v>
      </c>
      <c r="Y5" s="52" t="s">
        <v>267</v>
      </c>
      <c r="Z5" s="136">
        <f>B17</f>
        <v>1</v>
      </c>
      <c r="AA5" s="52" t="s">
        <v>344</v>
      </c>
      <c r="AB5" s="83" t="s">
        <v>267</v>
      </c>
      <c r="AC5" s="136">
        <f>B17</f>
        <v>1</v>
      </c>
      <c r="AD5" s="136">
        <f>B17</f>
        <v>1</v>
      </c>
      <c r="AE5" s="136">
        <f>B17</f>
        <v>1</v>
      </c>
      <c r="AF5" s="136">
        <f>B17</f>
        <v>1</v>
      </c>
      <c r="AG5" s="136">
        <f>B17</f>
        <v>1</v>
      </c>
      <c r="AH5" s="52" t="s">
        <v>344</v>
      </c>
      <c r="AI5" s="52" t="s">
        <v>267</v>
      </c>
      <c r="AJ5" s="136">
        <f>B17</f>
        <v>1</v>
      </c>
      <c r="AK5" s="52" t="s">
        <v>344</v>
      </c>
      <c r="AL5" s="52" t="s">
        <v>267</v>
      </c>
      <c r="AM5" s="136">
        <f>B17</f>
        <v>1</v>
      </c>
      <c r="AN5" s="52" t="s">
        <v>344</v>
      </c>
      <c r="AO5" s="52" t="s">
        <v>267</v>
      </c>
      <c r="AP5" s="136">
        <f>B17</f>
        <v>1</v>
      </c>
      <c r="AQ5" s="52" t="s">
        <v>344</v>
      </c>
      <c r="AR5" s="52" t="s">
        <v>267</v>
      </c>
      <c r="AS5" s="136">
        <f>B17</f>
        <v>1</v>
      </c>
      <c r="AT5" s="52" t="s">
        <v>344</v>
      </c>
      <c r="AU5" s="52" t="s">
        <v>267</v>
      </c>
      <c r="AV5" s="136">
        <f>B17</f>
        <v>1</v>
      </c>
      <c r="AW5" s="52" t="s">
        <v>344</v>
      </c>
      <c r="AX5" s="52" t="s">
        <v>267</v>
      </c>
      <c r="AY5" s="136">
        <f>B17</f>
        <v>1</v>
      </c>
      <c r="AZ5" s="52" t="s">
        <v>344</v>
      </c>
      <c r="BA5" s="52" t="s">
        <v>267</v>
      </c>
      <c r="BB5" s="136">
        <f>B17</f>
        <v>1</v>
      </c>
      <c r="BC5" s="52" t="s">
        <v>344</v>
      </c>
      <c r="BD5" s="52" t="s">
        <v>267</v>
      </c>
      <c r="BE5" s="136">
        <f>B17</f>
        <v>1</v>
      </c>
      <c r="BF5" s="52" t="s">
        <v>344</v>
      </c>
      <c r="BG5" s="52" t="s">
        <v>267</v>
      </c>
      <c r="BH5" s="136">
        <f>B17</f>
        <v>1</v>
      </c>
      <c r="BI5" s="52" t="s">
        <v>344</v>
      </c>
      <c r="BJ5" s="52" t="s">
        <v>267</v>
      </c>
      <c r="BK5" s="136">
        <f>B17</f>
        <v>1</v>
      </c>
      <c r="BL5" s="52" t="s">
        <v>344</v>
      </c>
      <c r="BM5" s="52" t="s">
        <v>267</v>
      </c>
      <c r="BN5" s="136">
        <f>B17</f>
        <v>1</v>
      </c>
      <c r="BO5" s="52" t="s">
        <v>344</v>
      </c>
      <c r="BP5" s="52" t="s">
        <v>267</v>
      </c>
      <c r="BQ5" s="136">
        <f>B17</f>
        <v>1</v>
      </c>
      <c r="BR5" s="52" t="s">
        <v>344</v>
      </c>
      <c r="BS5" s="52" t="s">
        <v>267</v>
      </c>
      <c r="BT5" s="136">
        <f>B17</f>
        <v>1</v>
      </c>
      <c r="BU5" s="52" t="s">
        <v>344</v>
      </c>
      <c r="BV5" s="83" t="s">
        <v>267</v>
      </c>
      <c r="BW5" s="136">
        <f>B17</f>
        <v>1</v>
      </c>
      <c r="BX5" s="52" t="s">
        <v>344</v>
      </c>
      <c r="BY5" s="83" t="s">
        <v>267</v>
      </c>
      <c r="BZ5" s="136">
        <f>B17</f>
        <v>1</v>
      </c>
      <c r="CA5" s="52" t="s">
        <v>344</v>
      </c>
      <c r="CB5" s="52" t="s">
        <v>267</v>
      </c>
      <c r="CC5" s="136">
        <f>B17</f>
        <v>1</v>
      </c>
      <c r="CD5" s="52" t="s">
        <v>344</v>
      </c>
      <c r="CE5" s="52" t="s">
        <v>267</v>
      </c>
      <c r="CF5" s="136">
        <f>B17</f>
        <v>1</v>
      </c>
      <c r="CG5" s="52" t="s">
        <v>344</v>
      </c>
      <c r="CH5" s="52" t="s">
        <v>267</v>
      </c>
      <c r="CI5" s="136">
        <f>B17</f>
        <v>1</v>
      </c>
      <c r="CJ5" s="52" t="s">
        <v>344</v>
      </c>
      <c r="CK5" s="52" t="s">
        <v>267</v>
      </c>
      <c r="CL5" s="136">
        <f>B17</f>
        <v>1</v>
      </c>
      <c r="CM5" s="52" t="s">
        <v>344</v>
      </c>
      <c r="CN5" s="83" t="s">
        <v>228</v>
      </c>
      <c r="CO5" s="136">
        <f>B42</f>
        <v>2.7</v>
      </c>
      <c r="CP5" s="52" t="s">
        <v>268</v>
      </c>
      <c r="CQ5" s="83" t="s">
        <v>228</v>
      </c>
      <c r="CR5" s="136">
        <f>CO5</f>
        <v>2.7</v>
      </c>
      <c r="CS5" s="52" t="s">
        <v>268</v>
      </c>
      <c r="CT5" s="83" t="s">
        <v>267</v>
      </c>
      <c r="CU5" s="136">
        <f>B17</f>
        <v>1</v>
      </c>
      <c r="CV5" s="52" t="s">
        <v>344</v>
      </c>
      <c r="CW5" s="52" t="s">
        <v>267</v>
      </c>
      <c r="CX5" s="136">
        <f>B17</f>
        <v>1</v>
      </c>
      <c r="CY5" s="52" t="s">
        <v>344</v>
      </c>
      <c r="CZ5" s="83" t="s">
        <v>267</v>
      </c>
      <c r="DA5" s="136">
        <f>B17</f>
        <v>1</v>
      </c>
      <c r="DB5" s="52" t="s">
        <v>344</v>
      </c>
      <c r="DC5" s="83" t="s">
        <v>267</v>
      </c>
      <c r="DD5" s="136">
        <f>B17</f>
        <v>1</v>
      </c>
      <c r="DE5" s="52" t="s">
        <v>344</v>
      </c>
      <c r="DF5" s="52" t="s">
        <v>17</v>
      </c>
      <c r="DG5" s="137">
        <f>(DG8*DG9*DG10*((1-EXP(-DG11*DG12))))/(DG13*DG11)</f>
        <v>0.66271991443607436</v>
      </c>
      <c r="DH5" s="52" t="s">
        <v>18</v>
      </c>
      <c r="DI5" s="83" t="s">
        <v>19</v>
      </c>
      <c r="DJ5" s="161">
        <f>DJ7</f>
        <v>2.5229999999999999E-2</v>
      </c>
      <c r="DK5" s="83"/>
      <c r="DL5" s="83" t="s">
        <v>19</v>
      </c>
      <c r="DM5" s="161">
        <f>DM7</f>
        <v>2.5229999999999999E-2</v>
      </c>
      <c r="DO5" s="52" t="s">
        <v>17</v>
      </c>
      <c r="DP5" s="137">
        <f>(DP8*DP9*DP10*((1-EXP(-DP11*DP12))))/(DP13*DP11)</f>
        <v>0.90188194353411644</v>
      </c>
      <c r="DQ5" s="52" t="s">
        <v>18</v>
      </c>
      <c r="DR5" s="83" t="s">
        <v>267</v>
      </c>
      <c r="DS5" s="136">
        <f>B17</f>
        <v>1</v>
      </c>
      <c r="DT5" s="52" t="s">
        <v>344</v>
      </c>
      <c r="DU5" s="83" t="s">
        <v>239</v>
      </c>
      <c r="DV5" s="169">
        <f>B36</f>
        <v>4.5999999999999999E-3</v>
      </c>
      <c r="DW5" s="52" t="s">
        <v>601</v>
      </c>
      <c r="DX5" s="83" t="s">
        <v>20</v>
      </c>
      <c r="DY5" s="161">
        <f>DY7</f>
        <v>2.9000000000000001E-2</v>
      </c>
      <c r="DZ5" s="83"/>
      <c r="EA5" s="83" t="s">
        <v>20</v>
      </c>
      <c r="EB5" s="161">
        <f>EB7</f>
        <v>2.9000000000000001E-2</v>
      </c>
      <c r="EC5" s="84"/>
      <c r="ED5" s="83" t="s">
        <v>20</v>
      </c>
      <c r="EE5" s="161">
        <f>EE7</f>
        <v>2.9000000000000001E-2</v>
      </c>
      <c r="EF5" s="84"/>
      <c r="EG5" s="83" t="s">
        <v>267</v>
      </c>
      <c r="EH5" s="136">
        <f>B17</f>
        <v>1</v>
      </c>
      <c r="EI5" s="52" t="s">
        <v>344</v>
      </c>
      <c r="EJ5" s="83" t="s">
        <v>236</v>
      </c>
      <c r="EK5" s="169">
        <f>B37</f>
        <v>2.1999999999999999E-2</v>
      </c>
      <c r="EL5" s="52" t="s">
        <v>388</v>
      </c>
      <c r="EM5" s="83" t="s">
        <v>20</v>
      </c>
      <c r="EN5" s="161">
        <f>EN7</f>
        <v>2.9000000000000001E-2</v>
      </c>
      <c r="EO5" s="83"/>
      <c r="EP5" s="83" t="s">
        <v>20</v>
      </c>
      <c r="EQ5" s="161">
        <f>EQ7</f>
        <v>2.9000000000000001E-2</v>
      </c>
      <c r="ER5" s="84"/>
      <c r="ES5" s="83" t="s">
        <v>20</v>
      </c>
      <c r="ET5" s="161">
        <f>ET7</f>
        <v>2.9000000000000001E-2</v>
      </c>
      <c r="EU5" s="84"/>
      <c r="EV5" s="83" t="s">
        <v>267</v>
      </c>
      <c r="EW5" s="136">
        <f>B17</f>
        <v>1</v>
      </c>
      <c r="EX5" s="52" t="s">
        <v>344</v>
      </c>
      <c r="EY5" s="83" t="s">
        <v>171</v>
      </c>
      <c r="EZ5" s="169">
        <f>B39</f>
        <v>0.4</v>
      </c>
      <c r="FA5" s="52" t="s">
        <v>388</v>
      </c>
      <c r="FB5" s="83" t="s">
        <v>20</v>
      </c>
      <c r="FC5" s="161">
        <f>FC7</f>
        <v>2.9000000000000001E-2</v>
      </c>
      <c r="FD5" s="83"/>
      <c r="FE5" s="83" t="s">
        <v>20</v>
      </c>
      <c r="FF5" s="161">
        <f>FF7</f>
        <v>2.9000000000000001E-2</v>
      </c>
      <c r="FG5" s="83"/>
      <c r="FH5" s="83" t="s">
        <v>20</v>
      </c>
      <c r="FI5" s="161">
        <f>FI7</f>
        <v>2.9000000000000001E-2</v>
      </c>
      <c r="FJ5" s="84"/>
      <c r="FK5" s="83" t="s">
        <v>267</v>
      </c>
      <c r="FL5" s="136">
        <f>B17</f>
        <v>1</v>
      </c>
      <c r="FM5" s="52" t="s">
        <v>344</v>
      </c>
      <c r="FN5" s="83" t="s">
        <v>105</v>
      </c>
      <c r="FO5" s="161">
        <f>B35</f>
        <v>2500</v>
      </c>
      <c r="FP5" s="83" t="s">
        <v>18</v>
      </c>
      <c r="FQ5" s="83" t="s">
        <v>105</v>
      </c>
      <c r="FR5" s="161">
        <f>B35</f>
        <v>2500</v>
      </c>
      <c r="FS5" s="83" t="s">
        <v>18</v>
      </c>
      <c r="FT5" s="83" t="s">
        <v>105</v>
      </c>
      <c r="FU5" s="161">
        <f>B35</f>
        <v>2500</v>
      </c>
      <c r="FV5" s="83" t="s">
        <v>18</v>
      </c>
      <c r="FW5" s="83" t="s">
        <v>156</v>
      </c>
      <c r="FX5" s="161">
        <f>B45</f>
        <v>10</v>
      </c>
      <c r="FY5" s="88" t="s">
        <v>18</v>
      </c>
      <c r="FZ5" s="83" t="s">
        <v>267</v>
      </c>
      <c r="GA5" s="136">
        <f>B17</f>
        <v>1</v>
      </c>
      <c r="GB5" s="52" t="s">
        <v>344</v>
      </c>
      <c r="GC5" s="83" t="s">
        <v>237</v>
      </c>
      <c r="GD5" s="169">
        <f>B38</f>
        <v>2.7</v>
      </c>
      <c r="GE5" s="52" t="s">
        <v>388</v>
      </c>
      <c r="GF5" s="83" t="s">
        <v>20</v>
      </c>
      <c r="GG5" s="161">
        <f>GG7</f>
        <v>2.9000000000000001E-2</v>
      </c>
      <c r="GH5" s="83"/>
      <c r="GI5" s="83" t="s">
        <v>20</v>
      </c>
      <c r="GJ5" s="161">
        <f>GJ7</f>
        <v>2.9000000000000001E-2</v>
      </c>
      <c r="GK5" s="83"/>
      <c r="GL5" s="83" t="s">
        <v>20</v>
      </c>
      <c r="GM5" s="161">
        <f>GM7</f>
        <v>2.9000000000000001E-2</v>
      </c>
      <c r="GN5" s="84"/>
      <c r="GO5" s="83" t="s">
        <v>267</v>
      </c>
      <c r="GP5" s="136">
        <f>B17</f>
        <v>1</v>
      </c>
      <c r="GQ5" s="52" t="s">
        <v>344</v>
      </c>
      <c r="GR5" s="83" t="s">
        <v>238</v>
      </c>
      <c r="GS5" s="169">
        <f>B40</f>
        <v>0.2</v>
      </c>
      <c r="GT5" s="52" t="s">
        <v>388</v>
      </c>
      <c r="GU5" s="83" t="s">
        <v>20</v>
      </c>
      <c r="GV5" s="161">
        <f>GV7</f>
        <v>2.9000000000000001E-2</v>
      </c>
      <c r="GW5" s="83"/>
      <c r="GX5" s="83" t="s">
        <v>20</v>
      </c>
      <c r="GY5" s="161">
        <f>GY7</f>
        <v>2.9000000000000001E-2</v>
      </c>
      <c r="GZ5" s="83"/>
      <c r="HA5" s="83" t="s">
        <v>20</v>
      </c>
      <c r="HB5" s="161">
        <f>HB7</f>
        <v>2.9000000000000001E-2</v>
      </c>
      <c r="HC5" s="84"/>
      <c r="HD5" s="89" t="s">
        <v>21</v>
      </c>
      <c r="HE5" s="175">
        <f>B46</f>
        <v>7.4000074000074001</v>
      </c>
      <c r="HF5" s="83" t="s">
        <v>291</v>
      </c>
    </row>
    <row r="6" spans="1:214" ht="13.5" thickTop="1" x14ac:dyDescent="0.2">
      <c r="A6" s="114" t="s">
        <v>339</v>
      </c>
      <c r="B6" s="228">
        <v>4.3299999999999998E-2</v>
      </c>
      <c r="C6" s="115"/>
      <c r="D6" s="83" t="s">
        <v>22</v>
      </c>
      <c r="E6" s="137">
        <f>0.693/E7</f>
        <v>2.2972045705420805E-2</v>
      </c>
      <c r="G6" s="83" t="s">
        <v>248</v>
      </c>
      <c r="H6" s="136">
        <f>B19</f>
        <v>4.9109405245458101E-5</v>
      </c>
      <c r="I6" s="83" t="s">
        <v>259</v>
      </c>
      <c r="J6" s="83" t="s">
        <v>249</v>
      </c>
      <c r="K6" s="136">
        <f>B20</f>
        <v>4.9109405245458101E-5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2.2972045705420805E-2</v>
      </c>
      <c r="BV6" s="83" t="s">
        <v>248</v>
      </c>
      <c r="BW6" s="136">
        <f>B19</f>
        <v>4.9109405245458101E-5</v>
      </c>
      <c r="BX6" s="83" t="s">
        <v>259</v>
      </c>
      <c r="BY6" s="83" t="s">
        <v>249</v>
      </c>
      <c r="BZ6" s="136">
        <f>B20</f>
        <v>4.9109405245458101E-5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B29</f>
        <v>4.9109405245458101E-5</v>
      </c>
      <c r="CM6" s="91" t="s">
        <v>10</v>
      </c>
      <c r="CN6" s="84" t="s">
        <v>20</v>
      </c>
      <c r="CO6" s="139">
        <f>CO8</f>
        <v>2.9000000000000001E-2</v>
      </c>
      <c r="CQ6" s="84" t="s">
        <v>169</v>
      </c>
      <c r="CR6" s="162">
        <f>B133</f>
        <v>2</v>
      </c>
      <c r="CS6" s="52" t="s">
        <v>28</v>
      </c>
      <c r="CT6" s="83" t="s">
        <v>249</v>
      </c>
      <c r="CU6" s="136">
        <f>B20</f>
        <v>4.9109405245458101E-5</v>
      </c>
      <c r="CV6" s="83" t="s">
        <v>259</v>
      </c>
      <c r="CW6" s="83" t="s">
        <v>22</v>
      </c>
      <c r="CX6" s="137">
        <f>0.693/CX7</f>
        <v>2.2972045705420805E-2</v>
      </c>
      <c r="CZ6" s="83" t="s">
        <v>248</v>
      </c>
      <c r="DA6" s="136">
        <f>B19</f>
        <v>4.9109405245458101E-5</v>
      </c>
      <c r="DB6" s="83" t="s">
        <v>259</v>
      </c>
      <c r="DC6" s="83" t="s">
        <v>258</v>
      </c>
      <c r="DD6" s="136">
        <f>B29</f>
        <v>4.9109405245458101E-5</v>
      </c>
      <c r="DE6" s="92" t="s">
        <v>259</v>
      </c>
      <c r="DF6" s="52" t="s">
        <v>25</v>
      </c>
      <c r="DG6" s="137">
        <f>(DG8*DG9*DG14*((1-EXP(-DG11*DG12))))/(DG13*DG11)</f>
        <v>6.8294561138874093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B29</f>
        <v>4.9109405245458101E-5</v>
      </c>
      <c r="DT6" s="83" t="s">
        <v>259</v>
      </c>
      <c r="DU6" s="83" t="s">
        <v>27</v>
      </c>
      <c r="DV6" s="142">
        <f>B199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B29</f>
        <v>4.9109405245458101E-5</v>
      </c>
      <c r="EI6" s="83" t="s">
        <v>259</v>
      </c>
      <c r="EJ6" s="83" t="s">
        <v>29</v>
      </c>
      <c r="EK6" s="142">
        <f>B205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B29</f>
        <v>4.9109405245458101E-5</v>
      </c>
      <c r="EX6" s="83" t="s">
        <v>259</v>
      </c>
      <c r="EY6" s="83" t="s">
        <v>148</v>
      </c>
      <c r="EZ6" s="164">
        <f>B210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B29</f>
        <v>4.9109405245458101E-5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B45</f>
        <v>10</v>
      </c>
      <c r="FS6" s="83" t="s">
        <v>18</v>
      </c>
      <c r="FT6" s="83" t="s">
        <v>156</v>
      </c>
      <c r="FU6" s="161">
        <f>B45</f>
        <v>10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B29</f>
        <v>4.9109405245458101E-5</v>
      </c>
      <c r="GB6" s="83" t="s">
        <v>259</v>
      </c>
      <c r="GC6" s="83" t="s">
        <v>485</v>
      </c>
      <c r="GD6" s="164">
        <f>B215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B29</f>
        <v>4.9109405245458101E-5</v>
      </c>
      <c r="GQ6" s="83" t="s">
        <v>259</v>
      </c>
      <c r="GR6" s="83" t="s">
        <v>150</v>
      </c>
      <c r="GS6" s="142">
        <f>B220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5.8781553687358809E-2</v>
      </c>
      <c r="HF6" s="83" t="s">
        <v>291</v>
      </c>
    </row>
    <row r="7" spans="1:214" x14ac:dyDescent="0.2">
      <c r="A7" s="116" t="s">
        <v>242</v>
      </c>
      <c r="B7" s="229">
        <v>0.65300000000000002</v>
      </c>
      <c r="C7" s="117"/>
      <c r="D7" s="91" t="s">
        <v>231</v>
      </c>
      <c r="E7" s="136">
        <f>B30</f>
        <v>30.167100000000001</v>
      </c>
      <c r="F7" s="52" t="s">
        <v>60</v>
      </c>
      <c r="G7" s="83" t="s">
        <v>247</v>
      </c>
      <c r="H7" s="139">
        <f>B18</f>
        <v>1.5417408700798101E-4</v>
      </c>
      <c r="I7" s="84" t="s">
        <v>259</v>
      </c>
      <c r="J7" s="83" t="s">
        <v>247</v>
      </c>
      <c r="K7" s="136">
        <f>B18</f>
        <v>1.5417408700798101E-4</v>
      </c>
      <c r="L7" s="84" t="s">
        <v>259</v>
      </c>
      <c r="M7" s="83" t="s">
        <v>22</v>
      </c>
      <c r="N7" s="137">
        <f>0.693/N8</f>
        <v>2.2972045705420805E-2</v>
      </c>
      <c r="P7" s="83" t="s">
        <v>22</v>
      </c>
      <c r="Q7" s="137">
        <f>0.693/Q8</f>
        <v>2.2972045705420805E-2</v>
      </c>
      <c r="S7" s="83" t="s">
        <v>22</v>
      </c>
      <c r="T7" s="137">
        <f>0.693/T8</f>
        <v>2.2972045705420805E-2</v>
      </c>
      <c r="V7" s="83" t="s">
        <v>22</v>
      </c>
      <c r="W7" s="137">
        <f>0.693/W8</f>
        <v>2.2972045705420805E-2</v>
      </c>
      <c r="Y7" s="83" t="s">
        <v>22</v>
      </c>
      <c r="Z7" s="137">
        <f>0.693/Z8</f>
        <v>2.2972045705420805E-2</v>
      </c>
      <c r="AB7" s="83" t="s">
        <v>425</v>
      </c>
      <c r="AC7" s="150">
        <f>B227</f>
        <v>125</v>
      </c>
      <c r="AD7" s="150">
        <f>B237</f>
        <v>125</v>
      </c>
      <c r="AE7" s="150">
        <f>B247</f>
        <v>125</v>
      </c>
      <c r="AF7" s="150">
        <f>B257</f>
        <v>125</v>
      </c>
      <c r="AG7" s="150">
        <f>B269</f>
        <v>125</v>
      </c>
      <c r="AH7" s="83" t="s">
        <v>24</v>
      </c>
      <c r="AI7" s="83" t="s">
        <v>22</v>
      </c>
      <c r="AJ7" s="137">
        <f>0.693/AJ8</f>
        <v>2.2972045705420805E-2</v>
      </c>
      <c r="AL7" s="83" t="s">
        <v>22</v>
      </c>
      <c r="AM7" s="137">
        <f>0.693/AM8</f>
        <v>2.2972045705420805E-2</v>
      </c>
      <c r="AO7" s="83" t="s">
        <v>22</v>
      </c>
      <c r="AP7" s="137">
        <f>0.693/AP8</f>
        <v>2.2972045705420805E-2</v>
      </c>
      <c r="AR7" s="83" t="s">
        <v>22</v>
      </c>
      <c r="AS7" s="137">
        <f>0.693/AS8</f>
        <v>2.2972045705420805E-2</v>
      </c>
      <c r="AU7" s="83" t="s">
        <v>22</v>
      </c>
      <c r="AV7" s="137">
        <f>0.693/AV8</f>
        <v>2.2972045705420805E-2</v>
      </c>
      <c r="AX7" s="83" t="s">
        <v>22</v>
      </c>
      <c r="AY7" s="137">
        <f>0.693/AY8</f>
        <v>2.2972045705420805E-2</v>
      </c>
      <c r="BA7" s="83" t="s">
        <v>22</v>
      </c>
      <c r="BB7" s="137">
        <f>0.693/BB8</f>
        <v>2.2972045705420805E-2</v>
      </c>
      <c r="BD7" s="83" t="s">
        <v>22</v>
      </c>
      <c r="BE7" s="137">
        <f>0.693/BE8</f>
        <v>2.2972045705420805E-2</v>
      </c>
      <c r="BG7" s="83" t="s">
        <v>22</v>
      </c>
      <c r="BH7" s="137">
        <f>0.693/BH8</f>
        <v>2.2972045705420805E-2</v>
      </c>
      <c r="BJ7" s="83" t="s">
        <v>22</v>
      </c>
      <c r="BK7" s="137">
        <f>0.693/BK8</f>
        <v>2.2972045705420805E-2</v>
      </c>
      <c r="BM7" s="83" t="s">
        <v>22</v>
      </c>
      <c r="BN7" s="137">
        <f>0.693/BN8</f>
        <v>2.2972045705420805E-2</v>
      </c>
      <c r="BP7" s="83" t="s">
        <v>22</v>
      </c>
      <c r="BQ7" s="137">
        <f>0.693/BQ8</f>
        <v>2.2972045705420805E-2</v>
      </c>
      <c r="BS7" s="91" t="s">
        <v>231</v>
      </c>
      <c r="BT7" s="136">
        <f>B30</f>
        <v>30.167100000000001</v>
      </c>
      <c r="BU7" s="52" t="s">
        <v>60</v>
      </c>
      <c r="BV7" s="83" t="s">
        <v>247</v>
      </c>
      <c r="BW7" s="139">
        <f>B18</f>
        <v>1.5417408700798101E-4</v>
      </c>
      <c r="BX7" s="84" t="s">
        <v>259</v>
      </c>
      <c r="BY7" s="83" t="s">
        <v>247</v>
      </c>
      <c r="BZ7" s="139">
        <f>B18</f>
        <v>1.5417408700798101E-4</v>
      </c>
      <c r="CA7" s="84" t="s">
        <v>259</v>
      </c>
      <c r="CB7" s="83" t="s">
        <v>22</v>
      </c>
      <c r="CC7" s="137">
        <f>0.693/CC8</f>
        <v>2.2972045705420805E-2</v>
      </c>
      <c r="CE7" s="83" t="s">
        <v>22</v>
      </c>
      <c r="CF7" s="137">
        <f>0.693/CF8</f>
        <v>2.2972045705420805E-2</v>
      </c>
      <c r="CH7" s="83" t="s">
        <v>22</v>
      </c>
      <c r="CI7" s="137">
        <f>0.693/CI8</f>
        <v>2.2972045705420805E-2</v>
      </c>
      <c r="CK7" s="52" t="s">
        <v>140</v>
      </c>
      <c r="CL7" s="138">
        <f>B113</f>
        <v>55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B18</f>
        <v>1.5417408700798101E-4</v>
      </c>
      <c r="CV7" s="84" t="s">
        <v>259</v>
      </c>
      <c r="CW7" s="91" t="s">
        <v>231</v>
      </c>
      <c r="CX7" s="136">
        <f>B30</f>
        <v>30.167100000000001</v>
      </c>
      <c r="CY7" s="52" t="s">
        <v>60</v>
      </c>
      <c r="CZ7" s="84" t="s">
        <v>247</v>
      </c>
      <c r="DA7" s="139">
        <f>B18</f>
        <v>1.5417408700798101E-4</v>
      </c>
      <c r="DB7" s="84" t="s">
        <v>259</v>
      </c>
      <c r="DC7" s="83" t="s">
        <v>260</v>
      </c>
      <c r="DD7" s="166">
        <f>((DD5)/(DD6*(DD8+DD11)*DD19))/DD22</f>
        <v>4.5661808185543766E-2</v>
      </c>
      <c r="DE7" s="92" t="s">
        <v>290</v>
      </c>
      <c r="DF7" s="52" t="s">
        <v>31</v>
      </c>
      <c r="DG7" s="137">
        <f>(DG8*DG9*DG15*DG21*((1-EXP(-DG16*DG17))))/(DG18*DG16)</f>
        <v>3.6385364930662121</v>
      </c>
      <c r="DH7" s="52" t="s">
        <v>18</v>
      </c>
      <c r="DI7" s="83" t="s">
        <v>32</v>
      </c>
      <c r="DJ7" s="136">
        <f>B43</f>
        <v>2.5229999999999999E-2</v>
      </c>
      <c r="DL7" s="83" t="s">
        <v>32</v>
      </c>
      <c r="DM7" s="136">
        <f>B43</f>
        <v>2.5229999999999999E-2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(DS5/(DS6*DS8*DS15))/DS19</f>
        <v>9.1323616371087532E-2</v>
      </c>
      <c r="DT7" s="52" t="s">
        <v>290</v>
      </c>
      <c r="DV7" s="138"/>
      <c r="DX7" s="83" t="s">
        <v>33</v>
      </c>
      <c r="DY7" s="136">
        <f>B44</f>
        <v>2.9000000000000001E-2</v>
      </c>
      <c r="EA7" s="83" t="s">
        <v>33</v>
      </c>
      <c r="EB7" s="136">
        <f>B44</f>
        <v>2.9000000000000001E-2</v>
      </c>
      <c r="EC7" s="84"/>
      <c r="ED7" s="83" t="s">
        <v>33</v>
      </c>
      <c r="EE7" s="136">
        <f>B44</f>
        <v>2.9000000000000001E-2</v>
      </c>
      <c r="EF7" s="84"/>
      <c r="EG7" s="83" t="s">
        <v>260</v>
      </c>
      <c r="EH7" s="168">
        <f>(EH5/(EH6*EH8*EH15))/EH19</f>
        <v>9.1323616371087532E-2</v>
      </c>
      <c r="EI7" s="52" t="s">
        <v>290</v>
      </c>
      <c r="EM7" s="83" t="s">
        <v>33</v>
      </c>
      <c r="EN7" s="136">
        <f>B44</f>
        <v>2.9000000000000001E-2</v>
      </c>
      <c r="EP7" s="83" t="s">
        <v>33</v>
      </c>
      <c r="EQ7" s="136">
        <f>B44</f>
        <v>2.9000000000000001E-2</v>
      </c>
      <c r="ER7" s="84"/>
      <c r="ES7" s="83" t="s">
        <v>33</v>
      </c>
      <c r="ET7" s="136">
        <f>B44</f>
        <v>2.9000000000000001E-2</v>
      </c>
      <c r="EU7" s="84"/>
      <c r="EV7" s="83" t="s">
        <v>260</v>
      </c>
      <c r="EW7" s="168">
        <f>(EW5/(EW6*EW8*EW15))/EW19</f>
        <v>9.1323616371087532E-2</v>
      </c>
      <c r="EX7" s="52" t="s">
        <v>290</v>
      </c>
      <c r="EY7" s="83"/>
      <c r="EZ7" s="142">
        <v>1000</v>
      </c>
      <c r="FA7" s="83" t="s">
        <v>132</v>
      </c>
      <c r="FB7" s="83" t="s">
        <v>33</v>
      </c>
      <c r="FC7" s="161">
        <f>B44</f>
        <v>2.9000000000000001E-2</v>
      </c>
      <c r="FD7" s="83"/>
      <c r="FE7" s="83" t="s">
        <v>33</v>
      </c>
      <c r="FF7" s="161">
        <f>B44</f>
        <v>2.9000000000000001E-2</v>
      </c>
      <c r="FG7" s="83"/>
      <c r="FH7" s="83" t="s">
        <v>33</v>
      </c>
      <c r="FI7" s="161">
        <f>B44</f>
        <v>2.9000000000000001E-2</v>
      </c>
      <c r="FJ7" s="84"/>
      <c r="FK7" s="83" t="s">
        <v>260</v>
      </c>
      <c r="FL7" s="168">
        <f>(FL5/(FL6*FL8*FL15))/FL19</f>
        <v>9.1323616371087532E-2</v>
      </c>
      <c r="FM7" s="52" t="s">
        <v>290</v>
      </c>
      <c r="FN7" s="83"/>
      <c r="FO7" s="138"/>
      <c r="FQ7" s="52" t="s">
        <v>350</v>
      </c>
      <c r="FR7" s="164">
        <f>B168</f>
        <v>1</v>
      </c>
      <c r="FT7" s="83"/>
      <c r="FU7" s="142"/>
      <c r="FV7" s="83"/>
      <c r="FX7" s="138"/>
      <c r="FZ7" s="83" t="s">
        <v>260</v>
      </c>
      <c r="GA7" s="168">
        <f>(GA5/(GA6*GA8*GA15))/GA19</f>
        <v>9.1323616371087532E-2</v>
      </c>
      <c r="GB7" s="52" t="s">
        <v>290</v>
      </c>
      <c r="GC7" s="83"/>
      <c r="GD7" s="142">
        <v>1000</v>
      </c>
      <c r="GE7" s="83" t="s">
        <v>132</v>
      </c>
      <c r="GF7" s="83" t="s">
        <v>33</v>
      </c>
      <c r="GG7" s="161">
        <f>B44</f>
        <v>2.9000000000000001E-2</v>
      </c>
      <c r="GH7" s="83"/>
      <c r="GI7" s="83" t="s">
        <v>33</v>
      </c>
      <c r="GJ7" s="161">
        <f>B44</f>
        <v>2.9000000000000001E-2</v>
      </c>
      <c r="GK7" s="83"/>
      <c r="GL7" s="83" t="s">
        <v>33</v>
      </c>
      <c r="GM7" s="161">
        <f>B44</f>
        <v>2.9000000000000001E-2</v>
      </c>
      <c r="GN7" s="84"/>
      <c r="GO7" s="83" t="s">
        <v>260</v>
      </c>
      <c r="GP7" s="168">
        <f>(GP5/(GP6*GP8*GP14))/GP18</f>
        <v>9.1323616371087532E-2</v>
      </c>
      <c r="GQ7" s="52" t="s">
        <v>290</v>
      </c>
      <c r="GR7" s="88"/>
      <c r="GS7" s="142">
        <v>1000</v>
      </c>
      <c r="GT7" s="83" t="s">
        <v>132</v>
      </c>
      <c r="GU7" s="83" t="s">
        <v>33</v>
      </c>
      <c r="GV7" s="161">
        <f>B44</f>
        <v>2.9000000000000001E-2</v>
      </c>
      <c r="GW7" s="83"/>
      <c r="GX7" s="83" t="s">
        <v>33</v>
      </c>
      <c r="GY7" s="161">
        <f>B44</f>
        <v>2.9000000000000001E-2</v>
      </c>
      <c r="GZ7" s="83"/>
      <c r="HA7" s="83" t="s">
        <v>33</v>
      </c>
      <c r="HB7" s="161">
        <f>B44</f>
        <v>2.9000000000000001E-2</v>
      </c>
      <c r="HC7" s="84"/>
      <c r="HD7" s="83" t="s">
        <v>22</v>
      </c>
      <c r="HE7" s="137">
        <f>0.693/HE9</f>
        <v>2.2972045705420805E-2</v>
      </c>
    </row>
    <row r="8" spans="1:214" x14ac:dyDescent="0.2">
      <c r="A8" s="116" t="s">
        <v>340</v>
      </c>
      <c r="B8" s="229">
        <v>5.0099999999999999E-2</v>
      </c>
      <c r="C8" s="117"/>
      <c r="D8" s="52" t="s">
        <v>382</v>
      </c>
      <c r="E8" s="138">
        <f>B68</f>
        <v>150</v>
      </c>
      <c r="F8" s="52" t="s">
        <v>24</v>
      </c>
      <c r="G8" s="91" t="s">
        <v>257</v>
      </c>
      <c r="H8" s="136">
        <f>B28</f>
        <v>10.292680000000001</v>
      </c>
      <c r="I8" s="84" t="s">
        <v>259</v>
      </c>
      <c r="J8" s="83" t="s">
        <v>269</v>
      </c>
      <c r="K8" s="136">
        <f>B22</f>
        <v>3.19428</v>
      </c>
      <c r="L8" s="83" t="s">
        <v>351</v>
      </c>
      <c r="M8" s="91" t="s">
        <v>231</v>
      </c>
      <c r="N8" s="136">
        <f>B30</f>
        <v>30.167100000000001</v>
      </c>
      <c r="O8" s="52" t="s">
        <v>60</v>
      </c>
      <c r="P8" s="91" t="s">
        <v>231</v>
      </c>
      <c r="Q8" s="136">
        <f>B30</f>
        <v>30.167100000000001</v>
      </c>
      <c r="R8" s="52" t="s">
        <v>60</v>
      </c>
      <c r="S8" s="91" t="s">
        <v>231</v>
      </c>
      <c r="T8" s="136">
        <f>B30</f>
        <v>30.167100000000001</v>
      </c>
      <c r="U8" s="52" t="s">
        <v>60</v>
      </c>
      <c r="V8" s="91" t="s">
        <v>231</v>
      </c>
      <c r="W8" s="136">
        <f>B30</f>
        <v>30.167100000000001</v>
      </c>
      <c r="X8" s="52" t="s">
        <v>60</v>
      </c>
      <c r="Y8" s="91" t="s">
        <v>231</v>
      </c>
      <c r="Z8" s="136">
        <f>B30</f>
        <v>30.167100000000001</v>
      </c>
      <c r="AA8" s="52" t="s">
        <v>60</v>
      </c>
      <c r="AB8" s="83" t="s">
        <v>249</v>
      </c>
      <c r="AC8" s="136">
        <f>B21</f>
        <v>5.0319999999999999E-5</v>
      </c>
      <c r="AD8" s="136">
        <f>B21</f>
        <v>5.0319999999999999E-5</v>
      </c>
      <c r="AE8" s="136">
        <f>B21</f>
        <v>5.0319999999999999E-5</v>
      </c>
      <c r="AF8" s="136">
        <f>B21</f>
        <v>5.0319999999999999E-5</v>
      </c>
      <c r="AG8" s="136">
        <f>B21</f>
        <v>5.0319999999999999E-5</v>
      </c>
      <c r="AH8" s="83" t="s">
        <v>259</v>
      </c>
      <c r="AI8" s="91" t="s">
        <v>231</v>
      </c>
      <c r="AJ8" s="136">
        <f>B30</f>
        <v>30.167100000000001</v>
      </c>
      <c r="AK8" s="52" t="s">
        <v>60</v>
      </c>
      <c r="AL8" s="91" t="s">
        <v>231</v>
      </c>
      <c r="AM8" s="136">
        <f>B30</f>
        <v>30.167100000000001</v>
      </c>
      <c r="AN8" s="52" t="s">
        <v>60</v>
      </c>
      <c r="AO8" s="91" t="s">
        <v>231</v>
      </c>
      <c r="AP8" s="136">
        <f>B30</f>
        <v>30.167100000000001</v>
      </c>
      <c r="AQ8" s="52" t="s">
        <v>60</v>
      </c>
      <c r="AR8" s="91" t="s">
        <v>231</v>
      </c>
      <c r="AS8" s="136">
        <f>B30</f>
        <v>30.167100000000001</v>
      </c>
      <c r="AT8" s="52" t="s">
        <v>60</v>
      </c>
      <c r="AU8" s="91" t="s">
        <v>231</v>
      </c>
      <c r="AV8" s="136">
        <f>B30</f>
        <v>30.167100000000001</v>
      </c>
      <c r="AW8" s="52" t="s">
        <v>60</v>
      </c>
      <c r="AX8" s="91" t="s">
        <v>231</v>
      </c>
      <c r="AY8" s="136">
        <f>B30</f>
        <v>30.167100000000001</v>
      </c>
      <c r="AZ8" s="52" t="s">
        <v>60</v>
      </c>
      <c r="BA8" s="91" t="s">
        <v>231</v>
      </c>
      <c r="BB8" s="136">
        <f>B30</f>
        <v>30.167100000000001</v>
      </c>
      <c r="BC8" s="52" t="s">
        <v>60</v>
      </c>
      <c r="BD8" s="91" t="s">
        <v>231</v>
      </c>
      <c r="BE8" s="136">
        <f>B30</f>
        <v>30.167100000000001</v>
      </c>
      <c r="BF8" s="52" t="s">
        <v>60</v>
      </c>
      <c r="BG8" s="91" t="s">
        <v>231</v>
      </c>
      <c r="BH8" s="136">
        <f>B30</f>
        <v>30.167100000000001</v>
      </c>
      <c r="BI8" s="52" t="s">
        <v>60</v>
      </c>
      <c r="BJ8" s="91" t="s">
        <v>231</v>
      </c>
      <c r="BK8" s="136">
        <f>B30</f>
        <v>30.167100000000001</v>
      </c>
      <c r="BL8" s="52" t="s">
        <v>60</v>
      </c>
      <c r="BM8" s="91" t="s">
        <v>231</v>
      </c>
      <c r="BN8" s="136">
        <f>B30</f>
        <v>30.167100000000001</v>
      </c>
      <c r="BO8" s="52" t="s">
        <v>60</v>
      </c>
      <c r="BP8" s="91" t="s">
        <v>231</v>
      </c>
      <c r="BQ8" s="136">
        <f>B30</f>
        <v>30.167100000000001</v>
      </c>
      <c r="BR8" s="52" t="s">
        <v>60</v>
      </c>
      <c r="BS8" s="52" t="s">
        <v>140</v>
      </c>
      <c r="BT8" s="138">
        <f>B113</f>
        <v>55</v>
      </c>
      <c r="BU8" s="52" t="s">
        <v>24</v>
      </c>
      <c r="BV8" s="91" t="s">
        <v>257</v>
      </c>
      <c r="BW8" s="136">
        <f>B28</f>
        <v>10.292680000000001</v>
      </c>
      <c r="BX8" s="84" t="s">
        <v>259</v>
      </c>
      <c r="BY8" s="83" t="s">
        <v>269</v>
      </c>
      <c r="BZ8" s="136">
        <f>B22</f>
        <v>3.19428</v>
      </c>
      <c r="CA8" s="83" t="s">
        <v>351</v>
      </c>
      <c r="CB8" s="91" t="s">
        <v>231</v>
      </c>
      <c r="CC8" s="136">
        <f>B30</f>
        <v>30.167100000000001</v>
      </c>
      <c r="CD8" s="52" t="s">
        <v>60</v>
      </c>
      <c r="CE8" s="91" t="s">
        <v>231</v>
      </c>
      <c r="CF8" s="136">
        <f>B30</f>
        <v>30.167100000000001</v>
      </c>
      <c r="CG8" s="52" t="s">
        <v>60</v>
      </c>
      <c r="CH8" s="91" t="s">
        <v>231</v>
      </c>
      <c r="CI8" s="136">
        <f>B30</f>
        <v>30.167100000000001</v>
      </c>
      <c r="CJ8" s="52" t="s">
        <v>60</v>
      </c>
      <c r="CK8" s="52" t="s">
        <v>159</v>
      </c>
      <c r="CL8" s="162">
        <f>B128</f>
        <v>3</v>
      </c>
      <c r="CM8" s="52" t="s">
        <v>221</v>
      </c>
      <c r="CN8" s="84" t="s">
        <v>33</v>
      </c>
      <c r="CO8" s="136">
        <f>B44</f>
        <v>2.9000000000000001E-2</v>
      </c>
      <c r="CT8" s="83" t="s">
        <v>269</v>
      </c>
      <c r="CU8" s="136">
        <f>B22</f>
        <v>3.19428</v>
      </c>
      <c r="CV8" s="83" t="s">
        <v>351</v>
      </c>
      <c r="CW8" s="52" t="s">
        <v>362</v>
      </c>
      <c r="CX8" s="138">
        <f>B167</f>
        <v>150</v>
      </c>
      <c r="CY8" s="52" t="s">
        <v>24</v>
      </c>
      <c r="CZ8" s="83" t="s">
        <v>270</v>
      </c>
      <c r="DA8" s="165">
        <f>B28</f>
        <v>10.292680000000001</v>
      </c>
      <c r="DB8" s="83" t="s">
        <v>259</v>
      </c>
      <c r="DC8" s="83" t="s">
        <v>516</v>
      </c>
      <c r="DD8" s="149">
        <f>(DD9*DD15*DD20)+(DD10*DD14*DD21)</f>
        <v>8250</v>
      </c>
      <c r="DE8" s="92" t="s">
        <v>347</v>
      </c>
      <c r="DF8" s="83" t="s">
        <v>36</v>
      </c>
      <c r="DG8" s="138">
        <f>B189</f>
        <v>3.62</v>
      </c>
      <c r="DH8" s="52" t="s">
        <v>37</v>
      </c>
      <c r="DI8" s="83" t="s">
        <v>393</v>
      </c>
      <c r="DJ8" s="138">
        <f>B47</f>
        <v>0.26</v>
      </c>
      <c r="DL8" s="83" t="s">
        <v>393</v>
      </c>
      <c r="DM8" s="138">
        <f>B47</f>
        <v>0.26</v>
      </c>
      <c r="DO8" s="83" t="s">
        <v>36</v>
      </c>
      <c r="DP8" s="138">
        <f>B189</f>
        <v>3.62</v>
      </c>
      <c r="DQ8" s="52" t="s">
        <v>37</v>
      </c>
      <c r="DR8" s="83" t="s">
        <v>147</v>
      </c>
      <c r="DS8" s="149">
        <f>(DS11*DS9*DS17)+(DS12*DS10*DS18)</f>
        <v>8250</v>
      </c>
      <c r="DT8" s="92" t="s">
        <v>347</v>
      </c>
      <c r="DU8" s="52" t="s">
        <v>518</v>
      </c>
      <c r="DV8" s="146">
        <f>B200</f>
        <v>1.03</v>
      </c>
      <c r="DW8" s="52" t="s">
        <v>286</v>
      </c>
      <c r="DX8" s="83" t="s">
        <v>392</v>
      </c>
      <c r="DY8" s="138">
        <f>B48</f>
        <v>0.25</v>
      </c>
      <c r="EA8" s="83" t="s">
        <v>392</v>
      </c>
      <c r="EB8" s="138">
        <f>B48</f>
        <v>0.25</v>
      </c>
      <c r="EC8" s="84"/>
      <c r="ED8" s="83" t="s">
        <v>392</v>
      </c>
      <c r="EE8" s="138">
        <f>B48</f>
        <v>0.25</v>
      </c>
      <c r="EF8" s="84"/>
      <c r="EG8" s="83" t="s">
        <v>519</v>
      </c>
      <c r="EH8" s="149">
        <f>(EH11*EH9*EH17)+(EH12*EH10*EH18)</f>
        <v>8250</v>
      </c>
      <c r="EI8" s="92" t="s">
        <v>347</v>
      </c>
      <c r="EJ8" s="83"/>
      <c r="EM8" s="83" t="s">
        <v>392</v>
      </c>
      <c r="EN8" s="138">
        <f>B48</f>
        <v>0.25</v>
      </c>
      <c r="EP8" s="83" t="s">
        <v>392</v>
      </c>
      <c r="EQ8" s="138">
        <f>B48</f>
        <v>0.25</v>
      </c>
      <c r="ER8" s="84"/>
      <c r="ES8" s="83" t="s">
        <v>392</v>
      </c>
      <c r="ET8" s="138">
        <f>B48</f>
        <v>0.25</v>
      </c>
      <c r="EU8" s="84"/>
      <c r="EV8" s="83" t="s">
        <v>520</v>
      </c>
      <c r="EW8" s="149">
        <f>(EW11*EW9*EW17)+(EW12*EW10*EW18)</f>
        <v>8250</v>
      </c>
      <c r="EX8" s="92" t="s">
        <v>347</v>
      </c>
      <c r="EY8" s="83"/>
      <c r="EZ8" s="142"/>
      <c r="FA8" s="83"/>
      <c r="FB8" s="83" t="s">
        <v>392</v>
      </c>
      <c r="FC8" s="142">
        <f>B48</f>
        <v>0.25</v>
      </c>
      <c r="FD8" s="83"/>
      <c r="FE8" s="83" t="s">
        <v>392</v>
      </c>
      <c r="FF8" s="142">
        <f>B48</f>
        <v>0.25</v>
      </c>
      <c r="FG8" s="83"/>
      <c r="FH8" s="83" t="s">
        <v>392</v>
      </c>
      <c r="FI8" s="142">
        <f>B48</f>
        <v>0.25</v>
      </c>
      <c r="FJ8" s="84"/>
      <c r="FK8" s="83" t="s">
        <v>521</v>
      </c>
      <c r="FL8" s="173">
        <f>(FL9*FL11*FL17)+(FL10*FL12*FL18)</f>
        <v>8250</v>
      </c>
      <c r="FM8" s="92" t="s">
        <v>347</v>
      </c>
      <c r="FN8" s="83"/>
      <c r="FO8" s="142"/>
      <c r="FP8" s="83"/>
      <c r="FQ8" s="83" t="s">
        <v>22</v>
      </c>
      <c r="FR8" s="137">
        <f>0.693/FR9</f>
        <v>2.2972045705420805E-2</v>
      </c>
      <c r="FT8" s="83"/>
      <c r="FU8" s="142"/>
      <c r="FV8" s="83"/>
      <c r="FZ8" s="83" t="s">
        <v>522</v>
      </c>
      <c r="GA8" s="173">
        <f>(GA11*GA9*GA17)+(GA10*GA12*GA18)</f>
        <v>8250</v>
      </c>
      <c r="GB8" s="92" t="s">
        <v>347</v>
      </c>
      <c r="GC8" s="83"/>
      <c r="GD8" s="142"/>
      <c r="GE8" s="83"/>
      <c r="GF8" s="83" t="s">
        <v>392</v>
      </c>
      <c r="GG8" s="142">
        <f>B48</f>
        <v>0.25</v>
      </c>
      <c r="GH8" s="83"/>
      <c r="GI8" s="83" t="s">
        <v>392</v>
      </c>
      <c r="GJ8" s="142">
        <f>B48</f>
        <v>0.25</v>
      </c>
      <c r="GK8" s="83"/>
      <c r="GL8" s="83" t="s">
        <v>392</v>
      </c>
      <c r="GM8" s="142">
        <f>B48</f>
        <v>0.25</v>
      </c>
      <c r="GN8" s="84"/>
      <c r="GO8" s="83" t="s">
        <v>523</v>
      </c>
      <c r="GP8" s="149">
        <f>(GP9*GP11*GP16)+(GP10*GP12*GP17)</f>
        <v>8250</v>
      </c>
      <c r="GQ8" s="92" t="s">
        <v>347</v>
      </c>
      <c r="GR8" s="83"/>
      <c r="GS8" s="142"/>
      <c r="GT8" s="83"/>
      <c r="GU8" s="83" t="s">
        <v>392</v>
      </c>
      <c r="GV8" s="142">
        <f>B48</f>
        <v>0.25</v>
      </c>
      <c r="GW8" s="83"/>
      <c r="GX8" s="83" t="s">
        <v>392</v>
      </c>
      <c r="GY8" s="142">
        <f>B48</f>
        <v>0.25</v>
      </c>
      <c r="GZ8" s="83"/>
      <c r="HA8" s="83" t="s">
        <v>392</v>
      </c>
      <c r="HB8" s="142">
        <f>B48</f>
        <v>0.25</v>
      </c>
      <c r="HC8" s="84"/>
      <c r="HD8" s="52" t="s">
        <v>16</v>
      </c>
      <c r="HE8" s="137">
        <f>1-EXP(-HE7*HE12)</f>
        <v>2.2710197161529555E-2</v>
      </c>
    </row>
    <row r="9" spans="1:214" x14ac:dyDescent="0.2">
      <c r="A9" s="116" t="s">
        <v>243</v>
      </c>
      <c r="B9" s="229">
        <v>0.72599999999999998</v>
      </c>
      <c r="C9" s="117"/>
      <c r="D9" s="52" t="s">
        <v>379</v>
      </c>
      <c r="E9" s="138">
        <f>B65</f>
        <v>1</v>
      </c>
      <c r="F9" s="52" t="s">
        <v>146</v>
      </c>
      <c r="G9" s="83" t="s">
        <v>258</v>
      </c>
      <c r="H9" s="136">
        <f>B29</f>
        <v>4.9109405245458101E-5</v>
      </c>
      <c r="I9" s="92" t="s">
        <v>259</v>
      </c>
      <c r="J9" s="83" t="s">
        <v>258</v>
      </c>
      <c r="K9" s="136">
        <f>B29</f>
        <v>4.9109405245458101E-5</v>
      </c>
      <c r="L9" s="92" t="s">
        <v>259</v>
      </c>
      <c r="M9" s="52" t="s">
        <v>382</v>
      </c>
      <c r="N9" s="138">
        <f>B68</f>
        <v>150</v>
      </c>
      <c r="O9" s="52" t="s">
        <v>24</v>
      </c>
      <c r="P9" s="52" t="s">
        <v>382</v>
      </c>
      <c r="Q9" s="138">
        <f>B68</f>
        <v>150</v>
      </c>
      <c r="R9" s="52" t="s">
        <v>24</v>
      </c>
      <c r="S9" s="52" t="s">
        <v>382</v>
      </c>
      <c r="T9" s="138">
        <f>B68</f>
        <v>150</v>
      </c>
      <c r="U9" s="52" t="s">
        <v>24</v>
      </c>
      <c r="V9" s="52" t="s">
        <v>423</v>
      </c>
      <c r="W9" s="138">
        <f>B247</f>
        <v>125</v>
      </c>
      <c r="X9" s="52" t="s">
        <v>24</v>
      </c>
      <c r="Y9" s="52" t="s">
        <v>316</v>
      </c>
      <c r="Z9" s="138">
        <f>B227</f>
        <v>125</v>
      </c>
      <c r="AA9" s="52" t="s">
        <v>24</v>
      </c>
      <c r="AB9" s="83" t="s">
        <v>34</v>
      </c>
      <c r="AC9" s="146">
        <f>B228</f>
        <v>1</v>
      </c>
      <c r="AD9" s="146">
        <f>B238</f>
        <v>1</v>
      </c>
      <c r="AE9" s="146">
        <f>B248</f>
        <v>1</v>
      </c>
      <c r="AF9" s="146">
        <f>B258</f>
        <v>1</v>
      </c>
      <c r="AG9" s="146">
        <f>B270</f>
        <v>1</v>
      </c>
      <c r="AH9" s="83" t="s">
        <v>60</v>
      </c>
      <c r="AI9" s="52" t="s">
        <v>35</v>
      </c>
      <c r="AJ9" s="138">
        <f>B237</f>
        <v>125</v>
      </c>
      <c r="AK9" s="52" t="s">
        <v>24</v>
      </c>
      <c r="AL9" s="52" t="s">
        <v>35</v>
      </c>
      <c r="AM9" s="138">
        <f>B237</f>
        <v>125</v>
      </c>
      <c r="AN9" s="52" t="s">
        <v>24</v>
      </c>
      <c r="AO9" s="52" t="s">
        <v>35</v>
      </c>
      <c r="AP9" s="138">
        <f>B237</f>
        <v>125</v>
      </c>
      <c r="AQ9" s="52" t="s">
        <v>24</v>
      </c>
      <c r="AR9" s="52" t="s">
        <v>423</v>
      </c>
      <c r="AS9" s="138">
        <f>B247</f>
        <v>125</v>
      </c>
      <c r="AT9" s="52" t="s">
        <v>24</v>
      </c>
      <c r="AU9" s="52" t="s">
        <v>423</v>
      </c>
      <c r="AV9" s="138">
        <f>B247</f>
        <v>125</v>
      </c>
      <c r="AW9" s="52" t="s">
        <v>24</v>
      </c>
      <c r="AX9" s="52" t="s">
        <v>423</v>
      </c>
      <c r="AY9" s="138">
        <f>B247</f>
        <v>125</v>
      </c>
      <c r="AZ9" s="52" t="s">
        <v>24</v>
      </c>
      <c r="BA9" s="52" t="s">
        <v>316</v>
      </c>
      <c r="BB9" s="138">
        <f>B227</f>
        <v>125</v>
      </c>
      <c r="BC9" s="52" t="s">
        <v>24</v>
      </c>
      <c r="BD9" s="52" t="s">
        <v>316</v>
      </c>
      <c r="BE9" s="138">
        <f>B227</f>
        <v>125</v>
      </c>
      <c r="BF9" s="52" t="s">
        <v>24</v>
      </c>
      <c r="BG9" s="52" t="s">
        <v>316</v>
      </c>
      <c r="BH9" s="138">
        <f>B227</f>
        <v>125</v>
      </c>
      <c r="BI9" s="52" t="s">
        <v>24</v>
      </c>
      <c r="BJ9" s="52" t="s">
        <v>191</v>
      </c>
      <c r="BK9" s="138">
        <f>BK10*BK11</f>
        <v>75</v>
      </c>
      <c r="BL9" s="52" t="s">
        <v>24</v>
      </c>
      <c r="BM9" s="52" t="s">
        <v>191</v>
      </c>
      <c r="BN9" s="138">
        <f>BN10*BN11</f>
        <v>75</v>
      </c>
      <c r="BO9" s="52" t="s">
        <v>24</v>
      </c>
      <c r="BP9" s="52" t="s">
        <v>191</v>
      </c>
      <c r="BQ9" s="138">
        <f>BQ10*BQ11</f>
        <v>75</v>
      </c>
      <c r="BR9" s="52" t="s">
        <v>24</v>
      </c>
      <c r="BS9" s="52" t="s">
        <v>247</v>
      </c>
      <c r="BT9" s="139">
        <f>E11</f>
        <v>1.5417408700798101E-4</v>
      </c>
      <c r="BU9" s="84" t="s">
        <v>259</v>
      </c>
      <c r="BV9" s="83" t="s">
        <v>258</v>
      </c>
      <c r="BW9" s="136">
        <f>B29</f>
        <v>4.9109405245458101E-5</v>
      </c>
      <c r="BX9" s="92" t="s">
        <v>259</v>
      </c>
      <c r="BY9" s="83" t="s">
        <v>77</v>
      </c>
      <c r="BZ9" s="136">
        <f>B31</f>
        <v>1359344473.5814338</v>
      </c>
      <c r="CA9" s="83" t="s">
        <v>78</v>
      </c>
      <c r="CB9" s="52" t="s">
        <v>140</v>
      </c>
      <c r="CC9" s="138">
        <f>B113</f>
        <v>55</v>
      </c>
      <c r="CD9" s="52" t="s">
        <v>24</v>
      </c>
      <c r="CE9" s="52" t="s">
        <v>140</v>
      </c>
      <c r="CF9" s="138">
        <f>B113</f>
        <v>55</v>
      </c>
      <c r="CG9" s="52" t="s">
        <v>24</v>
      </c>
      <c r="CH9" s="52" t="s">
        <v>140</v>
      </c>
      <c r="CI9" s="138">
        <f>B113</f>
        <v>55</v>
      </c>
      <c r="CJ9" s="52" t="s">
        <v>24</v>
      </c>
      <c r="CK9" s="95" t="s">
        <v>287</v>
      </c>
      <c r="CL9" s="176">
        <v>27.027027027027</v>
      </c>
      <c r="CM9" s="52" t="s">
        <v>288</v>
      </c>
      <c r="CN9" s="84" t="s">
        <v>392</v>
      </c>
      <c r="CO9" s="162">
        <f>B48</f>
        <v>0.25</v>
      </c>
      <c r="CT9" s="83" t="s">
        <v>258</v>
      </c>
      <c r="CU9" s="136">
        <f>B29</f>
        <v>4.9109405245458101E-5</v>
      </c>
      <c r="CV9" s="92" t="s">
        <v>259</v>
      </c>
      <c r="CW9" s="52" t="s">
        <v>363</v>
      </c>
      <c r="CX9" s="138">
        <f>B168</f>
        <v>1</v>
      </c>
      <c r="CY9" s="52" t="s">
        <v>146</v>
      </c>
      <c r="CZ9" s="83" t="s">
        <v>258</v>
      </c>
      <c r="DA9" s="136">
        <f>B29</f>
        <v>4.9109405245458101E-5</v>
      </c>
      <c r="DB9" s="84" t="s">
        <v>259</v>
      </c>
      <c r="DC9" s="83" t="s">
        <v>513</v>
      </c>
      <c r="DD9" s="146">
        <f>B149</f>
        <v>55</v>
      </c>
      <c r="DE9" s="92" t="s">
        <v>221</v>
      </c>
      <c r="DF9" s="83" t="s">
        <v>40</v>
      </c>
      <c r="DG9" s="138">
        <f>B190</f>
        <v>0.25</v>
      </c>
      <c r="DH9" s="52" t="s">
        <v>41</v>
      </c>
      <c r="DI9" s="52" t="s">
        <v>350</v>
      </c>
      <c r="DJ9" s="164">
        <f>B168</f>
        <v>1</v>
      </c>
      <c r="DL9" s="83"/>
      <c r="DM9" s="138"/>
      <c r="DO9" s="83" t="s">
        <v>40</v>
      </c>
      <c r="DP9" s="138">
        <f>B190</f>
        <v>0.25</v>
      </c>
      <c r="DQ9" s="52" t="s">
        <v>41</v>
      </c>
      <c r="DR9" s="83" t="s">
        <v>452</v>
      </c>
      <c r="DS9" s="146">
        <f>B151</f>
        <v>55</v>
      </c>
      <c r="DT9" s="92" t="s">
        <v>221</v>
      </c>
      <c r="DU9" s="83"/>
      <c r="DX9" s="83" t="s">
        <v>517</v>
      </c>
      <c r="DY9" s="136">
        <f>B36</f>
        <v>4.5999999999999999E-3</v>
      </c>
      <c r="DZ9" s="52" t="s">
        <v>601</v>
      </c>
      <c r="EA9" s="83" t="s">
        <v>517</v>
      </c>
      <c r="EB9" s="136">
        <f>B36</f>
        <v>4.5999999999999999E-3</v>
      </c>
      <c r="EC9" s="52" t="s">
        <v>601</v>
      </c>
      <c r="ED9" s="83" t="s">
        <v>517</v>
      </c>
      <c r="EE9" s="136">
        <f>B36</f>
        <v>4.5999999999999999E-3</v>
      </c>
      <c r="EF9" s="52" t="s">
        <v>601</v>
      </c>
      <c r="EG9" s="83" t="s">
        <v>453</v>
      </c>
      <c r="EH9" s="170">
        <f>B153</f>
        <v>55</v>
      </c>
      <c r="EI9" s="92" t="s">
        <v>221</v>
      </c>
      <c r="EJ9" s="83"/>
      <c r="EM9" s="83" t="s">
        <v>236</v>
      </c>
      <c r="EN9" s="136">
        <f>B37</f>
        <v>2.1999999999999999E-2</v>
      </c>
      <c r="EO9" s="52" t="s">
        <v>388</v>
      </c>
      <c r="EP9" s="83" t="s">
        <v>236</v>
      </c>
      <c r="EQ9" s="169">
        <f>B37</f>
        <v>2.1999999999999999E-2</v>
      </c>
      <c r="ER9" s="52" t="s">
        <v>388</v>
      </c>
      <c r="ES9" s="83" t="s">
        <v>236</v>
      </c>
      <c r="ET9" s="169">
        <f>B37</f>
        <v>2.1999999999999999E-2</v>
      </c>
      <c r="EU9" s="52" t="s">
        <v>388</v>
      </c>
      <c r="EV9" s="83" t="s">
        <v>454</v>
      </c>
      <c r="EW9" s="171">
        <f>B155</f>
        <v>55</v>
      </c>
      <c r="EX9" s="92" t="s">
        <v>221</v>
      </c>
      <c r="EY9" s="83"/>
      <c r="EZ9" s="142"/>
      <c r="FA9" s="83"/>
      <c r="FB9" s="83" t="s">
        <v>171</v>
      </c>
      <c r="FC9" s="169">
        <f>B39</f>
        <v>0.4</v>
      </c>
      <c r="FD9" s="52" t="s">
        <v>388</v>
      </c>
      <c r="FE9" s="83" t="s">
        <v>171</v>
      </c>
      <c r="FF9" s="169">
        <f>B39</f>
        <v>0.4</v>
      </c>
      <c r="FG9" s="52" t="s">
        <v>388</v>
      </c>
      <c r="FH9" s="83" t="s">
        <v>171</v>
      </c>
      <c r="FI9" s="169">
        <f>B39</f>
        <v>0.4</v>
      </c>
      <c r="FJ9" s="52" t="s">
        <v>388</v>
      </c>
      <c r="FK9" s="83" t="s">
        <v>471</v>
      </c>
      <c r="FL9" s="150">
        <f>B157</f>
        <v>55</v>
      </c>
      <c r="FM9" s="92" t="s">
        <v>221</v>
      </c>
      <c r="FN9" s="83"/>
      <c r="FO9" s="83"/>
      <c r="FP9" s="83"/>
      <c r="FQ9" s="91" t="s">
        <v>231</v>
      </c>
      <c r="FR9" s="136">
        <f>B30</f>
        <v>30.167100000000001</v>
      </c>
      <c r="FS9" s="52" t="s">
        <v>60</v>
      </c>
      <c r="FT9" s="83"/>
      <c r="FU9" s="164"/>
      <c r="FV9" s="83"/>
      <c r="FW9" s="83"/>
      <c r="FX9" s="93"/>
      <c r="FY9" s="83"/>
      <c r="FZ9" s="83" t="s">
        <v>473</v>
      </c>
      <c r="GA9" s="174">
        <f>B159</f>
        <v>55</v>
      </c>
      <c r="GB9" s="92" t="s">
        <v>221</v>
      </c>
      <c r="GC9" s="83"/>
      <c r="GD9" s="142"/>
      <c r="GE9" s="83"/>
      <c r="GF9" s="83" t="s">
        <v>237</v>
      </c>
      <c r="GG9" s="169">
        <f>B38</f>
        <v>2.7</v>
      </c>
      <c r="GH9" s="52" t="s">
        <v>388</v>
      </c>
      <c r="GI9" s="83" t="s">
        <v>237</v>
      </c>
      <c r="GJ9" s="169">
        <f>B38</f>
        <v>2.7</v>
      </c>
      <c r="GK9" s="52" t="s">
        <v>388</v>
      </c>
      <c r="GL9" s="83" t="s">
        <v>237</v>
      </c>
      <c r="GM9" s="169">
        <f>B38</f>
        <v>2.7</v>
      </c>
      <c r="GN9" s="52" t="s">
        <v>388</v>
      </c>
      <c r="GO9" s="83" t="s">
        <v>455</v>
      </c>
      <c r="GP9" s="150">
        <f>B161</f>
        <v>55</v>
      </c>
      <c r="GQ9" s="92" t="s">
        <v>221</v>
      </c>
      <c r="GR9" s="83"/>
      <c r="GS9" s="142"/>
      <c r="GT9" s="83"/>
      <c r="GU9" s="83" t="s">
        <v>238</v>
      </c>
      <c r="GV9" s="169">
        <f>B40</f>
        <v>0.2</v>
      </c>
      <c r="GW9" s="52" t="s">
        <v>388</v>
      </c>
      <c r="GX9" s="83" t="s">
        <v>238</v>
      </c>
      <c r="GY9" s="169">
        <f>B40</f>
        <v>0.2</v>
      </c>
      <c r="GZ9" s="52" t="s">
        <v>388</v>
      </c>
      <c r="HA9" s="83" t="s">
        <v>238</v>
      </c>
      <c r="HB9" s="169">
        <f>B40</f>
        <v>0.2</v>
      </c>
      <c r="HC9" s="52" t="s">
        <v>388</v>
      </c>
      <c r="HD9" s="91" t="s">
        <v>231</v>
      </c>
      <c r="HE9" s="136">
        <f>B30</f>
        <v>30.167100000000001</v>
      </c>
      <c r="HF9" s="52" t="s">
        <v>60</v>
      </c>
    </row>
    <row r="10" spans="1:214" x14ac:dyDescent="0.2">
      <c r="A10" s="116" t="s">
        <v>341</v>
      </c>
      <c r="B10" s="229">
        <v>7.2400000000000006E-2</v>
      </c>
      <c r="C10" s="117"/>
      <c r="D10" s="52" t="s">
        <v>92</v>
      </c>
      <c r="E10" s="138">
        <f>E9</f>
        <v>1</v>
      </c>
      <c r="G10" s="83" t="s">
        <v>260</v>
      </c>
      <c r="H10" s="143">
        <f>(H5/(H6*H15))/H70</f>
        <v>4.1425145570390223</v>
      </c>
      <c r="I10" s="92" t="s">
        <v>291</v>
      </c>
      <c r="J10" s="83" t="s">
        <v>77</v>
      </c>
      <c r="K10" s="136">
        <f>B31</f>
        <v>1359344473.5814338</v>
      </c>
      <c r="L10" s="83" t="s">
        <v>78</v>
      </c>
      <c r="M10" s="52" t="s">
        <v>379</v>
      </c>
      <c r="N10" s="138">
        <f>B65</f>
        <v>1</v>
      </c>
      <c r="O10" s="52" t="s">
        <v>146</v>
      </c>
      <c r="P10" s="52" t="s">
        <v>379</v>
      </c>
      <c r="Q10" s="138">
        <f>B65</f>
        <v>1</v>
      </c>
      <c r="R10" s="52" t="s">
        <v>146</v>
      </c>
      <c r="S10" s="52" t="s">
        <v>379</v>
      </c>
      <c r="T10" s="138">
        <f>B65</f>
        <v>1</v>
      </c>
      <c r="U10" s="52" t="s">
        <v>146</v>
      </c>
      <c r="V10" s="52" t="s">
        <v>424</v>
      </c>
      <c r="W10" s="138">
        <f>B248</f>
        <v>1</v>
      </c>
      <c r="X10" s="52" t="s">
        <v>146</v>
      </c>
      <c r="Y10" s="52" t="s">
        <v>422</v>
      </c>
      <c r="Z10" s="138">
        <f>B228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B265</f>
        <v>3</v>
      </c>
      <c r="AG10" s="146">
        <f>B276</f>
        <v>3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B238</f>
        <v>1</v>
      </c>
      <c r="AN10" s="52" t="s">
        <v>146</v>
      </c>
      <c r="AO10" s="52" t="s">
        <v>420</v>
      </c>
      <c r="AP10" s="138">
        <f>B238</f>
        <v>1</v>
      </c>
      <c r="AQ10" s="52" t="s">
        <v>146</v>
      </c>
      <c r="AR10" s="52" t="s">
        <v>424</v>
      </c>
      <c r="AS10" s="138">
        <f>B248</f>
        <v>1</v>
      </c>
      <c r="AT10" s="52" t="s">
        <v>146</v>
      </c>
      <c r="AU10" s="52" t="s">
        <v>424</v>
      </c>
      <c r="AV10" s="138">
        <f>B248</f>
        <v>1</v>
      </c>
      <c r="AW10" s="52" t="s">
        <v>146</v>
      </c>
      <c r="AX10" s="52" t="s">
        <v>424</v>
      </c>
      <c r="AY10" s="138">
        <f>B248</f>
        <v>1</v>
      </c>
      <c r="AZ10" s="52" t="s">
        <v>146</v>
      </c>
      <c r="BA10" s="52" t="s">
        <v>422</v>
      </c>
      <c r="BB10" s="138">
        <f>B228</f>
        <v>1</v>
      </c>
      <c r="BC10" s="52" t="s">
        <v>146</v>
      </c>
      <c r="BD10" s="52" t="s">
        <v>422</v>
      </c>
      <c r="BE10" s="138">
        <f>B228</f>
        <v>1</v>
      </c>
      <c r="BF10" s="52" t="s">
        <v>146</v>
      </c>
      <c r="BG10" s="52" t="s">
        <v>422</v>
      </c>
      <c r="BH10" s="138">
        <f>B228</f>
        <v>1</v>
      </c>
      <c r="BI10" s="52" t="s">
        <v>146</v>
      </c>
      <c r="BJ10" s="52" t="s">
        <v>220</v>
      </c>
      <c r="BK10" s="138">
        <f>B266</f>
        <v>25</v>
      </c>
      <c r="BL10" s="52" t="s">
        <v>113</v>
      </c>
      <c r="BM10" s="52" t="s">
        <v>220</v>
      </c>
      <c r="BN10" s="138">
        <f>B266</f>
        <v>25</v>
      </c>
      <c r="BO10" s="52" t="s">
        <v>113</v>
      </c>
      <c r="BP10" s="52" t="s">
        <v>220</v>
      </c>
      <c r="BQ10" s="138">
        <f>B266</f>
        <v>25</v>
      </c>
      <c r="BR10" s="52" t="s">
        <v>113</v>
      </c>
      <c r="BS10" s="83" t="s">
        <v>428</v>
      </c>
      <c r="BT10" s="149">
        <f>(BT22*BT13*(1/24)*BT11*BT25)+(BT23*BT14*(1/24)*BT12*BT26)</f>
        <v>101.40624999999999</v>
      </c>
      <c r="BU10" s="52" t="s">
        <v>426</v>
      </c>
      <c r="BV10" s="83" t="s">
        <v>260</v>
      </c>
      <c r="BW10" s="143">
        <f>(BW5/(BW6*BW13))/BW32</f>
        <v>0.27397084911326258</v>
      </c>
      <c r="BX10" s="92" t="s">
        <v>291</v>
      </c>
      <c r="BY10" s="84" t="s">
        <v>16</v>
      </c>
      <c r="BZ10" s="137">
        <f>(BZ30*BZ11)/(1-EXP(-BZ11*BZ30))</f>
        <v>1.0115299987062558</v>
      </c>
      <c r="CB10" s="52" t="s">
        <v>51</v>
      </c>
      <c r="CC10" s="138">
        <f>B127</f>
        <v>1</v>
      </c>
      <c r="CD10" s="52" t="s">
        <v>146</v>
      </c>
      <c r="CE10" s="52" t="s">
        <v>51</v>
      </c>
      <c r="CF10" s="138">
        <f>B127</f>
        <v>1</v>
      </c>
      <c r="CG10" s="52" t="s">
        <v>146</v>
      </c>
      <c r="CH10" s="52" t="s">
        <v>51</v>
      </c>
      <c r="CI10" s="138">
        <f>B127</f>
        <v>1</v>
      </c>
      <c r="CJ10" s="52" t="s">
        <v>146</v>
      </c>
      <c r="CN10" s="84" t="s">
        <v>164</v>
      </c>
      <c r="CO10" s="162">
        <f>B129</f>
        <v>2</v>
      </c>
      <c r="CP10" s="52" t="s">
        <v>246</v>
      </c>
      <c r="CT10" s="83" t="s">
        <v>77</v>
      </c>
      <c r="CU10" s="136">
        <f>B31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1.0115299987062558</v>
      </c>
      <c r="DC10" s="83" t="s">
        <v>514</v>
      </c>
      <c r="DD10" s="146">
        <f>B150</f>
        <v>55</v>
      </c>
      <c r="DE10" s="92" t="s">
        <v>221</v>
      </c>
      <c r="DF10" s="92" t="s">
        <v>32</v>
      </c>
      <c r="DG10" s="136">
        <f>B43</f>
        <v>2.5229999999999999E-2</v>
      </c>
      <c r="DI10" s="83" t="s">
        <v>22</v>
      </c>
      <c r="DJ10" s="137">
        <f>0.693/DJ11</f>
        <v>2.2972045705420805E-2</v>
      </c>
      <c r="DL10" s="92"/>
      <c r="DO10" s="92" t="s">
        <v>32</v>
      </c>
      <c r="DP10" s="136">
        <f>B43</f>
        <v>2.5229999999999999E-2</v>
      </c>
      <c r="DR10" s="83" t="s">
        <v>461</v>
      </c>
      <c r="DS10" s="146">
        <f>B152</f>
        <v>55</v>
      </c>
      <c r="DT10" s="92" t="s">
        <v>221</v>
      </c>
      <c r="DU10" s="92"/>
      <c r="DX10" s="83" t="s">
        <v>498</v>
      </c>
      <c r="DY10" s="138">
        <f>B201</f>
        <v>20.3</v>
      </c>
      <c r="DZ10" s="52" t="s">
        <v>246</v>
      </c>
      <c r="EA10" s="83" t="s">
        <v>498</v>
      </c>
      <c r="EB10" s="138">
        <f>B201</f>
        <v>20.3</v>
      </c>
      <c r="EC10" s="52" t="s">
        <v>246</v>
      </c>
      <c r="ED10" s="83" t="s">
        <v>498</v>
      </c>
      <c r="EE10" s="138">
        <f>B201</f>
        <v>20.3</v>
      </c>
      <c r="EF10" s="52" t="s">
        <v>246</v>
      </c>
      <c r="EG10" s="83" t="s">
        <v>462</v>
      </c>
      <c r="EH10" s="170">
        <f>B154</f>
        <v>55</v>
      </c>
      <c r="EI10" s="92" t="s">
        <v>221</v>
      </c>
      <c r="EJ10" s="92"/>
      <c r="EM10" s="83" t="s">
        <v>494</v>
      </c>
      <c r="EN10" s="138">
        <f>B206</f>
        <v>11.77</v>
      </c>
      <c r="EO10" s="52" t="s">
        <v>246</v>
      </c>
      <c r="EP10" s="83" t="s">
        <v>494</v>
      </c>
      <c r="EQ10" s="138">
        <f>B206</f>
        <v>11.77</v>
      </c>
      <c r="ER10" s="52" t="s">
        <v>246</v>
      </c>
      <c r="ES10" s="83" t="s">
        <v>494</v>
      </c>
      <c r="ET10" s="138">
        <f>B206</f>
        <v>11.77</v>
      </c>
      <c r="EU10" s="52" t="s">
        <v>246</v>
      </c>
      <c r="EV10" s="83" t="s">
        <v>463</v>
      </c>
      <c r="EW10" s="170">
        <f>B156</f>
        <v>55</v>
      </c>
      <c r="EX10" s="92" t="s">
        <v>221</v>
      </c>
      <c r="EY10" s="83"/>
      <c r="EZ10" s="142"/>
      <c r="FA10" s="83"/>
      <c r="FB10" s="83" t="s">
        <v>152</v>
      </c>
      <c r="FC10" s="142">
        <f>B211</f>
        <v>0.2</v>
      </c>
      <c r="FD10" s="52" t="s">
        <v>246</v>
      </c>
      <c r="FE10" s="83" t="s">
        <v>152</v>
      </c>
      <c r="FF10" s="142">
        <f>B211</f>
        <v>0.2</v>
      </c>
      <c r="FG10" s="52" t="s">
        <v>246</v>
      </c>
      <c r="FH10" s="83" t="s">
        <v>152</v>
      </c>
      <c r="FI10" s="142">
        <f>B211</f>
        <v>0.2</v>
      </c>
      <c r="FJ10" s="52" t="s">
        <v>246</v>
      </c>
      <c r="FK10" s="83" t="s">
        <v>472</v>
      </c>
      <c r="FL10" s="150">
        <f>B158</f>
        <v>55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1.0115299987062558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B160</f>
        <v>55</v>
      </c>
      <c r="GB10" s="92" t="s">
        <v>221</v>
      </c>
      <c r="GC10" s="83"/>
      <c r="GD10" s="83"/>
      <c r="GE10" s="83"/>
      <c r="GF10" s="83" t="s">
        <v>486</v>
      </c>
      <c r="GG10" s="142">
        <f>B216</f>
        <v>0.2</v>
      </c>
      <c r="GH10" s="52" t="s">
        <v>246</v>
      </c>
      <c r="GI10" s="83" t="s">
        <v>486</v>
      </c>
      <c r="GJ10" s="142">
        <f>B216</f>
        <v>0.2</v>
      </c>
      <c r="GK10" s="52" t="s">
        <v>246</v>
      </c>
      <c r="GL10" s="83" t="s">
        <v>486</v>
      </c>
      <c r="GM10" s="142">
        <f>B216</f>
        <v>0.2</v>
      </c>
      <c r="GN10" s="52" t="s">
        <v>246</v>
      </c>
      <c r="GO10" s="83" t="s">
        <v>464</v>
      </c>
      <c r="GP10" s="150">
        <f>B162</f>
        <v>55</v>
      </c>
      <c r="GQ10" s="92" t="s">
        <v>221</v>
      </c>
      <c r="GR10" s="83"/>
      <c r="GS10" s="83"/>
      <c r="GT10" s="83"/>
      <c r="GU10" s="83" t="s">
        <v>490</v>
      </c>
      <c r="GV10" s="142">
        <f>B221</f>
        <v>4.7</v>
      </c>
      <c r="GW10" s="52" t="s">
        <v>246</v>
      </c>
      <c r="GX10" s="83" t="s">
        <v>490</v>
      </c>
      <c r="GY10" s="142">
        <f>B221</f>
        <v>4.7</v>
      </c>
      <c r="GZ10" s="52" t="s">
        <v>246</v>
      </c>
      <c r="HA10" s="83" t="s">
        <v>490</v>
      </c>
      <c r="HB10" s="142">
        <f>B221</f>
        <v>4.7</v>
      </c>
      <c r="HC10" s="52" t="s">
        <v>246</v>
      </c>
      <c r="HD10" s="84" t="s">
        <v>38</v>
      </c>
      <c r="HE10" s="163">
        <f>B93</f>
        <v>0.3</v>
      </c>
    </row>
    <row r="11" spans="1:214" x14ac:dyDescent="0.2">
      <c r="A11" s="116" t="s">
        <v>244</v>
      </c>
      <c r="B11" s="229">
        <v>0.73599999999999999</v>
      </c>
      <c r="C11" s="117"/>
      <c r="D11" s="52" t="s">
        <v>247</v>
      </c>
      <c r="E11" s="139">
        <f>B18</f>
        <v>1.5417408700798101E-4</v>
      </c>
      <c r="F11" s="84" t="s">
        <v>259</v>
      </c>
      <c r="G11" s="83" t="s">
        <v>261</v>
      </c>
      <c r="H11" s="144">
        <f>(H5/(H7*H16*H28))/H70</f>
        <v>0.3615645181009402</v>
      </c>
      <c r="I11" s="92" t="s">
        <v>291</v>
      </c>
      <c r="J11" s="84" t="s">
        <v>16</v>
      </c>
      <c r="K11" s="137">
        <f>(K43*K12)/(1-EXP(-K12*K43))</f>
        <v>1.0115299987062558</v>
      </c>
      <c r="M11" s="52" t="s">
        <v>299</v>
      </c>
      <c r="N11" s="138">
        <f>B73</f>
        <v>1</v>
      </c>
      <c r="P11" s="52" t="s">
        <v>299</v>
      </c>
      <c r="Q11" s="138">
        <f>B73</f>
        <v>1</v>
      </c>
      <c r="S11" s="52" t="s">
        <v>299</v>
      </c>
      <c r="T11" s="138">
        <f>B73</f>
        <v>1</v>
      </c>
      <c r="V11" s="52" t="s">
        <v>247</v>
      </c>
      <c r="W11" s="139">
        <f>B18</f>
        <v>1.5417408700798101E-4</v>
      </c>
      <c r="X11" s="84" t="s">
        <v>39</v>
      </c>
      <c r="Y11" s="52" t="s">
        <v>247</v>
      </c>
      <c r="Z11" s="139">
        <f>B18</f>
        <v>1.5417408700798101E-4</v>
      </c>
      <c r="AA11" s="84" t="s">
        <v>39</v>
      </c>
      <c r="AB11" s="83" t="s">
        <v>220</v>
      </c>
      <c r="AC11" s="146"/>
      <c r="AD11" s="146"/>
      <c r="AE11" s="146"/>
      <c r="AF11" s="146">
        <f>B266</f>
        <v>25</v>
      </c>
      <c r="AG11" s="146">
        <f>B277</f>
        <v>25</v>
      </c>
      <c r="AH11" s="83" t="s">
        <v>113</v>
      </c>
      <c r="AI11" s="52" t="s">
        <v>299</v>
      </c>
      <c r="AJ11" s="138">
        <f>B241</f>
        <v>1</v>
      </c>
      <c r="AL11" s="52" t="s">
        <v>299</v>
      </c>
      <c r="AM11" s="138">
        <f>B241</f>
        <v>1</v>
      </c>
      <c r="AO11" s="52" t="s">
        <v>299</v>
      </c>
      <c r="AP11" s="138">
        <f>B241</f>
        <v>1</v>
      </c>
      <c r="AR11" s="52" t="s">
        <v>299</v>
      </c>
      <c r="AS11" s="138">
        <f>B251</f>
        <v>1</v>
      </c>
      <c r="AU11" s="52" t="s">
        <v>299</v>
      </c>
      <c r="AV11" s="138">
        <f>B251</f>
        <v>1</v>
      </c>
      <c r="AX11" s="52" t="s">
        <v>299</v>
      </c>
      <c r="AY11" s="138">
        <f>B251</f>
        <v>1</v>
      </c>
      <c r="BA11" s="52" t="s">
        <v>299</v>
      </c>
      <c r="BB11" s="138">
        <f>B231</f>
        <v>1</v>
      </c>
      <c r="BD11" s="52" t="s">
        <v>299</v>
      </c>
      <c r="BE11" s="138">
        <f>B231</f>
        <v>1</v>
      </c>
      <c r="BG11" s="52" t="s">
        <v>299</v>
      </c>
      <c r="BH11" s="138">
        <f>B231</f>
        <v>1</v>
      </c>
      <c r="BJ11" s="52" t="s">
        <v>219</v>
      </c>
      <c r="BK11" s="138">
        <f>B265</f>
        <v>3</v>
      </c>
      <c r="BL11" s="52" t="s">
        <v>112</v>
      </c>
      <c r="BM11" s="52" t="s">
        <v>219</v>
      </c>
      <c r="BN11" s="138">
        <f>B265</f>
        <v>3</v>
      </c>
      <c r="BO11" s="52" t="s">
        <v>112</v>
      </c>
      <c r="BP11" s="52" t="s">
        <v>219</v>
      </c>
      <c r="BQ11" s="138">
        <f>B265</f>
        <v>3</v>
      </c>
      <c r="BR11" s="52" t="s">
        <v>112</v>
      </c>
      <c r="BS11" s="83" t="s">
        <v>429</v>
      </c>
      <c r="BT11" s="141">
        <f>B103</f>
        <v>5</v>
      </c>
      <c r="BU11" s="92" t="s">
        <v>407</v>
      </c>
      <c r="BV11" s="83" t="s">
        <v>261</v>
      </c>
      <c r="BW11" s="159"/>
      <c r="BX11" s="92" t="s">
        <v>291</v>
      </c>
      <c r="BY11" s="83" t="s">
        <v>22</v>
      </c>
      <c r="BZ11" s="137">
        <f>0.693/BZ12</f>
        <v>2.2972045705420805E-2</v>
      </c>
      <c r="CB11" s="52" t="s">
        <v>300</v>
      </c>
      <c r="CC11" s="136">
        <f>B3</f>
        <v>8.5099999999999995E-2</v>
      </c>
      <c r="CE11" s="52" t="s">
        <v>300</v>
      </c>
      <c r="CF11" s="136">
        <f>B6</f>
        <v>4.3299999999999998E-2</v>
      </c>
      <c r="CH11" s="52" t="s">
        <v>300</v>
      </c>
      <c r="CI11" s="136">
        <f>B10</f>
        <v>7.2400000000000006E-2</v>
      </c>
      <c r="CN11" s="84" t="s">
        <v>161</v>
      </c>
      <c r="CO11" s="162">
        <f>B130</f>
        <v>2</v>
      </c>
      <c r="CP11" s="52" t="s">
        <v>246</v>
      </c>
      <c r="CT11" s="84" t="s">
        <v>16</v>
      </c>
      <c r="CU11" s="137">
        <f>(CU43*CU12)/(1-EXP(-CU12*CU43))</f>
        <v>1.0115299987062558</v>
      </c>
      <c r="CW11" s="52" t="s">
        <v>247</v>
      </c>
      <c r="CX11" s="139">
        <f>B18</f>
        <v>1.5417408700798101E-4</v>
      </c>
      <c r="CY11" s="84" t="s">
        <v>259</v>
      </c>
      <c r="CZ11" s="83" t="s">
        <v>22</v>
      </c>
      <c r="DA11" s="137">
        <f>0.693/DA12</f>
        <v>2.2972045705420805E-2</v>
      </c>
      <c r="DC11" s="83" t="s">
        <v>515</v>
      </c>
      <c r="DD11" s="149">
        <f>(DD12*DD15*DD20)+(DD13*DD14*DD21)</f>
        <v>8250</v>
      </c>
      <c r="DE11" s="92" t="s">
        <v>347</v>
      </c>
      <c r="DF11" s="92" t="s">
        <v>49</v>
      </c>
      <c r="DG11" s="137">
        <f>DG19+DG20</f>
        <v>8.993711152170084E-5</v>
      </c>
      <c r="DI11" s="91" t="s">
        <v>231</v>
      </c>
      <c r="DJ11" s="136">
        <f>B30</f>
        <v>30.167100000000001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B166</f>
        <v>150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B166</f>
        <v>150</v>
      </c>
      <c r="EI11" s="83" t="s">
        <v>24</v>
      </c>
      <c r="EJ11" s="92"/>
      <c r="EM11" s="83" t="s">
        <v>495</v>
      </c>
      <c r="EN11" s="138">
        <f>B207</f>
        <v>0.5</v>
      </c>
      <c r="EO11" s="52" t="s">
        <v>246</v>
      </c>
      <c r="EP11" s="83" t="s">
        <v>495</v>
      </c>
      <c r="EQ11" s="138">
        <f>B207</f>
        <v>0.5</v>
      </c>
      <c r="ER11" s="52" t="s">
        <v>246</v>
      </c>
      <c r="ES11" s="83" t="s">
        <v>495</v>
      </c>
      <c r="ET11" s="138">
        <f>B207</f>
        <v>0.5</v>
      </c>
      <c r="EU11" s="52" t="s">
        <v>246</v>
      </c>
      <c r="EV11" s="83" t="s">
        <v>456</v>
      </c>
      <c r="EW11" s="150">
        <f>B166</f>
        <v>150</v>
      </c>
      <c r="EX11" s="83" t="s">
        <v>24</v>
      </c>
      <c r="EY11" s="83"/>
      <c r="EZ11" s="83"/>
      <c r="FA11" s="83"/>
      <c r="FB11" s="83" t="s">
        <v>151</v>
      </c>
      <c r="FC11" s="142">
        <f>B212</f>
        <v>2.1999999999999999E-2</v>
      </c>
      <c r="FD11" s="52" t="s">
        <v>246</v>
      </c>
      <c r="FE11" s="83" t="s">
        <v>151</v>
      </c>
      <c r="FF11" s="142">
        <f>B212</f>
        <v>2.1999999999999999E-2</v>
      </c>
      <c r="FG11" s="52" t="s">
        <v>246</v>
      </c>
      <c r="FH11" s="83" t="s">
        <v>151</v>
      </c>
      <c r="FI11" s="142">
        <f>B212</f>
        <v>2.1999999999999999E-2</v>
      </c>
      <c r="FJ11" s="52" t="s">
        <v>246</v>
      </c>
      <c r="FK11" s="83" t="s">
        <v>456</v>
      </c>
      <c r="FL11" s="150">
        <f>B166</f>
        <v>150</v>
      </c>
      <c r="FM11" s="83" t="s">
        <v>24</v>
      </c>
      <c r="FN11" s="83"/>
      <c r="FO11" s="83"/>
      <c r="FP11" s="83"/>
      <c r="FQ11" s="88"/>
      <c r="FR11" s="169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B166</f>
        <v>150</v>
      </c>
      <c r="GB11" s="83" t="s">
        <v>24</v>
      </c>
      <c r="GC11" s="83"/>
      <c r="GD11" s="83"/>
      <c r="GE11" s="83"/>
      <c r="GF11" s="83" t="s">
        <v>487</v>
      </c>
      <c r="GG11" s="142">
        <f>B217</f>
        <v>2.1999999999999999E-2</v>
      </c>
      <c r="GH11" s="52" t="s">
        <v>246</v>
      </c>
      <c r="GI11" s="83" t="s">
        <v>487</v>
      </c>
      <c r="GJ11" s="142">
        <f>B217</f>
        <v>2.1999999999999999E-2</v>
      </c>
      <c r="GK11" s="52" t="s">
        <v>246</v>
      </c>
      <c r="GL11" s="83" t="s">
        <v>487</v>
      </c>
      <c r="GM11" s="142">
        <f>B217</f>
        <v>2.1999999999999999E-2</v>
      </c>
      <c r="GN11" s="52" t="s">
        <v>246</v>
      </c>
      <c r="GO11" s="83" t="s">
        <v>456</v>
      </c>
      <c r="GP11" s="150">
        <f>B166</f>
        <v>150</v>
      </c>
      <c r="GQ11" s="83" t="s">
        <v>24</v>
      </c>
      <c r="GR11" s="83"/>
      <c r="GS11" s="83"/>
      <c r="GT11" s="83"/>
      <c r="GU11" s="83" t="s">
        <v>491</v>
      </c>
      <c r="GV11" s="142">
        <f>B222</f>
        <v>0.37</v>
      </c>
      <c r="GW11" s="52" t="s">
        <v>246</v>
      </c>
      <c r="GX11" s="83" t="s">
        <v>491</v>
      </c>
      <c r="GY11" s="142">
        <f>B222</f>
        <v>0.37</v>
      </c>
      <c r="GZ11" s="52" t="s">
        <v>246</v>
      </c>
      <c r="HA11" s="83" t="s">
        <v>491</v>
      </c>
      <c r="HB11" s="142">
        <f>B222</f>
        <v>0.37</v>
      </c>
      <c r="HC11" s="52" t="s">
        <v>246</v>
      </c>
      <c r="HD11" s="84" t="s">
        <v>42</v>
      </c>
      <c r="HE11" s="150">
        <f>B94</f>
        <v>1.5</v>
      </c>
    </row>
    <row r="12" spans="1:214" x14ac:dyDescent="0.2">
      <c r="A12" s="116" t="s">
        <v>342</v>
      </c>
      <c r="B12" s="229">
        <v>2.6599999999999999E-2</v>
      </c>
      <c r="C12" s="117"/>
      <c r="D12" s="83" t="s">
        <v>43</v>
      </c>
      <c r="E12" s="140">
        <f>((E15/E16)*E23*E13*E25)+((E15/E16)*E24*E14*E26)</f>
        <v>1327.5</v>
      </c>
      <c r="F12" s="52" t="s">
        <v>426</v>
      </c>
      <c r="G12" s="83" t="s">
        <v>266</v>
      </c>
      <c r="H12" s="144">
        <f>(H5/(H8*(1/H43)*H21))/H70</f>
        <v>6.6121450305834717E-2</v>
      </c>
      <c r="I12" s="92" t="s">
        <v>291</v>
      </c>
      <c r="J12" s="83" t="s">
        <v>22</v>
      </c>
      <c r="K12" s="137">
        <f>0.693/K13</f>
        <v>2.2972045705420805E-2</v>
      </c>
      <c r="M12" s="52" t="s">
        <v>300</v>
      </c>
      <c r="N12" s="136">
        <f>B3</f>
        <v>8.5099999999999995E-2</v>
      </c>
      <c r="P12" s="52" t="s">
        <v>300</v>
      </c>
      <c r="Q12" s="136">
        <f>B6</f>
        <v>4.3299999999999998E-2</v>
      </c>
      <c r="S12" s="52" t="s">
        <v>300</v>
      </c>
      <c r="T12" s="136">
        <f>B10</f>
        <v>7.2400000000000006E-2</v>
      </c>
      <c r="V12" s="52" t="s">
        <v>44</v>
      </c>
      <c r="W12" s="150">
        <f>B252</f>
        <v>5</v>
      </c>
      <c r="X12" s="84" t="s">
        <v>194</v>
      </c>
      <c r="Y12" s="52" t="s">
        <v>44</v>
      </c>
      <c r="Z12" s="150">
        <f>B233</f>
        <v>5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B262</f>
        <v>5</v>
      </c>
      <c r="AG12" s="150">
        <f>B273</f>
        <v>5</v>
      </c>
      <c r="AH12" s="83" t="s">
        <v>194</v>
      </c>
      <c r="AI12" s="52" t="s">
        <v>300</v>
      </c>
      <c r="AJ12" s="136">
        <f>B3</f>
        <v>8.5099999999999995E-2</v>
      </c>
      <c r="AL12" s="52" t="s">
        <v>300</v>
      </c>
      <c r="AM12" s="136">
        <f>B6</f>
        <v>4.3299999999999998E-2</v>
      </c>
      <c r="AO12" s="52" t="s">
        <v>300</v>
      </c>
      <c r="AP12" s="136">
        <f>B10</f>
        <v>7.2400000000000006E-2</v>
      </c>
      <c r="AR12" s="52" t="s">
        <v>300</v>
      </c>
      <c r="AS12" s="136">
        <f>B3</f>
        <v>8.5099999999999995E-2</v>
      </c>
      <c r="AU12" s="52" t="s">
        <v>300</v>
      </c>
      <c r="AV12" s="136">
        <f>B6</f>
        <v>4.3299999999999998E-2</v>
      </c>
      <c r="AX12" s="52" t="s">
        <v>300</v>
      </c>
      <c r="AY12" s="136">
        <f>B10</f>
        <v>7.2400000000000006E-2</v>
      </c>
      <c r="BA12" s="52" t="s">
        <v>300</v>
      </c>
      <c r="BB12" s="136">
        <f>B3</f>
        <v>8.5099999999999995E-2</v>
      </c>
      <c r="BD12" s="52" t="s">
        <v>300</v>
      </c>
      <c r="BE12" s="136">
        <f>B6</f>
        <v>4.3299999999999998E-2</v>
      </c>
      <c r="BG12" s="52" t="s">
        <v>300</v>
      </c>
      <c r="BH12" s="136">
        <f>B10</f>
        <v>7.2400000000000006E-2</v>
      </c>
      <c r="BJ12" s="52" t="s">
        <v>158</v>
      </c>
      <c r="BK12" s="138">
        <f>B258</f>
        <v>1</v>
      </c>
      <c r="BL12" s="52" t="s">
        <v>146</v>
      </c>
      <c r="BM12" s="52" t="s">
        <v>158</v>
      </c>
      <c r="BN12" s="138">
        <f>B258</f>
        <v>1</v>
      </c>
      <c r="BO12" s="52" t="s">
        <v>146</v>
      </c>
      <c r="BP12" s="52" t="s">
        <v>158</v>
      </c>
      <c r="BQ12" s="138">
        <f>B258</f>
        <v>1</v>
      </c>
      <c r="BR12" s="52" t="s">
        <v>146</v>
      </c>
      <c r="BS12" s="83" t="s">
        <v>430</v>
      </c>
      <c r="BT12" s="141">
        <f>B104</f>
        <v>10</v>
      </c>
      <c r="BU12" s="92" t="s">
        <v>407</v>
      </c>
      <c r="BV12" s="83" t="s">
        <v>266</v>
      </c>
      <c r="BW12" s="145">
        <f>(BW5/(BW8*(1/BW29)*BW16))/BW32</f>
        <v>2.2902065969566388E-2</v>
      </c>
      <c r="BX12" s="92" t="s">
        <v>291</v>
      </c>
      <c r="BY12" s="91" t="s">
        <v>231</v>
      </c>
      <c r="BZ12" s="136">
        <f>B30</f>
        <v>30.167100000000001</v>
      </c>
      <c r="CA12" s="52" t="s">
        <v>60</v>
      </c>
      <c r="CB12" s="52" t="s">
        <v>413</v>
      </c>
      <c r="CC12" s="136">
        <f>B4</f>
        <v>0.74199999999999999</v>
      </c>
      <c r="CE12" s="52" t="s">
        <v>414</v>
      </c>
      <c r="CF12" s="136">
        <f>B7</f>
        <v>0.65300000000000002</v>
      </c>
      <c r="CH12" s="52" t="s">
        <v>416</v>
      </c>
      <c r="CI12" s="136">
        <f>B11</f>
        <v>0.73599999999999999</v>
      </c>
      <c r="CN12" s="84" t="s">
        <v>162</v>
      </c>
      <c r="CO12" s="162">
        <f>B131</f>
        <v>2</v>
      </c>
      <c r="CP12" s="52" t="s">
        <v>41</v>
      </c>
      <c r="CT12" s="83" t="s">
        <v>22</v>
      </c>
      <c r="CU12" s="137">
        <f>0.693/CU13</f>
        <v>2.2972045705420805E-2</v>
      </c>
      <c r="CW12" s="83" t="s">
        <v>506</v>
      </c>
      <c r="CX12" s="140">
        <f>((CX16/24)*CX23*CX13*CX25)+((CX15/24)*CX24*CX14*CX26)</f>
        <v>1387.5</v>
      </c>
      <c r="CY12" s="52" t="s">
        <v>426</v>
      </c>
      <c r="CZ12" s="91" t="s">
        <v>231</v>
      </c>
      <c r="DA12" s="136">
        <f>B30</f>
        <v>30.167100000000001</v>
      </c>
      <c r="DB12" s="52" t="s">
        <v>60</v>
      </c>
      <c r="DC12" s="83" t="s">
        <v>467</v>
      </c>
      <c r="DD12" s="146">
        <f>B147</f>
        <v>55</v>
      </c>
      <c r="DE12" s="92" t="s">
        <v>221</v>
      </c>
      <c r="DF12" s="92" t="s">
        <v>52</v>
      </c>
      <c r="DG12" s="138">
        <f>B191</f>
        <v>10950</v>
      </c>
      <c r="DH12" s="52" t="s">
        <v>53</v>
      </c>
      <c r="DI12" s="84" t="s">
        <v>16</v>
      </c>
      <c r="DJ12" s="137">
        <f>(DJ9*DJ10)/(1-EXP(-DJ10*DJ9))</f>
        <v>1.0115299987062558</v>
      </c>
      <c r="DL12" s="92"/>
      <c r="DO12" s="92" t="s">
        <v>52</v>
      </c>
      <c r="DP12" s="138">
        <f>B191</f>
        <v>10950</v>
      </c>
      <c r="DQ12" s="52" t="s">
        <v>53</v>
      </c>
      <c r="DR12" s="83" t="s">
        <v>465</v>
      </c>
      <c r="DS12" s="150">
        <f>B166</f>
        <v>150</v>
      </c>
      <c r="DT12" s="83" t="s">
        <v>24</v>
      </c>
      <c r="DU12" s="92"/>
      <c r="DX12" s="83" t="s">
        <v>500</v>
      </c>
      <c r="DY12" s="138">
        <f>B203</f>
        <v>1</v>
      </c>
      <c r="EA12" s="83" t="s">
        <v>500</v>
      </c>
      <c r="EB12" s="138">
        <f>B203</f>
        <v>1</v>
      </c>
      <c r="EC12" s="84"/>
      <c r="ED12" s="83" t="s">
        <v>500</v>
      </c>
      <c r="EE12" s="138">
        <f>B203</f>
        <v>1</v>
      </c>
      <c r="EF12" s="84"/>
      <c r="EG12" s="83" t="s">
        <v>465</v>
      </c>
      <c r="EH12" s="150">
        <f>B166</f>
        <v>150</v>
      </c>
      <c r="EI12" s="83" t="s">
        <v>24</v>
      </c>
      <c r="EJ12" s="92"/>
      <c r="EM12" s="83" t="s">
        <v>496</v>
      </c>
      <c r="EN12" s="138">
        <f>B208</f>
        <v>1</v>
      </c>
      <c r="EP12" s="83" t="s">
        <v>496</v>
      </c>
      <c r="EQ12" s="138">
        <f>B208</f>
        <v>1</v>
      </c>
      <c r="ER12" s="84"/>
      <c r="ES12" s="83" t="s">
        <v>496</v>
      </c>
      <c r="ET12" s="138">
        <f>B208</f>
        <v>1</v>
      </c>
      <c r="EU12" s="84"/>
      <c r="EV12" s="83" t="s">
        <v>465</v>
      </c>
      <c r="EW12" s="150">
        <f>B166</f>
        <v>150</v>
      </c>
      <c r="EX12" s="83" t="s">
        <v>24</v>
      </c>
      <c r="EY12" s="83"/>
      <c r="EZ12" s="83"/>
      <c r="FA12" s="83"/>
      <c r="FB12" s="83" t="s">
        <v>153</v>
      </c>
      <c r="FC12" s="164">
        <f>B213</f>
        <v>1</v>
      </c>
      <c r="FD12" s="83"/>
      <c r="FE12" s="83" t="s">
        <v>153</v>
      </c>
      <c r="FF12" s="164">
        <f>B213</f>
        <v>1</v>
      </c>
      <c r="FG12" s="83"/>
      <c r="FH12" s="83" t="s">
        <v>153</v>
      </c>
      <c r="FI12" s="164">
        <f>B213</f>
        <v>1</v>
      </c>
      <c r="FJ12" s="84"/>
      <c r="FK12" s="83" t="s">
        <v>465</v>
      </c>
      <c r="FL12" s="150">
        <f>B166</f>
        <v>150</v>
      </c>
      <c r="FM12" s="83" t="s">
        <v>24</v>
      </c>
      <c r="FN12" s="83"/>
      <c r="FO12" s="83"/>
      <c r="FP12" s="83"/>
      <c r="FQ12" s="88"/>
      <c r="FR12" s="227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B166</f>
        <v>150</v>
      </c>
      <c r="GB12" s="83" t="s">
        <v>24</v>
      </c>
      <c r="GC12" s="83"/>
      <c r="GD12" s="83"/>
      <c r="GE12" s="83"/>
      <c r="GF12" s="83" t="s">
        <v>488</v>
      </c>
      <c r="GG12" s="142">
        <f>B218</f>
        <v>1</v>
      </c>
      <c r="GH12" s="83"/>
      <c r="GI12" s="83" t="s">
        <v>488</v>
      </c>
      <c r="GJ12" s="142">
        <f>B218</f>
        <v>1</v>
      </c>
      <c r="GK12" s="83"/>
      <c r="GL12" s="83" t="s">
        <v>488</v>
      </c>
      <c r="GM12" s="142">
        <f>B218</f>
        <v>1</v>
      </c>
      <c r="GN12" s="84"/>
      <c r="GO12" s="83" t="s">
        <v>465</v>
      </c>
      <c r="GP12" s="150">
        <f>B166</f>
        <v>150</v>
      </c>
      <c r="GQ12" s="83" t="s">
        <v>24</v>
      </c>
      <c r="GR12" s="83"/>
      <c r="GS12" s="83"/>
      <c r="GT12" s="83"/>
      <c r="GU12" s="83" t="s">
        <v>492</v>
      </c>
      <c r="GV12" s="142">
        <f>B223</f>
        <v>1</v>
      </c>
      <c r="GW12" s="83"/>
      <c r="GX12" s="83" t="s">
        <v>492</v>
      </c>
      <c r="GY12" s="142">
        <f>B223</f>
        <v>1</v>
      </c>
      <c r="GZ12" s="83"/>
      <c r="HA12" s="83" t="s">
        <v>492</v>
      </c>
      <c r="HB12" s="142">
        <f>B223</f>
        <v>1</v>
      </c>
      <c r="HC12" s="84"/>
      <c r="HD12" s="84" t="s">
        <v>47</v>
      </c>
      <c r="HE12" s="163">
        <v>1</v>
      </c>
    </row>
    <row r="13" spans="1:214" ht="13.5" customHeight="1" thickBot="1" x14ac:dyDescent="0.25">
      <c r="A13" s="118" t="s">
        <v>245</v>
      </c>
      <c r="B13" s="230">
        <v>0.46500000000000002</v>
      </c>
      <c r="C13" s="119"/>
      <c r="D13" s="83" t="s">
        <v>366</v>
      </c>
      <c r="E13" s="141">
        <f>B50</f>
        <v>5</v>
      </c>
      <c r="F13" s="92" t="s">
        <v>407</v>
      </c>
      <c r="G13" s="83" t="s">
        <v>263</v>
      </c>
      <c r="H13" s="144">
        <f>(H14/((1/H40)*(H48+H49+H50)))/H70</f>
        <v>0.60714420559095872</v>
      </c>
      <c r="I13" s="92" t="s">
        <v>291</v>
      </c>
      <c r="J13" s="91" t="s">
        <v>231</v>
      </c>
      <c r="K13" s="136">
        <f>B30</f>
        <v>30.167100000000001</v>
      </c>
      <c r="L13" s="52" t="s">
        <v>60</v>
      </c>
      <c r="M13" s="52" t="s">
        <v>54</v>
      </c>
      <c r="N13" s="136">
        <f>B4</f>
        <v>0.74199999999999999</v>
      </c>
      <c r="P13" s="52" t="s">
        <v>54</v>
      </c>
      <c r="Q13" s="136">
        <f>B7</f>
        <v>0.65300000000000002</v>
      </c>
      <c r="S13" s="52" t="s">
        <v>54</v>
      </c>
      <c r="T13" s="136">
        <f>B11</f>
        <v>0.73599999999999999</v>
      </c>
      <c r="V13" s="52" t="s">
        <v>50</v>
      </c>
      <c r="W13" s="146">
        <f>B246</f>
        <v>50</v>
      </c>
      <c r="X13" s="84" t="s">
        <v>407</v>
      </c>
      <c r="Y13" s="52" t="s">
        <v>50</v>
      </c>
      <c r="Z13" s="146">
        <f>B226</f>
        <v>50</v>
      </c>
      <c r="AA13" s="84" t="s">
        <v>407</v>
      </c>
      <c r="AB13" s="83" t="s">
        <v>349</v>
      </c>
      <c r="AC13" s="146">
        <f>B229</f>
        <v>50</v>
      </c>
      <c r="AD13" s="146">
        <f>B239</f>
        <v>50</v>
      </c>
      <c r="AE13" s="146">
        <f>B249</f>
        <v>50</v>
      </c>
      <c r="AF13" s="146">
        <f>B259</f>
        <v>200</v>
      </c>
      <c r="AG13" s="146">
        <f>B271</f>
        <v>200</v>
      </c>
      <c r="AH13" s="52" t="s">
        <v>48</v>
      </c>
      <c r="AI13" s="52" t="s">
        <v>54</v>
      </c>
      <c r="AJ13" s="136">
        <f>B4</f>
        <v>0.74199999999999999</v>
      </c>
      <c r="AL13" s="52" t="s">
        <v>54</v>
      </c>
      <c r="AM13" s="136">
        <f>B7</f>
        <v>0.65300000000000002</v>
      </c>
      <c r="AO13" s="52" t="s">
        <v>54</v>
      </c>
      <c r="AP13" s="136">
        <f>B11</f>
        <v>0.73599999999999999</v>
      </c>
      <c r="AR13" s="52" t="s">
        <v>54</v>
      </c>
      <c r="AS13" s="136">
        <f>B4</f>
        <v>0.74199999999999999</v>
      </c>
      <c r="AU13" s="52" t="s">
        <v>54</v>
      </c>
      <c r="AV13" s="136">
        <f>B7</f>
        <v>0.65300000000000002</v>
      </c>
      <c r="AX13" s="52" t="s">
        <v>54</v>
      </c>
      <c r="AY13" s="136">
        <f>B11</f>
        <v>0.73599999999999999</v>
      </c>
      <c r="BA13" s="52" t="s">
        <v>54</v>
      </c>
      <c r="BB13" s="136">
        <f>B4</f>
        <v>0.74199999999999999</v>
      </c>
      <c r="BD13" s="52" t="s">
        <v>54</v>
      </c>
      <c r="BE13" s="136">
        <f>B7</f>
        <v>0.65300000000000002</v>
      </c>
      <c r="BG13" s="52" t="s">
        <v>54</v>
      </c>
      <c r="BH13" s="136">
        <f>B11</f>
        <v>0.73599999999999999</v>
      </c>
      <c r="BJ13" s="52" t="s">
        <v>300</v>
      </c>
      <c r="BK13" s="136">
        <f>B3</f>
        <v>8.5099999999999995E-2</v>
      </c>
      <c r="BM13" s="52" t="s">
        <v>300</v>
      </c>
      <c r="BN13" s="136">
        <f>B6</f>
        <v>4.3299999999999998E-2</v>
      </c>
      <c r="BP13" s="52" t="s">
        <v>300</v>
      </c>
      <c r="BQ13" s="136">
        <f>B10</f>
        <v>7.2400000000000006E-2</v>
      </c>
      <c r="BS13" s="52" t="s">
        <v>431</v>
      </c>
      <c r="BT13" s="141">
        <f>B116</f>
        <v>5</v>
      </c>
      <c r="BU13" s="52" t="s">
        <v>194</v>
      </c>
      <c r="BV13" s="83" t="s">
        <v>440</v>
      </c>
      <c r="BW13" s="160">
        <f>((BW18*BW20*BW23*BW14*BW30)+(BW19*BW21*BW24*BW15*BW31))</f>
        <v>2750</v>
      </c>
      <c r="BX13" s="83" t="s">
        <v>345</v>
      </c>
      <c r="BY13" s="83" t="s">
        <v>260</v>
      </c>
      <c r="BZ13" s="143">
        <f>((BZ5/(BZ6*BZ16*(1/BZ33)))*BZ10)/BZ36</f>
        <v>225.30872573096772</v>
      </c>
      <c r="CA13" s="92" t="s">
        <v>290</v>
      </c>
      <c r="CB13" s="52" t="s">
        <v>90</v>
      </c>
      <c r="CC13" s="138">
        <f>B118</f>
        <v>5</v>
      </c>
      <c r="CD13" s="52" t="s">
        <v>194</v>
      </c>
      <c r="CE13" s="52" t="s">
        <v>90</v>
      </c>
      <c r="CF13" s="138">
        <f>B118</f>
        <v>5</v>
      </c>
      <c r="CG13" s="52" t="s">
        <v>194</v>
      </c>
      <c r="CH13" s="52" t="s">
        <v>90</v>
      </c>
      <c r="CI13" s="138">
        <f>B118</f>
        <v>5</v>
      </c>
      <c r="CJ13" s="52" t="s">
        <v>194</v>
      </c>
      <c r="CN13" s="84" t="s">
        <v>163</v>
      </c>
      <c r="CO13" s="162">
        <f>B132</f>
        <v>2</v>
      </c>
      <c r="CP13" s="52" t="s">
        <v>41</v>
      </c>
      <c r="CT13" s="91" t="s">
        <v>231</v>
      </c>
      <c r="CU13" s="136">
        <f>B30</f>
        <v>30.167100000000001</v>
      </c>
      <c r="CV13" s="52" t="s">
        <v>60</v>
      </c>
      <c r="CW13" s="83" t="s">
        <v>450</v>
      </c>
      <c r="CX13" s="141">
        <f>B145</f>
        <v>5</v>
      </c>
      <c r="CY13" s="92" t="s">
        <v>407</v>
      </c>
      <c r="CZ13" s="83" t="s">
        <v>260</v>
      </c>
      <c r="DA13" s="143">
        <f>(DA5/(DA6*DA24))/DA51</f>
        <v>3.8268944003122396</v>
      </c>
      <c r="DB13" s="83" t="s">
        <v>291</v>
      </c>
      <c r="DC13" s="83" t="s">
        <v>468</v>
      </c>
      <c r="DD13" s="146">
        <f>B148</f>
        <v>55</v>
      </c>
      <c r="DE13" s="92" t="s">
        <v>221</v>
      </c>
      <c r="DF13" s="92" t="s">
        <v>55</v>
      </c>
      <c r="DG13" s="138">
        <f>B192</f>
        <v>240</v>
      </c>
      <c r="DH13" s="52" t="s">
        <v>56</v>
      </c>
      <c r="DJ13" s="138"/>
      <c r="DL13" s="92"/>
      <c r="DO13" s="92" t="s">
        <v>55</v>
      </c>
      <c r="DP13" s="138">
        <f>B192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B204</f>
        <v>1</v>
      </c>
      <c r="EA13" s="83" t="s">
        <v>501</v>
      </c>
      <c r="EB13" s="138">
        <f>B204</f>
        <v>1</v>
      </c>
      <c r="EC13" s="84"/>
      <c r="ED13" s="83" t="s">
        <v>501</v>
      </c>
      <c r="EE13" s="138">
        <f>B204</f>
        <v>1</v>
      </c>
      <c r="EF13" s="84"/>
      <c r="EG13" s="83" t="s">
        <v>363</v>
      </c>
      <c r="EH13" s="150">
        <f>B168</f>
        <v>1</v>
      </c>
      <c r="EI13" s="84" t="s">
        <v>60</v>
      </c>
      <c r="EJ13" s="92"/>
      <c r="EM13" s="83" t="s">
        <v>497</v>
      </c>
      <c r="EN13" s="138">
        <f>B209</f>
        <v>1</v>
      </c>
      <c r="EP13" s="83" t="s">
        <v>497</v>
      </c>
      <c r="EQ13" s="138">
        <f>B209</f>
        <v>1</v>
      </c>
      <c r="ER13" s="84"/>
      <c r="ES13" s="83" t="s">
        <v>497</v>
      </c>
      <c r="ET13" s="138">
        <f>B209</f>
        <v>1</v>
      </c>
      <c r="EU13" s="84"/>
      <c r="EV13" s="83" t="s">
        <v>363</v>
      </c>
      <c r="EW13" s="150">
        <f>B168</f>
        <v>1</v>
      </c>
      <c r="EX13" s="84" t="s">
        <v>60</v>
      </c>
      <c r="EY13" s="83"/>
      <c r="EZ13" s="83"/>
      <c r="FA13" s="83"/>
      <c r="FB13" s="83" t="s">
        <v>154</v>
      </c>
      <c r="FC13" s="164">
        <f>B214</f>
        <v>1</v>
      </c>
      <c r="FD13" s="83"/>
      <c r="FE13" s="83" t="s">
        <v>154</v>
      </c>
      <c r="FF13" s="164">
        <f>B214</f>
        <v>1</v>
      </c>
      <c r="FG13" s="83"/>
      <c r="FH13" s="83" t="s">
        <v>154</v>
      </c>
      <c r="FI13" s="164">
        <f>B214</f>
        <v>1</v>
      </c>
      <c r="FJ13" s="84"/>
      <c r="FK13" s="83" t="s">
        <v>363</v>
      </c>
      <c r="FL13" s="141">
        <f>B168</f>
        <v>1</v>
      </c>
      <c r="FM13" s="92" t="s">
        <v>60</v>
      </c>
      <c r="FN13" s="83"/>
      <c r="FO13" s="83"/>
      <c r="FP13" s="83"/>
      <c r="FQ13" s="88"/>
      <c r="FR13" s="227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B168</f>
        <v>1</v>
      </c>
      <c r="GB13" s="92" t="s">
        <v>60</v>
      </c>
      <c r="GC13" s="83"/>
      <c r="GD13" s="83"/>
      <c r="GE13" s="83"/>
      <c r="GF13" s="83" t="s">
        <v>489</v>
      </c>
      <c r="GG13" s="142">
        <f>B219</f>
        <v>1</v>
      </c>
      <c r="GH13" s="83"/>
      <c r="GI13" s="83" t="s">
        <v>489</v>
      </c>
      <c r="GJ13" s="142">
        <f>B219</f>
        <v>1</v>
      </c>
      <c r="GK13" s="83"/>
      <c r="GL13" s="83" t="s">
        <v>489</v>
      </c>
      <c r="GM13" s="142">
        <f>B219</f>
        <v>1</v>
      </c>
      <c r="GN13" s="84"/>
      <c r="GO13" s="83" t="s">
        <v>363</v>
      </c>
      <c r="GP13" s="141">
        <f>B168</f>
        <v>1</v>
      </c>
      <c r="GQ13" s="92" t="s">
        <v>60</v>
      </c>
      <c r="GR13" s="83"/>
      <c r="GS13" s="83"/>
      <c r="GT13" s="83"/>
      <c r="GU13" s="83" t="s">
        <v>493</v>
      </c>
      <c r="GV13" s="142">
        <f>B224</f>
        <v>1</v>
      </c>
      <c r="GW13" s="83"/>
      <c r="GX13" s="83" t="s">
        <v>493</v>
      </c>
      <c r="GY13" s="142">
        <f>B224</f>
        <v>1</v>
      </c>
      <c r="GZ13" s="83"/>
      <c r="HA13" s="83" t="s">
        <v>493</v>
      </c>
      <c r="HB13" s="142">
        <f>B224</f>
        <v>1</v>
      </c>
      <c r="HC13" s="84"/>
      <c r="HD13" s="84" t="s">
        <v>59</v>
      </c>
      <c r="HE13" s="150">
        <f>B45</f>
        <v>10</v>
      </c>
    </row>
    <row r="14" spans="1:214" ht="13.5" thickTop="1" x14ac:dyDescent="0.2">
      <c r="A14" s="375" t="s">
        <v>233</v>
      </c>
      <c r="B14" s="376"/>
      <c r="C14" s="377"/>
      <c r="D14" s="83" t="s">
        <v>367</v>
      </c>
      <c r="E14" s="141">
        <f>B51</f>
        <v>10</v>
      </c>
      <c r="F14" s="92" t="s">
        <v>407</v>
      </c>
      <c r="G14" s="83" t="s">
        <v>264</v>
      </c>
      <c r="H14" s="145">
        <f>(H5/(H9*(H22+H25)*H41))/H70</f>
        <v>0.18264723274217506</v>
      </c>
      <c r="I14" s="92" t="s">
        <v>290</v>
      </c>
      <c r="J14" s="83" t="s">
        <v>260</v>
      </c>
      <c r="K14" s="143">
        <f>((K5/(K6*K19*(1/K46)))*K11)/K53</f>
        <v>82.613199434688156</v>
      </c>
      <c r="L14" s="92" t="s">
        <v>290</v>
      </c>
      <c r="M14" s="52" t="s">
        <v>408</v>
      </c>
      <c r="N14" s="150">
        <f>B88</f>
        <v>5</v>
      </c>
      <c r="O14" s="52" t="s">
        <v>194</v>
      </c>
      <c r="P14" s="52" t="s">
        <v>408</v>
      </c>
      <c r="Q14" s="150">
        <f>B88</f>
        <v>5</v>
      </c>
      <c r="R14" s="52" t="s">
        <v>194</v>
      </c>
      <c r="S14" s="52" t="s">
        <v>408</v>
      </c>
      <c r="T14" s="150">
        <f>B88</f>
        <v>5</v>
      </c>
      <c r="U14" s="52" t="s">
        <v>194</v>
      </c>
      <c r="V14" s="83" t="s">
        <v>256</v>
      </c>
      <c r="W14" s="136">
        <f>B27</f>
        <v>4763.3999999999996</v>
      </c>
      <c r="X14" s="83" t="s">
        <v>343</v>
      </c>
      <c r="Y14" s="83" t="s">
        <v>256</v>
      </c>
      <c r="Z14" s="136">
        <f>B27</f>
        <v>4763.3999999999996</v>
      </c>
      <c r="AA14" s="83" t="s">
        <v>343</v>
      </c>
      <c r="AB14" s="83" t="s">
        <v>300</v>
      </c>
      <c r="AC14" s="161">
        <f>B3</f>
        <v>8.5099999999999995E-2</v>
      </c>
      <c r="AD14" s="161">
        <f>B3</f>
        <v>8.5099999999999995E-2</v>
      </c>
      <c r="AE14" s="161">
        <f>B3</f>
        <v>8.5099999999999995E-2</v>
      </c>
      <c r="AF14" s="161">
        <f>B3</f>
        <v>8.5099999999999995E-2</v>
      </c>
      <c r="AG14" s="161">
        <f>B3</f>
        <v>8.5099999999999995E-2</v>
      </c>
      <c r="AH14" s="92"/>
      <c r="AI14" s="52" t="s">
        <v>57</v>
      </c>
      <c r="AJ14" s="136">
        <f>B242</f>
        <v>5</v>
      </c>
      <c r="AK14" s="52" t="s">
        <v>194</v>
      </c>
      <c r="AL14" s="52" t="s">
        <v>57</v>
      </c>
      <c r="AM14" s="136">
        <f>B242</f>
        <v>5</v>
      </c>
      <c r="AN14" s="52" t="s">
        <v>194</v>
      </c>
      <c r="AO14" s="52" t="s">
        <v>57</v>
      </c>
      <c r="AP14" s="136">
        <f>B242</f>
        <v>5</v>
      </c>
      <c r="AQ14" s="52" t="s">
        <v>194</v>
      </c>
      <c r="AR14" s="52" t="s">
        <v>57</v>
      </c>
      <c r="AS14" s="136">
        <f>B252</f>
        <v>5</v>
      </c>
      <c r="AT14" s="52" t="s">
        <v>194</v>
      </c>
      <c r="AU14" s="52" t="s">
        <v>57</v>
      </c>
      <c r="AV14" s="136">
        <f>B252</f>
        <v>5</v>
      </c>
      <c r="AW14" s="52" t="s">
        <v>194</v>
      </c>
      <c r="AX14" s="52" t="s">
        <v>57</v>
      </c>
      <c r="AY14" s="136">
        <f>B252</f>
        <v>5</v>
      </c>
      <c r="AZ14" s="52" t="s">
        <v>194</v>
      </c>
      <c r="BA14" s="52" t="s">
        <v>57</v>
      </c>
      <c r="BB14" s="136">
        <f>B232</f>
        <v>5</v>
      </c>
      <c r="BC14" s="52" t="s">
        <v>194</v>
      </c>
      <c r="BD14" s="52" t="s">
        <v>57</v>
      </c>
      <c r="BE14" s="136">
        <f>B232</f>
        <v>5</v>
      </c>
      <c r="BF14" s="52" t="s">
        <v>194</v>
      </c>
      <c r="BG14" s="52" t="s">
        <v>58</v>
      </c>
      <c r="BH14" s="136">
        <f>B232</f>
        <v>5</v>
      </c>
      <c r="BI14" s="52" t="s">
        <v>194</v>
      </c>
      <c r="BJ14" s="52" t="s">
        <v>413</v>
      </c>
      <c r="BK14" s="136">
        <f>B4</f>
        <v>0.74199999999999999</v>
      </c>
      <c r="BM14" s="52" t="s">
        <v>414</v>
      </c>
      <c r="BN14" s="136">
        <f>B7</f>
        <v>0.65300000000000002</v>
      </c>
      <c r="BP14" s="52" t="s">
        <v>416</v>
      </c>
      <c r="BQ14" s="136">
        <f>B11</f>
        <v>0.73599999999999999</v>
      </c>
      <c r="BS14" s="52" t="s">
        <v>432</v>
      </c>
      <c r="BT14" s="141">
        <f>B117</f>
        <v>5</v>
      </c>
      <c r="BU14" s="52" t="s">
        <v>194</v>
      </c>
      <c r="BV14" s="83" t="s">
        <v>439</v>
      </c>
      <c r="BW14" s="146">
        <f>B105</f>
        <v>2</v>
      </c>
      <c r="BX14" s="83" t="s">
        <v>357</v>
      </c>
      <c r="BY14" s="83" t="s">
        <v>261</v>
      </c>
      <c r="BZ14" s="144">
        <f>((BZ5/(BZ7*BZ17*(1/BZ9)*BZ32))*BZ10)/BZ36</f>
        <v>3254122.5839947099</v>
      </c>
      <c r="CA14" s="92" t="s">
        <v>290</v>
      </c>
      <c r="CB14" s="52" t="s">
        <v>412</v>
      </c>
      <c r="CC14" s="139">
        <f>B22</f>
        <v>3.19428</v>
      </c>
      <c r="CD14" s="84" t="s">
        <v>353</v>
      </c>
      <c r="CE14" s="52" t="s">
        <v>415</v>
      </c>
      <c r="CF14" s="139">
        <f>B24</f>
        <v>0.63512000000000002</v>
      </c>
      <c r="CG14" s="84" t="s">
        <v>353</v>
      </c>
      <c r="CH14" s="52" t="s">
        <v>417</v>
      </c>
      <c r="CI14" s="139">
        <f>B26</f>
        <v>2.8393600000000001</v>
      </c>
      <c r="CJ14" s="84" t="s">
        <v>353</v>
      </c>
      <c r="CK14" s="84"/>
      <c r="CL14" s="84"/>
      <c r="CM14" s="84"/>
      <c r="CN14" s="52" t="s">
        <v>95</v>
      </c>
      <c r="CO14" s="164">
        <f>B127</f>
        <v>1</v>
      </c>
      <c r="CQ14" s="84"/>
      <c r="CR14" s="84"/>
      <c r="CS14" s="84"/>
      <c r="CT14" s="83" t="s">
        <v>260</v>
      </c>
      <c r="CU14" s="143">
        <f>((CU5/(CU6*CU25*(1/CU46)))*CU11)/CU49</f>
        <v>88.360204612753449</v>
      </c>
      <c r="CV14" s="92" t="s">
        <v>290</v>
      </c>
      <c r="CW14" s="83" t="s">
        <v>459</v>
      </c>
      <c r="CX14" s="141">
        <f>B146</f>
        <v>10</v>
      </c>
      <c r="CY14" s="92" t="s">
        <v>407</v>
      </c>
      <c r="CZ14" s="83" t="s">
        <v>261</v>
      </c>
      <c r="DA14" s="144">
        <f>(DA5/(DA7*DA25*DA45))/DA51</f>
        <v>0.34592929569657527</v>
      </c>
      <c r="DB14" s="83" t="s">
        <v>291</v>
      </c>
      <c r="DC14" s="83" t="s">
        <v>465</v>
      </c>
      <c r="DD14" s="146">
        <f>B166</f>
        <v>150</v>
      </c>
      <c r="DE14" s="83" t="s">
        <v>24</v>
      </c>
      <c r="DF14" s="92" t="s">
        <v>393</v>
      </c>
      <c r="DG14" s="138">
        <f>B47</f>
        <v>0.26</v>
      </c>
      <c r="DJ14" s="138"/>
      <c r="DL14" s="92"/>
      <c r="DO14" s="92" t="s">
        <v>393</v>
      </c>
      <c r="DP14" s="138">
        <f>B47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B200</f>
        <v>1.03</v>
      </c>
      <c r="DZ14" s="52" t="s">
        <v>286</v>
      </c>
      <c r="EA14" s="52" t="s">
        <v>518</v>
      </c>
      <c r="EB14" s="146">
        <f>B200</f>
        <v>1.03</v>
      </c>
      <c r="EC14" s="52" t="s">
        <v>286</v>
      </c>
      <c r="ED14" s="92" t="s">
        <v>392</v>
      </c>
      <c r="EE14" s="163">
        <f>B48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B168</f>
        <v>1</v>
      </c>
      <c r="EP14" s="92"/>
      <c r="EQ14" s="163"/>
      <c r="ER14" s="84"/>
      <c r="ES14" s="92" t="s">
        <v>392</v>
      </c>
      <c r="ET14" s="163">
        <f>B48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B168</f>
        <v>1</v>
      </c>
      <c r="FE14" s="83"/>
      <c r="FF14" s="142"/>
      <c r="FG14" s="83"/>
      <c r="FH14" s="83" t="s">
        <v>392</v>
      </c>
      <c r="FI14" s="142">
        <f>B48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227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B168</f>
        <v>1</v>
      </c>
      <c r="GI14" s="83"/>
      <c r="GJ14" s="142"/>
      <c r="GK14" s="83"/>
      <c r="GL14" s="83" t="s">
        <v>392</v>
      </c>
      <c r="GM14" s="142">
        <f>B48</f>
        <v>0.25</v>
      </c>
      <c r="GN14" s="84"/>
      <c r="GO14" s="92" t="s">
        <v>484</v>
      </c>
      <c r="GP14" s="146">
        <f>B188</f>
        <v>1</v>
      </c>
      <c r="GR14" s="83"/>
      <c r="GS14" s="83"/>
      <c r="GT14" s="83"/>
      <c r="GU14" s="52" t="s">
        <v>350</v>
      </c>
      <c r="GV14" s="164">
        <f>B168</f>
        <v>1</v>
      </c>
      <c r="GX14" s="83"/>
      <c r="GY14" s="142"/>
      <c r="GZ14" s="83"/>
      <c r="HA14" s="83" t="s">
        <v>392</v>
      </c>
      <c r="HB14" s="142">
        <f>B48</f>
        <v>0.25</v>
      </c>
      <c r="HC14" s="84"/>
      <c r="HD14" s="52" t="s">
        <v>225</v>
      </c>
      <c r="HE14" s="138">
        <v>1</v>
      </c>
    </row>
    <row r="15" spans="1:214" x14ac:dyDescent="0.2">
      <c r="A15" s="375"/>
      <c r="B15" s="376"/>
      <c r="C15" s="377"/>
      <c r="D15" s="52" t="s">
        <v>384</v>
      </c>
      <c r="E15" s="138">
        <f>B71</f>
        <v>24</v>
      </c>
      <c r="F15" s="52" t="s">
        <v>194</v>
      </c>
      <c r="G15" s="83" t="s">
        <v>395</v>
      </c>
      <c r="H15" s="147">
        <f>(H29*H17*H68)+(H30*H18*H69)</f>
        <v>181.875</v>
      </c>
      <c r="I15" s="83" t="s">
        <v>345</v>
      </c>
      <c r="J15" s="83" t="s">
        <v>261</v>
      </c>
      <c r="K15" s="144">
        <f>((K5/(K7*K20*(1/K10)*K45))*K11)/K53</f>
        <v>248578.80849959585</v>
      </c>
      <c r="L15" s="92" t="s">
        <v>290</v>
      </c>
      <c r="M15" s="52" t="s">
        <v>412</v>
      </c>
      <c r="N15" s="139">
        <f>B22</f>
        <v>3.19428</v>
      </c>
      <c r="O15" s="84" t="s">
        <v>353</v>
      </c>
      <c r="P15" s="52" t="s">
        <v>415</v>
      </c>
      <c r="Q15" s="139">
        <f>B24</f>
        <v>0.63512000000000002</v>
      </c>
      <c r="R15" s="84" t="s">
        <v>353</v>
      </c>
      <c r="S15" s="52" t="s">
        <v>417</v>
      </c>
      <c r="T15" s="139">
        <f>B26</f>
        <v>2.8393600000000001</v>
      </c>
      <c r="U15" s="84" t="s">
        <v>353</v>
      </c>
      <c r="V15" s="83" t="s">
        <v>301</v>
      </c>
      <c r="W15" s="142">
        <f>B250</f>
        <v>2</v>
      </c>
      <c r="Y15" s="83" t="s">
        <v>301</v>
      </c>
      <c r="Z15" s="142">
        <f>B230</f>
        <v>2</v>
      </c>
      <c r="AB15" s="83" t="s">
        <v>232</v>
      </c>
      <c r="AC15" s="141">
        <f>B226</f>
        <v>50</v>
      </c>
      <c r="AD15" s="141">
        <f>B236</f>
        <v>50</v>
      </c>
      <c r="AE15" s="141">
        <f>B246</f>
        <v>50</v>
      </c>
      <c r="AF15" s="141">
        <f>B256</f>
        <v>50</v>
      </c>
      <c r="AG15" s="141">
        <f>B268</f>
        <v>50</v>
      </c>
      <c r="AH15" s="92" t="s">
        <v>407</v>
      </c>
      <c r="AI15" s="52" t="s">
        <v>412</v>
      </c>
      <c r="AJ15" s="139">
        <f>B22</f>
        <v>3.19428</v>
      </c>
      <c r="AK15" s="84" t="s">
        <v>353</v>
      </c>
      <c r="AL15" s="52" t="s">
        <v>415</v>
      </c>
      <c r="AM15" s="139">
        <f>B24</f>
        <v>0.63512000000000002</v>
      </c>
      <c r="AN15" s="84" t="s">
        <v>353</v>
      </c>
      <c r="AO15" s="52" t="s">
        <v>417</v>
      </c>
      <c r="AP15" s="139">
        <f>B26</f>
        <v>2.8393600000000001</v>
      </c>
      <c r="AQ15" s="84" t="s">
        <v>353</v>
      </c>
      <c r="AR15" s="52" t="s">
        <v>412</v>
      </c>
      <c r="AS15" s="139">
        <f>B22</f>
        <v>3.19428</v>
      </c>
      <c r="AT15" s="84" t="s">
        <v>353</v>
      </c>
      <c r="AU15" s="52" t="s">
        <v>415</v>
      </c>
      <c r="AV15" s="139">
        <f>B24</f>
        <v>0.63512000000000002</v>
      </c>
      <c r="AW15" s="84" t="s">
        <v>353</v>
      </c>
      <c r="AX15" s="52" t="s">
        <v>417</v>
      </c>
      <c r="AY15" s="139">
        <f>B26</f>
        <v>2.8393600000000001</v>
      </c>
      <c r="AZ15" s="84" t="s">
        <v>353</v>
      </c>
      <c r="BA15" s="52" t="s">
        <v>412</v>
      </c>
      <c r="BB15" s="139">
        <f>B22</f>
        <v>3.19428</v>
      </c>
      <c r="BC15" s="84" t="s">
        <v>353</v>
      </c>
      <c r="BD15" s="52" t="s">
        <v>415</v>
      </c>
      <c r="BE15" s="139">
        <f>B24</f>
        <v>0.63512000000000002</v>
      </c>
      <c r="BF15" s="84" t="s">
        <v>353</v>
      </c>
      <c r="BG15" s="52" t="s">
        <v>417</v>
      </c>
      <c r="BH15" s="139">
        <f>B26</f>
        <v>2.8393600000000001</v>
      </c>
      <c r="BI15" s="84" t="s">
        <v>353</v>
      </c>
      <c r="BJ15" s="52" t="s">
        <v>57</v>
      </c>
      <c r="BK15" s="136">
        <f>B262</f>
        <v>5</v>
      </c>
      <c r="BL15" s="52" t="s">
        <v>194</v>
      </c>
      <c r="BM15" s="52" t="s">
        <v>57</v>
      </c>
      <c r="BN15" s="136">
        <f>B262</f>
        <v>5</v>
      </c>
      <c r="BO15" s="52" t="s">
        <v>194</v>
      </c>
      <c r="BP15" s="52" t="s">
        <v>57</v>
      </c>
      <c r="BQ15" s="136">
        <f>B262</f>
        <v>5</v>
      </c>
      <c r="BR15" s="52" t="s">
        <v>194</v>
      </c>
      <c r="BS15" s="52" t="s">
        <v>90</v>
      </c>
      <c r="BT15" s="138">
        <f>B118</f>
        <v>5</v>
      </c>
      <c r="BU15" s="52" t="s">
        <v>194</v>
      </c>
      <c r="BV15" s="83" t="s">
        <v>438</v>
      </c>
      <c r="BW15" s="146">
        <f>B106</f>
        <v>2</v>
      </c>
      <c r="BX15" s="83" t="s">
        <v>357</v>
      </c>
      <c r="BY15" s="83" t="s">
        <v>262</v>
      </c>
      <c r="BZ15" s="145">
        <f>(((BZ5)/(BZ8*BZ22*(1/BZ31)*BZ25*(1/24)*BZ28*BZ29))*BZ10)/BZ36</f>
        <v>5.9107889917611534</v>
      </c>
      <c r="CA15" s="92" t="s">
        <v>290</v>
      </c>
      <c r="CB15" s="95" t="s">
        <v>287</v>
      </c>
      <c r="CC15" s="176">
        <v>27.027027027027</v>
      </c>
      <c r="CD15" s="52" t="s">
        <v>288</v>
      </c>
      <c r="CE15" s="95" t="s">
        <v>287</v>
      </c>
      <c r="CF15" s="176">
        <v>27.027027027027</v>
      </c>
      <c r="CG15" s="52" t="s">
        <v>288</v>
      </c>
      <c r="CH15" s="95" t="s">
        <v>287</v>
      </c>
      <c r="CI15" s="176">
        <v>27.027027027027</v>
      </c>
      <c r="CJ15" s="52" t="s">
        <v>288</v>
      </c>
      <c r="CN15" s="83" t="s">
        <v>22</v>
      </c>
      <c r="CO15" s="137">
        <f>0.693/CO16</f>
        <v>2.2972045705420805E-2</v>
      </c>
      <c r="CT15" s="83" t="s">
        <v>261</v>
      </c>
      <c r="CU15" s="144">
        <f>((CU5/(CU7*CU26*(1/CU10)*CU45))*CU11)/CU49</f>
        <v>237829.45461853227</v>
      </c>
      <c r="CV15" s="92" t="s">
        <v>290</v>
      </c>
      <c r="CW15" s="52" t="s">
        <v>365</v>
      </c>
      <c r="CX15" s="138">
        <f>B170</f>
        <v>24</v>
      </c>
      <c r="CY15" s="52" t="s">
        <v>194</v>
      </c>
      <c r="CZ15" s="83" t="s">
        <v>266</v>
      </c>
      <c r="DA15" s="153">
        <f>(DA5/(DA8*DA26*(DA46/DA47)))/DA51</f>
        <v>5.5246211768690857E-2</v>
      </c>
      <c r="DB15" s="83" t="s">
        <v>291</v>
      </c>
      <c r="DC15" s="83" t="s">
        <v>456</v>
      </c>
      <c r="DD15" s="146">
        <f>B165</f>
        <v>150</v>
      </c>
      <c r="DE15" s="83" t="s">
        <v>24</v>
      </c>
      <c r="DF15" s="92" t="s">
        <v>61</v>
      </c>
      <c r="DG15" s="138">
        <f>B193</f>
        <v>0.42</v>
      </c>
      <c r="DH15" s="52" t="s">
        <v>41</v>
      </c>
      <c r="DL15" s="92"/>
      <c r="DO15" s="92" t="s">
        <v>61</v>
      </c>
      <c r="DP15" s="138">
        <f>B193</f>
        <v>0.42</v>
      </c>
      <c r="DQ15" s="52" t="s">
        <v>41</v>
      </c>
      <c r="DR15" s="92" t="s">
        <v>479</v>
      </c>
      <c r="DS15" s="146">
        <f>B183</f>
        <v>1</v>
      </c>
      <c r="DU15" s="92"/>
      <c r="DX15" s="52" t="s">
        <v>350</v>
      </c>
      <c r="DY15" s="164">
        <f>B168</f>
        <v>1</v>
      </c>
      <c r="EA15" s="92"/>
      <c r="EB15" s="84"/>
      <c r="EC15" s="84"/>
      <c r="ED15" s="83" t="s">
        <v>27</v>
      </c>
      <c r="EE15" s="142">
        <f>B199</f>
        <v>92</v>
      </c>
      <c r="EF15" s="83" t="s">
        <v>28</v>
      </c>
      <c r="EG15" s="92" t="s">
        <v>480</v>
      </c>
      <c r="EH15" s="146">
        <f>B184</f>
        <v>1</v>
      </c>
      <c r="EJ15" s="92"/>
      <c r="EM15" s="83" t="s">
        <v>22</v>
      </c>
      <c r="EN15" s="137">
        <f>0.693/EN16</f>
        <v>2.2972045705420805E-2</v>
      </c>
      <c r="EP15" s="92"/>
      <c r="EQ15" s="84"/>
      <c r="ER15" s="84"/>
      <c r="ES15" s="83" t="s">
        <v>29</v>
      </c>
      <c r="ET15" s="142">
        <f>B205</f>
        <v>53</v>
      </c>
      <c r="EU15" s="83" t="s">
        <v>28</v>
      </c>
      <c r="EV15" s="92" t="s">
        <v>481</v>
      </c>
      <c r="EW15" s="146">
        <f>B185</f>
        <v>1</v>
      </c>
      <c r="EY15" s="83"/>
      <c r="EZ15" s="83"/>
      <c r="FA15" s="83"/>
      <c r="FB15" s="83" t="s">
        <v>22</v>
      </c>
      <c r="FC15" s="137">
        <f>0.693/FC16</f>
        <v>2.2972045705420805E-2</v>
      </c>
      <c r="FE15" s="83"/>
      <c r="FF15" s="83"/>
      <c r="FG15" s="83"/>
      <c r="FH15" s="83" t="s">
        <v>148</v>
      </c>
      <c r="FI15" s="164">
        <f>B210</f>
        <v>0.4</v>
      </c>
      <c r="FJ15" s="83" t="s">
        <v>28</v>
      </c>
      <c r="FK15" s="92" t="s">
        <v>482</v>
      </c>
      <c r="FL15" s="146">
        <f>B186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B187</f>
        <v>1</v>
      </c>
      <c r="GC15" s="83"/>
      <c r="GD15" s="83"/>
      <c r="GE15" s="83"/>
      <c r="GF15" s="83" t="s">
        <v>22</v>
      </c>
      <c r="GG15" s="137">
        <f>0.693/GG16</f>
        <v>2.2972045705420805E-2</v>
      </c>
      <c r="GI15" s="83"/>
      <c r="GJ15" s="83"/>
      <c r="GK15" s="83"/>
      <c r="GL15" s="83" t="s">
        <v>149</v>
      </c>
      <c r="GM15" s="164">
        <f>B215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2.2972045705420805E-2</v>
      </c>
      <c r="GX15" s="83"/>
      <c r="GY15" s="83"/>
      <c r="GZ15" s="83"/>
      <c r="HA15" s="83" t="s">
        <v>150</v>
      </c>
      <c r="HB15" s="142">
        <f>B220</f>
        <v>11.4</v>
      </c>
      <c r="HC15" s="83" t="s">
        <v>28</v>
      </c>
      <c r="HD15" s="84"/>
      <c r="HE15" s="138"/>
    </row>
    <row r="16" spans="1:214" s="83" customFormat="1" ht="13.5" thickBot="1" x14ac:dyDescent="0.25">
      <c r="A16" s="378"/>
      <c r="B16" s="379"/>
      <c r="C16" s="380"/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1327.5</v>
      </c>
      <c r="I16" s="83" t="s">
        <v>426</v>
      </c>
      <c r="J16" s="83" t="s">
        <v>262</v>
      </c>
      <c r="K16" s="144">
        <f>((K5/(K8*K42*((K37*K41*(1/K35))+(K38*K40*(1/K35)))*K32*(1/K44)*K33))*K11)/K53</f>
        <v>8.8454423851575717E-2</v>
      </c>
      <c r="L16" s="92" t="s">
        <v>290</v>
      </c>
      <c r="M16" s="52" t="s">
        <v>409</v>
      </c>
      <c r="N16" s="150">
        <f>B89</f>
        <v>25</v>
      </c>
      <c r="O16" s="52" t="s">
        <v>194</v>
      </c>
      <c r="P16" s="52" t="s">
        <v>409</v>
      </c>
      <c r="Q16" s="150">
        <f>B89</f>
        <v>25</v>
      </c>
      <c r="R16" s="52" t="s">
        <v>194</v>
      </c>
      <c r="S16" s="52" t="s">
        <v>409</v>
      </c>
      <c r="T16" s="150">
        <f>B89</f>
        <v>25</v>
      </c>
      <c r="U16" s="52" t="s">
        <v>194</v>
      </c>
      <c r="V16" s="52" t="s">
        <v>261</v>
      </c>
      <c r="W16" s="143">
        <f>((W5)/((W12/24)*W9*W10*W11*W13))/W20</f>
        <v>0.18431112874713529</v>
      </c>
      <c r="X16" s="52" t="s">
        <v>15</v>
      </c>
      <c r="Y16" s="52" t="s">
        <v>261</v>
      </c>
      <c r="Z16" s="143">
        <f>((Z5)/((Z12/24)*Z9*Z10*Z11*Z13))/Z20</f>
        <v>0.18431112874713529</v>
      </c>
      <c r="AA16" s="52" t="s">
        <v>15</v>
      </c>
      <c r="AB16" s="83" t="s">
        <v>299</v>
      </c>
      <c r="AC16" s="141">
        <f>B231</f>
        <v>1</v>
      </c>
      <c r="AD16" s="141">
        <f>B241</f>
        <v>1</v>
      </c>
      <c r="AE16" s="141">
        <f>B251</f>
        <v>1</v>
      </c>
      <c r="AF16" s="141">
        <f>B261</f>
        <v>1</v>
      </c>
      <c r="AG16" s="141">
        <f>B272</f>
        <v>1</v>
      </c>
      <c r="AH16" s="92"/>
      <c r="AI16" s="52" t="s">
        <v>69</v>
      </c>
      <c r="AJ16" s="136">
        <f>B243</f>
        <v>5</v>
      </c>
      <c r="AK16" s="52" t="s">
        <v>194</v>
      </c>
      <c r="AL16" s="52" t="s">
        <v>69</v>
      </c>
      <c r="AM16" s="136">
        <f>B243</f>
        <v>5</v>
      </c>
      <c r="AN16" s="52" t="s">
        <v>194</v>
      </c>
      <c r="AO16" s="52" t="s">
        <v>69</v>
      </c>
      <c r="AP16" s="136">
        <f>B243</f>
        <v>5</v>
      </c>
      <c r="AQ16" s="52" t="s">
        <v>194</v>
      </c>
      <c r="AR16" s="52" t="s">
        <v>69</v>
      </c>
      <c r="AS16" s="136">
        <f>B253</f>
        <v>5</v>
      </c>
      <c r="AT16" s="52" t="s">
        <v>194</v>
      </c>
      <c r="AU16" s="52" t="s">
        <v>69</v>
      </c>
      <c r="AV16" s="136">
        <f>B253</f>
        <v>5</v>
      </c>
      <c r="AW16" s="52" t="s">
        <v>194</v>
      </c>
      <c r="AX16" s="52" t="s">
        <v>69</v>
      </c>
      <c r="AY16" s="136">
        <f>B253</f>
        <v>5</v>
      </c>
      <c r="AZ16" s="52" t="s">
        <v>194</v>
      </c>
      <c r="BA16" s="52" t="s">
        <v>69</v>
      </c>
      <c r="BB16" s="136">
        <f>B233</f>
        <v>5</v>
      </c>
      <c r="BC16" s="52" t="s">
        <v>194</v>
      </c>
      <c r="BD16" s="52" t="s">
        <v>69</v>
      </c>
      <c r="BE16" s="136">
        <f>B233</f>
        <v>5</v>
      </c>
      <c r="BF16" s="52" t="s">
        <v>194</v>
      </c>
      <c r="BG16" s="52" t="s">
        <v>69</v>
      </c>
      <c r="BH16" s="136">
        <f>B233</f>
        <v>5</v>
      </c>
      <c r="BI16" s="52" t="s">
        <v>194</v>
      </c>
      <c r="BJ16" s="52" t="s">
        <v>412</v>
      </c>
      <c r="BK16" s="139">
        <f>B22</f>
        <v>3.19428</v>
      </c>
      <c r="BL16" s="84" t="s">
        <v>353</v>
      </c>
      <c r="BM16" s="52" t="s">
        <v>415</v>
      </c>
      <c r="BN16" s="139">
        <f>B24</f>
        <v>0.63512000000000002</v>
      </c>
      <c r="BO16" s="84" t="s">
        <v>353</v>
      </c>
      <c r="BP16" s="52" t="s">
        <v>417</v>
      </c>
      <c r="BQ16" s="139">
        <f>B26</f>
        <v>2.8393600000000001</v>
      </c>
      <c r="BR16" s="84" t="s">
        <v>353</v>
      </c>
      <c r="BS16" s="83" t="s">
        <v>256</v>
      </c>
      <c r="BT16" s="136">
        <f>E17</f>
        <v>4763.3999999999996</v>
      </c>
      <c r="BU16" s="83" t="s">
        <v>343</v>
      </c>
      <c r="BV16" s="83" t="s">
        <v>437</v>
      </c>
      <c r="BW16" s="140">
        <f>((BW18*BW20*BW23*BW30)+(BW19*BW21*BW24*BW31))</f>
        <v>1375</v>
      </c>
      <c r="BX16" s="83" t="s">
        <v>356</v>
      </c>
      <c r="BY16" s="83" t="s">
        <v>46</v>
      </c>
      <c r="BZ16" s="149">
        <f>(BZ18*BZ22*BZ34)+(BZ19*BZ23*BZ35)</f>
        <v>3382.5</v>
      </c>
      <c r="CA16" s="83" t="s">
        <v>346</v>
      </c>
      <c r="CN16" s="91" t="s">
        <v>231</v>
      </c>
      <c r="CO16" s="136">
        <f>B30</f>
        <v>30.167100000000001</v>
      </c>
      <c r="CP16" s="52" t="s">
        <v>60</v>
      </c>
      <c r="CT16" s="83" t="s">
        <v>262</v>
      </c>
      <c r="CU16" s="144">
        <f>((CU5/(CU8*CU42*((CU37*CU41*(1/24))+(CU38*CU40*(1/24)))*CU32*(1/CU44)))*CU11)/CU49</f>
        <v>0.14692608872215446</v>
      </c>
      <c r="CV16" s="92" t="s">
        <v>290</v>
      </c>
      <c r="CW16" s="52" t="s">
        <v>364</v>
      </c>
      <c r="CX16" s="138">
        <f>B169</f>
        <v>24</v>
      </c>
      <c r="CY16" s="52" t="s">
        <v>194</v>
      </c>
      <c r="CZ16" s="83" t="s">
        <v>512</v>
      </c>
      <c r="DA16" s="153">
        <f>DG2</f>
        <v>4.1023257134524194</v>
      </c>
      <c r="DB16" s="83" t="s">
        <v>291</v>
      </c>
      <c r="DC16" s="83" t="s">
        <v>363</v>
      </c>
      <c r="DD16" s="146">
        <f>B168</f>
        <v>1</v>
      </c>
      <c r="DE16" s="83" t="s">
        <v>60</v>
      </c>
      <c r="DF16" s="92" t="s">
        <v>63</v>
      </c>
      <c r="DG16" s="151">
        <f>DG20+(0.693/DG22)</f>
        <v>4.9562937111521696E-2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2.2972045705420805E-2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B30</f>
        <v>30.167100000000001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B30</f>
        <v>30.167100000000001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B30</f>
        <v>30.167100000000001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B163</f>
        <v>0.15</v>
      </c>
      <c r="GQ16" s="52"/>
      <c r="GU16" s="91" t="s">
        <v>231</v>
      </c>
      <c r="GV16" s="136">
        <f>B30</f>
        <v>30.167100000000001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  <c r="HE16" s="142"/>
    </row>
    <row r="17" spans="1:214" ht="14.25" thickTop="1" thickBot="1" x14ac:dyDescent="0.25">
      <c r="A17" s="52" t="s">
        <v>267</v>
      </c>
      <c r="B17" s="129">
        <v>1</v>
      </c>
      <c r="C17" s="52" t="s">
        <v>344</v>
      </c>
      <c r="D17" s="83" t="s">
        <v>256</v>
      </c>
      <c r="E17" s="136">
        <f>B27</f>
        <v>4763.3999999999996</v>
      </c>
      <c r="F17" s="83" t="s">
        <v>343</v>
      </c>
      <c r="G17" s="83" t="s">
        <v>370</v>
      </c>
      <c r="H17" s="146">
        <f>B54</f>
        <v>0.25</v>
      </c>
      <c r="I17" s="52" t="s">
        <v>28</v>
      </c>
      <c r="J17" s="83" t="s">
        <v>263</v>
      </c>
      <c r="K17" s="153">
        <f>((K18/(K47+K48))*K11)/K53</f>
        <v>2.396615622016467E-2</v>
      </c>
      <c r="L17" s="92" t="s">
        <v>290</v>
      </c>
      <c r="M17" s="95" t="s">
        <v>287</v>
      </c>
      <c r="N17" s="176">
        <v>27.027027027027</v>
      </c>
      <c r="O17" s="52" t="s">
        <v>288</v>
      </c>
      <c r="P17" s="95" t="s">
        <v>287</v>
      </c>
      <c r="Q17" s="176">
        <v>27.027027027027</v>
      </c>
      <c r="R17" s="52" t="s">
        <v>288</v>
      </c>
      <c r="S17" s="95" t="s">
        <v>287</v>
      </c>
      <c r="T17" s="176">
        <v>27.027027027027</v>
      </c>
      <c r="U17" s="52" t="s">
        <v>288</v>
      </c>
      <c r="V17" s="52" t="s">
        <v>271</v>
      </c>
      <c r="W17" s="144">
        <f>((W5)/((W12/24)*W9*W14*(1/365)))/W20</f>
        <v>1.0887013477767991E-4</v>
      </c>
      <c r="X17" s="52" t="s">
        <v>15</v>
      </c>
      <c r="Y17" s="52" t="s">
        <v>271</v>
      </c>
      <c r="Z17" s="144">
        <f>((Z5)/((Z12/24)*Z9*Z14*(1/365)))/Z20</f>
        <v>1.0887013477767991E-4</v>
      </c>
      <c r="AA17" s="52" t="s">
        <v>15</v>
      </c>
      <c r="AB17" s="83" t="s">
        <v>413</v>
      </c>
      <c r="AC17" s="161">
        <f>B4</f>
        <v>0.74199999999999999</v>
      </c>
      <c r="AD17" s="161">
        <f>B4</f>
        <v>0.74199999999999999</v>
      </c>
      <c r="AE17" s="161">
        <f>B4</f>
        <v>0.74199999999999999</v>
      </c>
      <c r="AF17" s="161">
        <f>B4</f>
        <v>0.74199999999999999</v>
      </c>
      <c r="AG17" s="161">
        <f>B4</f>
        <v>0.74199999999999999</v>
      </c>
      <c r="AH17" s="92"/>
      <c r="AI17" s="95" t="s">
        <v>287</v>
      </c>
      <c r="AJ17" s="176">
        <v>27.027027027027</v>
      </c>
      <c r="AK17" s="52" t="s">
        <v>288</v>
      </c>
      <c r="AL17" s="95" t="s">
        <v>287</v>
      </c>
      <c r="AM17" s="176">
        <v>27.027027027027</v>
      </c>
      <c r="AN17" s="52" t="s">
        <v>288</v>
      </c>
      <c r="AO17" s="95" t="s">
        <v>287</v>
      </c>
      <c r="AP17" s="176">
        <v>27.027027027027</v>
      </c>
      <c r="AQ17" s="52" t="s">
        <v>288</v>
      </c>
      <c r="AR17" s="95" t="s">
        <v>287</v>
      </c>
      <c r="AS17" s="176">
        <v>27.027027027027</v>
      </c>
      <c r="AT17" s="52" t="s">
        <v>288</v>
      </c>
      <c r="AU17" s="95" t="s">
        <v>287</v>
      </c>
      <c r="AV17" s="176">
        <v>27.027027027027</v>
      </c>
      <c r="AW17" s="52" t="s">
        <v>288</v>
      </c>
      <c r="AX17" s="95" t="s">
        <v>287</v>
      </c>
      <c r="AY17" s="176">
        <v>27.027027027027</v>
      </c>
      <c r="AZ17" s="52" t="s">
        <v>288</v>
      </c>
      <c r="BA17" s="95" t="s">
        <v>287</v>
      </c>
      <c r="BB17" s="176">
        <v>27.027027027027</v>
      </c>
      <c r="BC17" s="52" t="s">
        <v>288</v>
      </c>
      <c r="BD17" s="95" t="s">
        <v>287</v>
      </c>
      <c r="BE17" s="176">
        <v>27.027027027027</v>
      </c>
      <c r="BF17" s="52" t="s">
        <v>288</v>
      </c>
      <c r="BG17" s="95" t="s">
        <v>287</v>
      </c>
      <c r="BH17" s="176">
        <v>27.027027027027</v>
      </c>
      <c r="BI17" s="52" t="s">
        <v>288</v>
      </c>
      <c r="BJ17" s="95" t="s">
        <v>287</v>
      </c>
      <c r="BK17" s="176">
        <v>27.027027027027</v>
      </c>
      <c r="BL17" s="52" t="s">
        <v>288</v>
      </c>
      <c r="BM17" s="95" t="s">
        <v>287</v>
      </c>
      <c r="BN17" s="176">
        <v>27.027027027027</v>
      </c>
      <c r="BO17" s="52" t="s">
        <v>288</v>
      </c>
      <c r="BP17" s="95" t="s">
        <v>287</v>
      </c>
      <c r="BQ17" s="176">
        <v>27.027027027027</v>
      </c>
      <c r="BR17" s="52" t="s">
        <v>288</v>
      </c>
      <c r="BS17" s="83" t="s">
        <v>301</v>
      </c>
      <c r="BT17" s="142">
        <f>B121</f>
        <v>2</v>
      </c>
      <c r="BV17" s="83" t="s">
        <v>65</v>
      </c>
      <c r="BW17" s="141">
        <f>B126</f>
        <v>0.5</v>
      </c>
      <c r="BX17" s="52" t="s">
        <v>66</v>
      </c>
      <c r="BY17" s="83" t="s">
        <v>43</v>
      </c>
      <c r="BZ17" s="149">
        <f>(BZ24*BZ20*(BZ26/24)*BZ34)+(BZ23*BZ21*(BZ27/24)*BZ35)</f>
        <v>101.40625</v>
      </c>
      <c r="CA17" s="52" t="s">
        <v>426</v>
      </c>
      <c r="CN17" s="84" t="s">
        <v>16</v>
      </c>
      <c r="CO17" s="137">
        <f>(CO14*CO15)/(1-EXP(-CO15*CO14))</f>
        <v>1.0115299987062558</v>
      </c>
      <c r="CT17" s="83" t="s">
        <v>263</v>
      </c>
      <c r="CU17" s="153">
        <f>DJ2</f>
        <v>0.16193348797408544</v>
      </c>
      <c r="CV17" s="92" t="s">
        <v>290</v>
      </c>
      <c r="CW17" s="83" t="s">
        <v>256</v>
      </c>
      <c r="CX17" s="136">
        <f>B27</f>
        <v>4763.3999999999996</v>
      </c>
      <c r="CY17" s="83" t="s">
        <v>343</v>
      </c>
      <c r="CZ17" s="83" t="s">
        <v>511</v>
      </c>
      <c r="DA17" s="153">
        <f>DD2</f>
        <v>4.5661808185543766E-2</v>
      </c>
      <c r="DB17" s="83" t="s">
        <v>290</v>
      </c>
      <c r="DC17" s="93"/>
      <c r="DD17" s="136">
        <v>9.9999999999999995E-7</v>
      </c>
      <c r="DE17" s="88"/>
      <c r="DF17" s="92" t="s">
        <v>67</v>
      </c>
      <c r="DG17" s="142">
        <f>B194</f>
        <v>60</v>
      </c>
      <c r="DH17" s="83" t="s">
        <v>53</v>
      </c>
      <c r="DL17" s="92"/>
      <c r="DM17" s="83"/>
      <c r="DN17" s="83"/>
      <c r="DO17" s="92" t="s">
        <v>67</v>
      </c>
      <c r="DP17" s="142">
        <f>B194</f>
        <v>60</v>
      </c>
      <c r="DQ17" s="83" t="s">
        <v>53</v>
      </c>
      <c r="DR17" s="83" t="s">
        <v>475</v>
      </c>
      <c r="DS17" s="146">
        <f>B163</f>
        <v>0.15</v>
      </c>
      <c r="DU17" s="92"/>
      <c r="DV17" s="87"/>
      <c r="DW17" s="83"/>
      <c r="DX17" s="91" t="s">
        <v>231</v>
      </c>
      <c r="DY17" s="136">
        <f>B30</f>
        <v>30.167100000000001</v>
      </c>
      <c r="DZ17" s="52" t="s">
        <v>60</v>
      </c>
      <c r="EA17" s="92"/>
      <c r="EB17" s="83"/>
      <c r="EC17" s="83"/>
      <c r="ED17" s="92" t="s">
        <v>67</v>
      </c>
      <c r="EE17" s="142">
        <f>B194</f>
        <v>60</v>
      </c>
      <c r="EF17" s="83" t="s">
        <v>53</v>
      </c>
      <c r="EG17" s="83" t="s">
        <v>475</v>
      </c>
      <c r="EH17" s="146">
        <f>B163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1.0115299987062558</v>
      </c>
      <c r="EP17" s="92"/>
      <c r="EQ17" s="83"/>
      <c r="ER17" s="83"/>
      <c r="ES17" s="92" t="s">
        <v>67</v>
      </c>
      <c r="ET17" s="142">
        <f>B194</f>
        <v>60</v>
      </c>
      <c r="EU17" s="83" t="s">
        <v>53</v>
      </c>
      <c r="EV17" s="83" t="s">
        <v>475</v>
      </c>
      <c r="EW17" s="141">
        <f>B163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1.0115299987062558</v>
      </c>
      <c r="FE17" s="83"/>
      <c r="FF17" s="83"/>
      <c r="FG17" s="83"/>
      <c r="FH17" s="83" t="s">
        <v>67</v>
      </c>
      <c r="FI17" s="142">
        <f>B194</f>
        <v>60</v>
      </c>
      <c r="FJ17" s="83" t="s">
        <v>53</v>
      </c>
      <c r="FK17" s="83" t="s">
        <v>475</v>
      </c>
      <c r="FL17" s="141">
        <f>B163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B163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1.0115299987062558</v>
      </c>
      <c r="GI17" s="83"/>
      <c r="GJ17" s="83"/>
      <c r="GK17" s="83"/>
      <c r="GL17" s="83" t="s">
        <v>67</v>
      </c>
      <c r="GM17" s="142">
        <f>B194</f>
        <v>60</v>
      </c>
      <c r="GN17" s="83" t="s">
        <v>53</v>
      </c>
      <c r="GO17" s="83" t="s">
        <v>476</v>
      </c>
      <c r="GP17" s="141">
        <f>B164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1.0115299987062558</v>
      </c>
      <c r="GX17" s="83"/>
      <c r="GY17" s="83"/>
      <c r="GZ17" s="83"/>
      <c r="HA17" s="83" t="s">
        <v>67</v>
      </c>
      <c r="HB17" s="142">
        <f>B194</f>
        <v>60</v>
      </c>
      <c r="HC17" s="83" t="s">
        <v>53</v>
      </c>
      <c r="HD17" s="84"/>
      <c r="HE17" s="163"/>
    </row>
    <row r="18" spans="1:214" ht="19.5" thickTop="1" thickBot="1" x14ac:dyDescent="0.25">
      <c r="A18" s="83" t="s">
        <v>247</v>
      </c>
      <c r="B18" s="180">
        <v>1.5417408700798101E-4</v>
      </c>
      <c r="C18" s="84" t="s">
        <v>259</v>
      </c>
      <c r="D18" s="83" t="s">
        <v>301</v>
      </c>
      <c r="E18" s="142">
        <f>B72</f>
        <v>2</v>
      </c>
      <c r="G18" s="83" t="s">
        <v>371</v>
      </c>
      <c r="H18" s="146">
        <f>B55</f>
        <v>1.5</v>
      </c>
      <c r="I18" s="52" t="s">
        <v>28</v>
      </c>
      <c r="J18" s="83" t="s">
        <v>264</v>
      </c>
      <c r="K18" s="154">
        <f>(K5/(K9*(K25+K28)*K36))/K53</f>
        <v>0.18264723274217506</v>
      </c>
      <c r="L18" s="92" t="s">
        <v>290</v>
      </c>
      <c r="V18" s="52" t="s">
        <v>261</v>
      </c>
      <c r="W18" s="144">
        <f>((W5*W7*W6)/((W12/24)*(1-EXP(-W7*W10))*W11*W13*W9*W10))/W20</f>
        <v>0.18643623582313829</v>
      </c>
      <c r="X18" s="52" t="s">
        <v>16</v>
      </c>
      <c r="Y18" s="52" t="s">
        <v>261</v>
      </c>
      <c r="Z18" s="144">
        <f>((Z5*Z7*Z6)/((Z12/24)*(1-EXP(-Z7*Z10))*Z11*Z13*Z9*Z10))/Z20</f>
        <v>0.18643623582313829</v>
      </c>
      <c r="AA18" s="52" t="s">
        <v>16</v>
      </c>
      <c r="AB18" s="83" t="s">
        <v>412</v>
      </c>
      <c r="AC18" s="136">
        <f>B22</f>
        <v>3.19428</v>
      </c>
      <c r="AD18" s="136">
        <f>B22</f>
        <v>3.19428</v>
      </c>
      <c r="AE18" s="136">
        <f>B22</f>
        <v>3.19428</v>
      </c>
      <c r="AF18" s="136">
        <f>B22</f>
        <v>3.19428</v>
      </c>
      <c r="AG18" s="136">
        <f>B22</f>
        <v>3.19428</v>
      </c>
      <c r="AH18" s="83" t="s">
        <v>351</v>
      </c>
      <c r="BS18" s="52" t="s">
        <v>261</v>
      </c>
      <c r="BT18" s="143">
        <f>((BT5)/(BT9*BT10))/BT27</f>
        <v>2.366604118478882</v>
      </c>
      <c r="BU18" s="52" t="s">
        <v>15</v>
      </c>
      <c r="BV18" s="83" t="s">
        <v>433</v>
      </c>
      <c r="BW18" s="150">
        <f>B122</f>
        <v>55</v>
      </c>
      <c r="BX18" s="83" t="s">
        <v>24</v>
      </c>
      <c r="BY18" s="83" t="s">
        <v>441</v>
      </c>
      <c r="BZ18" s="146">
        <f>B107</f>
        <v>100</v>
      </c>
      <c r="CA18" s="84" t="s">
        <v>48</v>
      </c>
      <c r="CB18" s="274" t="s">
        <v>572</v>
      </c>
      <c r="CC18" s="270"/>
      <c r="CD18" s="270"/>
      <c r="CE18" s="271" t="s">
        <v>573</v>
      </c>
      <c r="CF18" s="270"/>
      <c r="CG18" s="273"/>
      <c r="CH18" s="83"/>
      <c r="CI18" s="83"/>
      <c r="CJ18" s="83"/>
      <c r="CT18" s="83" t="s">
        <v>264</v>
      </c>
      <c r="CU18" s="153">
        <f>DD2</f>
        <v>4.5661808185543766E-2</v>
      </c>
      <c r="CV18" s="92" t="s">
        <v>290</v>
      </c>
      <c r="CW18" s="83" t="s">
        <v>301</v>
      </c>
      <c r="CX18" s="142">
        <f>B176</f>
        <v>2</v>
      </c>
      <c r="CZ18" s="91" t="s">
        <v>272</v>
      </c>
      <c r="DA18" s="144">
        <f>EZ2</f>
        <v>570.77260231929688</v>
      </c>
      <c r="DB18" s="83" t="s">
        <v>290</v>
      </c>
      <c r="DC18" s="88"/>
      <c r="DD18" s="136">
        <v>1000</v>
      </c>
      <c r="DE18" s="92" t="s">
        <v>99</v>
      </c>
      <c r="DF18" s="92" t="s">
        <v>68</v>
      </c>
      <c r="DG18" s="142">
        <f>B195</f>
        <v>2</v>
      </c>
      <c r="DH18" s="83" t="s">
        <v>56</v>
      </c>
      <c r="DL18" s="92"/>
      <c r="DM18" s="83"/>
      <c r="DN18" s="83"/>
      <c r="DO18" s="92" t="s">
        <v>68</v>
      </c>
      <c r="DP18" s="142">
        <f>B195</f>
        <v>2</v>
      </c>
      <c r="DQ18" s="83" t="s">
        <v>56</v>
      </c>
      <c r="DR18" s="83" t="s">
        <v>476</v>
      </c>
      <c r="DS18" s="146">
        <f>B164</f>
        <v>0.85</v>
      </c>
      <c r="DU18" s="92"/>
      <c r="DV18" s="83"/>
      <c r="DW18" s="83"/>
      <c r="DX18" s="84" t="s">
        <v>16</v>
      </c>
      <c r="DY18" s="137">
        <f>(DY15*DY16)/(1-EXP(-DY16*DY15))</f>
        <v>1.0115299987062558</v>
      </c>
      <c r="EA18" s="92"/>
      <c r="EB18" s="83"/>
      <c r="EC18" s="83"/>
      <c r="ED18" s="92" t="s">
        <v>68</v>
      </c>
      <c r="EE18" s="142">
        <f>B195</f>
        <v>2</v>
      </c>
      <c r="EF18" s="83" t="s">
        <v>56</v>
      </c>
      <c r="EG18" s="83" t="s">
        <v>476</v>
      </c>
      <c r="EH18" s="146">
        <f>B164</f>
        <v>0.85</v>
      </c>
      <c r="EJ18" s="92"/>
      <c r="EK18" s="83"/>
      <c r="EL18" s="83"/>
      <c r="EN18" s="138"/>
      <c r="EP18" s="92"/>
      <c r="EQ18" s="83"/>
      <c r="ER18" s="83"/>
      <c r="ES18" s="92" t="s">
        <v>68</v>
      </c>
      <c r="ET18" s="142">
        <f>B195</f>
        <v>2</v>
      </c>
      <c r="EU18" s="83" t="s">
        <v>56</v>
      </c>
      <c r="EV18" s="83" t="s">
        <v>476</v>
      </c>
      <c r="EW18" s="141">
        <f>B164</f>
        <v>0.85</v>
      </c>
      <c r="EX18" s="92"/>
      <c r="EY18" s="83"/>
      <c r="EZ18" s="83"/>
      <c r="FA18" s="83"/>
      <c r="FB18" s="83"/>
      <c r="FC18" s="142"/>
      <c r="FD18" s="83"/>
      <c r="FE18" s="83"/>
      <c r="FF18" s="83"/>
      <c r="FG18" s="83"/>
      <c r="FH18" s="83" t="s">
        <v>68</v>
      </c>
      <c r="FI18" s="142">
        <f>B195</f>
        <v>2</v>
      </c>
      <c r="FJ18" s="83" t="s">
        <v>56</v>
      </c>
      <c r="FK18" s="83" t="s">
        <v>476</v>
      </c>
      <c r="FL18" s="141">
        <f>B164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B164</f>
        <v>0.85</v>
      </c>
      <c r="GB18" s="92"/>
      <c r="GC18" s="83"/>
      <c r="GD18" s="83"/>
      <c r="GE18" s="83"/>
      <c r="GF18" s="83"/>
      <c r="GG18" s="142"/>
      <c r="GH18" s="83"/>
      <c r="GI18" s="83"/>
      <c r="GJ18" s="83"/>
      <c r="GK18" s="83"/>
      <c r="GL18" s="83" t="s">
        <v>68</v>
      </c>
      <c r="GM18" s="142">
        <f>B195</f>
        <v>2</v>
      </c>
      <c r="GN18" s="83" t="s">
        <v>56</v>
      </c>
      <c r="GO18" s="95" t="s">
        <v>287</v>
      </c>
      <c r="GP18" s="176">
        <v>27.027027027027</v>
      </c>
      <c r="GQ18" s="52" t="s">
        <v>288</v>
      </c>
      <c r="GR18" s="83"/>
      <c r="GS18" s="83"/>
      <c r="GT18" s="83"/>
      <c r="GU18" s="83"/>
      <c r="GV18" s="142"/>
      <c r="GW18" s="83"/>
      <c r="GX18" s="83"/>
      <c r="GY18" s="83"/>
      <c r="GZ18" s="83"/>
      <c r="HA18" s="83" t="s">
        <v>68</v>
      </c>
      <c r="HB18" s="142">
        <f>B195</f>
        <v>2</v>
      </c>
      <c r="HC18" s="83" t="s">
        <v>56</v>
      </c>
    </row>
    <row r="19" spans="1:214" ht="19.5" thickTop="1" thickBot="1" x14ac:dyDescent="0.25">
      <c r="A19" s="83" t="s">
        <v>248</v>
      </c>
      <c r="B19" s="183">
        <v>4.9109405245458101E-5</v>
      </c>
      <c r="C19" s="84" t="s">
        <v>259</v>
      </c>
      <c r="D19" s="52" t="s">
        <v>261</v>
      </c>
      <c r="E19" s="143">
        <f>((E5)/((E15/E16)*E11*E12))/E27</f>
        <v>0.1807822590504701</v>
      </c>
      <c r="F19" s="52" t="s">
        <v>15</v>
      </c>
      <c r="G19" s="83" t="s">
        <v>366</v>
      </c>
      <c r="H19" s="146">
        <f>B50</f>
        <v>5</v>
      </c>
      <c r="I19" s="52" t="s">
        <v>407</v>
      </c>
      <c r="J19" s="83" t="s">
        <v>445</v>
      </c>
      <c r="K19" s="155">
        <f>K21*K31*K51+K22*K32*K52</f>
        <v>9225</v>
      </c>
      <c r="L19" s="83" t="s">
        <v>346</v>
      </c>
      <c r="V19" s="52" t="s">
        <v>271</v>
      </c>
      <c r="W19" s="145">
        <f>((W5*W7*W6)/((W12/24)*(1-EXP(-W7*W6))*W14*W9*(1/365)))/W20</f>
        <v>1.1012540729081645E-4</v>
      </c>
      <c r="X19" s="52" t="s">
        <v>16</v>
      </c>
      <c r="Y19" s="52" t="s">
        <v>271</v>
      </c>
      <c r="Z19" s="145">
        <f>((Z5*Z7*Z6)/((Z12/24)*(1-EXP(-Z7*Z6))*Z14*Z9*(1/365)))/Z20</f>
        <v>1.1012540729081645E-4</v>
      </c>
      <c r="AA19" s="52" t="s">
        <v>16</v>
      </c>
      <c r="AB19" s="83" t="s">
        <v>247</v>
      </c>
      <c r="AC19" s="139">
        <f>B18</f>
        <v>1.5417408700798101E-4</v>
      </c>
      <c r="AD19" s="139">
        <f>B18</f>
        <v>1.5417408700798101E-4</v>
      </c>
      <c r="AE19" s="139">
        <f>B18</f>
        <v>1.5417408700798101E-4</v>
      </c>
      <c r="AF19" s="139">
        <f>B18</f>
        <v>1.5417408700798101E-4</v>
      </c>
      <c r="AG19" s="139">
        <f>B18</f>
        <v>1.5417408700798101E-4</v>
      </c>
      <c r="AH19" s="84" t="s">
        <v>259</v>
      </c>
      <c r="BS19" s="52" t="s">
        <v>271</v>
      </c>
      <c r="BT19" s="144">
        <f>((BT5)/(BT16*BT8*(1/365)*BT15*(1/24)*BT17))/BT27</f>
        <v>1.2371606224736357E-4</v>
      </c>
      <c r="BU19" s="52" t="s">
        <v>15</v>
      </c>
      <c r="BV19" s="83" t="s">
        <v>434</v>
      </c>
      <c r="BW19" s="150">
        <f>B123</f>
        <v>55</v>
      </c>
      <c r="BX19" s="83" t="s">
        <v>24</v>
      </c>
      <c r="BY19" s="83" t="s">
        <v>442</v>
      </c>
      <c r="BZ19" s="146">
        <f>B108</f>
        <v>50</v>
      </c>
      <c r="CA19" s="84" t="s">
        <v>48</v>
      </c>
      <c r="CB19" s="267" t="s">
        <v>537</v>
      </c>
      <c r="CC19" s="261">
        <f>((CC22*CC23*CC24)/((1-EXP(-CC24*CC23))*CC31*(CC26/365)*CC29*(CC30/24)*CC28))/CC32</f>
        <v>150.46041117111602</v>
      </c>
      <c r="CD19" s="278" t="s">
        <v>290</v>
      </c>
      <c r="CE19" s="258" t="s">
        <v>537</v>
      </c>
      <c r="CF19" s="261">
        <f>((CF22*CF23*CF24)/((1-EXP(-CF24*CF23))*CF31*(CF26/365)*CF29*(CF30/24)*CF28))/CF32</f>
        <v>18.033824741311108</v>
      </c>
      <c r="CG19" s="264" t="s">
        <v>290</v>
      </c>
      <c r="CK19" s="274" t="s">
        <v>576</v>
      </c>
      <c r="CL19" s="270"/>
      <c r="CM19" s="270"/>
      <c r="CN19" s="271" t="s">
        <v>576</v>
      </c>
      <c r="CO19" s="270"/>
      <c r="CP19" s="270"/>
      <c r="CQ19" s="271" t="s">
        <v>576</v>
      </c>
      <c r="CR19" s="270"/>
      <c r="CS19" s="273"/>
      <c r="CT19" s="91" t="s">
        <v>272</v>
      </c>
      <c r="CU19" s="144">
        <f>FC2</f>
        <v>2.9683990215198186</v>
      </c>
      <c r="CV19" s="92" t="s">
        <v>290</v>
      </c>
      <c r="CW19" s="52" t="s">
        <v>261</v>
      </c>
      <c r="CX19" s="143">
        <f>((CX5)/((CX15/CX16)*CX11*CX12))/CX27</f>
        <v>0.17296464784828763</v>
      </c>
      <c r="CY19" s="52" t="s">
        <v>15</v>
      </c>
      <c r="CZ19" s="91" t="s">
        <v>273</v>
      </c>
      <c r="DA19" s="144">
        <f>GS2</f>
        <v>40.054217706617329</v>
      </c>
      <c r="DB19" s="83" t="s">
        <v>290</v>
      </c>
      <c r="DC19" s="92" t="s">
        <v>72</v>
      </c>
      <c r="DD19" s="146">
        <f>B182</f>
        <v>1</v>
      </c>
      <c r="DE19" s="93"/>
      <c r="DF19" s="92" t="s">
        <v>70</v>
      </c>
      <c r="DG19" s="138">
        <f>B196</f>
        <v>2.6999999999999999E-5</v>
      </c>
      <c r="DH19" s="52" t="s">
        <v>64</v>
      </c>
      <c r="DL19" s="92"/>
      <c r="DO19" s="92" t="s">
        <v>70</v>
      </c>
      <c r="DP19" s="138">
        <f>B196</f>
        <v>2.6999999999999999E-5</v>
      </c>
      <c r="DQ19" s="52" t="s">
        <v>64</v>
      </c>
      <c r="DR19" s="95" t="s">
        <v>287</v>
      </c>
      <c r="DS19" s="176">
        <v>27.027027027027</v>
      </c>
      <c r="DT19" s="52" t="s">
        <v>288</v>
      </c>
      <c r="DU19" s="92"/>
      <c r="EA19" s="92"/>
      <c r="EB19" s="84"/>
      <c r="EC19" s="84"/>
      <c r="ED19" s="92" t="s">
        <v>70</v>
      </c>
      <c r="EE19" s="163">
        <f>B196</f>
        <v>2.6999999999999999E-5</v>
      </c>
      <c r="EF19" s="84" t="s">
        <v>64</v>
      </c>
      <c r="EG19" s="95" t="s">
        <v>287</v>
      </c>
      <c r="EH19" s="176">
        <v>27.027027027027</v>
      </c>
      <c r="EI19" s="52" t="s">
        <v>288</v>
      </c>
      <c r="EJ19" s="92"/>
      <c r="EP19" s="92"/>
      <c r="EQ19" s="84"/>
      <c r="ER19" s="84"/>
      <c r="ES19" s="92" t="s">
        <v>70</v>
      </c>
      <c r="ET19" s="163">
        <f>B196</f>
        <v>2.6999999999999999E-5</v>
      </c>
      <c r="EU19" s="84" t="s">
        <v>64</v>
      </c>
      <c r="EV19" s="95" t="s">
        <v>287</v>
      </c>
      <c r="EW19" s="176">
        <v>27.027027027027</v>
      </c>
      <c r="EX19" s="52" t="s">
        <v>288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B196</f>
        <v>2.6999999999999999E-5</v>
      </c>
      <c r="FJ19" s="84" t="s">
        <v>64</v>
      </c>
      <c r="FK19" s="95" t="s">
        <v>287</v>
      </c>
      <c r="FL19" s="176">
        <v>27.027027027027</v>
      </c>
      <c r="FM19" s="52" t="s">
        <v>288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95" t="s">
        <v>287</v>
      </c>
      <c r="GA19" s="176">
        <v>27.027027027027</v>
      </c>
      <c r="GB19" s="52" t="s">
        <v>288</v>
      </c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B196</f>
        <v>2.6999999999999999E-5</v>
      </c>
      <c r="GN19" s="84" t="s">
        <v>64</v>
      </c>
      <c r="GP19" s="138"/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B196</f>
        <v>2.6999999999999999E-5</v>
      </c>
      <c r="HC19" s="84" t="s">
        <v>64</v>
      </c>
    </row>
    <row r="20" spans="1:214" ht="19.5" thickTop="1" thickBot="1" x14ac:dyDescent="0.25">
      <c r="A20" s="83" t="s">
        <v>249</v>
      </c>
      <c r="B20" s="183">
        <v>4.9109405245458101E-5</v>
      </c>
      <c r="C20" s="83" t="s">
        <v>259</v>
      </c>
      <c r="D20" s="52" t="s">
        <v>271</v>
      </c>
      <c r="E20" s="144">
        <f>((E5)/((E15/E16)*E8*E17*(1/365)*E18))/E27</f>
        <v>9.4505325327847144E-6</v>
      </c>
      <c r="F20" s="52" t="s">
        <v>15</v>
      </c>
      <c r="G20" s="83" t="s">
        <v>367</v>
      </c>
      <c r="H20" s="146">
        <f>B51</f>
        <v>10</v>
      </c>
      <c r="I20" s="52" t="s">
        <v>407</v>
      </c>
      <c r="J20" s="83" t="s">
        <v>396</v>
      </c>
      <c r="K20" s="155">
        <f>(K31*K23*(K34/24)*K51)+(K32*K24*(K35/24)*K52)</f>
        <v>1327.5</v>
      </c>
      <c r="L20" s="52" t="s">
        <v>407</v>
      </c>
      <c r="M20" s="325" t="s">
        <v>566</v>
      </c>
      <c r="N20" s="326"/>
      <c r="O20" s="326"/>
      <c r="P20" s="327" t="s">
        <v>536</v>
      </c>
      <c r="Q20" s="326"/>
      <c r="R20" s="329"/>
      <c r="V20" s="95" t="s">
        <v>287</v>
      </c>
      <c r="W20" s="176">
        <v>27.027027027027</v>
      </c>
      <c r="X20" s="52" t="s">
        <v>288</v>
      </c>
      <c r="Y20" s="95" t="s">
        <v>287</v>
      </c>
      <c r="Z20" s="176">
        <v>27.027027027027</v>
      </c>
      <c r="AA20" s="52" t="s">
        <v>288</v>
      </c>
      <c r="AB20" s="83" t="s">
        <v>83</v>
      </c>
      <c r="AC20" s="139">
        <f>B232</f>
        <v>5</v>
      </c>
      <c r="AD20" s="139">
        <f>B242</f>
        <v>5</v>
      </c>
      <c r="AE20" s="139">
        <f>B252</f>
        <v>5</v>
      </c>
      <c r="AF20" s="139">
        <f>B262</f>
        <v>5</v>
      </c>
      <c r="AG20" s="139">
        <f>B273</f>
        <v>5</v>
      </c>
      <c r="AH20" s="84" t="s">
        <v>194</v>
      </c>
      <c r="AI20" s="296" t="s">
        <v>558</v>
      </c>
      <c r="AJ20" s="294"/>
      <c r="AK20" s="297"/>
      <c r="AL20" s="293" t="s">
        <v>545</v>
      </c>
      <c r="AM20" s="294"/>
      <c r="AN20" s="295"/>
      <c r="AR20" s="296" t="s">
        <v>560</v>
      </c>
      <c r="AS20" s="294"/>
      <c r="AT20" s="297"/>
      <c r="AU20" s="293" t="s">
        <v>550</v>
      </c>
      <c r="AV20" s="294"/>
      <c r="AW20" s="295"/>
      <c r="BA20" s="296" t="s">
        <v>562</v>
      </c>
      <c r="BB20" s="294"/>
      <c r="BC20" s="297"/>
      <c r="BD20" s="293" t="s">
        <v>553</v>
      </c>
      <c r="BE20" s="294"/>
      <c r="BF20" s="295"/>
      <c r="BJ20" s="296" t="s">
        <v>563</v>
      </c>
      <c r="BK20" s="294"/>
      <c r="BL20" s="297"/>
      <c r="BM20" s="293" t="s">
        <v>556</v>
      </c>
      <c r="BN20" s="294"/>
      <c r="BO20" s="295"/>
      <c r="BS20" s="52" t="s">
        <v>261</v>
      </c>
      <c r="BT20" s="144">
        <f>((BT5*BT24*BT6)/((1-EXP(-BT6*BT24))*BT9*BT10))/BT27</f>
        <v>2.3938910609031629</v>
      </c>
      <c r="BU20" s="52" t="s">
        <v>16</v>
      </c>
      <c r="BV20" s="52" t="s">
        <v>443</v>
      </c>
      <c r="BW20" s="138">
        <f>B119</f>
        <v>5</v>
      </c>
      <c r="BX20" s="52" t="s">
        <v>89</v>
      </c>
      <c r="BY20" s="83" t="s">
        <v>429</v>
      </c>
      <c r="BZ20" s="141">
        <f>B103</f>
        <v>5</v>
      </c>
      <c r="CA20" s="92" t="s">
        <v>407</v>
      </c>
      <c r="CB20" s="268"/>
      <c r="CC20" s="262"/>
      <c r="CD20" s="279"/>
      <c r="CE20" s="259"/>
      <c r="CF20" s="262"/>
      <c r="CG20" s="265"/>
      <c r="CK20" s="267" t="s">
        <v>530</v>
      </c>
      <c r="CL20" s="261">
        <f>(CL23/(CL24*CL25*CL26))/CL27</f>
        <v>4.5661808185543773</v>
      </c>
      <c r="CM20" s="255" t="s">
        <v>290</v>
      </c>
      <c r="CN20" s="258" t="s">
        <v>7</v>
      </c>
      <c r="CO20" s="261">
        <f>(CL20/(CO23*((CO28*CO30*CO31*(CO24+CO25))+(CO29*CO30))))*CO34</f>
        <v>34.075435571691195</v>
      </c>
      <c r="CP20" s="255" t="s">
        <v>290</v>
      </c>
      <c r="CQ20" s="258" t="s">
        <v>6</v>
      </c>
      <c r="CR20" s="261">
        <f>CL20/(CR23*CR24*(1/CR25))</f>
        <v>103776.83678532676</v>
      </c>
      <c r="CS20" s="264" t="s">
        <v>290</v>
      </c>
      <c r="CT20" s="91" t="s">
        <v>273</v>
      </c>
      <c r="CU20" s="144">
        <f>GV2</f>
        <v>0.27471771114523508</v>
      </c>
      <c r="CV20" s="92" t="s">
        <v>290</v>
      </c>
      <c r="CW20" s="52" t="s">
        <v>271</v>
      </c>
      <c r="CX20" s="144">
        <f>((CX5)/((CX15/CX16)*CX8*CX17*(1/365)*CX18))/CX27</f>
        <v>9.4505325327847144E-6</v>
      </c>
      <c r="CY20" s="52" t="s">
        <v>15</v>
      </c>
      <c r="CZ20" s="91" t="s">
        <v>274</v>
      </c>
      <c r="DA20" s="144">
        <f>EK2</f>
        <v>7.8322140970057921E-2</v>
      </c>
      <c r="DB20" s="83" t="s">
        <v>290</v>
      </c>
      <c r="DC20" s="83" t="s">
        <v>475</v>
      </c>
      <c r="DD20" s="146">
        <f>B163</f>
        <v>0.15</v>
      </c>
      <c r="DF20" s="92" t="s">
        <v>71</v>
      </c>
      <c r="DG20" s="137">
        <f>0.693/DG23</f>
        <v>6.2937111521700834E-5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H20" s="138"/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GA20" s="138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83" t="s">
        <v>250</v>
      </c>
      <c r="B21" s="183">
        <v>5.0319999999999999E-5</v>
      </c>
      <c r="C21" s="83" t="s">
        <v>259</v>
      </c>
      <c r="D21" s="52" t="s">
        <v>261</v>
      </c>
      <c r="E21" s="144">
        <f>((E5*E10*E6)/((1-EXP(-E6*E10))*E11*E12))/E27</f>
        <v>0.18286667826343603</v>
      </c>
      <c r="F21" s="52" t="s">
        <v>16</v>
      </c>
      <c r="G21" s="83" t="s">
        <v>397</v>
      </c>
      <c r="H21" s="148">
        <f>(H29*H36*H32*H68)+(H30*H37*H33*H69)</f>
        <v>476.25</v>
      </c>
      <c r="I21" s="83" t="s">
        <v>356</v>
      </c>
      <c r="J21" s="83" t="s">
        <v>368</v>
      </c>
      <c r="K21" s="146">
        <f>B52</f>
        <v>100</v>
      </c>
      <c r="L21" s="84" t="s">
        <v>48</v>
      </c>
      <c r="M21" s="330" t="s">
        <v>537</v>
      </c>
      <c r="N21" s="333">
        <f>((N24*N25*N26)/((1-EXP(-N26*N25))*N34*N32*(N28/365)*(((N33/24)*N31)+((N35/24)*N30))))/N36</f>
        <v>0.29194496152912208</v>
      </c>
      <c r="O21" s="336" t="s">
        <v>292</v>
      </c>
      <c r="P21" s="339" t="s">
        <v>537</v>
      </c>
      <c r="Q21" s="333">
        <f>((Q24*Q25*Q26)/((1-EXP(-Q26*Q25))*Q34*Q32*(Q28/365)*(((Q33/24)*Q31)+((Q35/24)*Q30))))/Q36</f>
        <v>6.5598970416008595E-2</v>
      </c>
      <c r="R21" s="342" t="s">
        <v>290</v>
      </c>
      <c r="AB21" s="83" t="s">
        <v>85</v>
      </c>
      <c r="AC21" s="139">
        <f>B233</f>
        <v>5</v>
      </c>
      <c r="AD21" s="139">
        <f>B243</f>
        <v>5</v>
      </c>
      <c r="AE21" s="139">
        <f>B253</f>
        <v>5</v>
      </c>
      <c r="AF21" s="139">
        <f>B263</f>
        <v>5</v>
      </c>
      <c r="AG21" s="139">
        <f>B274</f>
        <v>5</v>
      </c>
      <c r="AH21" s="84" t="s">
        <v>194</v>
      </c>
      <c r="AI21" s="306" t="s">
        <v>537</v>
      </c>
      <c r="AJ21" s="303">
        <f>((AJ24*AJ25*AJ26)/((1-EXP(-AJ26*AJ25))*AJ34*(AJ28/365)*AJ29*(AJ35/24)*AJ30*AJ32))/AJ36</f>
        <v>1.760988652346742</v>
      </c>
      <c r="AK21" s="290" t="s">
        <v>292</v>
      </c>
      <c r="AL21" s="287" t="s">
        <v>537</v>
      </c>
      <c r="AM21" s="303">
        <f>((AM24*AM25*AM26)/((1-EXP(-AM26*AM25))*AM34*(AM28/365)*AM29*(AM35/24)*AM30*AM32))/AM36</f>
        <v>0.39753763259746211</v>
      </c>
      <c r="AN21" s="281" t="s">
        <v>290</v>
      </c>
      <c r="AR21" s="306" t="s">
        <v>537</v>
      </c>
      <c r="AS21" s="303">
        <f>((AS24*AS25*AS26)/((1-EXP(-AS26*AS25))*AS34*(AS28/365)*AS29*(AS33/24)*AS31*AS32))/AS36</f>
        <v>66.202580915291037</v>
      </c>
      <c r="AT21" s="290" t="s">
        <v>292</v>
      </c>
      <c r="AU21" s="287" t="s">
        <v>537</v>
      </c>
      <c r="AV21" s="303">
        <f>((AV24*AV25*AV26)/((1-EXP(-AV26*AV25))*AV34*(AV28/365)*AV29*(AV33/24)*AV31*AV32))/AV36</f>
        <v>7.9348828861768883</v>
      </c>
      <c r="AW21" s="281" t="s">
        <v>290</v>
      </c>
      <c r="BA21" s="306" t="s">
        <v>537</v>
      </c>
      <c r="BB21" s="303">
        <f>((BB24*BB25*BB26)/((1-EXP(-BB26*BB25))*BB34*(BB28/365)*(BB33/24)*BB31*BB32))/BB36</f>
        <v>66.202580915291037</v>
      </c>
      <c r="BC21" s="290" t="s">
        <v>292</v>
      </c>
      <c r="BD21" s="287" t="s">
        <v>537</v>
      </c>
      <c r="BE21" s="303">
        <f>((BE24*BE25*BE26)/((1-EXP(-BE26*BE25))*BE34*(BE28/365)*(BE33/24)*BE31*BE32))/BE36</f>
        <v>7.9348828861768883</v>
      </c>
      <c r="BF21" s="281" t="s">
        <v>290</v>
      </c>
      <c r="BJ21" s="306" t="s">
        <v>537</v>
      </c>
      <c r="BK21" s="284">
        <f>((BK24*BK25*BK26)/((1-EXP(-BK26*BK25))*BK35*(BK28/365)*(BK34/24)*BK32*BK33))/BK36</f>
        <v>110.33763485881839</v>
      </c>
      <c r="BL21" s="290" t="s">
        <v>292</v>
      </c>
      <c r="BM21" s="287" t="s">
        <v>537</v>
      </c>
      <c r="BN21" s="284">
        <f>((BN24*BN25*BN26)/((1-EXP(-BN26*BN25))*BN35*(BN28/365)*(BN34/24)*BN32*BN33))/BN36</f>
        <v>13.224804810294813</v>
      </c>
      <c r="BO21" s="281" t="s">
        <v>290</v>
      </c>
      <c r="BS21" s="52" t="s">
        <v>271</v>
      </c>
      <c r="BT21" s="145">
        <f>((BT5*BT24*BT6)/((1-EXP(-BT6*BT24))*BT16*BT8*(1/365)*BT15*(1/24)*BT17))/BT27</f>
        <v>1.2514250828501872E-4</v>
      </c>
      <c r="BU21" s="52" t="s">
        <v>16</v>
      </c>
      <c r="BV21" s="52" t="s">
        <v>444</v>
      </c>
      <c r="BW21" s="138">
        <f>B120</f>
        <v>5</v>
      </c>
      <c r="BX21" s="52" t="s">
        <v>89</v>
      </c>
      <c r="BY21" s="83" t="s">
        <v>430</v>
      </c>
      <c r="BZ21" s="141">
        <f>B104</f>
        <v>10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56"/>
      <c r="CN21" s="259"/>
      <c r="CO21" s="262"/>
      <c r="CP21" s="256"/>
      <c r="CQ21" s="259"/>
      <c r="CR21" s="262"/>
      <c r="CS21" s="265"/>
      <c r="CT21" s="91" t="s">
        <v>274</v>
      </c>
      <c r="CU21" s="144">
        <f>EN2</f>
        <v>1.1097050721538853</v>
      </c>
      <c r="CV21" s="92" t="s">
        <v>290</v>
      </c>
      <c r="CW21" s="52" t="s">
        <v>261</v>
      </c>
      <c r="CX21" s="144">
        <f>((CX5*CX10*CX6)/((CX15/CX16)*(1-EXP(-CX6*CX9))*CX11*CX12))/CX27</f>
        <v>0.17495893001420637</v>
      </c>
      <c r="CY21" s="52" t="s">
        <v>16</v>
      </c>
      <c r="CZ21" s="91" t="s">
        <v>509</v>
      </c>
      <c r="DA21" s="144">
        <f>DV2</f>
        <v>222.26683568577539</v>
      </c>
      <c r="DB21" s="83" t="s">
        <v>290</v>
      </c>
      <c r="DC21" s="83" t="s">
        <v>476</v>
      </c>
      <c r="DD21" s="146">
        <f>B164</f>
        <v>0.85</v>
      </c>
      <c r="DF21" s="92" t="s">
        <v>73</v>
      </c>
      <c r="DG21" s="138">
        <f>B197</f>
        <v>1</v>
      </c>
      <c r="DH21" s="52" t="s">
        <v>41</v>
      </c>
      <c r="DL21" s="92"/>
      <c r="DO21" s="92" t="s">
        <v>73</v>
      </c>
      <c r="DP21" s="138">
        <f>B197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B197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B197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B197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B197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B197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83" t="s">
        <v>251</v>
      </c>
      <c r="B22" s="179">
        <v>3.19428</v>
      </c>
      <c r="C22" s="83" t="s">
        <v>351</v>
      </c>
      <c r="D22" s="52" t="s">
        <v>271</v>
      </c>
      <c r="E22" s="145">
        <f>((E5*E10*E6)/((E15/E16)*E8*(1-EXP(-E6*E10))*E17*(1/365)*E18))/E27</f>
        <v>9.5594971606611528E-6</v>
      </c>
      <c r="F22" s="52" t="s">
        <v>16</v>
      </c>
      <c r="G22" s="83" t="s">
        <v>398</v>
      </c>
      <c r="H22" s="149">
        <f>(H29*H23*H68)+(H30*H24*H69)</f>
        <v>8250</v>
      </c>
      <c r="I22" s="92" t="s">
        <v>347</v>
      </c>
      <c r="J22" s="83" t="s">
        <v>369</v>
      </c>
      <c r="K22" s="146">
        <f>B53</f>
        <v>50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B234</f>
        <v>0.4</v>
      </c>
      <c r="AD22" s="150">
        <f>B244</f>
        <v>0.4</v>
      </c>
      <c r="AE22" s="150">
        <f>B254</f>
        <v>0.4</v>
      </c>
      <c r="AF22" s="150">
        <f>B264</f>
        <v>0.4</v>
      </c>
      <c r="AG22" s="150">
        <f>B275</f>
        <v>0.4</v>
      </c>
      <c r="AI22" s="307"/>
      <c r="AJ22" s="304"/>
      <c r="AK22" s="291"/>
      <c r="AL22" s="288"/>
      <c r="AM22" s="304"/>
      <c r="AN22" s="282"/>
      <c r="AR22" s="307"/>
      <c r="AS22" s="304"/>
      <c r="AT22" s="291"/>
      <c r="AU22" s="288"/>
      <c r="AV22" s="304"/>
      <c r="AW22" s="282"/>
      <c r="BA22" s="307"/>
      <c r="BB22" s="304"/>
      <c r="BC22" s="291"/>
      <c r="BD22" s="288"/>
      <c r="BE22" s="304"/>
      <c r="BF22" s="282"/>
      <c r="BJ22" s="307"/>
      <c r="BK22" s="285"/>
      <c r="BL22" s="291"/>
      <c r="BM22" s="288"/>
      <c r="BN22" s="285"/>
      <c r="BO22" s="282"/>
      <c r="BS22" s="52" t="s">
        <v>433</v>
      </c>
      <c r="BT22" s="138">
        <f>B114</f>
        <v>55</v>
      </c>
      <c r="BU22" s="52" t="s">
        <v>24</v>
      </c>
      <c r="BV22" s="83" t="s">
        <v>90</v>
      </c>
      <c r="BW22" s="150">
        <f>B118</f>
        <v>5</v>
      </c>
      <c r="BX22" s="52" t="s">
        <v>194</v>
      </c>
      <c r="BY22" s="83" t="s">
        <v>140</v>
      </c>
      <c r="BZ22" s="150">
        <f>B113</f>
        <v>55</v>
      </c>
      <c r="CA22" s="83" t="s">
        <v>24</v>
      </c>
      <c r="CB22" s="52" t="s">
        <v>267</v>
      </c>
      <c r="CC22" s="136">
        <f>B17</f>
        <v>1</v>
      </c>
      <c r="CD22" s="52" t="s">
        <v>344</v>
      </c>
      <c r="CE22" s="52" t="s">
        <v>267</v>
      </c>
      <c r="CF22" s="136">
        <f>B17</f>
        <v>1</v>
      </c>
      <c r="CG22" s="52" t="s">
        <v>344</v>
      </c>
      <c r="CK22" s="269"/>
      <c r="CL22" s="263"/>
      <c r="CM22" s="257"/>
      <c r="CN22" s="260"/>
      <c r="CO22" s="263"/>
      <c r="CP22" s="257"/>
      <c r="CQ22" s="260"/>
      <c r="CR22" s="263"/>
      <c r="CS22" s="266"/>
      <c r="CT22" s="91" t="s">
        <v>275</v>
      </c>
      <c r="CU22" s="144">
        <f>DY2</f>
        <v>3.411171500116791</v>
      </c>
      <c r="CV22" s="92" t="s">
        <v>290</v>
      </c>
      <c r="CW22" s="52" t="s">
        <v>271</v>
      </c>
      <c r="CX22" s="145">
        <f>((CX5*CX10*CX6)/((CX15/CX16)*CX8*(1-EXP(-CX6*CX10))*CX17*(1/365)*CX18))/CX27</f>
        <v>9.5594971606611528E-6</v>
      </c>
      <c r="CY22" s="52" t="s">
        <v>16</v>
      </c>
      <c r="CZ22" s="91" t="s">
        <v>510</v>
      </c>
      <c r="DA22" s="144">
        <f>GD2</f>
        <v>84.558904047303272</v>
      </c>
      <c r="DB22" s="83" t="s">
        <v>290</v>
      </c>
      <c r="DC22" s="95" t="s">
        <v>287</v>
      </c>
      <c r="DD22" s="176">
        <v>27.027027027027</v>
      </c>
      <c r="DE22" s="52" t="s">
        <v>288</v>
      </c>
      <c r="DF22" s="92" t="s">
        <v>74</v>
      </c>
      <c r="DG22" s="138">
        <f>B198</f>
        <v>14</v>
      </c>
      <c r="DH22" s="52" t="s">
        <v>75</v>
      </c>
      <c r="DL22" s="92"/>
      <c r="DO22" s="92" t="s">
        <v>74</v>
      </c>
      <c r="DP22" s="138">
        <f>B198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B198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B198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B198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B198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B198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252</v>
      </c>
      <c r="B23" s="183">
        <v>0.64061199999999996</v>
      </c>
      <c r="C23" s="83" t="s">
        <v>352</v>
      </c>
      <c r="D23" s="52" t="s">
        <v>380</v>
      </c>
      <c r="E23" s="138">
        <f>B66</f>
        <v>150</v>
      </c>
      <c r="F23" s="52" t="s">
        <v>24</v>
      </c>
      <c r="G23" s="83" t="s">
        <v>399</v>
      </c>
      <c r="H23" s="146">
        <f>B147</f>
        <v>55</v>
      </c>
      <c r="I23" s="92" t="s">
        <v>221</v>
      </c>
      <c r="J23" s="83" t="s">
        <v>366</v>
      </c>
      <c r="K23" s="141">
        <f>B50</f>
        <v>5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308"/>
      <c r="AS23" s="305"/>
      <c r="AT23" s="292"/>
      <c r="AU23" s="289"/>
      <c r="AV23" s="305"/>
      <c r="AW23" s="283"/>
      <c r="BA23" s="308"/>
      <c r="BB23" s="305"/>
      <c r="BC23" s="292"/>
      <c r="BD23" s="289"/>
      <c r="BE23" s="305"/>
      <c r="BF23" s="283"/>
      <c r="BJ23" s="308"/>
      <c r="BK23" s="286"/>
      <c r="BL23" s="292"/>
      <c r="BM23" s="289"/>
      <c r="BN23" s="286"/>
      <c r="BO23" s="283"/>
      <c r="BS23" s="52" t="s">
        <v>434</v>
      </c>
      <c r="BT23" s="138">
        <f>B115</f>
        <v>55</v>
      </c>
      <c r="BU23" s="52" t="s">
        <v>24</v>
      </c>
      <c r="BV23" s="83" t="s">
        <v>435</v>
      </c>
      <c r="BW23" s="138">
        <f>B124</f>
        <v>5</v>
      </c>
      <c r="BX23" s="52" t="s">
        <v>80</v>
      </c>
      <c r="BY23" s="83" t="s">
        <v>434</v>
      </c>
      <c r="BZ23" s="150">
        <f>B115</f>
        <v>55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B17</f>
        <v>1</v>
      </c>
      <c r="CM23" s="52" t="s">
        <v>344</v>
      </c>
      <c r="CN23" s="52" t="s">
        <v>229</v>
      </c>
      <c r="CO23" s="136">
        <f>B41</f>
        <v>2.1999999999999999E-2</v>
      </c>
      <c r="CP23" s="52" t="s">
        <v>268</v>
      </c>
      <c r="CQ23" s="83" t="s">
        <v>229</v>
      </c>
      <c r="CR23" s="136">
        <f>CO23</f>
        <v>2.1999999999999999E-2</v>
      </c>
      <c r="CS23" s="52" t="s">
        <v>268</v>
      </c>
      <c r="CT23" s="91" t="s">
        <v>276</v>
      </c>
      <c r="CU23" s="144">
        <f>GG2</f>
        <v>0.43976281800293615</v>
      </c>
      <c r="CV23" s="92" t="s">
        <v>290</v>
      </c>
      <c r="CW23" s="52" t="s">
        <v>456</v>
      </c>
      <c r="CX23" s="138">
        <f>B165</f>
        <v>150</v>
      </c>
      <c r="CY23" s="52" t="s">
        <v>24</v>
      </c>
      <c r="CZ23" s="91" t="s">
        <v>277</v>
      </c>
      <c r="DA23" s="145">
        <f>FO2</f>
        <v>3.6529446548435013E-2</v>
      </c>
      <c r="DB23" s="83" t="s">
        <v>290</v>
      </c>
      <c r="DD23" s="138"/>
      <c r="DF23" s="83" t="s">
        <v>267</v>
      </c>
      <c r="DG23" s="136">
        <f>B34</f>
        <v>11010.9915</v>
      </c>
      <c r="DH23" s="52" t="s">
        <v>222</v>
      </c>
      <c r="DO23" s="83" t="s">
        <v>19</v>
      </c>
      <c r="DP23" s="161">
        <f>DP25</f>
        <v>2.5229999999999999E-2</v>
      </c>
      <c r="EA23" s="83"/>
      <c r="EB23" s="83"/>
      <c r="EC23" s="84"/>
      <c r="ED23" s="83" t="s">
        <v>19</v>
      </c>
      <c r="EE23" s="161">
        <f>EE25</f>
        <v>2.9000000000000001E-2</v>
      </c>
      <c r="EF23" s="84"/>
      <c r="EP23" s="83"/>
      <c r="EQ23" s="83"/>
      <c r="ER23" s="84"/>
      <c r="ES23" s="83" t="s">
        <v>19</v>
      </c>
      <c r="ET23" s="161">
        <f>ET25</f>
        <v>2.9000000000000001E-2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2.9000000000000001E-2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2.9000000000000001E-2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2.9000000000000001E-2</v>
      </c>
      <c r="HC23" s="84"/>
      <c r="HD23" s="67" t="s">
        <v>14</v>
      </c>
      <c r="HE23" s="222">
        <f>((HE25*HE42)*HE38*HE33*10^-3*HE32*HE27)/(HE31*HE41*(1-EXP(-HE27*HE32)))</f>
        <v>3.9745620480129203E-2</v>
      </c>
      <c r="HF23" s="220" t="s">
        <v>595</v>
      </c>
    </row>
    <row r="24" spans="1:214" ht="14.25" thickTop="1" thickBot="1" x14ac:dyDescent="0.25">
      <c r="A24" s="83" t="s">
        <v>253</v>
      </c>
      <c r="B24" s="183">
        <v>0.63512000000000002</v>
      </c>
      <c r="C24" s="83" t="s">
        <v>351</v>
      </c>
      <c r="D24" s="52" t="s">
        <v>381</v>
      </c>
      <c r="E24" s="138">
        <f>B67</f>
        <v>150</v>
      </c>
      <c r="F24" s="52" t="s">
        <v>24</v>
      </c>
      <c r="G24" s="83" t="s">
        <v>310</v>
      </c>
      <c r="H24" s="146">
        <f>B58</f>
        <v>55</v>
      </c>
      <c r="I24" s="92" t="s">
        <v>221</v>
      </c>
      <c r="J24" s="83" t="s">
        <v>367</v>
      </c>
      <c r="K24" s="141">
        <f>B51</f>
        <v>10</v>
      </c>
      <c r="L24" s="52" t="s">
        <v>407</v>
      </c>
      <c r="M24" s="52" t="s">
        <v>267</v>
      </c>
      <c r="N24" s="136">
        <f>B17</f>
        <v>1</v>
      </c>
      <c r="O24" s="52" t="s">
        <v>344</v>
      </c>
      <c r="P24" s="52" t="s">
        <v>267</v>
      </c>
      <c r="Q24" s="136">
        <f>B17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2.2972045705420805E-2</v>
      </c>
      <c r="AD24" s="137">
        <f>0.693/AD25</f>
        <v>2.2972045705420805E-2</v>
      </c>
      <c r="AE24" s="137">
        <f>0.693/AE25</f>
        <v>2.2972045705420805E-2</v>
      </c>
      <c r="AF24" s="137">
        <f>0.693/AF25</f>
        <v>2.2972045705420805E-2</v>
      </c>
      <c r="AG24" s="137">
        <f>0.693/AG25</f>
        <v>2.2972045705420805E-2</v>
      </c>
      <c r="AI24" s="52" t="s">
        <v>267</v>
      </c>
      <c r="AJ24" s="136">
        <f>B17</f>
        <v>1</v>
      </c>
      <c r="AK24" s="52" t="s">
        <v>344</v>
      </c>
      <c r="AL24" s="52" t="s">
        <v>267</v>
      </c>
      <c r="AM24" s="136">
        <f>B17</f>
        <v>1</v>
      </c>
      <c r="AN24" s="52" t="s">
        <v>344</v>
      </c>
      <c r="AR24" s="52" t="s">
        <v>267</v>
      </c>
      <c r="AS24" s="136">
        <f>B17</f>
        <v>1</v>
      </c>
      <c r="AT24" s="52" t="s">
        <v>344</v>
      </c>
      <c r="AU24" s="52" t="s">
        <v>267</v>
      </c>
      <c r="AV24" s="136">
        <f>B17</f>
        <v>1</v>
      </c>
      <c r="AW24" s="52" t="s">
        <v>344</v>
      </c>
      <c r="BA24" s="52" t="s">
        <v>267</v>
      </c>
      <c r="BB24" s="136">
        <f>B17</f>
        <v>1</v>
      </c>
      <c r="BC24" s="52" t="s">
        <v>344</v>
      </c>
      <c r="BD24" s="52" t="s">
        <v>267</v>
      </c>
      <c r="BE24" s="136">
        <f>B17</f>
        <v>1</v>
      </c>
      <c r="BF24" s="52" t="s">
        <v>344</v>
      </c>
      <c r="BJ24" s="52" t="s">
        <v>267</v>
      </c>
      <c r="BK24" s="136">
        <f>B17</f>
        <v>1</v>
      </c>
      <c r="BL24" s="52" t="s">
        <v>344</v>
      </c>
      <c r="BM24" s="52" t="s">
        <v>267</v>
      </c>
      <c r="BN24" s="136">
        <f>B17</f>
        <v>1</v>
      </c>
      <c r="BO24" s="52" t="s">
        <v>344</v>
      </c>
      <c r="BS24" s="91" t="s">
        <v>95</v>
      </c>
      <c r="BT24" s="158">
        <f>B127</f>
        <v>1</v>
      </c>
      <c r="BU24" s="91" t="s">
        <v>60</v>
      </c>
      <c r="BV24" s="83" t="s">
        <v>436</v>
      </c>
      <c r="BW24" s="138">
        <f>B125</f>
        <v>5</v>
      </c>
      <c r="BX24" s="52" t="s">
        <v>80</v>
      </c>
      <c r="BY24" s="83" t="s">
        <v>433</v>
      </c>
      <c r="BZ24" s="150">
        <f>B114</f>
        <v>55</v>
      </c>
      <c r="CA24" s="83" t="s">
        <v>24</v>
      </c>
      <c r="CB24" s="83" t="s">
        <v>22</v>
      </c>
      <c r="CC24" s="137">
        <f>0.693/CC25</f>
        <v>2.2972045705420805E-2</v>
      </c>
      <c r="CE24" s="83" t="s">
        <v>22</v>
      </c>
      <c r="CF24" s="137">
        <f>0.693/CF25</f>
        <v>2.2972045705420805E-2</v>
      </c>
      <c r="CK24" s="52" t="s">
        <v>258</v>
      </c>
      <c r="CL24" s="136">
        <f>B29</f>
        <v>4.9109405245458101E-5</v>
      </c>
      <c r="CM24" s="91" t="s">
        <v>10</v>
      </c>
      <c r="CN24" s="52" t="s">
        <v>20</v>
      </c>
      <c r="CO24" s="139">
        <f>CO26</f>
        <v>2.9000000000000001E-2</v>
      </c>
      <c r="CQ24" s="84" t="s">
        <v>170</v>
      </c>
      <c r="CR24" s="162">
        <f>B139</f>
        <v>2</v>
      </c>
      <c r="CS24" s="52" t="s">
        <v>28</v>
      </c>
      <c r="CT24" s="91" t="s">
        <v>277</v>
      </c>
      <c r="CU24" s="145">
        <f>FR2</f>
        <v>3.6950631019878709E-4</v>
      </c>
      <c r="CV24" s="92" t="s">
        <v>290</v>
      </c>
      <c r="CW24" s="52" t="s">
        <v>465</v>
      </c>
      <c r="CX24" s="138">
        <f>B166</f>
        <v>150</v>
      </c>
      <c r="CY24" s="52" t="s">
        <v>24</v>
      </c>
      <c r="CZ24" s="83" t="s">
        <v>45</v>
      </c>
      <c r="DA24" s="149">
        <f>(DA35*DA27*DA49)+(DA36*DA28*DA50)</f>
        <v>196.875</v>
      </c>
      <c r="DB24" s="52" t="s">
        <v>345</v>
      </c>
      <c r="DD24" s="138"/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223">
        <f>((HE26*HE42)*HE38*HE33*10^-3*HE32*HE27)/(HE31*HE41*(1-EXP(-HE27*HE32)))</f>
        <v>3.1571716051091595E-4</v>
      </c>
      <c r="HF24" s="221" t="s">
        <v>596</v>
      </c>
    </row>
    <row r="25" spans="1:214" ht="15" thickTop="1" x14ac:dyDescent="0.2">
      <c r="A25" s="83" t="s">
        <v>254</v>
      </c>
      <c r="B25" s="183">
        <v>1.817564</v>
      </c>
      <c r="C25" s="83" t="s">
        <v>351</v>
      </c>
      <c r="D25" s="83" t="s">
        <v>376</v>
      </c>
      <c r="E25" s="146">
        <f>B61</f>
        <v>0.23</v>
      </c>
      <c r="G25" s="83" t="s">
        <v>400</v>
      </c>
      <c r="H25" s="149">
        <f>(H29*H26*H68)+(H30*H27*H69)</f>
        <v>8250</v>
      </c>
      <c r="I25" s="92" t="s">
        <v>347</v>
      </c>
      <c r="J25" s="83" t="s">
        <v>446</v>
      </c>
      <c r="K25" s="149">
        <f>(K31*K26*K51)+(K32*K27*K52)</f>
        <v>8250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1.1006039607724479E-4</v>
      </c>
      <c r="X25" s="62" t="s">
        <v>289</v>
      </c>
      <c r="Y25" s="202" t="s">
        <v>16</v>
      </c>
      <c r="Z25" s="187">
        <f>1/((1/Z41)+(1/Z40))</f>
        <v>1.1006039607724479E-4</v>
      </c>
      <c r="AA25" s="63" t="s">
        <v>289</v>
      </c>
      <c r="AB25" s="91" t="s">
        <v>231</v>
      </c>
      <c r="AC25" s="136">
        <f>B30</f>
        <v>30.167100000000001</v>
      </c>
      <c r="AD25" s="136">
        <f>B30</f>
        <v>30.167100000000001</v>
      </c>
      <c r="AE25" s="136">
        <f>B30</f>
        <v>30.167100000000001</v>
      </c>
      <c r="AF25" s="136">
        <f>B30</f>
        <v>30.167100000000001</v>
      </c>
      <c r="AG25" s="136">
        <f>B30</f>
        <v>30.167100000000001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B111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B118</f>
        <v>5</v>
      </c>
      <c r="CA25" s="94" t="s">
        <v>194</v>
      </c>
      <c r="CB25" s="91" t="s">
        <v>231</v>
      </c>
      <c r="CC25" s="136">
        <f>B30</f>
        <v>30.167100000000001</v>
      </c>
      <c r="CD25" s="52" t="s">
        <v>60</v>
      </c>
      <c r="CE25" s="91" t="s">
        <v>231</v>
      </c>
      <c r="CF25" s="136">
        <f>B30</f>
        <v>30.167100000000001</v>
      </c>
      <c r="CG25" s="52" t="s">
        <v>60</v>
      </c>
      <c r="CK25" s="52" t="s">
        <v>140</v>
      </c>
      <c r="CL25" s="138">
        <f>B113</f>
        <v>55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8625</v>
      </c>
      <c r="CV25" s="83" t="s">
        <v>346</v>
      </c>
      <c r="CW25" s="83" t="s">
        <v>475</v>
      </c>
      <c r="CX25" s="146">
        <f>B163</f>
        <v>0.15</v>
      </c>
      <c r="CZ25" s="83" t="s">
        <v>43</v>
      </c>
      <c r="DA25" s="140">
        <f>(DA35*DA29*(DA38/24)*DA49)+(DA36*DA30*(DA39/24)*DA50)</f>
        <v>1387.5</v>
      </c>
      <c r="DB25" s="83" t="s">
        <v>426</v>
      </c>
      <c r="DF25" s="52" t="s">
        <v>33</v>
      </c>
      <c r="DG25" s="136">
        <f>B44</f>
        <v>2.9000000000000001E-2</v>
      </c>
      <c r="DO25" s="83" t="s">
        <v>32</v>
      </c>
      <c r="DP25" s="136">
        <f>B43</f>
        <v>2.5229999999999999E-2</v>
      </c>
      <c r="EA25" s="83"/>
      <c r="EC25" s="84"/>
      <c r="ED25" s="83" t="s">
        <v>33</v>
      </c>
      <c r="EE25" s="136">
        <f>B44</f>
        <v>2.9000000000000001E-2</v>
      </c>
      <c r="EF25" s="84"/>
      <c r="EP25" s="83"/>
      <c r="ER25" s="84"/>
      <c r="ES25" s="83" t="s">
        <v>33</v>
      </c>
      <c r="ET25" s="136">
        <f>B44</f>
        <v>2.9000000000000001E-2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B44</f>
        <v>2.9000000000000001E-2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B44</f>
        <v>2.9000000000000001E-2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B44</f>
        <v>2.9000000000000001E-2</v>
      </c>
      <c r="HC25" s="84"/>
      <c r="HD25" s="89" t="s">
        <v>21</v>
      </c>
      <c r="HE25" s="150">
        <f>B46</f>
        <v>7.4000074000074001</v>
      </c>
      <c r="HF25" s="83" t="s">
        <v>291</v>
      </c>
    </row>
    <row r="26" spans="1:214" ht="13.5" thickBot="1" x14ac:dyDescent="0.25">
      <c r="A26" s="83" t="s">
        <v>255</v>
      </c>
      <c r="B26" s="183">
        <v>2.8393600000000001</v>
      </c>
      <c r="C26" s="83" t="s">
        <v>351</v>
      </c>
      <c r="D26" s="83" t="s">
        <v>377</v>
      </c>
      <c r="E26" s="146">
        <f>B62</f>
        <v>0.77</v>
      </c>
      <c r="G26" s="83" t="s">
        <v>401</v>
      </c>
      <c r="H26" s="146">
        <f>B149</f>
        <v>55</v>
      </c>
      <c r="I26" s="92" t="s">
        <v>221</v>
      </c>
      <c r="J26" s="83" t="s">
        <v>399</v>
      </c>
      <c r="K26" s="146">
        <f>B57</f>
        <v>55</v>
      </c>
      <c r="L26" s="92" t="s">
        <v>221</v>
      </c>
      <c r="M26" s="83" t="s">
        <v>22</v>
      </c>
      <c r="N26" s="137">
        <f>0.693/N27</f>
        <v>2.2972045705420805E-2</v>
      </c>
      <c r="P26" s="83" t="s">
        <v>22</v>
      </c>
      <c r="Q26" s="137">
        <f>0.693/Q27</f>
        <v>2.2972045705420805E-2</v>
      </c>
      <c r="V26" s="201" t="s">
        <v>15</v>
      </c>
      <c r="W26" s="75">
        <f>1/((1/W38)+(1/W39))</f>
        <v>1.0880586459918317E-4</v>
      </c>
      <c r="X26" s="76" t="s">
        <v>289</v>
      </c>
      <c r="Y26" s="203" t="s">
        <v>15</v>
      </c>
      <c r="Z26" s="185">
        <f>1/((1/Z38)+(1/Z39))</f>
        <v>1.0880586459918317E-4</v>
      </c>
      <c r="AA26" s="77" t="s">
        <v>289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2.2972045705420805E-2</v>
      </c>
      <c r="AL26" s="83" t="s">
        <v>22</v>
      </c>
      <c r="AM26" s="137">
        <f>0.693/AM27</f>
        <v>2.2972045705420805E-2</v>
      </c>
      <c r="AR26" s="83" t="s">
        <v>22</v>
      </c>
      <c r="AS26" s="137">
        <f>0.693/AS27</f>
        <v>2.2972045705420805E-2</v>
      </c>
      <c r="AU26" s="83" t="s">
        <v>22</v>
      </c>
      <c r="AV26" s="137">
        <f>0.693/AV27</f>
        <v>2.2972045705420805E-2</v>
      </c>
      <c r="BA26" s="83" t="s">
        <v>22</v>
      </c>
      <c r="BB26" s="137">
        <f>0.693/BB27</f>
        <v>2.2972045705420805E-2</v>
      </c>
      <c r="BD26" s="83" t="s">
        <v>22</v>
      </c>
      <c r="BE26" s="137">
        <f>0.693/BE27</f>
        <v>2.2972045705420805E-2</v>
      </c>
      <c r="BJ26" s="83" t="s">
        <v>22</v>
      </c>
      <c r="BK26" s="137">
        <f>0.693/BK27</f>
        <v>2.2972045705420805E-2</v>
      </c>
      <c r="BM26" s="83" t="s">
        <v>22</v>
      </c>
      <c r="BN26" s="137">
        <f>0.693/BN27</f>
        <v>2.2972045705420805E-2</v>
      </c>
      <c r="BS26" s="91" t="s">
        <v>309</v>
      </c>
      <c r="BT26" s="177">
        <f>B112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B116</f>
        <v>5</v>
      </c>
      <c r="CA26" s="94" t="s">
        <v>194</v>
      </c>
      <c r="CB26" s="52" t="s">
        <v>140</v>
      </c>
      <c r="CC26" s="138">
        <f>B113</f>
        <v>55</v>
      </c>
      <c r="CD26" s="52" t="s">
        <v>24</v>
      </c>
      <c r="CE26" s="52" t="s">
        <v>140</v>
      </c>
      <c r="CF26" s="138">
        <f>B113</f>
        <v>55</v>
      </c>
      <c r="CG26" s="52" t="s">
        <v>24</v>
      </c>
      <c r="CK26" s="52" t="s">
        <v>160</v>
      </c>
      <c r="CL26" s="162">
        <f>B134</f>
        <v>3</v>
      </c>
      <c r="CM26" s="52" t="s">
        <v>221</v>
      </c>
      <c r="CN26" s="52" t="s">
        <v>33</v>
      </c>
      <c r="CO26" s="136">
        <f>B44</f>
        <v>2.9000000000000001E-2</v>
      </c>
      <c r="CT26" s="83" t="s">
        <v>506</v>
      </c>
      <c r="CU26" s="155">
        <f>((CU31*CU29*CU47)+(CU32*CU30*CU48))</f>
        <v>1387.5</v>
      </c>
      <c r="CV26" s="52" t="s">
        <v>426</v>
      </c>
      <c r="CW26" s="83" t="s">
        <v>476</v>
      </c>
      <c r="CX26" s="141">
        <f>B164</f>
        <v>0.85</v>
      </c>
      <c r="CY26" s="83"/>
      <c r="CZ26" s="83" t="s">
        <v>142</v>
      </c>
      <c r="DA26" s="149">
        <f>(DA35*DA40*DA42*DA49)+(DA36*DA41*DA43*DA50)</f>
        <v>570</v>
      </c>
      <c r="DB26" s="52" t="s">
        <v>356</v>
      </c>
      <c r="DG26" s="138"/>
      <c r="DO26" s="83" t="s">
        <v>393</v>
      </c>
      <c r="DP26" s="138">
        <f>B47</f>
        <v>0.26</v>
      </c>
      <c r="EA26" s="83"/>
      <c r="EB26" s="84"/>
      <c r="EC26" s="84"/>
      <c r="ED26" s="83" t="s">
        <v>392</v>
      </c>
      <c r="EE26" s="163">
        <f>B48</f>
        <v>0.25</v>
      </c>
      <c r="EF26" s="84"/>
      <c r="EP26" s="83"/>
      <c r="EQ26" s="84"/>
      <c r="ER26" s="84"/>
      <c r="ES26" s="83" t="s">
        <v>392</v>
      </c>
      <c r="ET26" s="163">
        <f>B48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B48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B48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B48</f>
        <v>0.25</v>
      </c>
      <c r="HC26" s="84"/>
      <c r="HD26" s="84" t="s">
        <v>265</v>
      </c>
      <c r="HE26" s="139">
        <f>H2</f>
        <v>5.8781553687358809E-2</v>
      </c>
      <c r="HF26" s="83" t="s">
        <v>291</v>
      </c>
    </row>
    <row r="27" spans="1:214" ht="12.75" customHeight="1" thickTop="1" x14ac:dyDescent="0.2">
      <c r="A27" s="83" t="s">
        <v>256</v>
      </c>
      <c r="B27" s="183">
        <v>4763.3999999999996</v>
      </c>
      <c r="C27" s="83" t="s">
        <v>351</v>
      </c>
      <c r="D27" s="95" t="s">
        <v>287</v>
      </c>
      <c r="E27" s="176">
        <v>27.027027027027</v>
      </c>
      <c r="F27" s="52" t="s">
        <v>288</v>
      </c>
      <c r="G27" s="83" t="s">
        <v>402</v>
      </c>
      <c r="H27" s="146">
        <f>B60</f>
        <v>55</v>
      </c>
      <c r="I27" s="92" t="s">
        <v>221</v>
      </c>
      <c r="J27" s="83" t="s">
        <v>310</v>
      </c>
      <c r="K27" s="146">
        <f>B58</f>
        <v>55</v>
      </c>
      <c r="L27" s="92" t="s">
        <v>221</v>
      </c>
      <c r="M27" s="91" t="s">
        <v>231</v>
      </c>
      <c r="N27" s="136">
        <f>B30</f>
        <v>30.167100000000001</v>
      </c>
      <c r="O27" s="52" t="s">
        <v>60</v>
      </c>
      <c r="P27" s="91" t="s">
        <v>231</v>
      </c>
      <c r="Q27" s="136">
        <f>B30</f>
        <v>30.167100000000001</v>
      </c>
      <c r="R27" s="52" t="s">
        <v>60</v>
      </c>
      <c r="V27" s="52" t="s">
        <v>267</v>
      </c>
      <c r="W27" s="136">
        <f>B17</f>
        <v>1</v>
      </c>
      <c r="X27" s="52" t="s">
        <v>344</v>
      </c>
      <c r="Y27" s="52" t="s">
        <v>267</v>
      </c>
      <c r="Z27" s="136">
        <f>B17</f>
        <v>1</v>
      </c>
      <c r="AA27" s="52" t="s">
        <v>344</v>
      </c>
      <c r="AB27" s="84" t="s">
        <v>16</v>
      </c>
      <c r="AC27" s="156">
        <f>(AC23*AC24)/(1-EXP(-AC24*AC23))</f>
        <v>1.0115299987062558</v>
      </c>
      <c r="AD27" s="156">
        <f>(AD23*AD24)/(1-EXP(-AD24*AD23))</f>
        <v>1.0115299987062558</v>
      </c>
      <c r="AE27" s="156">
        <f>(AE23*AE24)/(1-EXP(-AE24*AE23))</f>
        <v>1.0115299987062558</v>
      </c>
      <c r="AF27" s="156">
        <f>(AF23*AF24)/(1-EXP(-AF24*AF23))</f>
        <v>1.0115299987062558</v>
      </c>
      <c r="AG27" s="156">
        <f>(AG23*AG24)/(1-EXP(-AG24*AG23))</f>
        <v>1.0115299987062558</v>
      </c>
      <c r="AI27" s="91" t="s">
        <v>231</v>
      </c>
      <c r="AJ27" s="136">
        <f>B30</f>
        <v>30.167100000000001</v>
      </c>
      <c r="AK27" s="52" t="s">
        <v>60</v>
      </c>
      <c r="AL27" s="91" t="s">
        <v>231</v>
      </c>
      <c r="AM27" s="136">
        <f>B30</f>
        <v>30.167100000000001</v>
      </c>
      <c r="AN27" s="52" t="s">
        <v>60</v>
      </c>
      <c r="AR27" s="91" t="s">
        <v>231</v>
      </c>
      <c r="AS27" s="136">
        <f>B30</f>
        <v>30.167100000000001</v>
      </c>
      <c r="AT27" s="52" t="s">
        <v>60</v>
      </c>
      <c r="AU27" s="91" t="s">
        <v>231</v>
      </c>
      <c r="AV27" s="136">
        <f>B30</f>
        <v>30.167100000000001</v>
      </c>
      <c r="AW27" s="52" t="s">
        <v>60</v>
      </c>
      <c r="BA27" s="91" t="s">
        <v>231</v>
      </c>
      <c r="BB27" s="136">
        <f>B30</f>
        <v>30.167100000000001</v>
      </c>
      <c r="BC27" s="52" t="s">
        <v>60</v>
      </c>
      <c r="BD27" s="91" t="s">
        <v>231</v>
      </c>
      <c r="BE27" s="136">
        <f>B30</f>
        <v>30.167100000000001</v>
      </c>
      <c r="BF27" s="52" t="s">
        <v>60</v>
      </c>
      <c r="BJ27" s="91" t="s">
        <v>231</v>
      </c>
      <c r="BK27" s="136">
        <f>B30</f>
        <v>30.167100000000001</v>
      </c>
      <c r="BL27" s="52" t="s">
        <v>60</v>
      </c>
      <c r="BM27" s="91" t="s">
        <v>231</v>
      </c>
      <c r="BN27" s="136">
        <f>B30</f>
        <v>30.167100000000001</v>
      </c>
      <c r="BO27" s="52" t="s">
        <v>60</v>
      </c>
      <c r="BS27" s="95" t="s">
        <v>287</v>
      </c>
      <c r="BT27" s="176">
        <v>27.027027027027</v>
      </c>
      <c r="BU27" s="52" t="s">
        <v>288</v>
      </c>
      <c r="BW27" s="138">
        <v>1000</v>
      </c>
      <c r="BX27" s="52" t="s">
        <v>218</v>
      </c>
      <c r="BY27" s="83" t="s">
        <v>90</v>
      </c>
      <c r="BZ27" s="150">
        <f>B117</f>
        <v>5</v>
      </c>
      <c r="CA27" s="52" t="s">
        <v>194</v>
      </c>
      <c r="CB27" s="52" t="s">
        <v>51</v>
      </c>
      <c r="CC27" s="138">
        <f>B127</f>
        <v>1</v>
      </c>
      <c r="CD27" s="52" t="s">
        <v>146</v>
      </c>
      <c r="CE27" s="52" t="s">
        <v>51</v>
      </c>
      <c r="CF27" s="138">
        <f>B127</f>
        <v>1</v>
      </c>
      <c r="CG27" s="52" t="s">
        <v>146</v>
      </c>
      <c r="CK27" s="95" t="s">
        <v>287</v>
      </c>
      <c r="CL27" s="176">
        <v>27.027027027027</v>
      </c>
      <c r="CM27" s="52" t="s">
        <v>288</v>
      </c>
      <c r="CN27" s="52" t="s">
        <v>392</v>
      </c>
      <c r="CO27" s="162">
        <f>B48</f>
        <v>0.25</v>
      </c>
      <c r="CT27" s="83" t="s">
        <v>449</v>
      </c>
      <c r="CU27" s="146">
        <f>B141</f>
        <v>100</v>
      </c>
      <c r="CV27" s="84" t="s">
        <v>48</v>
      </c>
      <c r="CW27" s="95" t="s">
        <v>287</v>
      </c>
      <c r="CX27" s="176">
        <v>27.027027027027</v>
      </c>
      <c r="CY27" s="52" t="s">
        <v>288</v>
      </c>
      <c r="CZ27" s="92" t="s">
        <v>451</v>
      </c>
      <c r="DA27" s="142">
        <f t="shared" ref="DA27:DA34" si="0">B143</f>
        <v>0.25</v>
      </c>
      <c r="DB27" s="83" t="s">
        <v>28</v>
      </c>
      <c r="DG27" s="138"/>
      <c r="DW27" s="88"/>
      <c r="DX27" s="88"/>
      <c r="DY27" s="88"/>
      <c r="DZ27" s="88"/>
      <c r="EA27" s="83"/>
      <c r="EB27" s="85"/>
      <c r="ED27" s="83" t="s">
        <v>517</v>
      </c>
      <c r="EE27" s="136">
        <f>B36</f>
        <v>4.5999999999999999E-3</v>
      </c>
      <c r="EF27" s="52" t="s">
        <v>601</v>
      </c>
      <c r="EP27" s="83"/>
      <c r="EQ27" s="86"/>
      <c r="ES27" s="83" t="s">
        <v>236</v>
      </c>
      <c r="ET27" s="169">
        <f>B37</f>
        <v>2.1999999999999999E-2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B39</f>
        <v>0.4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B38</f>
        <v>2.7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B40</f>
        <v>0.2</v>
      </c>
      <c r="HC27" s="52" t="s">
        <v>388</v>
      </c>
      <c r="HD27" s="83" t="s">
        <v>22</v>
      </c>
      <c r="HE27" s="137">
        <f>0.693/HE29</f>
        <v>2.2972045705420805E-2</v>
      </c>
    </row>
    <row r="28" spans="1:214" x14ac:dyDescent="0.2">
      <c r="A28" s="91" t="s">
        <v>257</v>
      </c>
      <c r="B28" s="183">
        <v>10.292680000000001</v>
      </c>
      <c r="C28" s="84" t="s">
        <v>259</v>
      </c>
      <c r="G28" s="83" t="s">
        <v>65</v>
      </c>
      <c r="H28" s="141">
        <f>B75</f>
        <v>0.5</v>
      </c>
      <c r="I28" s="52" t="s">
        <v>66</v>
      </c>
      <c r="J28" s="83" t="s">
        <v>447</v>
      </c>
      <c r="K28" s="149">
        <f>(K31*K29*K51)+(K32*K30*K52)</f>
        <v>8250</v>
      </c>
      <c r="L28" s="92" t="s">
        <v>347</v>
      </c>
      <c r="M28" s="52" t="s">
        <v>382</v>
      </c>
      <c r="N28" s="138">
        <f>B68</f>
        <v>150</v>
      </c>
      <c r="O28" s="52" t="s">
        <v>24</v>
      </c>
      <c r="P28" s="52" t="s">
        <v>382</v>
      </c>
      <c r="Q28" s="138">
        <f>B68</f>
        <v>150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B237</f>
        <v>125</v>
      </c>
      <c r="AK28" s="52" t="s">
        <v>24</v>
      </c>
      <c r="AL28" s="52" t="s">
        <v>35</v>
      </c>
      <c r="AM28" s="138">
        <f>B237</f>
        <v>125</v>
      </c>
      <c r="AN28" s="52" t="s">
        <v>24</v>
      </c>
      <c r="AR28" s="52" t="s">
        <v>423</v>
      </c>
      <c r="AS28" s="138">
        <f>B247</f>
        <v>125</v>
      </c>
      <c r="AT28" s="52" t="s">
        <v>24</v>
      </c>
      <c r="AU28" s="52" t="s">
        <v>423</v>
      </c>
      <c r="AV28" s="138">
        <f>B247</f>
        <v>125</v>
      </c>
      <c r="AW28" s="52" t="s">
        <v>24</v>
      </c>
      <c r="BA28" s="52" t="s">
        <v>316</v>
      </c>
      <c r="BB28" s="138">
        <f>B227</f>
        <v>125</v>
      </c>
      <c r="BC28" s="52" t="s">
        <v>24</v>
      </c>
      <c r="BD28" s="52" t="s">
        <v>316</v>
      </c>
      <c r="BE28" s="138">
        <f>B227</f>
        <v>125</v>
      </c>
      <c r="BF28" s="52" t="s">
        <v>24</v>
      </c>
      <c r="BJ28" s="52" t="s">
        <v>191</v>
      </c>
      <c r="BK28" s="138">
        <f>BK29*BK30</f>
        <v>75</v>
      </c>
      <c r="BL28" s="52" t="s">
        <v>24</v>
      </c>
      <c r="BM28" s="52" t="s">
        <v>191</v>
      </c>
      <c r="BN28" s="138">
        <f>BN29*BN30</f>
        <v>75</v>
      </c>
      <c r="BO28" s="52" t="s">
        <v>24</v>
      </c>
      <c r="BS28" s="96"/>
      <c r="BV28" s="83"/>
      <c r="BW28" s="146">
        <v>365</v>
      </c>
      <c r="BX28" s="84" t="s">
        <v>24</v>
      </c>
      <c r="BY28" s="83" t="s">
        <v>302</v>
      </c>
      <c r="BZ28" s="161">
        <f>B3</f>
        <v>8.5099999999999995E-2</v>
      </c>
      <c r="CB28" s="52" t="s">
        <v>300</v>
      </c>
      <c r="CC28" s="136">
        <f>B12</f>
        <v>2.6599999999999999E-2</v>
      </c>
      <c r="CE28" s="52" t="s">
        <v>300</v>
      </c>
      <c r="CF28" s="136">
        <f>B8</f>
        <v>5.0099999999999999E-2</v>
      </c>
      <c r="CN28" s="52" t="s">
        <v>165</v>
      </c>
      <c r="CO28" s="162">
        <f>B135</f>
        <v>2</v>
      </c>
      <c r="CP28" s="52" t="s">
        <v>246</v>
      </c>
      <c r="CT28" s="83" t="s">
        <v>458</v>
      </c>
      <c r="CU28" s="146">
        <f>B142</f>
        <v>50</v>
      </c>
      <c r="CV28" s="84" t="s">
        <v>48</v>
      </c>
      <c r="CZ28" s="92" t="s">
        <v>460</v>
      </c>
      <c r="DA28" s="142">
        <f t="shared" si="0"/>
        <v>1.5</v>
      </c>
      <c r="DB28" s="83" t="s">
        <v>28</v>
      </c>
      <c r="DW28" s="88"/>
      <c r="DX28" s="88"/>
      <c r="DY28" s="88"/>
      <c r="DZ28" s="88"/>
      <c r="ET28" s="138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227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D28" s="52" t="s">
        <v>16</v>
      </c>
      <c r="HE28" s="137">
        <f>1-EXP(-HE27*HE32)</f>
        <v>2.2710197161529555E-2</v>
      </c>
    </row>
    <row r="29" spans="1:214" ht="15.75" thickBot="1" x14ac:dyDescent="0.25">
      <c r="A29" s="83" t="s">
        <v>258</v>
      </c>
      <c r="B29" s="183">
        <v>4.9109405245458101E-5</v>
      </c>
      <c r="C29" s="92" t="s">
        <v>259</v>
      </c>
      <c r="G29" s="83" t="s">
        <v>380</v>
      </c>
      <c r="H29" s="150">
        <f>B66</f>
        <v>150</v>
      </c>
      <c r="I29" s="83" t="s">
        <v>24</v>
      </c>
      <c r="J29" s="83" t="s">
        <v>401</v>
      </c>
      <c r="K29" s="146">
        <f>B59</f>
        <v>55</v>
      </c>
      <c r="L29" s="92" t="s">
        <v>221</v>
      </c>
      <c r="M29" s="52" t="s">
        <v>379</v>
      </c>
      <c r="N29" s="138">
        <f>B65</f>
        <v>1</v>
      </c>
      <c r="O29" s="52" t="s">
        <v>146</v>
      </c>
      <c r="P29" s="52" t="s">
        <v>379</v>
      </c>
      <c r="Q29" s="138">
        <f>B65</f>
        <v>1</v>
      </c>
      <c r="R29" s="52" t="s">
        <v>146</v>
      </c>
      <c r="V29" s="83" t="s">
        <v>22</v>
      </c>
      <c r="W29" s="137">
        <f>0.693/W30</f>
        <v>2.2972045705420805E-2</v>
      </c>
      <c r="Y29" s="83" t="s">
        <v>22</v>
      </c>
      <c r="Z29" s="137">
        <f>0.693/Z30</f>
        <v>2.2972045705420805E-2</v>
      </c>
      <c r="AB29" s="83" t="s">
        <v>260</v>
      </c>
      <c r="AC29" s="143">
        <f>((AC5/(AC8*AC13*AC7*AC9*(1/AC6)))*AC27)/AC35</f>
        <v>119.00352925955963</v>
      </c>
      <c r="AD29" s="143">
        <f>((AD5/(AD8*AD13*AD7*AD9*(1/AD6)))*AD27)/AD35</f>
        <v>119.00352925955963</v>
      </c>
      <c r="AE29" s="143">
        <f>((AE5/(AE8*AE13*AE7*AE9*(1/AE6)))*AE27)/AE35</f>
        <v>119.00352925955963</v>
      </c>
      <c r="AF29" s="143">
        <f>((AF5*AF23*AF24)/((1-EXP(-AF24*AF23))*AF8*AF7*AF9*AF13*(1/AF28)))/AF35</f>
        <v>29.750882314889903</v>
      </c>
      <c r="AG29" s="143">
        <f>((AG5*AG23*AG24)/((1-EXP(-AG24*AG23))*AG8*AG7*AG9*AG13*(1/AG28)))/AG35</f>
        <v>29.750882314889903</v>
      </c>
      <c r="AH29" s="83" t="s">
        <v>290</v>
      </c>
      <c r="AI29" s="52" t="s">
        <v>420</v>
      </c>
      <c r="AJ29" s="138">
        <f>B238</f>
        <v>1</v>
      </c>
      <c r="AK29" s="52" t="s">
        <v>146</v>
      </c>
      <c r="AL29" s="52" t="s">
        <v>420</v>
      </c>
      <c r="AM29" s="138">
        <f>B238</f>
        <v>1</v>
      </c>
      <c r="AN29" s="52" t="s">
        <v>146</v>
      </c>
      <c r="AR29" s="52" t="s">
        <v>424</v>
      </c>
      <c r="AS29" s="138">
        <f>B248</f>
        <v>1</v>
      </c>
      <c r="AT29" s="52" t="s">
        <v>146</v>
      </c>
      <c r="AU29" s="52" t="s">
        <v>424</v>
      </c>
      <c r="AV29" s="138">
        <f>B248</f>
        <v>1</v>
      </c>
      <c r="AW29" s="52" t="s">
        <v>146</v>
      </c>
      <c r="BA29" s="52" t="s">
        <v>422</v>
      </c>
      <c r="BB29" s="138">
        <f>B228</f>
        <v>1</v>
      </c>
      <c r="BC29" s="52" t="s">
        <v>146</v>
      </c>
      <c r="BD29" s="52" t="s">
        <v>422</v>
      </c>
      <c r="BE29" s="138">
        <f>B228</f>
        <v>1</v>
      </c>
      <c r="BF29" s="52" t="s">
        <v>146</v>
      </c>
      <c r="BJ29" s="52" t="s">
        <v>220</v>
      </c>
      <c r="BK29" s="138">
        <f>B266</f>
        <v>25</v>
      </c>
      <c r="BL29" s="52" t="s">
        <v>113</v>
      </c>
      <c r="BM29" s="52" t="s">
        <v>220</v>
      </c>
      <c r="BN29" s="138">
        <f>B266</f>
        <v>25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61">
        <f>B4</f>
        <v>0.74199999999999999</v>
      </c>
      <c r="CB29" s="52" t="s">
        <v>411</v>
      </c>
      <c r="CC29" s="136">
        <f>B13</f>
        <v>0.46500000000000002</v>
      </c>
      <c r="CE29" s="52" t="s">
        <v>418</v>
      </c>
      <c r="CF29" s="136">
        <f>B9</f>
        <v>0.72599999999999998</v>
      </c>
      <c r="CN29" s="52" t="s">
        <v>166</v>
      </c>
      <c r="CO29" s="162">
        <f>B136</f>
        <v>2</v>
      </c>
      <c r="CP29" s="52" t="s">
        <v>246</v>
      </c>
      <c r="CT29" s="83" t="s">
        <v>450</v>
      </c>
      <c r="CU29" s="141">
        <f>B145</f>
        <v>5</v>
      </c>
      <c r="CV29" s="92" t="s">
        <v>407</v>
      </c>
      <c r="CZ29" s="92" t="s">
        <v>450</v>
      </c>
      <c r="DA29" s="142">
        <f t="shared" si="0"/>
        <v>5</v>
      </c>
      <c r="DB29" s="83" t="s">
        <v>143</v>
      </c>
      <c r="DW29" s="88"/>
      <c r="DX29" s="88"/>
      <c r="DY29" s="88"/>
      <c r="DZ29" s="88"/>
      <c r="ET29" s="13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B30</f>
        <v>30.167100000000001</v>
      </c>
      <c r="HF29" s="52" t="s">
        <v>60</v>
      </c>
    </row>
    <row r="30" spans="1:214" ht="19.5" thickTop="1" thickBot="1" x14ac:dyDescent="0.25">
      <c r="A30" s="91" t="s">
        <v>231</v>
      </c>
      <c r="B30" s="183">
        <v>30.167100000000001</v>
      </c>
      <c r="C30" s="52" t="s">
        <v>235</v>
      </c>
      <c r="D30" s="353" t="s">
        <v>528</v>
      </c>
      <c r="E30" s="354"/>
      <c r="F30" s="355"/>
      <c r="G30" s="83" t="s">
        <v>381</v>
      </c>
      <c r="H30" s="150">
        <f>B67</f>
        <v>150</v>
      </c>
      <c r="I30" s="83" t="s">
        <v>24</v>
      </c>
      <c r="J30" s="83" t="s">
        <v>402</v>
      </c>
      <c r="K30" s="146">
        <f>B60</f>
        <v>55</v>
      </c>
      <c r="L30" s="92" t="s">
        <v>221</v>
      </c>
      <c r="M30" s="52" t="s">
        <v>299</v>
      </c>
      <c r="N30" s="138">
        <f>B73</f>
        <v>1</v>
      </c>
      <c r="P30" s="52" t="s">
        <v>299</v>
      </c>
      <c r="Q30" s="138">
        <f>B73</f>
        <v>1</v>
      </c>
      <c r="V30" s="91" t="s">
        <v>231</v>
      </c>
      <c r="W30" s="136">
        <f>B30</f>
        <v>30.167100000000001</v>
      </c>
      <c r="X30" s="52" t="s">
        <v>60</v>
      </c>
      <c r="Y30" s="91" t="s">
        <v>231</v>
      </c>
      <c r="Z30" s="136">
        <f>B30</f>
        <v>30.167100000000001</v>
      </c>
      <c r="AA30" s="52" t="s">
        <v>60</v>
      </c>
      <c r="AB30" s="83" t="s">
        <v>261</v>
      </c>
      <c r="AC30" s="144">
        <f>((AC5/(AC19*AC15*AC7*AC9*(1/AC32)*((8/1)/(24/1))*AC28))*AC27)/AC35</f>
        <v>158394.41677594252</v>
      </c>
      <c r="AD30" s="144">
        <f>((AD5/(AD19*AD15*AD7*((8/1)/(24/1))*AD9*(1/AD32)*AD28))*AD27)/AD35</f>
        <v>158394.41677594252</v>
      </c>
      <c r="AE30" s="144">
        <f>((AE5/(AE19*AE15*AE7*((8/1)/(24/1))*AE9*(1/AE32)*AE28))*AE27)/AE35</f>
        <v>158394.41677594252</v>
      </c>
      <c r="AF30" s="144">
        <f>((AF5*AF23*AF24)/((1-EXP(-AF24*AF23))*AF19*AF7*AF9*(AF12/24)*AF15*(1/AF33)*AF28))/AF35</f>
        <v>144.69864530253361</v>
      </c>
      <c r="AG30" s="144">
        <f>((AG5*AG23*AG24)/((1-EXP(-AG24*AG23))*AG19*AG7*AG9*(AG12/24)*AG15*(1/AG34)*AG28))/AG35</f>
        <v>12968.050742244868</v>
      </c>
      <c r="AH30" s="83" t="s">
        <v>290</v>
      </c>
      <c r="AI30" s="52" t="s">
        <v>299</v>
      </c>
      <c r="AJ30" s="138">
        <f>B241</f>
        <v>1</v>
      </c>
      <c r="AL30" s="52" t="s">
        <v>299</v>
      </c>
      <c r="AM30" s="138">
        <f>B241</f>
        <v>1</v>
      </c>
      <c r="AR30" s="52" t="s">
        <v>299</v>
      </c>
      <c r="AS30" s="138">
        <f>B251</f>
        <v>1</v>
      </c>
      <c r="AV30" s="138"/>
      <c r="BA30" s="52" t="s">
        <v>299</v>
      </c>
      <c r="BB30" s="138">
        <f>B231</f>
        <v>1</v>
      </c>
      <c r="BD30" s="52" t="s">
        <v>299</v>
      </c>
      <c r="BE30" s="138">
        <f>B231</f>
        <v>1</v>
      </c>
      <c r="BJ30" s="52" t="s">
        <v>219</v>
      </c>
      <c r="BK30" s="138">
        <f>B265</f>
        <v>3</v>
      </c>
      <c r="BL30" s="52" t="s">
        <v>112</v>
      </c>
      <c r="BM30" s="52" t="s">
        <v>219</v>
      </c>
      <c r="BN30" s="138">
        <f>B265</f>
        <v>3</v>
      </c>
      <c r="BO30" s="52" t="s">
        <v>112</v>
      </c>
      <c r="BS30" s="91"/>
      <c r="BT30" s="97"/>
      <c r="BU30" s="91"/>
      <c r="BV30" s="91" t="s">
        <v>308</v>
      </c>
      <c r="BW30" s="146">
        <f>B111</f>
        <v>0.23</v>
      </c>
      <c r="BY30" s="94" t="s">
        <v>95</v>
      </c>
      <c r="BZ30" s="150">
        <f>B127</f>
        <v>1</v>
      </c>
      <c r="CA30" s="94" t="s">
        <v>60</v>
      </c>
      <c r="CB30" s="52" t="s">
        <v>90</v>
      </c>
      <c r="CC30" s="138">
        <f>B118</f>
        <v>5</v>
      </c>
      <c r="CD30" s="52" t="s">
        <v>194</v>
      </c>
      <c r="CE30" s="52" t="s">
        <v>90</v>
      </c>
      <c r="CF30" s="138">
        <f>B118</f>
        <v>5</v>
      </c>
      <c r="CG30" s="52" t="s">
        <v>194</v>
      </c>
      <c r="CM30" s="83"/>
      <c r="CN30" s="93" t="s">
        <v>167</v>
      </c>
      <c r="CO30" s="162">
        <f>B137</f>
        <v>2</v>
      </c>
      <c r="CP30" s="52" t="s">
        <v>41</v>
      </c>
      <c r="CQ30" s="88"/>
      <c r="CR30" s="83"/>
      <c r="CS30" s="83"/>
      <c r="CT30" s="83" t="s">
        <v>459</v>
      </c>
      <c r="CU30" s="141">
        <f>B146</f>
        <v>10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10</v>
      </c>
      <c r="DB30" s="83" t="s">
        <v>143</v>
      </c>
      <c r="DW30" s="88"/>
      <c r="DX30" s="88"/>
      <c r="DY30" s="88"/>
      <c r="DZ30" s="88"/>
      <c r="ET30" s="13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B93</f>
        <v>0.3</v>
      </c>
    </row>
    <row r="31" spans="1:214" x14ac:dyDescent="0.2">
      <c r="A31" s="91" t="s">
        <v>77</v>
      </c>
      <c r="B31" s="183">
        <f>PEF!D3</f>
        <v>1359344473.5814338</v>
      </c>
      <c r="C31" s="52" t="s">
        <v>524</v>
      </c>
      <c r="D31" s="323" t="s">
        <v>530</v>
      </c>
      <c r="E31" s="347">
        <f>E38</f>
        <v>0.14350854001170896</v>
      </c>
      <c r="F31" s="345" t="s">
        <v>290</v>
      </c>
      <c r="G31" s="83" t="s">
        <v>379</v>
      </c>
      <c r="H31" s="150">
        <f>B65</f>
        <v>1</v>
      </c>
      <c r="I31" s="84" t="s">
        <v>60</v>
      </c>
      <c r="J31" s="83" t="s">
        <v>380</v>
      </c>
      <c r="K31" s="150">
        <f>B66</f>
        <v>150</v>
      </c>
      <c r="L31" s="83" t="s">
        <v>24</v>
      </c>
      <c r="M31" s="52" t="s">
        <v>300</v>
      </c>
      <c r="N31" s="136">
        <f>B12</f>
        <v>2.6599999999999999E-2</v>
      </c>
      <c r="P31" s="52" t="s">
        <v>300</v>
      </c>
      <c r="Q31" s="136">
        <f>B8</f>
        <v>5.0099999999999999E-2</v>
      </c>
      <c r="V31" s="52" t="s">
        <v>35</v>
      </c>
      <c r="W31" s="138">
        <f>B237</f>
        <v>125</v>
      </c>
      <c r="X31" s="52" t="s">
        <v>24</v>
      </c>
      <c r="Y31" s="52" t="s">
        <v>191</v>
      </c>
      <c r="Z31" s="138">
        <f>B257</f>
        <v>125</v>
      </c>
      <c r="AA31" s="52" t="s">
        <v>24</v>
      </c>
      <c r="AB31" s="83" t="s">
        <v>262</v>
      </c>
      <c r="AC31" s="145">
        <f>((AC5*AC23*AC24)/((1-EXP(-AC24*AC23))*AC18*AC7*(1/365)*AC12*(1/24)*AC14*AC17))/AC35</f>
        <v>1.625466972734317</v>
      </c>
      <c r="AD31" s="145">
        <f>((AD5*AD23*AD24)/((1-EXP(-AD24*AD23))*AD18*AD7*(1/365)*AD12*(1/24)*AD16*AD17))/AD35</f>
        <v>0.13832723937969035</v>
      </c>
      <c r="AE31" s="145">
        <f>((AE5*AE23*AE24)/((1-EXP(-AE24*AE23))*AE18*AE7*(1/365)*AE12*(1/24)*AE14*AE17))/AE35</f>
        <v>1.625466972734317</v>
      </c>
      <c r="AF31" s="145">
        <f>((AF5*AF23*AF24)/((1-EXP(-AF24*AF23))*AF18*(AF11*AF10)*(1/365)*AF12*(1/24)*AF14*AF17))/AF35</f>
        <v>4.3345785939581791</v>
      </c>
      <c r="AG31" s="145">
        <f>((AG5*AG23*AG24)/((1-EXP(-AG24*AG23))*AG18*AG7*(1/365)*AG9*(AG12/24)*AG14*AG17))/AG35</f>
        <v>2.6007471563749069</v>
      </c>
      <c r="AH31" s="83" t="s">
        <v>290</v>
      </c>
      <c r="AI31" s="52" t="s">
        <v>300</v>
      </c>
      <c r="AJ31" s="136">
        <f>B12</f>
        <v>2.6599999999999999E-2</v>
      </c>
      <c r="AL31" s="52" t="s">
        <v>300</v>
      </c>
      <c r="AM31" s="136">
        <f>B8</f>
        <v>5.0099999999999999E-2</v>
      </c>
      <c r="AR31" s="52" t="s">
        <v>300</v>
      </c>
      <c r="AS31" s="136">
        <f>B12</f>
        <v>2.6599999999999999E-2</v>
      </c>
      <c r="AU31" s="52" t="s">
        <v>300</v>
      </c>
      <c r="AV31" s="136">
        <f>B8</f>
        <v>5.0099999999999999E-2</v>
      </c>
      <c r="BA31" s="52" t="s">
        <v>300</v>
      </c>
      <c r="BB31" s="136">
        <f>B12</f>
        <v>2.6599999999999999E-2</v>
      </c>
      <c r="BD31" s="52" t="s">
        <v>300</v>
      </c>
      <c r="BE31" s="136">
        <f>B8</f>
        <v>5.0099999999999999E-2</v>
      </c>
      <c r="BJ31" s="52" t="s">
        <v>158</v>
      </c>
      <c r="BK31" s="138">
        <f>B258</f>
        <v>1</v>
      </c>
      <c r="BL31" s="52" t="s">
        <v>146</v>
      </c>
      <c r="BM31" s="52" t="s">
        <v>158</v>
      </c>
      <c r="BN31" s="138">
        <f>B258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B112</f>
        <v>0.77</v>
      </c>
      <c r="BZ31" s="150">
        <v>365</v>
      </c>
      <c r="CA31" s="52" t="s">
        <v>24</v>
      </c>
      <c r="CB31" s="52" t="s">
        <v>410</v>
      </c>
      <c r="CC31" s="139">
        <f>B23</f>
        <v>0.64061199999999996</v>
      </c>
      <c r="CD31" s="84" t="s">
        <v>353</v>
      </c>
      <c r="CE31" s="52" t="s">
        <v>419</v>
      </c>
      <c r="CF31" s="139">
        <f>B25</f>
        <v>1.817564</v>
      </c>
      <c r="CG31" s="84" t="s">
        <v>353</v>
      </c>
      <c r="CM31" s="83"/>
      <c r="CN31" s="83" t="s">
        <v>168</v>
      </c>
      <c r="CO31" s="162">
        <f>B138</f>
        <v>2</v>
      </c>
      <c r="CP31" s="52" t="s">
        <v>41</v>
      </c>
      <c r="CQ31" s="83"/>
      <c r="CR31" s="83"/>
      <c r="CS31" s="83"/>
      <c r="CT31" s="83" t="s">
        <v>456</v>
      </c>
      <c r="CU31" s="150">
        <f>B165</f>
        <v>150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55</v>
      </c>
      <c r="DB31" s="83" t="s">
        <v>221</v>
      </c>
      <c r="DW31" s="88"/>
      <c r="DX31" s="88"/>
      <c r="DY31" s="88"/>
      <c r="DZ31" s="88"/>
      <c r="ET31" s="13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B94</f>
        <v>1.5</v>
      </c>
    </row>
    <row r="32" spans="1:214" ht="13.5" thickBot="1" x14ac:dyDescent="0.25">
      <c r="A32" s="91" t="s">
        <v>103</v>
      </c>
      <c r="B32" s="183">
        <f>PEF!G3</f>
        <v>776129.4078035407</v>
      </c>
      <c r="C32" s="52" t="s">
        <v>524</v>
      </c>
      <c r="D32" s="324"/>
      <c r="E32" s="348"/>
      <c r="F32" s="346"/>
      <c r="G32" s="52" t="s">
        <v>403</v>
      </c>
      <c r="H32" s="138">
        <f>B69</f>
        <v>0.25</v>
      </c>
      <c r="I32" s="52" t="s">
        <v>89</v>
      </c>
      <c r="J32" s="83" t="s">
        <v>381</v>
      </c>
      <c r="K32" s="150">
        <f>B67</f>
        <v>150</v>
      </c>
      <c r="L32" s="83" t="s">
        <v>24</v>
      </c>
      <c r="M32" s="52" t="s">
        <v>54</v>
      </c>
      <c r="N32" s="136">
        <f>B13</f>
        <v>0.46500000000000002</v>
      </c>
      <c r="P32" s="52" t="s">
        <v>54</v>
      </c>
      <c r="Q32" s="136">
        <f>B9</f>
        <v>0.72599999999999998</v>
      </c>
      <c r="V32" s="52" t="s">
        <v>420</v>
      </c>
      <c r="W32" s="138">
        <f>B238</f>
        <v>1</v>
      </c>
      <c r="X32" s="52" t="s">
        <v>146</v>
      </c>
      <c r="Y32" s="52" t="s">
        <v>158</v>
      </c>
      <c r="Z32" s="138">
        <f>B258</f>
        <v>1</v>
      </c>
      <c r="AA32" s="52" t="s">
        <v>146</v>
      </c>
      <c r="AB32" s="83" t="s">
        <v>77</v>
      </c>
      <c r="AC32" s="136">
        <f>B31</f>
        <v>1359344473.5814338</v>
      </c>
      <c r="AD32" s="136">
        <f>B31</f>
        <v>1359344473.5814338</v>
      </c>
      <c r="AE32" s="136">
        <f>B31</f>
        <v>1359344473.5814338</v>
      </c>
      <c r="AF32" s="136"/>
      <c r="AG32" s="136"/>
      <c r="AH32" s="104" t="s">
        <v>78</v>
      </c>
      <c r="AI32" s="52" t="s">
        <v>54</v>
      </c>
      <c r="AJ32" s="136">
        <f>B13</f>
        <v>0.46500000000000002</v>
      </c>
      <c r="AL32" s="52" t="s">
        <v>54</v>
      </c>
      <c r="AM32" s="136">
        <f>B9</f>
        <v>0.72599999999999998</v>
      </c>
      <c r="AR32" s="52" t="s">
        <v>54</v>
      </c>
      <c r="AS32" s="136">
        <f>B13</f>
        <v>0.46500000000000002</v>
      </c>
      <c r="AU32" s="52" t="s">
        <v>54</v>
      </c>
      <c r="AV32" s="136">
        <f>B9</f>
        <v>0.72599999999999998</v>
      </c>
      <c r="BA32" s="52" t="s">
        <v>54</v>
      </c>
      <c r="BB32" s="136">
        <f>B13</f>
        <v>0.46500000000000002</v>
      </c>
      <c r="BD32" s="52" t="s">
        <v>54</v>
      </c>
      <c r="BE32" s="136">
        <f>B9</f>
        <v>0.72599999999999998</v>
      </c>
      <c r="BJ32" s="52" t="s">
        <v>300</v>
      </c>
      <c r="BK32" s="136">
        <f>B12</f>
        <v>2.6599999999999999E-2</v>
      </c>
      <c r="BM32" s="52" t="s">
        <v>300</v>
      </c>
      <c r="BN32" s="136">
        <f>B8</f>
        <v>5.0099999999999999E-2</v>
      </c>
      <c r="BS32" s="91"/>
      <c r="BT32" s="99"/>
      <c r="BU32" s="100"/>
      <c r="BV32" s="95" t="s">
        <v>287</v>
      </c>
      <c r="BW32" s="176">
        <v>27.027027027027</v>
      </c>
      <c r="BX32" s="52" t="s">
        <v>288</v>
      </c>
      <c r="BZ32" s="138">
        <v>1000</v>
      </c>
      <c r="CA32" s="52" t="s">
        <v>99</v>
      </c>
      <c r="CB32" s="95" t="s">
        <v>287</v>
      </c>
      <c r="CC32" s="176">
        <v>27.027027027027</v>
      </c>
      <c r="CD32" s="52" t="s">
        <v>288</v>
      </c>
      <c r="CE32" s="95" t="s">
        <v>287</v>
      </c>
      <c r="CF32" s="176">
        <v>27.027027027027</v>
      </c>
      <c r="CG32" s="52" t="s">
        <v>288</v>
      </c>
      <c r="CM32" s="83"/>
      <c r="CN32" s="83" t="s">
        <v>22</v>
      </c>
      <c r="CO32" s="137">
        <f>0.693/CO33</f>
        <v>2.2972045705420805E-2</v>
      </c>
      <c r="CR32" s="83"/>
      <c r="CS32" s="83"/>
      <c r="CT32" s="83" t="s">
        <v>465</v>
      </c>
      <c r="CU32" s="150">
        <f>B166</f>
        <v>150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55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15" customHeight="1" thickTop="1" x14ac:dyDescent="0.2">
      <c r="A33" s="91" t="s">
        <v>104</v>
      </c>
      <c r="B33" s="183">
        <f>PEF!J3</f>
        <v>69557565.807898715</v>
      </c>
      <c r="C33" s="52" t="s">
        <v>524</v>
      </c>
      <c r="D33" s="83" t="s">
        <v>267</v>
      </c>
      <c r="E33" s="136">
        <f>B17</f>
        <v>1</v>
      </c>
      <c r="F33" s="52" t="s">
        <v>344</v>
      </c>
      <c r="G33" s="52" t="s">
        <v>404</v>
      </c>
      <c r="H33" s="138">
        <f>B70</f>
        <v>0.75</v>
      </c>
      <c r="I33" s="52" t="s">
        <v>89</v>
      </c>
      <c r="J33" s="83" t="s">
        <v>379</v>
      </c>
      <c r="K33" s="141">
        <f>B65</f>
        <v>1</v>
      </c>
      <c r="L33" s="92" t="s">
        <v>60</v>
      </c>
      <c r="M33" s="52" t="s">
        <v>408</v>
      </c>
      <c r="N33" s="150">
        <f>B88</f>
        <v>5</v>
      </c>
      <c r="O33" s="52" t="s">
        <v>194</v>
      </c>
      <c r="P33" s="52" t="s">
        <v>408</v>
      </c>
      <c r="Q33" s="150">
        <f>B88</f>
        <v>5</v>
      </c>
      <c r="R33" s="52" t="s">
        <v>194</v>
      </c>
      <c r="V33" s="52" t="s">
        <v>247</v>
      </c>
      <c r="W33" s="139">
        <f>B18</f>
        <v>1.5417408700798101E-4</v>
      </c>
      <c r="X33" s="84" t="s">
        <v>39</v>
      </c>
      <c r="Y33" s="52" t="s">
        <v>247</v>
      </c>
      <c r="Z33" s="139">
        <f>B18</f>
        <v>1.5417408700798101E-4</v>
      </c>
      <c r="AA33" s="84" t="s">
        <v>39</v>
      </c>
      <c r="AB33" s="104" t="s">
        <v>103</v>
      </c>
      <c r="AC33" s="136"/>
      <c r="AD33" s="136"/>
      <c r="AE33" s="136"/>
      <c r="AF33" s="157">
        <f>B32</f>
        <v>776129.4078035407</v>
      </c>
      <c r="AG33" s="136"/>
      <c r="AH33" s="104" t="s">
        <v>78</v>
      </c>
      <c r="AI33" s="52" t="s">
        <v>57</v>
      </c>
      <c r="AJ33" s="136">
        <f>B242</f>
        <v>5</v>
      </c>
      <c r="AK33" s="52" t="s">
        <v>194</v>
      </c>
      <c r="AL33" s="52" t="s">
        <v>57</v>
      </c>
      <c r="AM33" s="136">
        <f>B242</f>
        <v>5</v>
      </c>
      <c r="AN33" s="52" t="s">
        <v>194</v>
      </c>
      <c r="AR33" s="52" t="s">
        <v>57</v>
      </c>
      <c r="AS33" s="136">
        <f>B252</f>
        <v>5</v>
      </c>
      <c r="AT33" s="52" t="s">
        <v>194</v>
      </c>
      <c r="AU33" s="52" t="s">
        <v>57</v>
      </c>
      <c r="AV33" s="136">
        <f>B252</f>
        <v>5</v>
      </c>
      <c r="AW33" s="52" t="s">
        <v>194</v>
      </c>
      <c r="BA33" s="52" t="s">
        <v>58</v>
      </c>
      <c r="BB33" s="136">
        <f>B232</f>
        <v>5</v>
      </c>
      <c r="BC33" s="52" t="s">
        <v>194</v>
      </c>
      <c r="BD33" s="52" t="s">
        <v>57</v>
      </c>
      <c r="BE33" s="136">
        <f>B232</f>
        <v>5</v>
      </c>
      <c r="BF33" s="52" t="s">
        <v>194</v>
      </c>
      <c r="BJ33" s="52" t="s">
        <v>411</v>
      </c>
      <c r="BK33" s="136">
        <f>B13</f>
        <v>0.46500000000000002</v>
      </c>
      <c r="BM33" s="52" t="s">
        <v>418</v>
      </c>
      <c r="BN33" s="136">
        <f>B9</f>
        <v>0.72599999999999998</v>
      </c>
      <c r="BS33" s="91"/>
      <c r="BT33" s="99"/>
      <c r="BU33" s="100"/>
      <c r="BW33" s="90"/>
      <c r="BZ33" s="146">
        <v>1000</v>
      </c>
      <c r="CA33" s="52" t="s">
        <v>23</v>
      </c>
      <c r="CM33" s="83"/>
      <c r="CN33" s="91" t="s">
        <v>231</v>
      </c>
      <c r="CO33" s="136">
        <f>B30</f>
        <v>30.167100000000001</v>
      </c>
      <c r="CP33" s="52" t="s">
        <v>60</v>
      </c>
      <c r="CR33" s="83"/>
      <c r="CS33" s="83"/>
      <c r="CT33" s="83" t="s">
        <v>363</v>
      </c>
      <c r="CU33" s="141">
        <f t="shared" ref="CU33:CU40" si="1">B168</f>
        <v>1</v>
      </c>
      <c r="CV33" s="92" t="s">
        <v>60</v>
      </c>
      <c r="CZ33" s="92" t="s">
        <v>513</v>
      </c>
      <c r="DA33" s="141">
        <f t="shared" si="0"/>
        <v>55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B92</f>
        <v>70</v>
      </c>
    </row>
    <row r="34" spans="1:214" ht="13.5" customHeight="1" x14ac:dyDescent="0.2">
      <c r="A34" s="91" t="s">
        <v>231</v>
      </c>
      <c r="B34" s="183">
        <f>B30*365</f>
        <v>11010.9915</v>
      </c>
      <c r="C34" s="52" t="s">
        <v>222</v>
      </c>
      <c r="D34" s="83" t="s">
        <v>382</v>
      </c>
      <c r="E34" s="150">
        <f>B68</f>
        <v>150</v>
      </c>
      <c r="F34" s="83" t="s">
        <v>24</v>
      </c>
      <c r="G34" s="83" t="s">
        <v>383</v>
      </c>
      <c r="H34" s="150">
        <f>B71</f>
        <v>24</v>
      </c>
      <c r="I34" s="94" t="s">
        <v>194</v>
      </c>
      <c r="J34" s="83" t="s">
        <v>383</v>
      </c>
      <c r="K34" s="150">
        <f>B71</f>
        <v>24</v>
      </c>
      <c r="L34" s="94" t="s">
        <v>194</v>
      </c>
      <c r="M34" s="52" t="s">
        <v>410</v>
      </c>
      <c r="N34" s="139">
        <f>B23</f>
        <v>0.64061199999999996</v>
      </c>
      <c r="O34" s="84" t="s">
        <v>354</v>
      </c>
      <c r="P34" s="52" t="s">
        <v>419</v>
      </c>
      <c r="Q34" s="139">
        <f>B25</f>
        <v>1.817564</v>
      </c>
      <c r="R34" s="84" t="s">
        <v>353</v>
      </c>
      <c r="V34" s="52" t="s">
        <v>421</v>
      </c>
      <c r="W34" s="150">
        <f>B243</f>
        <v>5</v>
      </c>
      <c r="X34" s="84" t="s">
        <v>194</v>
      </c>
      <c r="Y34" s="52" t="s">
        <v>192</v>
      </c>
      <c r="Z34" s="150">
        <f>B262</f>
        <v>5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B33</f>
        <v>69557565.807898715</v>
      </c>
      <c r="AH34" s="104" t="s">
        <v>78</v>
      </c>
      <c r="AI34" s="52" t="s">
        <v>410</v>
      </c>
      <c r="AJ34" s="139">
        <f>B23</f>
        <v>0.64061199999999996</v>
      </c>
      <c r="AK34" s="84" t="s">
        <v>353</v>
      </c>
      <c r="AL34" s="52" t="s">
        <v>419</v>
      </c>
      <c r="AM34" s="139">
        <f>B25</f>
        <v>1.817564</v>
      </c>
      <c r="AN34" s="84" t="s">
        <v>353</v>
      </c>
      <c r="AR34" s="52" t="s">
        <v>410</v>
      </c>
      <c r="AS34" s="139">
        <f>B23</f>
        <v>0.64061199999999996</v>
      </c>
      <c r="AT34" s="84" t="s">
        <v>353</v>
      </c>
      <c r="AU34" s="52" t="s">
        <v>419</v>
      </c>
      <c r="AV34" s="139">
        <f>B25</f>
        <v>1.817564</v>
      </c>
      <c r="AW34" s="84" t="s">
        <v>353</v>
      </c>
      <c r="BA34" s="52" t="s">
        <v>410</v>
      </c>
      <c r="BB34" s="139">
        <f>B23</f>
        <v>0.64061199999999996</v>
      </c>
      <c r="BC34" s="84" t="s">
        <v>353</v>
      </c>
      <c r="BD34" s="52" t="s">
        <v>419</v>
      </c>
      <c r="BE34" s="139">
        <f>B25</f>
        <v>1.817564</v>
      </c>
      <c r="BF34" s="84" t="s">
        <v>353</v>
      </c>
      <c r="BJ34" s="52" t="s">
        <v>57</v>
      </c>
      <c r="BK34" s="136">
        <f>B262</f>
        <v>5</v>
      </c>
      <c r="BL34" s="52" t="s">
        <v>194</v>
      </c>
      <c r="BM34" s="52" t="s">
        <v>57</v>
      </c>
      <c r="BN34" s="136">
        <f>B262</f>
        <v>5</v>
      </c>
      <c r="BO34" s="52" t="s">
        <v>194</v>
      </c>
      <c r="BT34" s="102"/>
      <c r="BU34" s="91"/>
      <c r="BY34" s="91" t="s">
        <v>308</v>
      </c>
      <c r="BZ34" s="146">
        <f>B111</f>
        <v>0.23</v>
      </c>
      <c r="CM34" s="83"/>
      <c r="CN34" s="84" t="s">
        <v>16</v>
      </c>
      <c r="CO34" s="137">
        <f>(CO31*CO32)/(1-EXP(-CO32*CO31))</f>
        <v>1.0231479444785183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55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B45</f>
        <v>10</v>
      </c>
    </row>
    <row r="35" spans="1:214" ht="13.15" customHeight="1" x14ac:dyDescent="0.2">
      <c r="A35" s="83" t="s">
        <v>105</v>
      </c>
      <c r="B35" s="182">
        <v>2500</v>
      </c>
      <c r="C35" s="84" t="s">
        <v>18</v>
      </c>
      <c r="D35" s="83" t="s">
        <v>258</v>
      </c>
      <c r="E35" s="136">
        <f>B29</f>
        <v>4.9109405245458101E-5</v>
      </c>
      <c r="F35" s="83" t="s">
        <v>87</v>
      </c>
      <c r="G35" s="83" t="s">
        <v>384</v>
      </c>
      <c r="H35" s="150">
        <f>B71</f>
        <v>24</v>
      </c>
      <c r="I35" s="52" t="s">
        <v>194</v>
      </c>
      <c r="J35" s="83" t="s">
        <v>384</v>
      </c>
      <c r="K35" s="150">
        <f>B71</f>
        <v>24</v>
      </c>
      <c r="L35" s="52" t="s">
        <v>194</v>
      </c>
      <c r="M35" s="52" t="s">
        <v>409</v>
      </c>
      <c r="N35" s="150">
        <f>B89</f>
        <v>25</v>
      </c>
      <c r="O35" s="52" t="s">
        <v>194</v>
      </c>
      <c r="P35" s="52" t="s">
        <v>409</v>
      </c>
      <c r="Q35" s="150">
        <f>B89</f>
        <v>25</v>
      </c>
      <c r="R35" s="52" t="s">
        <v>194</v>
      </c>
      <c r="V35" s="52" t="s">
        <v>304</v>
      </c>
      <c r="W35" s="146">
        <f>B236</f>
        <v>50</v>
      </c>
      <c r="X35" s="84" t="s">
        <v>407</v>
      </c>
      <c r="Y35" s="52" t="s">
        <v>348</v>
      </c>
      <c r="Z35" s="146">
        <f>B256</f>
        <v>50</v>
      </c>
      <c r="AA35" s="84" t="s">
        <v>407</v>
      </c>
      <c r="AB35" s="95" t="s">
        <v>287</v>
      </c>
      <c r="AC35" s="176">
        <v>27.027027027027</v>
      </c>
      <c r="AD35" s="176">
        <v>27.027027027027</v>
      </c>
      <c r="AE35" s="176">
        <v>27.027027027027</v>
      </c>
      <c r="AF35" s="176">
        <v>27.027027027027</v>
      </c>
      <c r="AG35" s="176">
        <v>27.027027027027</v>
      </c>
      <c r="AH35" s="52" t="s">
        <v>288</v>
      </c>
      <c r="AI35" s="52" t="s">
        <v>69</v>
      </c>
      <c r="AJ35" s="136">
        <f>B243</f>
        <v>5</v>
      </c>
      <c r="AK35" s="52" t="s">
        <v>194</v>
      </c>
      <c r="AL35" s="52" t="s">
        <v>69</v>
      </c>
      <c r="AM35" s="136">
        <f>B243</f>
        <v>5</v>
      </c>
      <c r="AN35" s="52" t="s">
        <v>194</v>
      </c>
      <c r="AR35" s="52" t="s">
        <v>69</v>
      </c>
      <c r="AS35" s="136">
        <f>B253</f>
        <v>5</v>
      </c>
      <c r="AT35" s="52" t="s">
        <v>194</v>
      </c>
      <c r="AU35" s="52" t="s">
        <v>69</v>
      </c>
      <c r="AV35" s="136">
        <f>B253</f>
        <v>5</v>
      </c>
      <c r="AW35" s="52" t="s">
        <v>194</v>
      </c>
      <c r="BA35" s="52" t="s">
        <v>69</v>
      </c>
      <c r="BB35" s="136">
        <f>B233</f>
        <v>5</v>
      </c>
      <c r="BC35" s="52" t="s">
        <v>194</v>
      </c>
      <c r="BD35" s="52" t="s">
        <v>69</v>
      </c>
      <c r="BE35" s="136">
        <f>B233</f>
        <v>5</v>
      </c>
      <c r="BF35" s="52" t="s">
        <v>194</v>
      </c>
      <c r="BJ35" s="52" t="s">
        <v>410</v>
      </c>
      <c r="BK35" s="139">
        <f>B23</f>
        <v>0.64061199999999996</v>
      </c>
      <c r="BL35" s="84" t="s">
        <v>353</v>
      </c>
      <c r="BM35" s="52" t="s">
        <v>419</v>
      </c>
      <c r="BN35" s="139">
        <f>B25</f>
        <v>1.817564</v>
      </c>
      <c r="BO35" s="84" t="s">
        <v>353</v>
      </c>
      <c r="BY35" s="91" t="s">
        <v>309</v>
      </c>
      <c r="BZ35" s="146">
        <f>B112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B165</f>
        <v>150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B75</f>
        <v>0.5</v>
      </c>
      <c r="HF35" s="52" t="s">
        <v>355</v>
      </c>
    </row>
    <row r="36" spans="1:214" x14ac:dyDescent="0.2">
      <c r="A36" s="83" t="s">
        <v>239</v>
      </c>
      <c r="B36" s="183">
        <v>4.5999999999999999E-3</v>
      </c>
      <c r="C36" s="52" t="s">
        <v>601</v>
      </c>
      <c r="D36" s="83" t="s">
        <v>389</v>
      </c>
      <c r="E36" s="146">
        <f>B90</f>
        <v>1</v>
      </c>
      <c r="G36" s="83" t="s">
        <v>405</v>
      </c>
      <c r="H36" s="138">
        <f>B76</f>
        <v>5</v>
      </c>
      <c r="I36" s="52" t="s">
        <v>80</v>
      </c>
      <c r="J36" s="83" t="s">
        <v>390</v>
      </c>
      <c r="K36" s="141">
        <f>B78</f>
        <v>0.25</v>
      </c>
      <c r="M36" s="95" t="s">
        <v>287</v>
      </c>
      <c r="N36" s="176">
        <v>27.027027027027</v>
      </c>
      <c r="O36" s="52" t="s">
        <v>288</v>
      </c>
      <c r="P36" s="95" t="s">
        <v>287</v>
      </c>
      <c r="Q36" s="176">
        <v>27.027027027027</v>
      </c>
      <c r="R36" s="52" t="s">
        <v>288</v>
      </c>
      <c r="V36" s="83" t="s">
        <v>256</v>
      </c>
      <c r="W36" s="136">
        <f>B27</f>
        <v>4763.3999999999996</v>
      </c>
      <c r="X36" s="83" t="s">
        <v>343</v>
      </c>
      <c r="Y36" s="83" t="s">
        <v>256</v>
      </c>
      <c r="Z36" s="136">
        <f>B27</f>
        <v>4763.3999999999996</v>
      </c>
      <c r="AA36" s="83" t="s">
        <v>343</v>
      </c>
      <c r="AI36" s="95" t="s">
        <v>287</v>
      </c>
      <c r="AJ36" s="176">
        <v>27.027027027027</v>
      </c>
      <c r="AK36" s="52" t="s">
        <v>288</v>
      </c>
      <c r="AL36" s="95" t="s">
        <v>287</v>
      </c>
      <c r="AM36" s="176">
        <v>27.027027027027</v>
      </c>
      <c r="AN36" s="52" t="s">
        <v>288</v>
      </c>
      <c r="AR36" s="95" t="s">
        <v>287</v>
      </c>
      <c r="AS36" s="176">
        <v>27.027027027027</v>
      </c>
      <c r="AT36" s="52" t="s">
        <v>288</v>
      </c>
      <c r="AU36" s="95" t="s">
        <v>287</v>
      </c>
      <c r="AV36" s="176">
        <v>27.027027027027</v>
      </c>
      <c r="AW36" s="52" t="s">
        <v>288</v>
      </c>
      <c r="BA36" s="95" t="s">
        <v>287</v>
      </c>
      <c r="BB36" s="176">
        <v>27.027027027027</v>
      </c>
      <c r="BC36" s="52" t="s">
        <v>288</v>
      </c>
      <c r="BD36" s="95" t="s">
        <v>287</v>
      </c>
      <c r="BE36" s="176">
        <v>27.027027027027</v>
      </c>
      <c r="BF36" s="52" t="s">
        <v>288</v>
      </c>
      <c r="BJ36" s="95" t="s">
        <v>287</v>
      </c>
      <c r="BK36" s="176">
        <v>27.027027027027</v>
      </c>
      <c r="BL36" s="52" t="s">
        <v>288</v>
      </c>
      <c r="BM36" s="95" t="s">
        <v>287</v>
      </c>
      <c r="BN36" s="176">
        <v>27.027027027027</v>
      </c>
      <c r="BO36" s="52" t="s">
        <v>288</v>
      </c>
      <c r="BS36" s="100"/>
      <c r="BT36" s="100"/>
      <c r="BU36" s="91"/>
      <c r="BY36" s="95" t="s">
        <v>287</v>
      </c>
      <c r="BZ36" s="176">
        <v>27.027027027027</v>
      </c>
      <c r="CA36" s="52" t="s">
        <v>288</v>
      </c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B166</f>
        <v>150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B97</f>
        <v>5</v>
      </c>
      <c r="HF36" s="52" t="s">
        <v>94</v>
      </c>
    </row>
    <row r="37" spans="1:214" ht="12.75" customHeight="1" x14ac:dyDescent="0.2">
      <c r="A37" s="83" t="s">
        <v>236</v>
      </c>
      <c r="B37" s="183">
        <v>2.1999999999999999E-2</v>
      </c>
      <c r="C37" s="52" t="s">
        <v>388</v>
      </c>
      <c r="D37" s="83" t="s">
        <v>394</v>
      </c>
      <c r="E37" s="146">
        <f>B56</f>
        <v>35</v>
      </c>
      <c r="F37" s="52" t="s">
        <v>48</v>
      </c>
      <c r="G37" s="83" t="s">
        <v>406</v>
      </c>
      <c r="H37" s="138">
        <f>B77</f>
        <v>5</v>
      </c>
      <c r="I37" s="52" t="s">
        <v>80</v>
      </c>
      <c r="J37" s="83" t="s">
        <v>408</v>
      </c>
      <c r="K37" s="150">
        <f>B88</f>
        <v>5</v>
      </c>
      <c r="L37" s="84" t="s">
        <v>194</v>
      </c>
      <c r="V37" s="83" t="s">
        <v>301</v>
      </c>
      <c r="W37" s="142">
        <f>B240</f>
        <v>2</v>
      </c>
      <c r="Y37" s="83" t="s">
        <v>301</v>
      </c>
      <c r="Z37" s="142">
        <f>B260</f>
        <v>2</v>
      </c>
      <c r="BS37" s="91"/>
      <c r="BT37" s="91"/>
      <c r="BU37" s="91"/>
      <c r="BZ37" s="90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15</v>
      </c>
      <c r="CV37" s="84" t="s">
        <v>194</v>
      </c>
      <c r="CZ37" s="92" t="s">
        <v>363</v>
      </c>
      <c r="DA37" s="141">
        <f>B168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2.75" customHeight="1" x14ac:dyDescent="0.2">
      <c r="A38" s="83" t="s">
        <v>237</v>
      </c>
      <c r="B38" s="183">
        <v>2.7</v>
      </c>
      <c r="C38" s="52" t="s">
        <v>388</v>
      </c>
      <c r="D38" s="83" t="s">
        <v>260</v>
      </c>
      <c r="E38" s="152">
        <f>(E33/(E35*E34*E37*E36))/E39</f>
        <v>0.14350854001170896</v>
      </c>
      <c r="F38" s="84" t="s">
        <v>290</v>
      </c>
      <c r="H38" s="138">
        <f>1/1000</f>
        <v>1E-3</v>
      </c>
      <c r="I38" s="52" t="s">
        <v>82</v>
      </c>
      <c r="J38" s="83" t="s">
        <v>409</v>
      </c>
      <c r="K38" s="150">
        <f>B89</f>
        <v>25</v>
      </c>
      <c r="L38" s="84" t="s">
        <v>194</v>
      </c>
      <c r="V38" s="52" t="s">
        <v>261</v>
      </c>
      <c r="W38" s="143">
        <f>((W27)/((W34/24)*W31*W32*W33*W35))/W42</f>
        <v>0.18431112874713529</v>
      </c>
      <c r="X38" s="52" t="s">
        <v>15</v>
      </c>
      <c r="Y38" s="52" t="s">
        <v>261</v>
      </c>
      <c r="Z38" s="143">
        <f>((Z27)/((Z34/24)*Z31*Z32*Z33*Z35))/Z45</f>
        <v>0.18431112874713529</v>
      </c>
      <c r="AA38" s="52" t="s">
        <v>15</v>
      </c>
      <c r="AE38" s="352" t="s">
        <v>226</v>
      </c>
      <c r="AF38" s="352"/>
      <c r="AG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5</v>
      </c>
      <c r="CV38" s="84" t="s">
        <v>194</v>
      </c>
      <c r="CZ38" s="92" t="s">
        <v>364</v>
      </c>
      <c r="DA38" s="141">
        <f>B169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B98</f>
        <v>0.18</v>
      </c>
      <c r="HF38" s="52" t="s">
        <v>355</v>
      </c>
    </row>
    <row r="39" spans="1:214" ht="12.75" customHeight="1" x14ac:dyDescent="0.2">
      <c r="A39" s="83" t="s">
        <v>171</v>
      </c>
      <c r="B39" s="183">
        <v>0.4</v>
      </c>
      <c r="C39" s="52" t="s">
        <v>388</v>
      </c>
      <c r="D39" s="95" t="s">
        <v>287</v>
      </c>
      <c r="E39" s="176">
        <v>27.027027027027</v>
      </c>
      <c r="F39" s="52" t="s">
        <v>288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((W27)/((W34/24)*W31*W36*(1/365)))/W42</f>
        <v>1.0887013477767991E-4</v>
      </c>
      <c r="X39" s="52" t="s">
        <v>15</v>
      </c>
      <c r="Y39" s="52" t="s">
        <v>271</v>
      </c>
      <c r="Z39" s="144">
        <f>((Z27)/((Z34/24)*Z31*Z36*(1/365)))/Z45</f>
        <v>1.0887013477767991E-4</v>
      </c>
      <c r="AA39" s="52" t="s">
        <v>15</v>
      </c>
      <c r="AE39" s="352"/>
      <c r="AF39" s="352"/>
      <c r="AG39" s="352"/>
      <c r="BK39" s="352" t="s">
        <v>230</v>
      </c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B170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B99</f>
        <v>55</v>
      </c>
      <c r="HF39" s="52" t="s">
        <v>97</v>
      </c>
    </row>
    <row r="40" spans="1:214" ht="15" customHeight="1" x14ac:dyDescent="0.2">
      <c r="A40" s="83" t="s">
        <v>238</v>
      </c>
      <c r="B40" s="183">
        <v>0.2</v>
      </c>
      <c r="C40" s="52" t="s">
        <v>388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((W27*W29*W28)/((W34/24)*(1-EXP(-W29*W32))*W33*W35*W31*W32))/W42</f>
        <v>0.18643623582313829</v>
      </c>
      <c r="X40" s="52" t="s">
        <v>16</v>
      </c>
      <c r="Y40" s="52" t="s">
        <v>261</v>
      </c>
      <c r="Z40" s="144">
        <f>((Z27*Z29*Z28)/((Z34/24)*(1-EXP(-Z29*Z32))*Z33*Z35*Z31*Z32))/Z45</f>
        <v>0.18643623582313829</v>
      </c>
      <c r="AA40" s="52" t="s">
        <v>16</v>
      </c>
      <c r="AE40" s="352"/>
      <c r="AF40" s="352"/>
      <c r="AG40" s="352"/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1</v>
      </c>
      <c r="CZ40" s="92" t="s">
        <v>457</v>
      </c>
      <c r="DA40" s="141">
        <f>B177</f>
        <v>5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B100</f>
        <v>5</v>
      </c>
      <c r="HF40" s="52" t="s">
        <v>97</v>
      </c>
    </row>
    <row r="41" spans="1:214" ht="13.5" thickBot="1" x14ac:dyDescent="0.25">
      <c r="A41" s="52" t="s">
        <v>229</v>
      </c>
      <c r="B41" s="183">
        <v>2.1999999999999999E-2</v>
      </c>
      <c r="C41" s="52" t="s">
        <v>388</v>
      </c>
      <c r="G41" s="83" t="s">
        <v>390</v>
      </c>
      <c r="H41" s="141">
        <f>B78</f>
        <v>0.25</v>
      </c>
      <c r="I41" s="84"/>
      <c r="J41" s="83" t="s">
        <v>302</v>
      </c>
      <c r="K41" s="161">
        <f>B3</f>
        <v>8.5099999999999995E-2</v>
      </c>
      <c r="V41" s="52" t="s">
        <v>271</v>
      </c>
      <c r="W41" s="145">
        <f>((W27*W29*W28)/((W34/24)*(1-EXP(-W29*W28))*W36*W31*(1/365)))/W42</f>
        <v>1.1012540729081645E-4</v>
      </c>
      <c r="X41" s="52" t="s">
        <v>16</v>
      </c>
      <c r="Y41" s="52" t="s">
        <v>271</v>
      </c>
      <c r="Z41" s="145">
        <f>((Z27*Z29*Z28)/((Z34/24)*(1-EXP(-Z29*Z28))*Z36*Z31*(1/365)))/Z45</f>
        <v>1.1012540729081645E-4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61">
        <f>B3</f>
        <v>8.5099999999999995E-2</v>
      </c>
      <c r="CZ41" s="92" t="s">
        <v>466</v>
      </c>
      <c r="DA41" s="141">
        <f>B178</f>
        <v>5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B101</f>
        <v>5</v>
      </c>
      <c r="HF41" s="52" t="s">
        <v>97</v>
      </c>
    </row>
    <row r="42" spans="1:214" ht="13.9" customHeight="1" thickTop="1" thickBot="1" x14ac:dyDescent="0.25">
      <c r="A42" s="83" t="s">
        <v>228</v>
      </c>
      <c r="B42" s="183">
        <v>2.7</v>
      </c>
      <c r="C42" s="52" t="s">
        <v>388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61">
        <f>B4</f>
        <v>0.74199999999999999</v>
      </c>
      <c r="V42" s="95" t="s">
        <v>287</v>
      </c>
      <c r="W42" s="176">
        <v>27.027027027027</v>
      </c>
      <c r="X42" s="52" t="s">
        <v>288</v>
      </c>
      <c r="Y42" s="52" t="s">
        <v>220</v>
      </c>
      <c r="Z42" s="138">
        <f>B266</f>
        <v>25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61">
        <f>B4</f>
        <v>0.74199999999999999</v>
      </c>
      <c r="CW42" s="84"/>
      <c r="CX42" s="84"/>
      <c r="CY42" s="84"/>
      <c r="CZ42" s="52" t="s">
        <v>477</v>
      </c>
      <c r="DA42" s="141">
        <f>B179</f>
        <v>0.25</v>
      </c>
      <c r="DB42" s="92" t="s">
        <v>358</v>
      </c>
      <c r="DW42" s="88"/>
      <c r="DX42" s="88"/>
      <c r="DY42" s="88"/>
      <c r="DZ42" s="88"/>
      <c r="HD42" s="52" t="s">
        <v>225</v>
      </c>
      <c r="HE42" s="138">
        <f>1+((HE35*HE36*HE37)/(HE38*HE39))</f>
        <v>3.1605966718331597</v>
      </c>
    </row>
    <row r="43" spans="1:214" ht="13.15" customHeight="1" x14ac:dyDescent="0.2">
      <c r="A43" s="84" t="s">
        <v>32</v>
      </c>
      <c r="B43" s="183">
        <f>0.02523</f>
        <v>2.5229999999999999E-2</v>
      </c>
      <c r="D43" s="323" t="s">
        <v>530</v>
      </c>
      <c r="E43" s="347">
        <f>E53</f>
        <v>5.7403416004683579E-2</v>
      </c>
      <c r="F43" s="345" t="s">
        <v>291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Y43" s="52" t="s">
        <v>219</v>
      </c>
      <c r="Z43" s="138">
        <f>B265</f>
        <v>3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B180</f>
        <v>0.85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52" t="s">
        <v>33</v>
      </c>
      <c r="B44" s="183">
        <v>2.9000000000000001E-2</v>
      </c>
      <c r="D44" s="324"/>
      <c r="E44" s="348"/>
      <c r="F44" s="346"/>
      <c r="G44" s="52" t="s">
        <v>19</v>
      </c>
      <c r="H44" s="136">
        <f>H46</f>
        <v>2.5229999999999999E-2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2.75" customHeight="1" thickTop="1" x14ac:dyDescent="0.2">
      <c r="A45" s="83" t="s">
        <v>156</v>
      </c>
      <c r="B45" s="182">
        <v>10</v>
      </c>
      <c r="C45" s="83" t="s">
        <v>18</v>
      </c>
      <c r="D45" s="83" t="s">
        <v>267</v>
      </c>
      <c r="E45" s="136">
        <f>B17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Y45" s="95" t="s">
        <v>287</v>
      </c>
      <c r="Z45" s="176">
        <v>27.027027027027</v>
      </c>
      <c r="AA45" s="52" t="s">
        <v>288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B181</f>
        <v>0.5</v>
      </c>
      <c r="DB45" s="92" t="s">
        <v>145</v>
      </c>
      <c r="DW45" s="88"/>
      <c r="DX45" s="88"/>
      <c r="DY45" s="88"/>
      <c r="DZ45" s="88"/>
    </row>
    <row r="46" spans="1:214" ht="13.5" customHeight="1" x14ac:dyDescent="0.2">
      <c r="A46" s="84" t="s">
        <v>21</v>
      </c>
      <c r="B46" s="188">
        <f>200/27.027</f>
        <v>7.4000074000074001</v>
      </c>
      <c r="C46" s="52" t="s">
        <v>291</v>
      </c>
      <c r="D46" s="83" t="s">
        <v>382</v>
      </c>
      <c r="E46" s="150">
        <f>B68</f>
        <v>150</v>
      </c>
      <c r="F46" s="83" t="s">
        <v>24</v>
      </c>
      <c r="G46" s="84" t="s">
        <v>32</v>
      </c>
      <c r="H46" s="139">
        <f>B43</f>
        <v>2.5229999999999999E-2</v>
      </c>
      <c r="K46" s="146">
        <v>1000</v>
      </c>
      <c r="L46" s="52" t="s">
        <v>23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52" t="s">
        <v>393</v>
      </c>
      <c r="B47" s="131">
        <v>0.26</v>
      </c>
      <c r="D47" s="83" t="s">
        <v>258</v>
      </c>
      <c r="E47" s="136">
        <f>B29</f>
        <v>4.9109405245458101E-5</v>
      </c>
      <c r="F47" s="83" t="s">
        <v>87</v>
      </c>
      <c r="G47" s="83" t="s">
        <v>393</v>
      </c>
      <c r="H47" s="142">
        <f>B47</f>
        <v>0.26</v>
      </c>
      <c r="J47" s="52" t="s">
        <v>19</v>
      </c>
      <c r="K47" s="136">
        <f>K49</f>
        <v>2.5229999999999999E-2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B163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52" t="s">
        <v>392</v>
      </c>
      <c r="B48" s="131">
        <v>0.25</v>
      </c>
      <c r="D48" s="83" t="s">
        <v>379</v>
      </c>
      <c r="E48" s="146">
        <f>B65</f>
        <v>1</v>
      </c>
      <c r="F48" s="52" t="s">
        <v>60</v>
      </c>
      <c r="G48" s="52" t="s">
        <v>17</v>
      </c>
      <c r="H48" s="137">
        <f>((H51*H52*H53)*((1-EXP(-H54*H55))))/(H56*H54)</f>
        <v>0.66271991443607436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B164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381" t="s">
        <v>2</v>
      </c>
      <c r="B49" s="382"/>
      <c r="C49" s="383"/>
      <c r="D49" s="83" t="s">
        <v>394</v>
      </c>
      <c r="E49" s="146">
        <f>B56</f>
        <v>35</v>
      </c>
      <c r="F49" s="52" t="s">
        <v>48</v>
      </c>
      <c r="G49" s="52" t="s">
        <v>25</v>
      </c>
      <c r="H49" s="137">
        <f>(H51*H52*H57*((1-EXP(-H54*H55))))/(H56*H54)</f>
        <v>6.8294561138874093</v>
      </c>
      <c r="I49" s="52" t="s">
        <v>18</v>
      </c>
      <c r="J49" s="84" t="s">
        <v>32</v>
      </c>
      <c r="K49" s="139">
        <f>B43</f>
        <v>2.5229999999999999E-2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T49" s="95" t="s">
        <v>287</v>
      </c>
      <c r="CU49" s="176">
        <v>27.027027027027</v>
      </c>
      <c r="CV49" s="52" t="s">
        <v>288</v>
      </c>
      <c r="CZ49" s="83" t="s">
        <v>475</v>
      </c>
      <c r="DA49" s="146">
        <f>B163</f>
        <v>0.15</v>
      </c>
      <c r="DW49" s="88"/>
      <c r="DX49" s="88"/>
      <c r="DY49" s="88"/>
      <c r="DZ49" s="88"/>
    </row>
    <row r="50" spans="1:130" x14ac:dyDescent="0.2">
      <c r="A50" s="83" t="s">
        <v>366</v>
      </c>
      <c r="B50" s="130">
        <v>5</v>
      </c>
      <c r="C50" s="92" t="s">
        <v>407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3.6385364930662121</v>
      </c>
      <c r="I50" s="52" t="s">
        <v>18</v>
      </c>
      <c r="J50" s="83" t="s">
        <v>393</v>
      </c>
      <c r="K50" s="142">
        <f>B47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Z50" s="83" t="s">
        <v>476</v>
      </c>
      <c r="DA50" s="146">
        <f>B164</f>
        <v>0.85</v>
      </c>
      <c r="DW50" s="88"/>
      <c r="DX50" s="88"/>
      <c r="DY50" s="88"/>
      <c r="DZ50" s="88"/>
    </row>
    <row r="51" spans="1:130" x14ac:dyDescent="0.2">
      <c r="A51" s="83" t="s">
        <v>367</v>
      </c>
      <c r="B51" s="130">
        <v>10</v>
      </c>
      <c r="C51" s="92" t="s">
        <v>407</v>
      </c>
      <c r="D51" s="83" t="s">
        <v>105</v>
      </c>
      <c r="E51" s="150">
        <f>B35</f>
        <v>2500</v>
      </c>
      <c r="F51" s="84" t="s">
        <v>18</v>
      </c>
      <c r="G51" s="83" t="s">
        <v>36</v>
      </c>
      <c r="H51" s="138">
        <f>B79</f>
        <v>3.62</v>
      </c>
      <c r="I51" s="52" t="s">
        <v>37</v>
      </c>
      <c r="J51" s="83" t="s">
        <v>376</v>
      </c>
      <c r="K51" s="146">
        <f>B61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CZ51" s="95" t="s">
        <v>287</v>
      </c>
      <c r="DA51" s="176">
        <v>27.027027027027</v>
      </c>
      <c r="DB51" s="52" t="s">
        <v>288</v>
      </c>
      <c r="DW51" s="88"/>
      <c r="DX51" s="88"/>
      <c r="DY51" s="88"/>
      <c r="DZ51" s="88"/>
    </row>
    <row r="52" spans="1:130" x14ac:dyDescent="0.2">
      <c r="A52" s="83" t="s">
        <v>368</v>
      </c>
      <c r="B52" s="130">
        <v>100</v>
      </c>
      <c r="C52" s="84" t="s">
        <v>48</v>
      </c>
      <c r="D52" s="83" t="s">
        <v>107</v>
      </c>
      <c r="E52" s="138">
        <f>B74</f>
        <v>1</v>
      </c>
      <c r="F52" s="84" t="s">
        <v>108</v>
      </c>
      <c r="G52" s="83" t="s">
        <v>40</v>
      </c>
      <c r="H52" s="138">
        <f>B80</f>
        <v>0.25</v>
      </c>
      <c r="I52" s="52" t="s">
        <v>41</v>
      </c>
      <c r="J52" s="83" t="s">
        <v>377</v>
      </c>
      <c r="K52" s="146">
        <f>B62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DW52" s="88"/>
      <c r="DX52" s="88"/>
      <c r="DY52" s="88"/>
      <c r="DZ52" s="88"/>
    </row>
    <row r="53" spans="1:130" x14ac:dyDescent="0.2">
      <c r="A53" s="83" t="s">
        <v>369</v>
      </c>
      <c r="B53" s="130">
        <v>50</v>
      </c>
      <c r="C53" s="84" t="s">
        <v>48</v>
      </c>
      <c r="D53" s="83" t="s">
        <v>260</v>
      </c>
      <c r="E53" s="152">
        <f>(E45/(E47*E46*E48*E49*E51*E52*(1/E50)))/E54</f>
        <v>5.7403416004683579E-2</v>
      </c>
      <c r="F53" s="52" t="s">
        <v>291</v>
      </c>
      <c r="G53" s="92" t="s">
        <v>32</v>
      </c>
      <c r="H53" s="136">
        <f>B43</f>
        <v>2.5229999999999999E-2</v>
      </c>
      <c r="J53" s="95" t="s">
        <v>287</v>
      </c>
      <c r="K53" s="176">
        <v>27.027027027027</v>
      </c>
      <c r="L53" s="52" t="s">
        <v>288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83" t="s">
        <v>370</v>
      </c>
      <c r="B54" s="130">
        <v>0.25</v>
      </c>
      <c r="C54" s="83" t="s">
        <v>28</v>
      </c>
      <c r="D54" s="95" t="s">
        <v>287</v>
      </c>
      <c r="E54" s="176">
        <v>27.027027027027</v>
      </c>
      <c r="F54" s="52" t="s">
        <v>288</v>
      </c>
      <c r="G54" s="92" t="s">
        <v>49</v>
      </c>
      <c r="H54" s="137">
        <f>H62+H63</f>
        <v>8.993711152170084E-5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83" t="s">
        <v>371</v>
      </c>
      <c r="B55" s="130">
        <v>1.5</v>
      </c>
      <c r="C55" s="52" t="s">
        <v>28</v>
      </c>
      <c r="G55" s="92" t="s">
        <v>52</v>
      </c>
      <c r="H55" s="138">
        <f>B81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83" t="s">
        <v>310</v>
      </c>
      <c r="B56" s="130">
        <v>35</v>
      </c>
      <c r="C56" s="52" t="s">
        <v>48</v>
      </c>
      <c r="G56" s="92" t="s">
        <v>55</v>
      </c>
      <c r="H56" s="138">
        <f>B82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83" t="s">
        <v>372</v>
      </c>
      <c r="B57" s="130">
        <v>55</v>
      </c>
      <c r="C57" s="92" t="s">
        <v>221</v>
      </c>
      <c r="G57" s="92" t="s">
        <v>393</v>
      </c>
      <c r="H57" s="138">
        <f>B47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83" t="s">
        <v>373</v>
      </c>
      <c r="B58" s="130">
        <v>55</v>
      </c>
      <c r="C58" s="92" t="s">
        <v>221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83" t="s">
        <v>374</v>
      </c>
      <c r="B59" s="130">
        <v>55</v>
      </c>
      <c r="C59" s="92" t="s">
        <v>221</v>
      </c>
      <c r="G59" s="92" t="s">
        <v>63</v>
      </c>
      <c r="H59" s="151">
        <f>H63+(0.693/H65)</f>
        <v>4.9562937111521696E-2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83" t="s">
        <v>375</v>
      </c>
      <c r="B60" s="130">
        <v>55</v>
      </c>
      <c r="C60" s="92" t="s">
        <v>221</v>
      </c>
      <c r="G60" s="92" t="s">
        <v>67</v>
      </c>
      <c r="H60" s="142">
        <f>B83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83" t="s">
        <v>376</v>
      </c>
      <c r="B61" s="130">
        <v>0.23</v>
      </c>
      <c r="G61" s="92" t="s">
        <v>68</v>
      </c>
      <c r="H61" s="142">
        <f>B84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83" t="s">
        <v>377</v>
      </c>
      <c r="B62" s="130">
        <v>0.77</v>
      </c>
      <c r="G62" s="92" t="s">
        <v>70</v>
      </c>
      <c r="H62" s="138">
        <f>B85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378</v>
      </c>
      <c r="B63" s="131">
        <v>1</v>
      </c>
      <c r="C63" s="52" t="s">
        <v>60</v>
      </c>
      <c r="G63" s="92" t="s">
        <v>71</v>
      </c>
      <c r="H63" s="137">
        <f>0.693/H67</f>
        <v>6.2937111521700834E-5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52" t="s">
        <v>448</v>
      </c>
      <c r="B64" s="131">
        <v>1</v>
      </c>
      <c r="C64" s="52" t="s">
        <v>60</v>
      </c>
      <c r="G64" s="92" t="s">
        <v>73</v>
      </c>
      <c r="H64" s="138">
        <f>B86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379</v>
      </c>
      <c r="B65" s="131">
        <v>1</v>
      </c>
      <c r="C65" s="52" t="s">
        <v>60</v>
      </c>
      <c r="G65" s="92" t="s">
        <v>74</v>
      </c>
      <c r="H65" s="138">
        <f>B87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380</v>
      </c>
      <c r="B66" s="131">
        <v>150</v>
      </c>
      <c r="C66" s="83" t="s">
        <v>24</v>
      </c>
      <c r="G66" s="52" t="s">
        <v>33</v>
      </c>
      <c r="H66" s="136">
        <f>B44</f>
        <v>2.9000000000000001E-2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381</v>
      </c>
      <c r="B67" s="131">
        <v>150</v>
      </c>
      <c r="C67" s="83" t="s">
        <v>24</v>
      </c>
      <c r="G67" s="83" t="s">
        <v>234</v>
      </c>
      <c r="H67" s="136">
        <f>B34</f>
        <v>11010.9915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382</v>
      </c>
      <c r="B68" s="131">
        <v>150</v>
      </c>
      <c r="C68" s="83" t="s">
        <v>24</v>
      </c>
      <c r="G68" s="83" t="s">
        <v>376</v>
      </c>
      <c r="H68" s="146">
        <f>B61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52" t="s">
        <v>403</v>
      </c>
      <c r="B69" s="131">
        <v>0.25</v>
      </c>
      <c r="C69" s="52" t="s">
        <v>89</v>
      </c>
      <c r="G69" s="83" t="s">
        <v>377</v>
      </c>
      <c r="H69" s="146">
        <f>B62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52" t="s">
        <v>404</v>
      </c>
      <c r="B70" s="131">
        <v>0.75</v>
      </c>
      <c r="C70" s="52" t="s">
        <v>89</v>
      </c>
      <c r="G70" s="95" t="s">
        <v>287</v>
      </c>
      <c r="H70" s="176">
        <v>27.027027027027</v>
      </c>
      <c r="I70" s="52" t="s">
        <v>288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52" t="s">
        <v>385</v>
      </c>
      <c r="B71" s="131">
        <v>24</v>
      </c>
      <c r="C71" s="52" t="s">
        <v>194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52" t="s">
        <v>318</v>
      </c>
      <c r="B72" s="131">
        <v>2</v>
      </c>
      <c r="AF72" s="109"/>
      <c r="AG72" s="106"/>
      <c r="AH72" s="106"/>
      <c r="AI72" s="106"/>
      <c r="AJ72" s="106"/>
      <c r="AK72" s="106"/>
    </row>
    <row r="73" spans="1:105" x14ac:dyDescent="0.2">
      <c r="A73" s="52" t="s">
        <v>303</v>
      </c>
      <c r="B73" s="131">
        <v>1</v>
      </c>
      <c r="AF73" s="109"/>
      <c r="AG73" s="106"/>
      <c r="AH73" s="106"/>
      <c r="AI73" s="106"/>
      <c r="AJ73" s="106"/>
      <c r="AK73" s="106"/>
    </row>
    <row r="74" spans="1:105" x14ac:dyDescent="0.2">
      <c r="A74" s="83" t="s">
        <v>107</v>
      </c>
      <c r="B74" s="131">
        <v>1</v>
      </c>
      <c r="C74" s="84" t="s">
        <v>108</v>
      </c>
      <c r="AF74" s="109"/>
      <c r="AG74" s="106"/>
      <c r="AH74" s="106"/>
      <c r="AI74" s="106"/>
      <c r="AJ74" s="106"/>
      <c r="AK74" s="106"/>
    </row>
    <row r="75" spans="1:105" x14ac:dyDescent="0.2">
      <c r="A75" s="52" t="s">
        <v>65</v>
      </c>
      <c r="B75" s="131">
        <v>0.5</v>
      </c>
      <c r="C75" s="52" t="s">
        <v>66</v>
      </c>
      <c r="AF75" s="108"/>
      <c r="AG75" s="106"/>
      <c r="AH75" s="106"/>
      <c r="AI75" s="106"/>
      <c r="AJ75" s="106"/>
      <c r="AK75" s="106"/>
    </row>
    <row r="76" spans="1:105" x14ac:dyDescent="0.2">
      <c r="A76" s="52" t="s">
        <v>79</v>
      </c>
      <c r="B76" s="131">
        <v>5</v>
      </c>
      <c r="C76" s="52" t="s">
        <v>80</v>
      </c>
      <c r="AF76" s="109"/>
      <c r="AG76" s="106"/>
      <c r="AH76" s="106"/>
      <c r="AI76" s="106"/>
      <c r="AJ76" s="106"/>
      <c r="AK76" s="106"/>
    </row>
    <row r="77" spans="1:105" x14ac:dyDescent="0.2">
      <c r="A77" s="52" t="s">
        <v>81</v>
      </c>
      <c r="B77" s="131">
        <v>5</v>
      </c>
      <c r="C77" s="52" t="s">
        <v>80</v>
      </c>
      <c r="AF77" s="109"/>
      <c r="AG77" s="106"/>
      <c r="AH77" s="106"/>
      <c r="AI77" s="106"/>
      <c r="AJ77" s="106"/>
      <c r="AK77" s="106"/>
    </row>
    <row r="78" spans="1:105" ht="12.75" customHeight="1" x14ac:dyDescent="0.2">
      <c r="A78" s="52" t="s">
        <v>390</v>
      </c>
      <c r="B78" s="131">
        <v>0.25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36</v>
      </c>
      <c r="B79" s="131">
        <v>3.62</v>
      </c>
      <c r="C79" s="52" t="s">
        <v>37</v>
      </c>
      <c r="AF79" s="109"/>
      <c r="AG79" s="106"/>
    </row>
    <row r="80" spans="1:105" x14ac:dyDescent="0.2">
      <c r="A80" s="83" t="s">
        <v>40</v>
      </c>
      <c r="B80" s="131">
        <v>0.25</v>
      </c>
      <c r="C80" s="52" t="s">
        <v>41</v>
      </c>
      <c r="AF80" s="109"/>
      <c r="AG80" s="106"/>
      <c r="AH80" s="106"/>
      <c r="AI80" s="106"/>
      <c r="AJ80" s="106"/>
      <c r="AK80" s="106"/>
    </row>
    <row r="81" spans="1:37" x14ac:dyDescent="0.2">
      <c r="A81" s="92" t="s">
        <v>52</v>
      </c>
      <c r="B81" s="131">
        <v>10950</v>
      </c>
      <c r="C81" s="52" t="s">
        <v>53</v>
      </c>
      <c r="AF81" s="109"/>
      <c r="AG81" s="106"/>
      <c r="AH81" s="106"/>
      <c r="AI81" s="106"/>
      <c r="AJ81" s="106"/>
      <c r="AK81" s="106"/>
    </row>
    <row r="82" spans="1:37" x14ac:dyDescent="0.2">
      <c r="A82" s="92" t="s">
        <v>55</v>
      </c>
      <c r="B82" s="131">
        <v>240</v>
      </c>
      <c r="C82" s="52" t="s">
        <v>56</v>
      </c>
      <c r="AF82" s="109"/>
      <c r="AG82" s="106"/>
      <c r="AH82" s="106"/>
      <c r="AI82" s="106"/>
      <c r="AJ82" s="106"/>
      <c r="AK82" s="106"/>
    </row>
    <row r="83" spans="1:37" x14ac:dyDescent="0.2">
      <c r="A83" s="92" t="s">
        <v>67</v>
      </c>
      <c r="B83" s="131">
        <v>60</v>
      </c>
      <c r="C83" s="83" t="s">
        <v>53</v>
      </c>
      <c r="AF83" s="109"/>
      <c r="AG83" s="106"/>
      <c r="AH83" s="106"/>
      <c r="AI83" s="106"/>
      <c r="AJ83" s="106"/>
      <c r="AK83" s="106"/>
    </row>
    <row r="84" spans="1:37" x14ac:dyDescent="0.2">
      <c r="A84" s="92" t="s">
        <v>68</v>
      </c>
      <c r="B84" s="131">
        <v>2</v>
      </c>
      <c r="C84" s="83" t="s">
        <v>56</v>
      </c>
      <c r="AF84" s="108"/>
      <c r="AG84" s="106"/>
    </row>
    <row r="85" spans="1:37" x14ac:dyDescent="0.2">
      <c r="A85" s="92" t="s">
        <v>70</v>
      </c>
      <c r="B85" s="131">
        <v>2.6999999999999999E-5</v>
      </c>
      <c r="C85" s="52" t="s">
        <v>64</v>
      </c>
      <c r="AF85" s="108"/>
      <c r="AG85" s="106"/>
      <c r="AH85" s="106"/>
      <c r="AI85" s="106"/>
      <c r="AJ85" s="106"/>
      <c r="AK85" s="106"/>
    </row>
    <row r="86" spans="1:37" x14ac:dyDescent="0.2">
      <c r="A86" s="92" t="s">
        <v>73</v>
      </c>
      <c r="B86" s="131">
        <v>1</v>
      </c>
      <c r="C86" s="52" t="s">
        <v>41</v>
      </c>
      <c r="AF86" s="108"/>
      <c r="AG86" s="106"/>
    </row>
    <row r="87" spans="1:37" x14ac:dyDescent="0.2">
      <c r="A87" s="92" t="s">
        <v>74</v>
      </c>
      <c r="B87" s="131">
        <v>14</v>
      </c>
      <c r="C87" s="52" t="s">
        <v>75</v>
      </c>
      <c r="AH87" s="108"/>
      <c r="AI87" s="108"/>
      <c r="AJ87" s="108"/>
      <c r="AK87" s="108"/>
    </row>
    <row r="88" spans="1:37" x14ac:dyDescent="0.2">
      <c r="A88" s="83" t="s">
        <v>408</v>
      </c>
      <c r="B88" s="130">
        <v>5</v>
      </c>
      <c r="C88" s="84" t="s">
        <v>194</v>
      </c>
    </row>
    <row r="89" spans="1:37" x14ac:dyDescent="0.2">
      <c r="A89" s="83" t="s">
        <v>409</v>
      </c>
      <c r="B89" s="130">
        <v>25</v>
      </c>
      <c r="C89" s="84" t="s">
        <v>194</v>
      </c>
    </row>
    <row r="90" spans="1:37" x14ac:dyDescent="0.2">
      <c r="A90" s="83" t="s">
        <v>389</v>
      </c>
      <c r="B90" s="130">
        <v>1</v>
      </c>
      <c r="C90" s="84"/>
    </row>
    <row r="91" spans="1:37" x14ac:dyDescent="0.2">
      <c r="A91" s="385" t="s">
        <v>387</v>
      </c>
      <c r="B91" s="385"/>
      <c r="C91" s="385"/>
    </row>
    <row r="92" spans="1:37" x14ac:dyDescent="0.2">
      <c r="A92" s="52" t="s">
        <v>34</v>
      </c>
      <c r="B92" s="131">
        <v>70</v>
      </c>
      <c r="C92" s="52" t="s">
        <v>60</v>
      </c>
    </row>
    <row r="93" spans="1:37" x14ac:dyDescent="0.2">
      <c r="A93" s="84" t="s">
        <v>38</v>
      </c>
      <c r="B93" s="131">
        <v>0.3</v>
      </c>
      <c r="C93" s="52" t="s">
        <v>391</v>
      </c>
    </row>
    <row r="94" spans="1:37" x14ac:dyDescent="0.2">
      <c r="A94" s="84" t="s">
        <v>42</v>
      </c>
      <c r="B94" s="130">
        <v>1.5</v>
      </c>
      <c r="C94" s="52" t="s">
        <v>286</v>
      </c>
    </row>
    <row r="95" spans="1:37" x14ac:dyDescent="0.2">
      <c r="A95" s="84" t="s">
        <v>47</v>
      </c>
      <c r="B95" s="131">
        <v>1</v>
      </c>
      <c r="C95" s="52" t="s">
        <v>60</v>
      </c>
    </row>
    <row r="96" spans="1:37" x14ac:dyDescent="0.2">
      <c r="A96" s="84" t="s">
        <v>225</v>
      </c>
      <c r="B96" s="130">
        <v>1</v>
      </c>
    </row>
    <row r="97" spans="1:3" x14ac:dyDescent="0.2">
      <c r="A97" s="52" t="s">
        <v>93</v>
      </c>
      <c r="B97" s="130">
        <v>5</v>
      </c>
      <c r="C97" s="52" t="s">
        <v>94</v>
      </c>
    </row>
    <row r="98" spans="1:3" x14ac:dyDescent="0.2">
      <c r="A98" s="52" t="s">
        <v>98</v>
      </c>
      <c r="B98" s="130">
        <v>0.18</v>
      </c>
      <c r="C98" s="52" t="s">
        <v>355</v>
      </c>
    </row>
    <row r="99" spans="1:3" x14ac:dyDescent="0.2">
      <c r="A99" s="52" t="s">
        <v>100</v>
      </c>
      <c r="B99" s="130">
        <v>55</v>
      </c>
      <c r="C99" s="52" t="s">
        <v>97</v>
      </c>
    </row>
    <row r="100" spans="1:3" x14ac:dyDescent="0.2">
      <c r="A100" s="52" t="s">
        <v>101</v>
      </c>
      <c r="B100" s="130">
        <v>5</v>
      </c>
      <c r="C100" s="52" t="s">
        <v>97</v>
      </c>
    </row>
    <row r="101" spans="1:3" x14ac:dyDescent="0.2">
      <c r="A101" s="52" t="s">
        <v>102</v>
      </c>
      <c r="B101" s="130">
        <v>5</v>
      </c>
      <c r="C101" s="52" t="s">
        <v>97</v>
      </c>
    </row>
    <row r="102" spans="1:3" x14ac:dyDescent="0.2">
      <c r="A102" s="384" t="s">
        <v>5</v>
      </c>
      <c r="B102" s="384"/>
      <c r="C102" s="384"/>
    </row>
    <row r="103" spans="1:3" x14ac:dyDescent="0.2">
      <c r="A103" s="83" t="s">
        <v>429</v>
      </c>
      <c r="B103" s="131">
        <v>5</v>
      </c>
      <c r="C103" s="92" t="s">
        <v>407</v>
      </c>
    </row>
    <row r="104" spans="1:3" x14ac:dyDescent="0.2">
      <c r="A104" s="83" t="s">
        <v>430</v>
      </c>
      <c r="B104" s="131">
        <v>10</v>
      </c>
      <c r="C104" s="92" t="s">
        <v>407</v>
      </c>
    </row>
    <row r="105" spans="1:3" x14ac:dyDescent="0.2">
      <c r="A105" s="83" t="s">
        <v>439</v>
      </c>
      <c r="B105" s="130">
        <v>2</v>
      </c>
      <c r="C105" s="83" t="s">
        <v>357</v>
      </c>
    </row>
    <row r="106" spans="1:3" x14ac:dyDescent="0.2">
      <c r="A106" s="83" t="s">
        <v>438</v>
      </c>
      <c r="B106" s="130">
        <v>2</v>
      </c>
      <c r="C106" s="83" t="s">
        <v>357</v>
      </c>
    </row>
    <row r="107" spans="1:3" x14ac:dyDescent="0.2">
      <c r="A107" s="83" t="s">
        <v>441</v>
      </c>
      <c r="B107" s="131">
        <v>100</v>
      </c>
      <c r="C107" s="84" t="s">
        <v>48</v>
      </c>
    </row>
    <row r="108" spans="1:3" x14ac:dyDescent="0.2">
      <c r="A108" s="83" t="s">
        <v>442</v>
      </c>
      <c r="B108" s="131">
        <v>50</v>
      </c>
      <c r="C108" s="84" t="s">
        <v>48</v>
      </c>
    </row>
    <row r="109" spans="1:3" x14ac:dyDescent="0.2">
      <c r="A109" s="52" t="s">
        <v>159</v>
      </c>
      <c r="B109" s="131">
        <v>3</v>
      </c>
      <c r="C109" s="52" t="s">
        <v>221</v>
      </c>
    </row>
    <row r="110" spans="1:3" x14ac:dyDescent="0.2">
      <c r="A110" s="52" t="s">
        <v>160</v>
      </c>
      <c r="B110" s="131">
        <v>3</v>
      </c>
      <c r="C110" s="52" t="s">
        <v>221</v>
      </c>
    </row>
    <row r="111" spans="1:3" x14ac:dyDescent="0.2">
      <c r="A111" s="83" t="s">
        <v>308</v>
      </c>
      <c r="B111" s="130">
        <v>0.23</v>
      </c>
    </row>
    <row r="112" spans="1:3" x14ac:dyDescent="0.2">
      <c r="A112" s="83" t="s">
        <v>309</v>
      </c>
      <c r="B112" s="130">
        <v>0.77</v>
      </c>
    </row>
    <row r="113" spans="1:3" x14ac:dyDescent="0.2">
      <c r="A113" s="52" t="s">
        <v>140</v>
      </c>
      <c r="B113" s="131">
        <v>55</v>
      </c>
      <c r="C113" s="52" t="s">
        <v>24</v>
      </c>
    </row>
    <row r="114" spans="1:3" x14ac:dyDescent="0.2">
      <c r="A114" s="52" t="s">
        <v>433</v>
      </c>
      <c r="B114" s="131">
        <v>55</v>
      </c>
      <c r="C114" s="52" t="s">
        <v>24</v>
      </c>
    </row>
    <row r="115" spans="1:3" x14ac:dyDescent="0.2">
      <c r="A115" s="52" t="s">
        <v>434</v>
      </c>
      <c r="B115" s="131">
        <v>55</v>
      </c>
      <c r="C115" s="52" t="s">
        <v>24</v>
      </c>
    </row>
    <row r="116" spans="1:3" x14ac:dyDescent="0.2">
      <c r="A116" s="52" t="s">
        <v>431</v>
      </c>
      <c r="B116" s="130">
        <v>5</v>
      </c>
      <c r="C116" s="52" t="s">
        <v>194</v>
      </c>
    </row>
    <row r="117" spans="1:3" x14ac:dyDescent="0.2">
      <c r="A117" s="52" t="s">
        <v>432</v>
      </c>
      <c r="B117" s="130">
        <v>5</v>
      </c>
      <c r="C117" s="52" t="s">
        <v>194</v>
      </c>
    </row>
    <row r="118" spans="1:3" x14ac:dyDescent="0.2">
      <c r="A118" s="52" t="s">
        <v>90</v>
      </c>
      <c r="B118" s="131">
        <v>5</v>
      </c>
      <c r="C118" s="52" t="s">
        <v>194</v>
      </c>
    </row>
    <row r="119" spans="1:3" x14ac:dyDescent="0.2">
      <c r="A119" s="52" t="s">
        <v>443</v>
      </c>
      <c r="B119" s="131">
        <v>5</v>
      </c>
      <c r="C119" s="52" t="s">
        <v>89</v>
      </c>
    </row>
    <row r="120" spans="1:3" x14ac:dyDescent="0.2">
      <c r="A120" s="52" t="s">
        <v>444</v>
      </c>
      <c r="B120" s="131">
        <v>5</v>
      </c>
      <c r="C120" s="52" t="s">
        <v>89</v>
      </c>
    </row>
    <row r="121" spans="1:3" x14ac:dyDescent="0.2">
      <c r="A121" s="83" t="s">
        <v>301</v>
      </c>
      <c r="B121" s="131">
        <v>2</v>
      </c>
    </row>
    <row r="122" spans="1:3" x14ac:dyDescent="0.2">
      <c r="A122" s="83" t="s">
        <v>433</v>
      </c>
      <c r="B122" s="130">
        <v>55</v>
      </c>
      <c r="C122" s="83" t="s">
        <v>24</v>
      </c>
    </row>
    <row r="123" spans="1:3" x14ac:dyDescent="0.2">
      <c r="A123" s="83" t="s">
        <v>434</v>
      </c>
      <c r="B123" s="130">
        <v>55</v>
      </c>
      <c r="C123" s="83" t="s">
        <v>24</v>
      </c>
    </row>
    <row r="124" spans="1:3" x14ac:dyDescent="0.2">
      <c r="A124" s="83" t="s">
        <v>435</v>
      </c>
      <c r="B124" s="131">
        <v>5</v>
      </c>
      <c r="C124" s="52" t="s">
        <v>80</v>
      </c>
    </row>
    <row r="125" spans="1:3" x14ac:dyDescent="0.2">
      <c r="A125" s="83" t="s">
        <v>436</v>
      </c>
      <c r="B125" s="131">
        <v>5</v>
      </c>
      <c r="C125" s="52" t="s">
        <v>80</v>
      </c>
    </row>
    <row r="126" spans="1:3" x14ac:dyDescent="0.2">
      <c r="A126" s="83" t="s">
        <v>65</v>
      </c>
      <c r="B126" s="130">
        <v>0.5</v>
      </c>
      <c r="C126" s="52" t="s">
        <v>66</v>
      </c>
    </row>
    <row r="127" spans="1:3" x14ac:dyDescent="0.2">
      <c r="A127" s="52" t="s">
        <v>51</v>
      </c>
      <c r="B127" s="131">
        <v>1</v>
      </c>
      <c r="C127" s="52" t="s">
        <v>60</v>
      </c>
    </row>
    <row r="128" spans="1:3" x14ac:dyDescent="0.2">
      <c r="A128" s="52" t="s">
        <v>159</v>
      </c>
      <c r="B128" s="130">
        <v>3</v>
      </c>
      <c r="C128" s="52" t="s">
        <v>221</v>
      </c>
    </row>
    <row r="129" spans="1:3" x14ac:dyDescent="0.2">
      <c r="A129" s="84" t="s">
        <v>164</v>
      </c>
      <c r="B129" s="130">
        <v>2</v>
      </c>
      <c r="C129" s="52" t="s">
        <v>246</v>
      </c>
    </row>
    <row r="130" spans="1:3" x14ac:dyDescent="0.2">
      <c r="A130" s="84" t="s">
        <v>161</v>
      </c>
      <c r="B130" s="130">
        <v>2</v>
      </c>
      <c r="C130" s="52" t="s">
        <v>246</v>
      </c>
    </row>
    <row r="131" spans="1:3" x14ac:dyDescent="0.2">
      <c r="A131" s="84" t="s">
        <v>162</v>
      </c>
      <c r="B131" s="130">
        <v>2</v>
      </c>
      <c r="C131" s="52" t="s">
        <v>41</v>
      </c>
    </row>
    <row r="132" spans="1:3" x14ac:dyDescent="0.2">
      <c r="A132" s="84" t="s">
        <v>163</v>
      </c>
      <c r="B132" s="130">
        <v>2</v>
      </c>
      <c r="C132" s="52" t="s">
        <v>41</v>
      </c>
    </row>
    <row r="133" spans="1:3" x14ac:dyDescent="0.2">
      <c r="A133" s="84" t="s">
        <v>169</v>
      </c>
      <c r="B133" s="130">
        <v>2</v>
      </c>
      <c r="C133" s="52" t="s">
        <v>28</v>
      </c>
    </row>
    <row r="134" spans="1:3" x14ac:dyDescent="0.2">
      <c r="A134" s="52" t="s">
        <v>160</v>
      </c>
      <c r="B134" s="130">
        <v>3</v>
      </c>
      <c r="C134" s="52" t="s">
        <v>221</v>
      </c>
    </row>
    <row r="135" spans="1:3" x14ac:dyDescent="0.2">
      <c r="A135" s="52" t="s">
        <v>165</v>
      </c>
      <c r="B135" s="130">
        <v>2</v>
      </c>
      <c r="C135" s="52" t="s">
        <v>246</v>
      </c>
    </row>
    <row r="136" spans="1:3" x14ac:dyDescent="0.2">
      <c r="A136" s="52" t="s">
        <v>166</v>
      </c>
      <c r="B136" s="130">
        <v>2</v>
      </c>
      <c r="C136" s="52" t="s">
        <v>246</v>
      </c>
    </row>
    <row r="137" spans="1:3" x14ac:dyDescent="0.2">
      <c r="A137" s="93" t="s">
        <v>167</v>
      </c>
      <c r="B137" s="130">
        <v>2</v>
      </c>
      <c r="C137" s="52" t="s">
        <v>41</v>
      </c>
    </row>
    <row r="138" spans="1:3" x14ac:dyDescent="0.2">
      <c r="A138" s="83" t="s">
        <v>168</v>
      </c>
      <c r="B138" s="130">
        <v>2</v>
      </c>
      <c r="C138" s="52" t="s">
        <v>41</v>
      </c>
    </row>
    <row r="139" spans="1:3" x14ac:dyDescent="0.2">
      <c r="A139" s="84" t="s">
        <v>170</v>
      </c>
      <c r="B139" s="130">
        <v>2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100</v>
      </c>
      <c r="C141" s="84" t="s">
        <v>48</v>
      </c>
    </row>
    <row r="142" spans="1:3" x14ac:dyDescent="0.2">
      <c r="A142" s="83" t="s">
        <v>458</v>
      </c>
      <c r="B142" s="130">
        <v>50</v>
      </c>
      <c r="C142" s="84" t="s">
        <v>48</v>
      </c>
    </row>
    <row r="143" spans="1:3" x14ac:dyDescent="0.2">
      <c r="A143" s="92" t="s">
        <v>451</v>
      </c>
      <c r="B143" s="131">
        <v>0.25</v>
      </c>
      <c r="C143" s="83" t="s">
        <v>28</v>
      </c>
    </row>
    <row r="144" spans="1:3" x14ac:dyDescent="0.2">
      <c r="A144" s="92" t="s">
        <v>460</v>
      </c>
      <c r="B144" s="131">
        <v>1.5</v>
      </c>
      <c r="C144" s="83" t="s">
        <v>28</v>
      </c>
    </row>
    <row r="145" spans="1:3" ht="15" x14ac:dyDescent="0.2">
      <c r="A145" s="92" t="s">
        <v>450</v>
      </c>
      <c r="B145" s="131">
        <v>5</v>
      </c>
      <c r="C145" s="83" t="s">
        <v>143</v>
      </c>
    </row>
    <row r="146" spans="1:3" ht="15" x14ac:dyDescent="0.2">
      <c r="A146" s="92" t="s">
        <v>459</v>
      </c>
      <c r="B146" s="131">
        <v>10</v>
      </c>
      <c r="C146" s="83" t="s">
        <v>143</v>
      </c>
    </row>
    <row r="147" spans="1:3" x14ac:dyDescent="0.2">
      <c r="A147" s="83" t="s">
        <v>467</v>
      </c>
      <c r="B147" s="130">
        <v>55</v>
      </c>
      <c r="C147" s="92" t="s">
        <v>221</v>
      </c>
    </row>
    <row r="148" spans="1:3" x14ac:dyDescent="0.2">
      <c r="A148" s="83" t="s">
        <v>468</v>
      </c>
      <c r="B148" s="130">
        <v>55</v>
      </c>
      <c r="C148" s="92" t="s">
        <v>221</v>
      </c>
    </row>
    <row r="149" spans="1:3" x14ac:dyDescent="0.2">
      <c r="A149" s="83" t="s">
        <v>469</v>
      </c>
      <c r="B149" s="130">
        <v>55</v>
      </c>
      <c r="C149" s="92" t="s">
        <v>221</v>
      </c>
    </row>
    <row r="150" spans="1:3" x14ac:dyDescent="0.2">
      <c r="A150" s="83" t="s">
        <v>470</v>
      </c>
      <c r="B150" s="130">
        <v>55</v>
      </c>
      <c r="C150" s="92" t="s">
        <v>221</v>
      </c>
    </row>
    <row r="151" spans="1:3" x14ac:dyDescent="0.2">
      <c r="A151" s="83" t="s">
        <v>452</v>
      </c>
      <c r="B151" s="130">
        <v>55</v>
      </c>
      <c r="C151" s="92" t="s">
        <v>221</v>
      </c>
    </row>
    <row r="152" spans="1:3" x14ac:dyDescent="0.2">
      <c r="A152" s="83" t="s">
        <v>461</v>
      </c>
      <c r="B152" s="130">
        <v>55</v>
      </c>
      <c r="C152" s="92" t="s">
        <v>221</v>
      </c>
    </row>
    <row r="153" spans="1:3" x14ac:dyDescent="0.2">
      <c r="A153" s="83" t="s">
        <v>453</v>
      </c>
      <c r="B153" s="130">
        <v>55</v>
      </c>
      <c r="C153" s="92" t="s">
        <v>221</v>
      </c>
    </row>
    <row r="154" spans="1:3" x14ac:dyDescent="0.2">
      <c r="A154" s="83" t="s">
        <v>462</v>
      </c>
      <c r="B154" s="130">
        <v>55</v>
      </c>
      <c r="C154" s="92" t="s">
        <v>221</v>
      </c>
    </row>
    <row r="155" spans="1:3" x14ac:dyDescent="0.2">
      <c r="A155" s="83" t="s">
        <v>454</v>
      </c>
      <c r="B155" s="130">
        <v>55</v>
      </c>
      <c r="C155" s="92" t="s">
        <v>221</v>
      </c>
    </row>
    <row r="156" spans="1:3" x14ac:dyDescent="0.2">
      <c r="A156" s="83" t="s">
        <v>463</v>
      </c>
      <c r="B156" s="130">
        <v>55</v>
      </c>
      <c r="C156" s="92" t="s">
        <v>221</v>
      </c>
    </row>
    <row r="157" spans="1:3" x14ac:dyDescent="0.2">
      <c r="A157" s="83" t="s">
        <v>471</v>
      </c>
      <c r="B157" s="130">
        <v>55</v>
      </c>
      <c r="C157" s="92" t="s">
        <v>221</v>
      </c>
    </row>
    <row r="158" spans="1:3" x14ac:dyDescent="0.2">
      <c r="A158" s="83" t="s">
        <v>472</v>
      </c>
      <c r="B158" s="130">
        <v>55</v>
      </c>
      <c r="C158" s="92" t="s">
        <v>221</v>
      </c>
    </row>
    <row r="159" spans="1:3" x14ac:dyDescent="0.2">
      <c r="A159" s="83" t="s">
        <v>473</v>
      </c>
      <c r="B159" s="130">
        <v>55</v>
      </c>
      <c r="C159" s="92" t="s">
        <v>221</v>
      </c>
    </row>
    <row r="160" spans="1:3" x14ac:dyDescent="0.2">
      <c r="A160" s="83" t="s">
        <v>474</v>
      </c>
      <c r="B160" s="130">
        <v>55</v>
      </c>
      <c r="C160" s="92" t="s">
        <v>221</v>
      </c>
    </row>
    <row r="161" spans="1:3" x14ac:dyDescent="0.2">
      <c r="A161" s="83" t="s">
        <v>455</v>
      </c>
      <c r="B161" s="130">
        <v>55</v>
      </c>
      <c r="C161" s="92" t="s">
        <v>221</v>
      </c>
    </row>
    <row r="162" spans="1:3" x14ac:dyDescent="0.2">
      <c r="A162" s="83" t="s">
        <v>464</v>
      </c>
      <c r="B162" s="130">
        <v>55</v>
      </c>
      <c r="C162" s="92" t="s">
        <v>221</v>
      </c>
    </row>
    <row r="163" spans="1:3" x14ac:dyDescent="0.2">
      <c r="A163" s="83" t="s">
        <v>475</v>
      </c>
      <c r="B163" s="130">
        <v>0.15</v>
      </c>
      <c r="C163" s="88"/>
    </row>
    <row r="164" spans="1:3" x14ac:dyDescent="0.2">
      <c r="A164" s="83" t="s">
        <v>476</v>
      </c>
      <c r="B164" s="130">
        <v>0.85</v>
      </c>
      <c r="C164" s="88"/>
    </row>
    <row r="165" spans="1:3" x14ac:dyDescent="0.2">
      <c r="A165" s="83" t="s">
        <v>456</v>
      </c>
      <c r="B165" s="130">
        <v>150</v>
      </c>
      <c r="C165" s="83" t="s">
        <v>24</v>
      </c>
    </row>
    <row r="166" spans="1:3" x14ac:dyDescent="0.2">
      <c r="A166" s="83" t="s">
        <v>465</v>
      </c>
      <c r="B166" s="130">
        <v>150</v>
      </c>
      <c r="C166" s="83" t="s">
        <v>24</v>
      </c>
    </row>
    <row r="167" spans="1:3" x14ac:dyDescent="0.2">
      <c r="A167" s="52" t="s">
        <v>362</v>
      </c>
      <c r="B167" s="131">
        <v>150</v>
      </c>
      <c r="C167" s="83" t="s">
        <v>24</v>
      </c>
    </row>
    <row r="168" spans="1:3" x14ac:dyDescent="0.2">
      <c r="A168" s="83" t="s">
        <v>363</v>
      </c>
      <c r="B168" s="130">
        <v>1</v>
      </c>
      <c r="C168" s="92" t="s">
        <v>60</v>
      </c>
    </row>
    <row r="169" spans="1:3" x14ac:dyDescent="0.2">
      <c r="A169" s="83" t="s">
        <v>364</v>
      </c>
      <c r="B169" s="130">
        <v>24</v>
      </c>
      <c r="C169" s="94" t="s">
        <v>194</v>
      </c>
    </row>
    <row r="170" spans="1:3" x14ac:dyDescent="0.2">
      <c r="A170" s="83" t="s">
        <v>365</v>
      </c>
      <c r="B170" s="130">
        <v>24</v>
      </c>
      <c r="C170" s="52" t="s">
        <v>194</v>
      </c>
    </row>
    <row r="171" spans="1:3" x14ac:dyDescent="0.2">
      <c r="A171" s="83" t="s">
        <v>361</v>
      </c>
      <c r="B171" s="130">
        <v>1</v>
      </c>
    </row>
    <row r="172" spans="1:3" x14ac:dyDescent="0.2">
      <c r="A172" s="83" t="s">
        <v>507</v>
      </c>
      <c r="B172" s="130">
        <v>15</v>
      </c>
      <c r="C172" s="84" t="s">
        <v>194</v>
      </c>
    </row>
    <row r="173" spans="1:3" x14ac:dyDescent="0.2">
      <c r="A173" s="83" t="s">
        <v>508</v>
      </c>
      <c r="B173" s="130">
        <v>5</v>
      </c>
      <c r="C173" s="84" t="s">
        <v>194</v>
      </c>
    </row>
    <row r="174" spans="1:3" x14ac:dyDescent="0.2">
      <c r="A174" s="83" t="s">
        <v>88</v>
      </c>
      <c r="B174" s="130">
        <v>0.4</v>
      </c>
    </row>
    <row r="175" spans="1:3" x14ac:dyDescent="0.2">
      <c r="A175" s="83" t="s">
        <v>303</v>
      </c>
      <c r="B175" s="130">
        <v>1</v>
      </c>
    </row>
    <row r="176" spans="1:3" x14ac:dyDescent="0.2">
      <c r="A176" s="83" t="s">
        <v>301</v>
      </c>
      <c r="B176" s="131">
        <v>2</v>
      </c>
    </row>
    <row r="177" spans="1:3" x14ac:dyDescent="0.2">
      <c r="A177" s="92" t="s">
        <v>457</v>
      </c>
      <c r="B177" s="130">
        <v>5</v>
      </c>
      <c r="C177" s="92" t="s">
        <v>144</v>
      </c>
    </row>
    <row r="178" spans="1:3" x14ac:dyDescent="0.2">
      <c r="A178" s="92" t="s">
        <v>466</v>
      </c>
      <c r="B178" s="130">
        <v>5</v>
      </c>
      <c r="C178" s="92" t="s">
        <v>144</v>
      </c>
    </row>
    <row r="179" spans="1:3" x14ac:dyDescent="0.2">
      <c r="A179" s="52" t="s">
        <v>477</v>
      </c>
      <c r="B179" s="130">
        <v>0.25</v>
      </c>
      <c r="C179" s="92" t="s">
        <v>358</v>
      </c>
    </row>
    <row r="180" spans="1:3" x14ac:dyDescent="0.2">
      <c r="A180" s="52" t="s">
        <v>478</v>
      </c>
      <c r="B180" s="130">
        <v>0.85</v>
      </c>
      <c r="C180" s="92" t="s">
        <v>358</v>
      </c>
    </row>
    <row r="181" spans="1:3" x14ac:dyDescent="0.2">
      <c r="A181" s="84" t="s">
        <v>65</v>
      </c>
      <c r="B181" s="130">
        <v>0.5</v>
      </c>
      <c r="C181" s="92" t="s">
        <v>600</v>
      </c>
    </row>
    <row r="182" spans="1:3" x14ac:dyDescent="0.2">
      <c r="A182" s="92" t="s">
        <v>361</v>
      </c>
      <c r="B182" s="130">
        <v>1</v>
      </c>
    </row>
    <row r="183" spans="1:3" x14ac:dyDescent="0.2">
      <c r="A183" s="92" t="s">
        <v>479</v>
      </c>
      <c r="B183" s="130">
        <v>1</v>
      </c>
    </row>
    <row r="184" spans="1:3" x14ac:dyDescent="0.2">
      <c r="A184" s="92" t="s">
        <v>480</v>
      </c>
      <c r="B184" s="130">
        <v>1</v>
      </c>
    </row>
    <row r="185" spans="1:3" x14ac:dyDescent="0.2">
      <c r="A185" s="92" t="s">
        <v>481</v>
      </c>
      <c r="B185" s="130">
        <v>1</v>
      </c>
    </row>
    <row r="186" spans="1:3" x14ac:dyDescent="0.2">
      <c r="A186" s="92" t="s">
        <v>482</v>
      </c>
      <c r="B186" s="130">
        <v>1</v>
      </c>
    </row>
    <row r="187" spans="1:3" x14ac:dyDescent="0.2">
      <c r="A187" s="92" t="s">
        <v>483</v>
      </c>
      <c r="B187" s="130">
        <v>1</v>
      </c>
    </row>
    <row r="188" spans="1:3" x14ac:dyDescent="0.2">
      <c r="A188" s="92" t="s">
        <v>484</v>
      </c>
      <c r="B188" s="131">
        <v>1</v>
      </c>
    </row>
    <row r="189" spans="1:3" x14ac:dyDescent="0.2">
      <c r="A189" s="83" t="s">
        <v>36</v>
      </c>
      <c r="B189" s="131">
        <v>3.62</v>
      </c>
      <c r="C189" s="52" t="s">
        <v>37</v>
      </c>
    </row>
    <row r="190" spans="1:3" x14ac:dyDescent="0.2">
      <c r="A190" s="83" t="s">
        <v>40</v>
      </c>
      <c r="B190" s="131">
        <v>0.25</v>
      </c>
      <c r="C190" s="52" t="s">
        <v>41</v>
      </c>
    </row>
    <row r="191" spans="1:3" x14ac:dyDescent="0.2">
      <c r="A191" s="92" t="s">
        <v>52</v>
      </c>
      <c r="B191" s="131">
        <v>10950</v>
      </c>
      <c r="C191" s="52" t="s">
        <v>53</v>
      </c>
    </row>
    <row r="192" spans="1:3" x14ac:dyDescent="0.2">
      <c r="A192" s="92" t="s">
        <v>55</v>
      </c>
      <c r="B192" s="131">
        <v>240</v>
      </c>
      <c r="C192" s="52" t="s">
        <v>56</v>
      </c>
    </row>
    <row r="193" spans="1:3" x14ac:dyDescent="0.2">
      <c r="A193" s="92" t="s">
        <v>61</v>
      </c>
      <c r="B193" s="131">
        <v>0.42</v>
      </c>
      <c r="C193" s="52" t="s">
        <v>41</v>
      </c>
    </row>
    <row r="194" spans="1:3" x14ac:dyDescent="0.2">
      <c r="A194" s="92" t="s">
        <v>67</v>
      </c>
      <c r="B194" s="131">
        <v>60</v>
      </c>
      <c r="C194" s="83" t="s">
        <v>53</v>
      </c>
    </row>
    <row r="195" spans="1:3" x14ac:dyDescent="0.2">
      <c r="A195" s="92" t="s">
        <v>68</v>
      </c>
      <c r="B195" s="131">
        <v>2</v>
      </c>
      <c r="C195" s="83" t="s">
        <v>56</v>
      </c>
    </row>
    <row r="196" spans="1:3" x14ac:dyDescent="0.2">
      <c r="A196" s="92" t="s">
        <v>70</v>
      </c>
      <c r="B196" s="131">
        <v>2.6999999999999999E-5</v>
      </c>
      <c r="C196" s="52" t="s">
        <v>64</v>
      </c>
    </row>
    <row r="197" spans="1:3" x14ac:dyDescent="0.2">
      <c r="A197" s="92" t="s">
        <v>73</v>
      </c>
      <c r="B197" s="131">
        <v>1</v>
      </c>
      <c r="C197" s="52" t="s">
        <v>41</v>
      </c>
    </row>
    <row r="198" spans="1:3" x14ac:dyDescent="0.2">
      <c r="A198" s="92" t="s">
        <v>74</v>
      </c>
      <c r="B198" s="131">
        <v>14</v>
      </c>
      <c r="C198" s="52" t="s">
        <v>75</v>
      </c>
    </row>
    <row r="199" spans="1:3" x14ac:dyDescent="0.2">
      <c r="A199" s="83" t="s">
        <v>27</v>
      </c>
      <c r="B199" s="131">
        <v>92</v>
      </c>
      <c r="C199" s="83" t="s">
        <v>28</v>
      </c>
    </row>
    <row r="200" spans="1:3" x14ac:dyDescent="0.2">
      <c r="A200" s="52" t="s">
        <v>285</v>
      </c>
      <c r="B200" s="130">
        <v>1.03</v>
      </c>
      <c r="C200" s="52" t="s">
        <v>286</v>
      </c>
    </row>
    <row r="201" spans="1:3" x14ac:dyDescent="0.2">
      <c r="A201" s="83" t="s">
        <v>498</v>
      </c>
      <c r="B201" s="131">
        <v>20.3</v>
      </c>
      <c r="C201" s="52" t="s">
        <v>246</v>
      </c>
    </row>
    <row r="202" spans="1:3" x14ac:dyDescent="0.2">
      <c r="A202" s="83" t="s">
        <v>499</v>
      </c>
      <c r="B202" s="131">
        <v>0.04</v>
      </c>
      <c r="C202" s="52" t="s">
        <v>246</v>
      </c>
    </row>
    <row r="203" spans="1:3" x14ac:dyDescent="0.2">
      <c r="A203" s="83" t="s">
        <v>500</v>
      </c>
      <c r="B203" s="131">
        <v>1</v>
      </c>
    </row>
    <row r="204" spans="1:3" x14ac:dyDescent="0.2">
      <c r="A204" s="83" t="s">
        <v>501</v>
      </c>
      <c r="B204" s="131">
        <v>1</v>
      </c>
    </row>
    <row r="205" spans="1:3" x14ac:dyDescent="0.2">
      <c r="A205" s="83" t="s">
        <v>29</v>
      </c>
      <c r="B205" s="131">
        <v>53</v>
      </c>
      <c r="C205" s="83" t="s">
        <v>28</v>
      </c>
    </row>
    <row r="206" spans="1:3" x14ac:dyDescent="0.2">
      <c r="A206" s="83" t="s">
        <v>494</v>
      </c>
      <c r="B206" s="131">
        <v>11.77</v>
      </c>
      <c r="C206" s="52" t="s">
        <v>246</v>
      </c>
    </row>
    <row r="207" spans="1:3" x14ac:dyDescent="0.2">
      <c r="A207" s="83" t="s">
        <v>495</v>
      </c>
      <c r="B207" s="131">
        <v>0.5</v>
      </c>
      <c r="C207" s="52" t="s">
        <v>246</v>
      </c>
    </row>
    <row r="208" spans="1:3" x14ac:dyDescent="0.2">
      <c r="A208" s="83" t="s">
        <v>496</v>
      </c>
      <c r="B208" s="131">
        <v>1</v>
      </c>
    </row>
    <row r="209" spans="1:3" x14ac:dyDescent="0.2">
      <c r="A209" s="83" t="s">
        <v>497</v>
      </c>
      <c r="B209" s="131">
        <v>1</v>
      </c>
    </row>
    <row r="210" spans="1:3" x14ac:dyDescent="0.2">
      <c r="A210" s="83" t="s">
        <v>148</v>
      </c>
      <c r="B210" s="130">
        <v>0.4</v>
      </c>
      <c r="C210" s="83" t="s">
        <v>28</v>
      </c>
    </row>
    <row r="211" spans="1:3" x14ac:dyDescent="0.2">
      <c r="A211" s="83" t="s">
        <v>152</v>
      </c>
      <c r="B211" s="131">
        <v>0.2</v>
      </c>
      <c r="C211" s="52" t="s">
        <v>246</v>
      </c>
    </row>
    <row r="212" spans="1:3" x14ac:dyDescent="0.2">
      <c r="A212" s="83" t="s">
        <v>151</v>
      </c>
      <c r="B212" s="131">
        <v>2.1999999999999999E-2</v>
      </c>
      <c r="C212" s="52" t="s">
        <v>246</v>
      </c>
    </row>
    <row r="213" spans="1:3" x14ac:dyDescent="0.2">
      <c r="A213" s="83" t="s">
        <v>153</v>
      </c>
      <c r="B213" s="130">
        <v>1</v>
      </c>
    </row>
    <row r="214" spans="1:3" x14ac:dyDescent="0.2">
      <c r="A214" s="83" t="s">
        <v>154</v>
      </c>
      <c r="B214" s="130">
        <v>1</v>
      </c>
    </row>
    <row r="215" spans="1:3" x14ac:dyDescent="0.2">
      <c r="A215" s="83" t="s">
        <v>485</v>
      </c>
      <c r="B215" s="130">
        <v>0.4</v>
      </c>
      <c r="C215" s="83" t="s">
        <v>28</v>
      </c>
    </row>
    <row r="216" spans="1:3" x14ac:dyDescent="0.2">
      <c r="A216" s="83" t="s">
        <v>486</v>
      </c>
      <c r="B216" s="131">
        <v>0.2</v>
      </c>
      <c r="C216" s="52" t="s">
        <v>246</v>
      </c>
    </row>
    <row r="217" spans="1:3" x14ac:dyDescent="0.2">
      <c r="A217" s="83" t="s">
        <v>487</v>
      </c>
      <c r="B217" s="131">
        <v>2.1999999999999999E-2</v>
      </c>
      <c r="C217" s="52" t="s">
        <v>246</v>
      </c>
    </row>
    <row r="218" spans="1:3" x14ac:dyDescent="0.2">
      <c r="A218" s="83" t="s">
        <v>488</v>
      </c>
      <c r="B218" s="131">
        <v>1</v>
      </c>
    </row>
    <row r="219" spans="1:3" x14ac:dyDescent="0.2">
      <c r="A219" s="83" t="s">
        <v>489</v>
      </c>
      <c r="B219" s="131">
        <v>1</v>
      </c>
    </row>
    <row r="220" spans="1:3" x14ac:dyDescent="0.2">
      <c r="A220" s="83" t="s">
        <v>150</v>
      </c>
      <c r="B220" s="131">
        <v>11.4</v>
      </c>
      <c r="C220" s="83" t="s">
        <v>28</v>
      </c>
    </row>
    <row r="221" spans="1:3" x14ac:dyDescent="0.2">
      <c r="A221" s="83" t="s">
        <v>490</v>
      </c>
      <c r="B221" s="131">
        <v>4.7</v>
      </c>
      <c r="C221" s="52" t="s">
        <v>246</v>
      </c>
    </row>
    <row r="222" spans="1:3" x14ac:dyDescent="0.2">
      <c r="A222" s="83" t="s">
        <v>491</v>
      </c>
      <c r="B222" s="131">
        <v>0.37</v>
      </c>
      <c r="C222" s="52" t="s">
        <v>246</v>
      </c>
    </row>
    <row r="223" spans="1:3" x14ac:dyDescent="0.2">
      <c r="A223" s="83" t="s">
        <v>492</v>
      </c>
      <c r="B223" s="131">
        <v>1</v>
      </c>
    </row>
    <row r="224" spans="1:3" x14ac:dyDescent="0.2">
      <c r="A224" s="83" t="s">
        <v>493</v>
      </c>
      <c r="B224" s="131">
        <v>1</v>
      </c>
    </row>
    <row r="225" spans="1:3" x14ac:dyDescent="0.2">
      <c r="A225" s="370" t="s">
        <v>311</v>
      </c>
      <c r="B225" s="370"/>
      <c r="C225" s="370"/>
    </row>
    <row r="226" spans="1:3" x14ac:dyDescent="0.2">
      <c r="A226" s="52" t="s">
        <v>504</v>
      </c>
      <c r="B226" s="130">
        <v>50</v>
      </c>
      <c r="C226" s="84" t="s">
        <v>407</v>
      </c>
    </row>
    <row r="227" spans="1:3" x14ac:dyDescent="0.2">
      <c r="A227" s="83" t="s">
        <v>316</v>
      </c>
      <c r="B227" s="130">
        <v>125</v>
      </c>
      <c r="C227" s="52" t="s">
        <v>24</v>
      </c>
    </row>
    <row r="228" spans="1:3" x14ac:dyDescent="0.2">
      <c r="A228" s="83" t="s">
        <v>422</v>
      </c>
      <c r="B228" s="131">
        <v>1</v>
      </c>
      <c r="C228" s="52" t="s">
        <v>60</v>
      </c>
    </row>
    <row r="229" spans="1:3" x14ac:dyDescent="0.2">
      <c r="A229" s="83" t="s">
        <v>317</v>
      </c>
      <c r="B229" s="130">
        <v>50</v>
      </c>
      <c r="C229" s="84" t="s">
        <v>48</v>
      </c>
    </row>
    <row r="230" spans="1:3" x14ac:dyDescent="0.2">
      <c r="A230" s="52" t="s">
        <v>318</v>
      </c>
      <c r="B230" s="131">
        <v>2</v>
      </c>
    </row>
    <row r="231" spans="1:3" x14ac:dyDescent="0.2">
      <c r="A231" s="83" t="s">
        <v>299</v>
      </c>
      <c r="B231" s="131">
        <v>1</v>
      </c>
    </row>
    <row r="232" spans="1:3" x14ac:dyDescent="0.2">
      <c r="A232" s="83" t="s">
        <v>83</v>
      </c>
      <c r="B232" s="130">
        <v>5</v>
      </c>
      <c r="C232" s="52" t="s">
        <v>194</v>
      </c>
    </row>
    <row r="233" spans="1:3" x14ac:dyDescent="0.2">
      <c r="A233" s="83" t="s">
        <v>85</v>
      </c>
      <c r="B233" s="130">
        <v>5</v>
      </c>
      <c r="C233" s="52" t="s">
        <v>194</v>
      </c>
    </row>
    <row r="234" spans="1:3" x14ac:dyDescent="0.2">
      <c r="A234" s="83" t="s">
        <v>88</v>
      </c>
      <c r="B234" s="130">
        <v>0.4</v>
      </c>
    </row>
    <row r="235" spans="1:3" x14ac:dyDescent="0.2">
      <c r="A235" s="370" t="s">
        <v>312</v>
      </c>
      <c r="B235" s="370"/>
      <c r="C235" s="370"/>
    </row>
    <row r="236" spans="1:3" x14ac:dyDescent="0.2">
      <c r="A236" s="52" t="s">
        <v>304</v>
      </c>
      <c r="B236" s="130">
        <v>50</v>
      </c>
      <c r="C236" s="84" t="s">
        <v>407</v>
      </c>
    </row>
    <row r="237" spans="1:3" x14ac:dyDescent="0.2">
      <c r="A237" s="83" t="s">
        <v>35</v>
      </c>
      <c r="B237" s="130">
        <v>125</v>
      </c>
      <c r="C237" s="52" t="s">
        <v>24</v>
      </c>
    </row>
    <row r="238" spans="1:3" x14ac:dyDescent="0.2">
      <c r="A238" s="83" t="s">
        <v>420</v>
      </c>
      <c r="B238" s="131">
        <v>1</v>
      </c>
      <c r="C238" s="52" t="s">
        <v>60</v>
      </c>
    </row>
    <row r="239" spans="1:3" x14ac:dyDescent="0.2">
      <c r="A239" s="83" t="s">
        <v>62</v>
      </c>
      <c r="B239" s="130">
        <v>50</v>
      </c>
      <c r="C239" s="84" t="s">
        <v>48</v>
      </c>
    </row>
    <row r="240" spans="1:3" x14ac:dyDescent="0.2">
      <c r="A240" s="52" t="s">
        <v>318</v>
      </c>
      <c r="B240" s="131">
        <v>2</v>
      </c>
    </row>
    <row r="241" spans="1:3" x14ac:dyDescent="0.2">
      <c r="A241" s="83" t="s">
        <v>299</v>
      </c>
      <c r="B241" s="131">
        <v>1</v>
      </c>
    </row>
    <row r="242" spans="1:3" x14ac:dyDescent="0.2">
      <c r="A242" s="83" t="s">
        <v>83</v>
      </c>
      <c r="B242" s="130">
        <v>5</v>
      </c>
      <c r="C242" s="52" t="s">
        <v>194</v>
      </c>
    </row>
    <row r="243" spans="1:3" x14ac:dyDescent="0.2">
      <c r="A243" s="83" t="s">
        <v>85</v>
      </c>
      <c r="B243" s="130">
        <v>5</v>
      </c>
      <c r="C243" s="52" t="s">
        <v>194</v>
      </c>
    </row>
    <row r="244" spans="1:3" x14ac:dyDescent="0.2">
      <c r="A244" s="83" t="s">
        <v>88</v>
      </c>
      <c r="B244" s="130">
        <v>0.4</v>
      </c>
    </row>
    <row r="245" spans="1:3" x14ac:dyDescent="0.2">
      <c r="A245" s="370" t="s">
        <v>313</v>
      </c>
      <c r="B245" s="370"/>
      <c r="C245" s="370"/>
    </row>
    <row r="246" spans="1:3" x14ac:dyDescent="0.2">
      <c r="A246" s="52" t="s">
        <v>50</v>
      </c>
      <c r="B246" s="130">
        <v>50</v>
      </c>
      <c r="C246" s="84" t="s">
        <v>407</v>
      </c>
    </row>
    <row r="247" spans="1:3" x14ac:dyDescent="0.2">
      <c r="A247" s="83" t="s">
        <v>423</v>
      </c>
      <c r="B247" s="130">
        <v>125</v>
      </c>
      <c r="C247" s="52" t="s">
        <v>24</v>
      </c>
    </row>
    <row r="248" spans="1:3" x14ac:dyDescent="0.2">
      <c r="A248" s="83" t="s">
        <v>424</v>
      </c>
      <c r="B248" s="131">
        <v>1</v>
      </c>
      <c r="C248" s="52" t="s">
        <v>60</v>
      </c>
    </row>
    <row r="249" spans="1:3" x14ac:dyDescent="0.2">
      <c r="A249" s="83" t="s">
        <v>503</v>
      </c>
      <c r="B249" s="130">
        <v>50</v>
      </c>
      <c r="C249" s="84" t="s">
        <v>48</v>
      </c>
    </row>
    <row r="250" spans="1:3" x14ac:dyDescent="0.2">
      <c r="A250" s="52" t="s">
        <v>318</v>
      </c>
      <c r="B250" s="131">
        <v>2</v>
      </c>
    </row>
    <row r="251" spans="1:3" x14ac:dyDescent="0.2">
      <c r="A251" s="83" t="s">
        <v>299</v>
      </c>
      <c r="B251" s="131">
        <v>1</v>
      </c>
    </row>
    <row r="252" spans="1:3" x14ac:dyDescent="0.2">
      <c r="A252" s="83" t="s">
        <v>83</v>
      </c>
      <c r="B252" s="130">
        <v>5</v>
      </c>
      <c r="C252" s="52" t="s">
        <v>194</v>
      </c>
    </row>
    <row r="253" spans="1:3" x14ac:dyDescent="0.2">
      <c r="A253" s="83" t="s">
        <v>85</v>
      </c>
      <c r="B253" s="130">
        <v>5</v>
      </c>
      <c r="C253" s="52" t="s">
        <v>194</v>
      </c>
    </row>
    <row r="254" spans="1:3" x14ac:dyDescent="0.2">
      <c r="A254" s="83" t="s">
        <v>88</v>
      </c>
      <c r="B254" s="130">
        <v>0.4</v>
      </c>
    </row>
    <row r="255" spans="1:3" x14ac:dyDescent="0.2">
      <c r="A255" s="370" t="s">
        <v>314</v>
      </c>
      <c r="B255" s="370"/>
      <c r="C255" s="370"/>
    </row>
    <row r="256" spans="1:3" x14ac:dyDescent="0.2">
      <c r="A256" s="52" t="s">
        <v>348</v>
      </c>
      <c r="B256" s="130">
        <v>50</v>
      </c>
      <c r="C256" s="84" t="s">
        <v>407</v>
      </c>
    </row>
    <row r="257" spans="1:3" x14ac:dyDescent="0.2">
      <c r="A257" s="83" t="s">
        <v>191</v>
      </c>
      <c r="B257" s="130">
        <v>125</v>
      </c>
      <c r="C257" s="52" t="s">
        <v>24</v>
      </c>
    </row>
    <row r="258" spans="1:3" x14ac:dyDescent="0.2">
      <c r="A258" s="83" t="s">
        <v>158</v>
      </c>
      <c r="B258" s="131">
        <v>1</v>
      </c>
      <c r="C258" s="52" t="s">
        <v>60</v>
      </c>
    </row>
    <row r="259" spans="1:3" x14ac:dyDescent="0.2">
      <c r="A259" s="83" t="s">
        <v>502</v>
      </c>
      <c r="B259" s="130">
        <v>200</v>
      </c>
      <c r="C259" s="84" t="s">
        <v>48</v>
      </c>
    </row>
    <row r="260" spans="1:3" x14ac:dyDescent="0.2">
      <c r="A260" s="52" t="s">
        <v>318</v>
      </c>
      <c r="B260" s="131">
        <v>2</v>
      </c>
    </row>
    <row r="261" spans="1:3" x14ac:dyDescent="0.2">
      <c r="A261" s="83" t="s">
        <v>299</v>
      </c>
      <c r="B261" s="131">
        <v>1</v>
      </c>
    </row>
    <row r="262" spans="1:3" x14ac:dyDescent="0.2">
      <c r="A262" s="83" t="s">
        <v>83</v>
      </c>
      <c r="B262" s="130">
        <v>5</v>
      </c>
      <c r="C262" s="52" t="s">
        <v>194</v>
      </c>
    </row>
    <row r="263" spans="1:3" x14ac:dyDescent="0.2">
      <c r="A263" s="83" t="s">
        <v>85</v>
      </c>
      <c r="B263" s="130">
        <v>5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83" t="s">
        <v>219</v>
      </c>
      <c r="B265" s="130">
        <v>3</v>
      </c>
      <c r="C265" s="52" t="s">
        <v>112</v>
      </c>
    </row>
    <row r="266" spans="1:3" x14ac:dyDescent="0.2">
      <c r="A266" s="83" t="s">
        <v>220</v>
      </c>
      <c r="B266" s="130">
        <v>25</v>
      </c>
      <c r="C266" s="52" t="s">
        <v>113</v>
      </c>
    </row>
    <row r="267" spans="1:3" x14ac:dyDescent="0.2">
      <c r="A267" s="370" t="s">
        <v>315</v>
      </c>
      <c r="B267" s="370"/>
      <c r="C267" s="370"/>
    </row>
    <row r="268" spans="1:3" x14ac:dyDescent="0.2">
      <c r="A268" s="52" t="s">
        <v>348</v>
      </c>
      <c r="B268" s="130">
        <v>50</v>
      </c>
      <c r="C268" s="84" t="s">
        <v>407</v>
      </c>
    </row>
    <row r="269" spans="1:3" x14ac:dyDescent="0.2">
      <c r="A269" s="83" t="s">
        <v>191</v>
      </c>
      <c r="B269" s="130">
        <v>125</v>
      </c>
      <c r="C269" s="52" t="s">
        <v>24</v>
      </c>
    </row>
    <row r="270" spans="1:3" x14ac:dyDescent="0.2">
      <c r="A270" s="83" t="s">
        <v>158</v>
      </c>
      <c r="B270" s="131">
        <v>1</v>
      </c>
      <c r="C270" s="52" t="s">
        <v>60</v>
      </c>
    </row>
    <row r="271" spans="1:3" x14ac:dyDescent="0.2">
      <c r="A271" s="83" t="s">
        <v>502</v>
      </c>
      <c r="B271" s="130">
        <v>200</v>
      </c>
      <c r="C271" s="84" t="s">
        <v>48</v>
      </c>
    </row>
    <row r="272" spans="1:3" x14ac:dyDescent="0.2">
      <c r="A272" s="83" t="s">
        <v>299</v>
      </c>
      <c r="B272" s="131">
        <v>1</v>
      </c>
    </row>
    <row r="273" spans="1:3" x14ac:dyDescent="0.2">
      <c r="A273" s="83" t="s">
        <v>83</v>
      </c>
      <c r="B273" s="130">
        <v>5</v>
      </c>
      <c r="C273" s="52" t="s">
        <v>194</v>
      </c>
    </row>
    <row r="274" spans="1:3" x14ac:dyDescent="0.2">
      <c r="A274" s="83" t="s">
        <v>85</v>
      </c>
      <c r="B274" s="130">
        <v>5</v>
      </c>
      <c r="C274" s="52" t="s">
        <v>194</v>
      </c>
    </row>
    <row r="275" spans="1:3" x14ac:dyDescent="0.2">
      <c r="A275" s="83" t="s">
        <v>88</v>
      </c>
      <c r="B275" s="130">
        <v>0.4</v>
      </c>
    </row>
    <row r="276" spans="1:3" x14ac:dyDescent="0.2">
      <c r="A276" s="83" t="s">
        <v>219</v>
      </c>
      <c r="B276" s="130">
        <v>3</v>
      </c>
      <c r="C276" s="52" t="s">
        <v>112</v>
      </c>
    </row>
    <row r="277" spans="1:3" x14ac:dyDescent="0.2">
      <c r="A277" s="83" t="s">
        <v>220</v>
      </c>
      <c r="B277" s="130">
        <v>25</v>
      </c>
      <c r="C277" s="52" t="s">
        <v>113</v>
      </c>
    </row>
  </sheetData>
  <mergeCells count="348">
    <mergeCell ref="CC35:CG38"/>
    <mergeCell ref="AE38:AG40"/>
    <mergeCell ref="BK39:BO42"/>
    <mergeCell ref="D42:F42"/>
    <mergeCell ref="D43:D44"/>
    <mergeCell ref="E43:E44"/>
    <mergeCell ref="F43:F44"/>
    <mergeCell ref="BO21:BO23"/>
    <mergeCell ref="HD21:HF21"/>
    <mergeCell ref="V23:X23"/>
    <mergeCell ref="Y23:AA23"/>
    <mergeCell ref="D30:F30"/>
    <mergeCell ref="BJ21:BJ23"/>
    <mergeCell ref="BK21:BK23"/>
    <mergeCell ref="BL21:BL23"/>
    <mergeCell ref="BM21:BM23"/>
    <mergeCell ref="BN21:BN23"/>
    <mergeCell ref="BB21:BB23"/>
    <mergeCell ref="BC21:BC23"/>
    <mergeCell ref="BD21:BD23"/>
    <mergeCell ref="BE21:BE23"/>
    <mergeCell ref="BF21:BF23"/>
    <mergeCell ref="AT21:AT23"/>
    <mergeCell ref="AU21:AU23"/>
    <mergeCell ref="AM21:AM23"/>
    <mergeCell ref="AN21:AN23"/>
    <mergeCell ref="AR21:AR23"/>
    <mergeCell ref="AS21:AS23"/>
    <mergeCell ref="CM20:CM22"/>
    <mergeCell ref="CN20:CN22"/>
    <mergeCell ref="CO20:CO22"/>
    <mergeCell ref="CP20:CP22"/>
    <mergeCell ref="CQ20:CQ22"/>
    <mergeCell ref="CG19:CG21"/>
    <mergeCell ref="CK19:CM19"/>
    <mergeCell ref="CN19:CP19"/>
    <mergeCell ref="N21:N23"/>
    <mergeCell ref="O21:O23"/>
    <mergeCell ref="P21:P23"/>
    <mergeCell ref="Q21:Q23"/>
    <mergeCell ref="R21:R23"/>
    <mergeCell ref="AI21:AI23"/>
    <mergeCell ref="AJ21:AJ23"/>
    <mergeCell ref="AK21:AK23"/>
    <mergeCell ref="AL21:AL23"/>
    <mergeCell ref="CQ19:CS19"/>
    <mergeCell ref="M20:O20"/>
    <mergeCell ref="P20:R20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CK20:CK22"/>
    <mergeCell ref="CL20:CL22"/>
    <mergeCell ref="CB19:CB21"/>
    <mergeCell ref="CC19:CC21"/>
    <mergeCell ref="CD19:CD21"/>
    <mergeCell ref="CE19:CE21"/>
    <mergeCell ref="CF19:CF21"/>
    <mergeCell ref="AV21:AV23"/>
    <mergeCell ref="AW21:AW23"/>
    <mergeCell ref="BA21:BA23"/>
    <mergeCell ref="CR20:CR22"/>
    <mergeCell ref="CS20:CS22"/>
    <mergeCell ref="M21:M23"/>
    <mergeCell ref="GZ2:GZ4"/>
    <mergeCell ref="HA2:HA4"/>
    <mergeCell ref="HB2:HB4"/>
    <mergeCell ref="HC2:HC4"/>
    <mergeCell ref="CB18:CD18"/>
    <mergeCell ref="CE18:CG18"/>
    <mergeCell ref="GU2:GU4"/>
    <mergeCell ref="GV2:GV4"/>
    <mergeCell ref="GW2:GW4"/>
    <mergeCell ref="GX2:GX4"/>
    <mergeCell ref="GY2:GY4"/>
    <mergeCell ref="GP2:GP4"/>
    <mergeCell ref="GQ2:GQ4"/>
    <mergeCell ref="GR2:GR4"/>
    <mergeCell ref="GS2:GS4"/>
    <mergeCell ref="GT2:GT4"/>
    <mergeCell ref="GK2:GK4"/>
    <mergeCell ref="GL2:GL4"/>
    <mergeCell ref="GM2:GM4"/>
    <mergeCell ref="GN2:GN4"/>
    <mergeCell ref="GO2:GO4"/>
    <mergeCell ref="GF2:GF4"/>
    <mergeCell ref="GG2:GG4"/>
    <mergeCell ref="GH2:GH4"/>
    <mergeCell ref="GI2:GI4"/>
    <mergeCell ref="GJ2:GJ4"/>
    <mergeCell ref="GA2:GA4"/>
    <mergeCell ref="GB2:GB4"/>
    <mergeCell ref="GC2:GC4"/>
    <mergeCell ref="GD2:GD4"/>
    <mergeCell ref="GE2:GE4"/>
    <mergeCell ref="FV2:FV4"/>
    <mergeCell ref="FW2:FW4"/>
    <mergeCell ref="FX2:FX4"/>
    <mergeCell ref="FY2:FY4"/>
    <mergeCell ref="FZ2:FZ4"/>
    <mergeCell ref="FQ2:FQ4"/>
    <mergeCell ref="FR2:FR4"/>
    <mergeCell ref="FS2:FS4"/>
    <mergeCell ref="FT2:FT4"/>
    <mergeCell ref="FU2:FU4"/>
    <mergeCell ref="FL2:FL4"/>
    <mergeCell ref="FM2:FM4"/>
    <mergeCell ref="FN2:FN4"/>
    <mergeCell ref="FO2:FO4"/>
    <mergeCell ref="FP2:FP4"/>
    <mergeCell ref="FG2:FG4"/>
    <mergeCell ref="FH2:FH4"/>
    <mergeCell ref="FI2:FI4"/>
    <mergeCell ref="FJ2:FJ4"/>
    <mergeCell ref="FK2:FK4"/>
    <mergeCell ref="FB2:FB4"/>
    <mergeCell ref="FC2:FC4"/>
    <mergeCell ref="FD2:FD4"/>
    <mergeCell ref="FE2:FE4"/>
    <mergeCell ref="FF2:FF4"/>
    <mergeCell ref="EW2:EW4"/>
    <mergeCell ref="EX2:EX4"/>
    <mergeCell ref="EY2:EY4"/>
    <mergeCell ref="EZ2:EZ4"/>
    <mergeCell ref="FA2:FA4"/>
    <mergeCell ref="ER2:ER4"/>
    <mergeCell ref="ES2:ES4"/>
    <mergeCell ref="ET2:ET4"/>
    <mergeCell ref="EU2:EU4"/>
    <mergeCell ref="EV2:EV4"/>
    <mergeCell ref="EM2:EM4"/>
    <mergeCell ref="EN2:EN4"/>
    <mergeCell ref="EO2:EO4"/>
    <mergeCell ref="EP2:EP4"/>
    <mergeCell ref="EQ2:EQ4"/>
    <mergeCell ref="EH2:EH4"/>
    <mergeCell ref="EI2:EI4"/>
    <mergeCell ref="EJ2:EJ4"/>
    <mergeCell ref="EK2:EK4"/>
    <mergeCell ref="EL2:EL4"/>
    <mergeCell ref="EC2:EC4"/>
    <mergeCell ref="ED2:ED4"/>
    <mergeCell ref="EE2:EE4"/>
    <mergeCell ref="EF2:EF4"/>
    <mergeCell ref="EG2:EG4"/>
    <mergeCell ref="DX2:DX4"/>
    <mergeCell ref="DY2:DY4"/>
    <mergeCell ref="DZ2:DZ4"/>
    <mergeCell ref="EA2:EA4"/>
    <mergeCell ref="EB2:EB4"/>
    <mergeCell ref="DS2:DS4"/>
    <mergeCell ref="DT2:DT4"/>
    <mergeCell ref="DU2:DU4"/>
    <mergeCell ref="DV2:DV4"/>
    <mergeCell ref="DW2:DW4"/>
    <mergeCell ref="DN2:DN4"/>
    <mergeCell ref="DO2:DO4"/>
    <mergeCell ref="DP2:DP4"/>
    <mergeCell ref="DQ2:DQ4"/>
    <mergeCell ref="DR2:DR4"/>
    <mergeCell ref="DI2:DI4"/>
    <mergeCell ref="DJ2:DJ4"/>
    <mergeCell ref="DK2:DK4"/>
    <mergeCell ref="DL2:DL4"/>
    <mergeCell ref="DM2:DM4"/>
    <mergeCell ref="DD2:DD4"/>
    <mergeCell ref="DE2:DE4"/>
    <mergeCell ref="DF2:DF4"/>
    <mergeCell ref="DG2:DG4"/>
    <mergeCell ref="DH2:DH4"/>
    <mergeCell ref="CV2:CV4"/>
    <mergeCell ref="CZ2:CZ4"/>
    <mergeCell ref="DA2:DA4"/>
    <mergeCell ref="DB2:DB4"/>
    <mergeCell ref="DC2:DC4"/>
    <mergeCell ref="CQ2:CQ4"/>
    <mergeCell ref="CR2:CR4"/>
    <mergeCell ref="CS2:CS4"/>
    <mergeCell ref="CT2:CT4"/>
    <mergeCell ref="CU2:CU4"/>
    <mergeCell ref="CL2:CL4"/>
    <mergeCell ref="CM2:CM4"/>
    <mergeCell ref="CN2:CN4"/>
    <mergeCell ref="CO2:CO4"/>
    <mergeCell ref="CP2:CP4"/>
    <mergeCell ref="CG2:CG4"/>
    <mergeCell ref="CH2:CH4"/>
    <mergeCell ref="CI2:CI4"/>
    <mergeCell ref="CJ2:CJ4"/>
    <mergeCell ref="CK2:CK4"/>
    <mergeCell ref="CB2:CB4"/>
    <mergeCell ref="CC2:CC4"/>
    <mergeCell ref="CD2:CD4"/>
    <mergeCell ref="CE2:CE4"/>
    <mergeCell ref="CF2:CF4"/>
    <mergeCell ref="BW2:BW4"/>
    <mergeCell ref="BX2:BX4"/>
    <mergeCell ref="BY2:BY4"/>
    <mergeCell ref="BZ2:BZ4"/>
    <mergeCell ref="CA2:CA4"/>
    <mergeCell ref="BO2:BO4"/>
    <mergeCell ref="BP2:BP4"/>
    <mergeCell ref="BQ2:BQ4"/>
    <mergeCell ref="BR2:BR4"/>
    <mergeCell ref="BV2:BV4"/>
    <mergeCell ref="BJ2:BJ4"/>
    <mergeCell ref="BK2:BK4"/>
    <mergeCell ref="BL2:BL4"/>
    <mergeCell ref="BM2:BM4"/>
    <mergeCell ref="BN2:BN4"/>
    <mergeCell ref="BE2:BE4"/>
    <mergeCell ref="BF2:BF4"/>
    <mergeCell ref="BG2:BG4"/>
    <mergeCell ref="BH2:BH4"/>
    <mergeCell ref="BI2:BI4"/>
    <mergeCell ref="AZ2:AZ4"/>
    <mergeCell ref="BA2:BA4"/>
    <mergeCell ref="BB2:BB4"/>
    <mergeCell ref="BC2:BC4"/>
    <mergeCell ref="BD2:BD4"/>
    <mergeCell ref="AV2:AV4"/>
    <mergeCell ref="AW2:AW4"/>
    <mergeCell ref="AX2:AX4"/>
    <mergeCell ref="AY2:AY4"/>
    <mergeCell ref="AP2:AP4"/>
    <mergeCell ref="AQ2:AQ4"/>
    <mergeCell ref="AR2:AR4"/>
    <mergeCell ref="AS2:AS4"/>
    <mergeCell ref="AT2:AT4"/>
    <mergeCell ref="GX1:GZ1"/>
    <mergeCell ref="HA1:HC1"/>
    <mergeCell ref="HD1:HF1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R2:R4"/>
    <mergeCell ref="S2:S4"/>
    <mergeCell ref="GI1:GK1"/>
    <mergeCell ref="GL1:GN1"/>
    <mergeCell ref="GO1:GQ1"/>
    <mergeCell ref="AK2:AK4"/>
    <mergeCell ref="AL2:AL4"/>
    <mergeCell ref="AM2:AM4"/>
    <mergeCell ref="AN2:AN4"/>
    <mergeCell ref="AO2:AO4"/>
    <mergeCell ref="GR1:GT1"/>
    <mergeCell ref="GU1:GW1"/>
    <mergeCell ref="FT1:FV1"/>
    <mergeCell ref="FW1:FX1"/>
    <mergeCell ref="FZ1:GB1"/>
    <mergeCell ref="GC1:GE1"/>
    <mergeCell ref="GF1:GH1"/>
    <mergeCell ref="FE1:FG1"/>
    <mergeCell ref="FH1:FJ1"/>
    <mergeCell ref="FK1:FM1"/>
    <mergeCell ref="FN1:FP1"/>
    <mergeCell ref="FQ1:FS1"/>
    <mergeCell ref="EP1:ER1"/>
    <mergeCell ref="ES1:EU1"/>
    <mergeCell ref="EV1:EX1"/>
    <mergeCell ref="EY1:FA1"/>
    <mergeCell ref="FB1:FD1"/>
    <mergeCell ref="EA1:EC1"/>
    <mergeCell ref="ED1:EF1"/>
    <mergeCell ref="EG1:EI1"/>
    <mergeCell ref="EJ1:EL1"/>
    <mergeCell ref="EM1:EO1"/>
    <mergeCell ref="DL1:DN1"/>
    <mergeCell ref="DO1:DQ1"/>
    <mergeCell ref="DR1:DT1"/>
    <mergeCell ref="DU1:DW1"/>
    <mergeCell ref="DX1:DZ1"/>
    <mergeCell ref="CW1:CY1"/>
    <mergeCell ref="CZ1:DB1"/>
    <mergeCell ref="DC1:DE1"/>
    <mergeCell ref="DF1:DH1"/>
    <mergeCell ref="DI1:DK1"/>
    <mergeCell ref="CH1:CJ1"/>
    <mergeCell ref="CK1:CM1"/>
    <mergeCell ref="CN1:CP1"/>
    <mergeCell ref="CQ1:CS1"/>
    <mergeCell ref="CT1:CV1"/>
    <mergeCell ref="BS1:BU1"/>
    <mergeCell ref="BV1:BX1"/>
    <mergeCell ref="BY1:CA1"/>
    <mergeCell ref="CB1:CD1"/>
    <mergeCell ref="CE1:CG1"/>
    <mergeCell ref="A2:C2"/>
    <mergeCell ref="A5:C5"/>
    <mergeCell ref="A14:C16"/>
    <mergeCell ref="BD1:BF1"/>
    <mergeCell ref="BG1:BI1"/>
    <mergeCell ref="BJ1:BL1"/>
    <mergeCell ref="BM1:BO1"/>
    <mergeCell ref="BP1:BR1"/>
    <mergeCell ref="AO1:AQ1"/>
    <mergeCell ref="AR1:AT1"/>
    <mergeCell ref="AU1:AW1"/>
    <mergeCell ref="AX1:AZ1"/>
    <mergeCell ref="BA1:BC1"/>
    <mergeCell ref="T2:T4"/>
    <mergeCell ref="U2:U4"/>
    <mergeCell ref="AC2:AC4"/>
    <mergeCell ref="AD2:AD4"/>
    <mergeCell ref="AE2:AE4"/>
    <mergeCell ref="AF2:AF4"/>
    <mergeCell ref="AG2:AG4"/>
    <mergeCell ref="AH2:AH4"/>
    <mergeCell ref="AI2:AI4"/>
    <mergeCell ref="AJ2:AJ4"/>
    <mergeCell ref="AU2:AU4"/>
    <mergeCell ref="P1:R1"/>
    <mergeCell ref="S1:U1"/>
    <mergeCell ref="V1:X1"/>
    <mergeCell ref="Y1:AA1"/>
    <mergeCell ref="AB1:AB4"/>
    <mergeCell ref="AI1:AK1"/>
    <mergeCell ref="AL1:AN1"/>
    <mergeCell ref="A267:C267"/>
    <mergeCell ref="D1:F1"/>
    <mergeCell ref="G1:I1"/>
    <mergeCell ref="J1:L1"/>
    <mergeCell ref="M1:O1"/>
    <mergeCell ref="D31:D32"/>
    <mergeCell ref="E31:E32"/>
    <mergeCell ref="F31:F32"/>
    <mergeCell ref="A49:C49"/>
    <mergeCell ref="A91:C91"/>
    <mergeCell ref="A102:C102"/>
    <mergeCell ref="A140:C140"/>
    <mergeCell ref="A225:C225"/>
    <mergeCell ref="A235:C235"/>
    <mergeCell ref="A245:C245"/>
    <mergeCell ref="A255:C255"/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301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A14" sqref="DA14"/>
    </sheetView>
  </sheetViews>
  <sheetFormatPr defaultRowHeight="12.75" x14ac:dyDescent="0.2"/>
  <cols>
    <col min="1" max="1" width="15" style="52" bestFit="1" customWidth="1"/>
    <col min="2" max="2" width="10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85546875" style="52" bestFit="1" customWidth="1"/>
    <col min="79" max="79" width="18.85546875" style="52" bestFit="1" customWidth="1"/>
    <col min="80" max="80" width="11" style="52" bestFit="1" customWidth="1"/>
    <col min="81" max="81" width="10.85546875" style="52" bestFit="1" customWidth="1"/>
    <col min="82" max="82" width="20.28515625" style="52" bestFit="1" customWidth="1"/>
    <col min="83" max="83" width="12.42578125" style="52" bestFit="1" customWidth="1"/>
    <col min="84" max="84" width="9.85546875" style="52" bestFit="1" customWidth="1"/>
    <col min="85" max="85" width="20.28515625" style="52" bestFit="1" customWidth="1"/>
    <col min="86" max="86" width="13.5703125" style="52" bestFit="1" customWidth="1"/>
    <col min="87" max="87" width="9.8554687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4.57031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6.285156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8.85546875" style="52" bestFit="1" customWidth="1"/>
    <col min="142" max="142" width="6.28515625" style="52" bestFit="1" customWidth="1"/>
    <col min="143" max="143" width="12" style="52" bestFit="1" customWidth="1"/>
    <col min="144" max="144" width="9.28515625" style="52" bestFit="1" customWidth="1"/>
    <col min="145" max="145" width="6.28515625" style="52" bestFit="1" customWidth="1"/>
    <col min="146" max="146" width="12" style="52" bestFit="1" customWidth="1"/>
    <col min="147" max="147" width="9.28515625" style="52" bestFit="1" customWidth="1"/>
    <col min="148" max="148" width="6.28515625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6.28515625" style="52" bestFit="1" customWidth="1"/>
    <col min="158" max="158" width="12" style="52" bestFit="1" customWidth="1"/>
    <col min="159" max="159" width="9.28515625" style="52" bestFit="1" customWidth="1"/>
    <col min="160" max="160" width="6.28515625" style="52" bestFit="1" customWidth="1"/>
    <col min="161" max="161" width="12" style="52" bestFit="1" customWidth="1"/>
    <col min="162" max="162" width="9.28515625" style="52" bestFit="1" customWidth="1"/>
    <col min="163" max="163" width="6.28515625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6.285156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7.7109375" style="52" bestFit="1" customWidth="1"/>
    <col min="186" max="186" width="9.28515625" style="52" bestFit="1" customWidth="1"/>
    <col min="187" max="187" width="6.28515625" style="52" bestFit="1" customWidth="1"/>
    <col min="188" max="188" width="12" style="52" bestFit="1" customWidth="1"/>
    <col min="189" max="189" width="9.28515625" style="52" bestFit="1" customWidth="1"/>
    <col min="190" max="190" width="6.28515625" style="52" bestFit="1" customWidth="1"/>
    <col min="191" max="191" width="12" style="52" bestFit="1" customWidth="1"/>
    <col min="192" max="192" width="9.28515625" style="52" bestFit="1" customWidth="1"/>
    <col min="193" max="193" width="6.28515625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6.28515625" style="52" bestFit="1" customWidth="1"/>
    <col min="203" max="203" width="12" style="52" bestFit="1" customWidth="1"/>
    <col min="204" max="204" width="9.28515625" style="52" bestFit="1" customWidth="1"/>
    <col min="205" max="205" width="6.28515625" style="52" bestFit="1" customWidth="1"/>
    <col min="206" max="206" width="12" style="52" bestFit="1" customWidth="1"/>
    <col min="207" max="207" width="9.28515625" style="52" bestFit="1" customWidth="1"/>
    <col min="208" max="208" width="6.28515625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9.28515625" style="52" bestFit="1" customWidth="1"/>
    <col min="214" max="214" width="21.28515625" style="52" bestFit="1" customWidth="1"/>
    <col min="215" max="16384" width="9.140625" style="52"/>
  </cols>
  <sheetData>
    <row r="1" spans="1:214" ht="21.75" thickTop="1" thickBot="1" x14ac:dyDescent="0.25">
      <c r="A1" s="349" t="s">
        <v>0</v>
      </c>
      <c r="B1" s="350"/>
      <c r="C1" s="351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565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296" t="s">
        <v>557</v>
      </c>
      <c r="AJ1" s="294"/>
      <c r="AK1" s="297"/>
      <c r="AL1" s="293" t="s">
        <v>546</v>
      </c>
      <c r="AM1" s="294"/>
      <c r="AN1" s="297"/>
      <c r="AO1" s="293" t="s">
        <v>547</v>
      </c>
      <c r="AP1" s="294"/>
      <c r="AQ1" s="295"/>
      <c r="AR1" s="296" t="s">
        <v>559</v>
      </c>
      <c r="AS1" s="294"/>
      <c r="AT1" s="297"/>
      <c r="AU1" s="293" t="s">
        <v>548</v>
      </c>
      <c r="AV1" s="294"/>
      <c r="AW1" s="297"/>
      <c r="AX1" s="293" t="s">
        <v>549</v>
      </c>
      <c r="AY1" s="294"/>
      <c r="AZ1" s="295"/>
      <c r="BA1" s="296" t="s">
        <v>561</v>
      </c>
      <c r="BB1" s="294"/>
      <c r="BC1" s="297"/>
      <c r="BD1" s="293" t="s">
        <v>551</v>
      </c>
      <c r="BE1" s="294"/>
      <c r="BF1" s="297"/>
      <c r="BG1" s="293" t="s">
        <v>552</v>
      </c>
      <c r="BH1" s="294"/>
      <c r="BI1" s="295"/>
      <c r="BJ1" s="296" t="s">
        <v>564</v>
      </c>
      <c r="BK1" s="294"/>
      <c r="BL1" s="297"/>
      <c r="BM1" s="293" t="s">
        <v>554</v>
      </c>
      <c r="BN1" s="294"/>
      <c r="BO1" s="297"/>
      <c r="BP1" s="293" t="s">
        <v>555</v>
      </c>
      <c r="BQ1" s="294"/>
      <c r="BR1" s="295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274" t="s">
        <v>569</v>
      </c>
      <c r="CC1" s="270"/>
      <c r="CD1" s="270"/>
      <c r="CE1" s="271" t="s">
        <v>570</v>
      </c>
      <c r="CF1" s="270"/>
      <c r="CG1" s="272"/>
      <c r="CH1" s="270" t="s">
        <v>571</v>
      </c>
      <c r="CI1" s="270"/>
      <c r="CJ1" s="273"/>
      <c r="CK1" s="270" t="s">
        <v>575</v>
      </c>
      <c r="CL1" s="270"/>
      <c r="CM1" s="270"/>
      <c r="CN1" s="271" t="s">
        <v>575</v>
      </c>
      <c r="CO1" s="270"/>
      <c r="CP1" s="272"/>
      <c r="CQ1" s="270" t="s">
        <v>575</v>
      </c>
      <c r="CR1" s="270"/>
      <c r="CS1" s="273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3.5" thickTop="1" x14ac:dyDescent="0.2">
      <c r="A2" s="372" t="s">
        <v>233</v>
      </c>
      <c r="B2" s="373"/>
      <c r="C2" s="374"/>
      <c r="D2" s="193"/>
      <c r="E2" s="194"/>
      <c r="F2" s="194"/>
      <c r="G2" s="363" t="s">
        <v>531</v>
      </c>
      <c r="H2" s="360">
        <f>1/((1/H10)+(1/H12)+(1/H13))</f>
        <v>1.0860677344847198</v>
      </c>
      <c r="I2" s="625" t="s">
        <v>11</v>
      </c>
      <c r="J2" s="622" t="s">
        <v>531</v>
      </c>
      <c r="K2" s="360">
        <f>1/((1/K14)+(1/K15)+(1/K16)+(1/K17))</f>
        <v>0.18348429761989754</v>
      </c>
      <c r="L2" s="345" t="s">
        <v>10</v>
      </c>
      <c r="M2" s="330" t="s">
        <v>537</v>
      </c>
      <c r="N2" s="333">
        <f>(N5*N6*N7)/((1-EXP(-N7*N6))*N15*N13*(N9/365)*(((N14/24)*N12)+((N16/24)*N11)))</f>
        <v>81.005518692283715</v>
      </c>
      <c r="O2" s="336" t="s">
        <v>10</v>
      </c>
      <c r="P2" s="339" t="s">
        <v>537</v>
      </c>
      <c r="Q2" s="333">
        <f>(Q5*Q6*Q7)/((1-EXP(-Q7*Q6))*Q15*Q13*(Q9/365)*(((Q14/24)*Q12)+((Q16/24)*Q11)))</f>
        <v>164.49079816086186</v>
      </c>
      <c r="R2" s="336" t="s">
        <v>10</v>
      </c>
      <c r="S2" s="339" t="s">
        <v>537</v>
      </c>
      <c r="T2" s="333">
        <f>(T5*T6*T7)/((1-EXP(-T7*T6))*T15*T13*(T9/365)*(((T14/24)*T12)+((T16/24)*T11)))</f>
        <v>81.005518692283715</v>
      </c>
      <c r="U2" s="342" t="s">
        <v>10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34.880732332904572</v>
      </c>
      <c r="AD2" s="315">
        <f>1/((1/AD29)+(1/AD30)+(1/AD31))</f>
        <v>70.653654888888966</v>
      </c>
      <c r="AE2" s="315">
        <f>1/((1/AE29)+(1/AE30)+(1/AE31))</f>
        <v>38.756369258782861</v>
      </c>
      <c r="AF2" s="315">
        <f>1/((1/AF29)+(1/AF30)+(1/AF31))</f>
        <v>0.41689554880979296</v>
      </c>
      <c r="AG2" s="320">
        <f>1/((1/AG29)+(1/AG31)+(1/AG30))</f>
        <v>11.325920862877487</v>
      </c>
      <c r="AH2" s="318" t="s">
        <v>10</v>
      </c>
      <c r="AI2" s="306" t="s">
        <v>537</v>
      </c>
      <c r="AJ2" s="303">
        <f>(AJ5*AJ6*AJ7)/((1-EXP(-AJ7*AJ6))*AJ15*(AJ9/365)*AJ10*(AJ16/24)*AJ11*AJ13)</f>
        <v>294.80338417682816</v>
      </c>
      <c r="AK2" s="290" t="s">
        <v>10</v>
      </c>
      <c r="AL2" s="287" t="s">
        <v>537</v>
      </c>
      <c r="AM2" s="303">
        <f>(AM5*AM6*AM7)/((1-EXP(-AM7*AM6))*AM15*(AM9/365)*AM10*(AM16/24)*AM11*AM13)</f>
        <v>598.63136174682461</v>
      </c>
      <c r="AN2" s="290" t="s">
        <v>10</v>
      </c>
      <c r="AO2" s="287" t="s">
        <v>537</v>
      </c>
      <c r="AP2" s="303">
        <f>(AP5*AP6*AP7)/((1-EXP(-AP7*AP6))*AP15*(AP9/365)*AP10*(AP16/24)*AP11*AP13)</f>
        <v>294.80338417682816</v>
      </c>
      <c r="AQ2" s="281" t="s">
        <v>10</v>
      </c>
      <c r="AR2" s="306" t="s">
        <v>537</v>
      </c>
      <c r="AS2" s="303">
        <f>(AS5*AS6*AS7)/((1-EXP(-AS7*AS6))*AS15*(AS9/365)*AS10*(AS14/24)*AS12*AS13)</f>
        <v>131.02372630081251</v>
      </c>
      <c r="AT2" s="290" t="s">
        <v>10</v>
      </c>
      <c r="AU2" s="287" t="s">
        <v>537</v>
      </c>
      <c r="AV2" s="303">
        <f>(AV5*AV6*AV7)/((1-EXP(-AV7*AV6))*AV15*(AV9/365)*AV10*(AV14/24)*AV12*AV13)</f>
        <v>266.05838299858868</v>
      </c>
      <c r="AW2" s="290" t="s">
        <v>10</v>
      </c>
      <c r="AX2" s="287" t="s">
        <v>537</v>
      </c>
      <c r="AY2" s="303">
        <f>(AY5*AY6*AY7)/((1-EXP(-AY7*AY6))*AY15*(AY9/365)*AY10*(AY14/24)*AY12*AY13)</f>
        <v>131.02372630081251</v>
      </c>
      <c r="AZ2" s="281" t="s">
        <v>10</v>
      </c>
      <c r="BA2" s="306" t="s">
        <v>537</v>
      </c>
      <c r="BB2" s="303">
        <f>(BB5*BB6*BB7)/((1-EXP(-BB7*BB6))*BB15*(BB9/365)*(BB14/24)*BB12*BB13)</f>
        <v>117.92135367073126</v>
      </c>
      <c r="BC2" s="290" t="s">
        <v>10</v>
      </c>
      <c r="BD2" s="287" t="s">
        <v>537</v>
      </c>
      <c r="BE2" s="303">
        <f>(BE5*BE6*BE7)/((1-EXP(-BE7*BE6))*BE15*(BE9/365)*(BE14/24)*BE12*BE13)</f>
        <v>239.45254469872984</v>
      </c>
      <c r="BF2" s="290" t="s">
        <v>10</v>
      </c>
      <c r="BG2" s="287" t="s">
        <v>537</v>
      </c>
      <c r="BH2" s="303">
        <f>(BH5*BH6*BH7)/((1-EXP(-BH7*BH6))*BH15*(BH9/365)*(BH14/24)*BH12*BH13)</f>
        <v>117.92135367073126</v>
      </c>
      <c r="BI2" s="281" t="s">
        <v>10</v>
      </c>
      <c r="BJ2" s="306" t="s">
        <v>537</v>
      </c>
      <c r="BK2" s="284">
        <f>(BK5*BK6*BK7)/((1-EXP(-BK7*BK6))*BK16*(BK9/365)*(BK15/24)*BK13*BK14)</f>
        <v>649801.09256325325</v>
      </c>
      <c r="BL2" s="290" t="s">
        <v>10</v>
      </c>
      <c r="BM2" s="287" t="s">
        <v>537</v>
      </c>
      <c r="BN2" s="284">
        <f>(BN5*BN6*BN7)/((1-EXP(-BN7*BN6))*BN16*(BN9/365)*(BN15/24)*BN13*BN14)</f>
        <v>2754512.7135168104</v>
      </c>
      <c r="BO2" s="290" t="s">
        <v>10</v>
      </c>
      <c r="BP2" s="287" t="s">
        <v>537</v>
      </c>
      <c r="BQ2" s="284">
        <f>(BQ5*BQ6*BQ7)/((1-EXP(-BQ7*BQ6))*BQ16*(BQ9/365)*(BQ15/24)*BQ13*BQ14)</f>
        <v>788181.11963432922</v>
      </c>
      <c r="BR2" s="281" t="s">
        <v>10</v>
      </c>
      <c r="BS2" s="214"/>
      <c r="BT2" s="120"/>
      <c r="BU2" s="215"/>
      <c r="BV2" s="258" t="s">
        <v>531</v>
      </c>
      <c r="BW2" s="261">
        <f>1/((1/BW10)+(1/BW12))</f>
        <v>289.09110745853076</v>
      </c>
      <c r="BX2" s="278" t="s">
        <v>11</v>
      </c>
      <c r="BY2" s="258" t="s">
        <v>531</v>
      </c>
      <c r="BZ2" s="261">
        <f>1/((1/BZ13)+(1/BZ14)+(1/BZ15))</f>
        <v>122.97342778558371</v>
      </c>
      <c r="CA2" s="264" t="s">
        <v>10</v>
      </c>
      <c r="CB2" s="267" t="s">
        <v>537</v>
      </c>
      <c r="CC2" s="261">
        <f>(CC5*CC6*CC7)/((1-EXP(-CC7*CC6))*CC14*(CC9/365)*CC12*(CC13/24)*CC11)</f>
        <v>17328029.135020088</v>
      </c>
      <c r="CD2" s="278" t="s">
        <v>10</v>
      </c>
      <c r="CE2" s="258" t="s">
        <v>537</v>
      </c>
      <c r="CF2" s="261">
        <f>(CF5*CF6*CF7)/((1-EXP(-CF7*CF6))*CF10*CF14*(CF9/365)*CF12*(CF13/24)*CF11)</f>
        <v>73453672.360448271</v>
      </c>
      <c r="CG2" s="278" t="s">
        <v>10</v>
      </c>
      <c r="CH2" s="258" t="s">
        <v>537</v>
      </c>
      <c r="CI2" s="261">
        <f>(CI5*CI6*CI7)/((1-EXP(-CI7*CI6))*CI10*CI14*(CI9/365)*CI12*(CI13/24)*CI11)</f>
        <v>21018163.19024878</v>
      </c>
      <c r="CJ2" s="264" t="s">
        <v>10</v>
      </c>
      <c r="CK2" s="267" t="s">
        <v>530</v>
      </c>
      <c r="CL2" s="261">
        <f>CL5/(CL6*CL7*CL8)</f>
        <v>15.141191611779846</v>
      </c>
      <c r="CM2" s="255" t="s">
        <v>10</v>
      </c>
      <c r="CN2" s="258" t="s">
        <v>7</v>
      </c>
      <c r="CO2" s="261">
        <f>(CL2/(CO5*((CO10*CO12*CO13*(CO6+CO7))+(CO11*CO12))))*CO17</f>
        <v>2020.4096882807105</v>
      </c>
      <c r="CP2" s="278" t="s">
        <v>10</v>
      </c>
      <c r="CQ2" s="275" t="s">
        <v>6</v>
      </c>
      <c r="CR2" s="261">
        <f>CL2/(CR5*CR6*(1/CR7))</f>
        <v>2523531.9352966407</v>
      </c>
      <c r="CS2" s="264" t="s">
        <v>10</v>
      </c>
      <c r="CT2" s="395" t="s">
        <v>531</v>
      </c>
      <c r="CU2" s="392">
        <f>1/((1/CU14)+(1/CU15)+(1/CU16)+(1/CU17)+(1/CU19)+(1/CU20)+(1/CU21)+(1/CU22)+(1/CU23)+(1/CU24))</f>
        <v>3.9158623633403646E-4</v>
      </c>
      <c r="CV2" s="389" t="s">
        <v>10</v>
      </c>
      <c r="CW2" s="218"/>
      <c r="CX2" s="219"/>
      <c r="CY2" s="219"/>
      <c r="CZ2" s="407" t="s">
        <v>531</v>
      </c>
      <c r="DA2" s="404">
        <f>1/((1/DA13)+(1/DA15)+(1/DA16))</f>
        <v>0.56429582735005979</v>
      </c>
      <c r="DB2" s="401" t="s">
        <v>11</v>
      </c>
      <c r="DC2" s="442" t="s">
        <v>530</v>
      </c>
      <c r="DD2" s="439">
        <f>DD7</f>
        <v>1.1858919423480364E-2</v>
      </c>
      <c r="DE2" s="436" t="s">
        <v>10</v>
      </c>
      <c r="DF2" s="433" t="s">
        <v>530</v>
      </c>
      <c r="DG2" s="424">
        <f>DD7/((1/DG24)*(DG5+DG6+DG7))</f>
        <v>0.93175296139242847</v>
      </c>
      <c r="DH2" s="430" t="s">
        <v>11</v>
      </c>
      <c r="DI2" s="427" t="s">
        <v>530</v>
      </c>
      <c r="DJ2" s="424">
        <f>(DD7/(DJ5+DJ6))*DJ12</f>
        <v>4.5644462204579822E-2</v>
      </c>
      <c r="DK2" s="430" t="s">
        <v>10</v>
      </c>
      <c r="DL2" s="427" t="s">
        <v>581</v>
      </c>
      <c r="DM2" s="424">
        <f>((DD7)/(DM5+DM6))*DJ12</f>
        <v>4.5644462204579822E-2</v>
      </c>
      <c r="DN2" s="430" t="s">
        <v>10</v>
      </c>
      <c r="DO2" s="427" t="s">
        <v>582</v>
      </c>
      <c r="DP2" s="424">
        <f>-(DP5+DP6+DP7)/(DP23+DP24)</f>
        <v>-49.75468846311847</v>
      </c>
      <c r="DQ2" s="421" t="s">
        <v>18</v>
      </c>
      <c r="DR2" s="574" t="s">
        <v>530</v>
      </c>
      <c r="DS2" s="445">
        <f>DS7</f>
        <v>7.5247076305231166E-3</v>
      </c>
      <c r="DT2" s="484" t="s">
        <v>10</v>
      </c>
      <c r="DU2" s="481" t="s">
        <v>530</v>
      </c>
      <c r="DV2" s="463">
        <f>(DS7*DV8)/(DV5*DV6*(1/1000))</f>
        <v>200580.97462315761</v>
      </c>
      <c r="DW2" s="466" t="s">
        <v>11</v>
      </c>
      <c r="DX2" s="478" t="s">
        <v>530</v>
      </c>
      <c r="DY2" s="463">
        <f>(DS7*DY14)/(DY9*((DY10*DY12*DY13*(DY5+DY6))+(DY11*DY12)))*DY18</f>
        <v>3372.922096804904</v>
      </c>
      <c r="DZ2" s="466" t="s">
        <v>10</v>
      </c>
      <c r="EA2" s="478" t="s">
        <v>581</v>
      </c>
      <c r="EB2" s="463">
        <f>(DS7*DY14)/(EB9*((EB10*EB12*EB13*(EB5+EB6))+(EB11*EB12)))*DY18</f>
        <v>3372.922096804904</v>
      </c>
      <c r="EC2" s="466" t="s">
        <v>10</v>
      </c>
      <c r="ED2" s="478" t="s">
        <v>582</v>
      </c>
      <c r="EE2" s="463">
        <f>-EE15/((EE10*EE12*EE13*(EE5+EE6))+(EE11*EE12))</f>
        <v>-16.802282392818878</v>
      </c>
      <c r="EF2" s="460" t="s">
        <v>18</v>
      </c>
      <c r="EG2" s="475" t="s">
        <v>530</v>
      </c>
      <c r="EH2" s="469">
        <f>EH7</f>
        <v>2.0624486283362106E-2</v>
      </c>
      <c r="EI2" s="457" t="s">
        <v>10</v>
      </c>
      <c r="EJ2" s="472" t="s">
        <v>530</v>
      </c>
      <c r="EK2" s="454">
        <f>EH7/(EK5*EK6*(1/1000))</f>
        <v>778.28250125894738</v>
      </c>
      <c r="EL2" s="451" t="s">
        <v>11</v>
      </c>
      <c r="EM2" s="448" t="s">
        <v>530</v>
      </c>
      <c r="EN2" s="454">
        <f>(EH7/(EN9*((EN10*EN12*EN13*(EN5+EN6))+(EN11*EN12))))*EN17</f>
        <v>11.990983756129069</v>
      </c>
      <c r="EO2" s="451" t="s">
        <v>10</v>
      </c>
      <c r="EP2" s="448" t="s">
        <v>581</v>
      </c>
      <c r="EQ2" s="454">
        <f>(EH7/(EQ9*((EQ10*EQ12*EQ13*(EQ5+EQ6))+(EQ11*EQ12))))*EN17</f>
        <v>11.990983756129069</v>
      </c>
      <c r="ER2" s="451" t="s">
        <v>10</v>
      </c>
      <c r="ES2" s="448" t="s">
        <v>582</v>
      </c>
      <c r="ET2" s="454">
        <f>-ET15/((ET10*ET12*ET13*(ET5+ET6))+(ET11*ET12))</f>
        <v>-15.39462998242915</v>
      </c>
      <c r="EU2" s="499" t="s">
        <v>18</v>
      </c>
      <c r="EV2" s="496" t="s">
        <v>530</v>
      </c>
      <c r="EW2" s="493">
        <f>EW7</f>
        <v>6.8985086050435546E-2</v>
      </c>
      <c r="EX2" s="490" t="s">
        <v>10</v>
      </c>
      <c r="EY2" s="487" t="s">
        <v>530</v>
      </c>
      <c r="EZ2" s="586">
        <f>EW7/(EZ5*EZ6*(1/EZ7))</f>
        <v>57487.571708696283</v>
      </c>
      <c r="FA2" s="592" t="s">
        <v>11</v>
      </c>
      <c r="FB2" s="589" t="s">
        <v>530</v>
      </c>
      <c r="FC2" s="586">
        <f>(EW7/(FC9*((FC10*FC12*FC13*(FC5+FC6))+(FC11*FC12))))*FC17</f>
        <v>319.61210070389518</v>
      </c>
      <c r="FD2" s="595" t="s">
        <v>10</v>
      </c>
      <c r="FE2" s="589" t="s">
        <v>581</v>
      </c>
      <c r="FF2" s="586">
        <f>(EW7/(FF9*(FF10*FF12*FF13*(FF5*FF6))+(FF11*FF12)))*FC17</f>
        <v>3.1382010125321509</v>
      </c>
      <c r="FG2" s="592" t="s">
        <v>10</v>
      </c>
      <c r="FH2" s="589" t="s">
        <v>582</v>
      </c>
      <c r="FI2" s="586">
        <f>FI15/((FI10*FI12*FI13*(FI5+FI6))+(FI11*FI12))</f>
        <v>5.5552160701290481</v>
      </c>
      <c r="FJ2" s="583" t="s">
        <v>18</v>
      </c>
      <c r="FK2" s="580" t="s">
        <v>530</v>
      </c>
      <c r="FL2" s="577">
        <f>FL7</f>
        <v>2.3681052913415882E-2</v>
      </c>
      <c r="FM2" s="571" t="s">
        <v>10</v>
      </c>
      <c r="FN2" s="568" t="s">
        <v>530</v>
      </c>
      <c r="FO2" s="505">
        <f>FL7/(FO5*(1/FO6))</f>
        <v>9.8671053805899508E-2</v>
      </c>
      <c r="FP2" s="511" t="s">
        <v>11</v>
      </c>
      <c r="FQ2" s="508" t="s">
        <v>530</v>
      </c>
      <c r="FR2" s="505">
        <f>((FL7*FR6)/FR5)*FR10</f>
        <v>3.9500086949295106E-4</v>
      </c>
      <c r="FS2" s="511" t="s">
        <v>10</v>
      </c>
      <c r="FT2" s="508" t="s">
        <v>581</v>
      </c>
      <c r="FU2" s="505">
        <f>((FL7*FU6)/FU5)*FR10</f>
        <v>3.9500086949295106E-4</v>
      </c>
      <c r="FV2" s="511" t="s">
        <v>10</v>
      </c>
      <c r="FW2" s="508" t="s">
        <v>582</v>
      </c>
      <c r="FX2" s="505">
        <f>-FX5/FX6</f>
        <v>-4.0000000000000001E-3</v>
      </c>
      <c r="FY2" s="502" t="s">
        <v>18</v>
      </c>
      <c r="FZ2" s="556" t="s">
        <v>530</v>
      </c>
      <c r="GA2" s="553">
        <f>GA7</f>
        <v>3.4461402651801483E-2</v>
      </c>
      <c r="GB2" s="550" t="s">
        <v>10</v>
      </c>
      <c r="GC2" s="559" t="s">
        <v>530</v>
      </c>
      <c r="GD2" s="538">
        <f>GA7/(GD5*GD6*(1/GD7))</f>
        <v>14358.917771583949</v>
      </c>
      <c r="GE2" s="544" t="s">
        <v>11</v>
      </c>
      <c r="GF2" s="541" t="s">
        <v>530</v>
      </c>
      <c r="GG2" s="538">
        <f>(GA7/((GG9)*((GG10*GG12*GG13*(GG5+GG6))+(GG11*GG12))))*GG17</f>
        <v>79.830887553669413</v>
      </c>
      <c r="GH2" s="544" t="s">
        <v>10</v>
      </c>
      <c r="GI2" s="541" t="s">
        <v>581</v>
      </c>
      <c r="GJ2" s="538">
        <f>(GA7/((GJ9)*((GJ10*GJ12*GJ13*(GJ5+GJ6))+(GJ11*GJ12))))*GG17</f>
        <v>79.830887553669413</v>
      </c>
      <c r="GK2" s="544" t="s">
        <v>10</v>
      </c>
      <c r="GL2" s="541" t="s">
        <v>582</v>
      </c>
      <c r="GM2" s="538">
        <f>GM15/((GM10*GM12*GM13*(GM5+GM6))+(GM11*GM12))</f>
        <v>5.5552160701290481</v>
      </c>
      <c r="GN2" s="535" t="s">
        <v>18</v>
      </c>
      <c r="GO2" s="532" t="s">
        <v>530</v>
      </c>
      <c r="GP2" s="529">
        <f>GP7</f>
        <v>3.773160902043389E-2</v>
      </c>
      <c r="GQ2" s="526" t="s">
        <v>10</v>
      </c>
      <c r="GR2" s="523" t="s">
        <v>530</v>
      </c>
      <c r="GS2" s="517">
        <f>GP7/(GS5*GS6*(1/GS7))</f>
        <v>19469.354499707886</v>
      </c>
      <c r="GT2" s="514" t="s">
        <v>11</v>
      </c>
      <c r="GU2" s="520" t="s">
        <v>530</v>
      </c>
      <c r="GV2" s="517">
        <f>(GP7/((GV9)*((GV10*GV12*GV13*(GV5+GV6))+(GV11*GV12))))*GV17</f>
        <v>143.76300757817938</v>
      </c>
      <c r="GW2" s="514" t="s">
        <v>10</v>
      </c>
      <c r="GX2" s="520" t="s">
        <v>581</v>
      </c>
      <c r="GY2" s="517">
        <f>(GP7/((GY9*((GY10*GY12*GY13*(GY5+GY6))+(GY11*GY12)))))*GV17</f>
        <v>143.76300757817938</v>
      </c>
      <c r="GZ2" s="514" t="s">
        <v>10</v>
      </c>
      <c r="HA2" s="520" t="s">
        <v>582</v>
      </c>
      <c r="HB2" s="517">
        <f>GP7/((HB10*HB12*HB13*(HB5+HB6))+(HB11*HB12))</f>
        <v>2.4420119080984407E-2</v>
      </c>
      <c r="HC2" s="547" t="s">
        <v>18</v>
      </c>
      <c r="HD2" s="54"/>
      <c r="HE2" s="55"/>
      <c r="HF2" s="56"/>
    </row>
    <row r="3" spans="1:214" x14ac:dyDescent="0.2">
      <c r="A3" s="375"/>
      <c r="B3" s="376"/>
      <c r="C3" s="377"/>
      <c r="D3" s="189" t="s">
        <v>15</v>
      </c>
      <c r="E3" s="134">
        <f>1/((1/E19)+(1/E20))</f>
        <v>4.2212438329279237E-4</v>
      </c>
      <c r="F3" s="58" t="s">
        <v>9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6.0319863648577066E-4</v>
      </c>
      <c r="X3" s="62" t="s">
        <v>9</v>
      </c>
      <c r="Y3" s="202" t="s">
        <v>16</v>
      </c>
      <c r="Z3" s="187">
        <f>1/((1/Z18)+(1/Z19))</f>
        <v>5.4287877283719355E-4</v>
      </c>
      <c r="AA3" s="63" t="s">
        <v>9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307"/>
      <c r="AS3" s="304"/>
      <c r="AT3" s="291"/>
      <c r="AU3" s="288"/>
      <c r="AV3" s="304"/>
      <c r="AW3" s="291"/>
      <c r="AX3" s="288"/>
      <c r="AY3" s="304"/>
      <c r="AZ3" s="282"/>
      <c r="BA3" s="307"/>
      <c r="BB3" s="304"/>
      <c r="BC3" s="291"/>
      <c r="BD3" s="288"/>
      <c r="BE3" s="304"/>
      <c r="BF3" s="291"/>
      <c r="BG3" s="288"/>
      <c r="BH3" s="304"/>
      <c r="BI3" s="282"/>
      <c r="BJ3" s="307"/>
      <c r="BK3" s="285"/>
      <c r="BL3" s="291"/>
      <c r="BM3" s="288"/>
      <c r="BN3" s="285"/>
      <c r="BO3" s="291"/>
      <c r="BP3" s="288"/>
      <c r="BQ3" s="285"/>
      <c r="BR3" s="282"/>
      <c r="BS3" s="212" t="s">
        <v>15</v>
      </c>
      <c r="BT3" s="64">
        <f>1/((1/BT18)+(1/BT19))</f>
        <v>4.7277930928792747E-2</v>
      </c>
      <c r="BU3" s="53" t="s">
        <v>9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56"/>
      <c r="CN3" s="259"/>
      <c r="CO3" s="262"/>
      <c r="CP3" s="279"/>
      <c r="CQ3" s="276"/>
      <c r="CR3" s="262"/>
      <c r="CS3" s="265"/>
      <c r="CT3" s="396"/>
      <c r="CU3" s="393"/>
      <c r="CV3" s="390"/>
      <c r="CW3" s="216" t="s">
        <v>15</v>
      </c>
      <c r="CX3" s="65">
        <f>1/((1/CX19)+(1/CX20))</f>
        <v>4.0475971531680083E-4</v>
      </c>
      <c r="CY3" s="66" t="s">
        <v>9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126">
        <f>(HE5*HE14)*(10^-3)*(HE13+(HE10/HE11))*((HE12*HE7)/HE8)</f>
        <v>6.3050544760088617E-2</v>
      </c>
      <c r="HF3" s="220" t="s">
        <v>592</v>
      </c>
    </row>
    <row r="4" spans="1:214" ht="13.5" thickBot="1" x14ac:dyDescent="0.25">
      <c r="A4" s="378"/>
      <c r="B4" s="379"/>
      <c r="C4" s="380"/>
      <c r="D4" s="190" t="s">
        <v>16</v>
      </c>
      <c r="E4" s="135">
        <f>1/((1/E21)+(1/E22))</f>
        <v>4.2246305274804767E-4</v>
      </c>
      <c r="F4" s="68" t="s">
        <v>9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6.0271507951599403E-4</v>
      </c>
      <c r="X4" s="76" t="s">
        <v>9</v>
      </c>
      <c r="Y4" s="203" t="s">
        <v>15</v>
      </c>
      <c r="Z4" s="186">
        <f>1/((1/Z16)+(1/Z17))</f>
        <v>5.4244357156439476E-4</v>
      </c>
      <c r="AA4" s="77" t="s">
        <v>9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308"/>
      <c r="AS4" s="305"/>
      <c r="AT4" s="292"/>
      <c r="AU4" s="289"/>
      <c r="AV4" s="305"/>
      <c r="AW4" s="292"/>
      <c r="AX4" s="289"/>
      <c r="AY4" s="305"/>
      <c r="AZ4" s="283"/>
      <c r="BA4" s="308"/>
      <c r="BB4" s="305"/>
      <c r="BC4" s="292"/>
      <c r="BD4" s="289"/>
      <c r="BE4" s="305"/>
      <c r="BF4" s="292"/>
      <c r="BG4" s="289"/>
      <c r="BH4" s="305"/>
      <c r="BI4" s="283"/>
      <c r="BJ4" s="308"/>
      <c r="BK4" s="286"/>
      <c r="BL4" s="292"/>
      <c r="BM4" s="289"/>
      <c r="BN4" s="286"/>
      <c r="BO4" s="292"/>
      <c r="BP4" s="289"/>
      <c r="BQ4" s="286"/>
      <c r="BR4" s="283"/>
      <c r="BS4" s="213" t="s">
        <v>16</v>
      </c>
      <c r="BT4" s="78">
        <f>1/((1/BT20)+(1/BT21))</f>
        <v>4.731586190778133E-2</v>
      </c>
      <c r="BU4" s="79" t="s">
        <v>9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57"/>
      <c r="CN4" s="260"/>
      <c r="CO4" s="263"/>
      <c r="CP4" s="280"/>
      <c r="CQ4" s="277"/>
      <c r="CR4" s="263"/>
      <c r="CS4" s="266"/>
      <c r="CT4" s="397"/>
      <c r="CU4" s="394"/>
      <c r="CV4" s="391"/>
      <c r="CW4" s="217" t="s">
        <v>16</v>
      </c>
      <c r="CX4" s="80">
        <f>1/((1/CX21)+(1/CX22))</f>
        <v>4.0508445313750278E-4</v>
      </c>
      <c r="CY4" s="81" t="s">
        <v>9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127">
        <f>(HE6*HE14)*10^-3*(HE13+(HE10/HE11))*((HE12*HE7)/(HE8))</f>
        <v>4.5651441537077914E-3</v>
      </c>
      <c r="HF4" s="221" t="s">
        <v>593</v>
      </c>
    </row>
    <row r="5" spans="1:214" ht="13.5" thickTop="1" x14ac:dyDescent="0.2">
      <c r="A5" s="52" t="s">
        <v>267</v>
      </c>
      <c r="B5" s="129">
        <v>1</v>
      </c>
      <c r="C5" s="52" t="s">
        <v>344</v>
      </c>
      <c r="D5" s="52" t="s">
        <v>267</v>
      </c>
      <c r="E5" s="136">
        <f>B5</f>
        <v>1</v>
      </c>
      <c r="F5" s="52" t="s">
        <v>344</v>
      </c>
      <c r="G5" s="83" t="s">
        <v>267</v>
      </c>
      <c r="H5" s="136">
        <f>B5</f>
        <v>1</v>
      </c>
      <c r="I5" s="52" t="s">
        <v>344</v>
      </c>
      <c r="J5" s="83" t="s">
        <v>267</v>
      </c>
      <c r="K5" s="136">
        <f>B5</f>
        <v>1</v>
      </c>
      <c r="L5" s="52" t="s">
        <v>344</v>
      </c>
      <c r="M5" s="52" t="s">
        <v>267</v>
      </c>
      <c r="N5" s="136">
        <f>B5</f>
        <v>1</v>
      </c>
      <c r="O5" s="52" t="s">
        <v>344</v>
      </c>
      <c r="P5" s="52" t="s">
        <v>267</v>
      </c>
      <c r="Q5" s="136">
        <f>B5</f>
        <v>1</v>
      </c>
      <c r="R5" s="52" t="s">
        <v>344</v>
      </c>
      <c r="S5" s="52" t="s">
        <v>267</v>
      </c>
      <c r="T5" s="136">
        <f>B5</f>
        <v>1</v>
      </c>
      <c r="U5" s="52" t="s">
        <v>344</v>
      </c>
      <c r="V5" s="52" t="s">
        <v>267</v>
      </c>
      <c r="W5" s="136">
        <f>B5</f>
        <v>1</v>
      </c>
      <c r="X5" s="52" t="s">
        <v>344</v>
      </c>
      <c r="Y5" s="52" t="s">
        <v>267</v>
      </c>
      <c r="Z5" s="136">
        <f>B5</f>
        <v>1</v>
      </c>
      <c r="AA5" s="52" t="s">
        <v>344</v>
      </c>
      <c r="AB5" s="83" t="s">
        <v>267</v>
      </c>
      <c r="AC5" s="136">
        <f>B5</f>
        <v>1</v>
      </c>
      <c r="AD5" s="136">
        <f>B5</f>
        <v>1</v>
      </c>
      <c r="AE5" s="136">
        <f>B5</f>
        <v>1</v>
      </c>
      <c r="AF5" s="136">
        <f>B5</f>
        <v>1</v>
      </c>
      <c r="AG5" s="136">
        <f>B5</f>
        <v>1</v>
      </c>
      <c r="AH5" s="52" t="s">
        <v>344</v>
      </c>
      <c r="AI5" s="52" t="s">
        <v>267</v>
      </c>
      <c r="AJ5" s="136">
        <f>B5</f>
        <v>1</v>
      </c>
      <c r="AK5" s="52" t="s">
        <v>344</v>
      </c>
      <c r="AL5" s="52" t="s">
        <v>267</v>
      </c>
      <c r="AM5" s="136">
        <f>B5</f>
        <v>1</v>
      </c>
      <c r="AN5" s="52" t="s">
        <v>344</v>
      </c>
      <c r="AO5" s="52" t="s">
        <v>267</v>
      </c>
      <c r="AP5" s="136">
        <f>B5</f>
        <v>1</v>
      </c>
      <c r="AQ5" s="52" t="s">
        <v>344</v>
      </c>
      <c r="AR5" s="52" t="s">
        <v>267</v>
      </c>
      <c r="AS5" s="136">
        <f>B5</f>
        <v>1</v>
      </c>
      <c r="AT5" s="52" t="s">
        <v>344</v>
      </c>
      <c r="AU5" s="52" t="s">
        <v>267</v>
      </c>
      <c r="AV5" s="136">
        <f>B5</f>
        <v>1</v>
      </c>
      <c r="AW5" s="52" t="s">
        <v>344</v>
      </c>
      <c r="AX5" s="52" t="s">
        <v>267</v>
      </c>
      <c r="AY5" s="136">
        <f>B5</f>
        <v>1</v>
      </c>
      <c r="AZ5" s="52" t="s">
        <v>344</v>
      </c>
      <c r="BA5" s="52" t="s">
        <v>267</v>
      </c>
      <c r="BB5" s="136">
        <f>B5</f>
        <v>1</v>
      </c>
      <c r="BC5" s="52" t="s">
        <v>344</v>
      </c>
      <c r="BD5" s="52" t="s">
        <v>267</v>
      </c>
      <c r="BE5" s="136">
        <f>B5</f>
        <v>1</v>
      </c>
      <c r="BF5" s="52" t="s">
        <v>344</v>
      </c>
      <c r="BG5" s="52" t="s">
        <v>267</v>
      </c>
      <c r="BH5" s="136">
        <f>B5</f>
        <v>1</v>
      </c>
      <c r="BI5" s="52" t="s">
        <v>344</v>
      </c>
      <c r="BJ5" s="52" t="s">
        <v>267</v>
      </c>
      <c r="BK5" s="136">
        <f>B5</f>
        <v>1</v>
      </c>
      <c r="BL5" s="52" t="s">
        <v>344</v>
      </c>
      <c r="BM5" s="52" t="s">
        <v>267</v>
      </c>
      <c r="BN5" s="136">
        <f>B5</f>
        <v>1</v>
      </c>
      <c r="BO5" s="52" t="s">
        <v>344</v>
      </c>
      <c r="BP5" s="52" t="s">
        <v>267</v>
      </c>
      <c r="BQ5" s="136">
        <f>B5</f>
        <v>1</v>
      </c>
      <c r="BR5" s="52" t="s">
        <v>344</v>
      </c>
      <c r="BS5" s="52" t="s">
        <v>267</v>
      </c>
      <c r="BT5" s="136">
        <f>B5</f>
        <v>1</v>
      </c>
      <c r="BU5" s="52" t="s">
        <v>344</v>
      </c>
      <c r="BV5" s="83" t="s">
        <v>267</v>
      </c>
      <c r="BW5" s="136">
        <f>B5</f>
        <v>1</v>
      </c>
      <c r="BX5" s="52" t="s">
        <v>344</v>
      </c>
      <c r="BY5" s="83" t="s">
        <v>267</v>
      </c>
      <c r="BZ5" s="136">
        <f>B5</f>
        <v>1</v>
      </c>
      <c r="CA5" s="52" t="s">
        <v>344</v>
      </c>
      <c r="CB5" s="52" t="s">
        <v>267</v>
      </c>
      <c r="CC5" s="136">
        <f>B5</f>
        <v>1</v>
      </c>
      <c r="CD5" s="52" t="s">
        <v>344</v>
      </c>
      <c r="CE5" s="52" t="s">
        <v>267</v>
      </c>
      <c r="CF5" s="136">
        <f>B5</f>
        <v>1</v>
      </c>
      <c r="CG5" s="52" t="s">
        <v>344</v>
      </c>
      <c r="CH5" s="52" t="s">
        <v>267</v>
      </c>
      <c r="CI5" s="136">
        <f>B5</f>
        <v>1</v>
      </c>
      <c r="CJ5" s="52" t="s">
        <v>344</v>
      </c>
      <c r="CK5" s="52" t="s">
        <v>267</v>
      </c>
      <c r="CL5" s="136">
        <f>B5</f>
        <v>1</v>
      </c>
      <c r="CM5" s="52" t="s">
        <v>344</v>
      </c>
      <c r="CN5" s="83" t="s">
        <v>228</v>
      </c>
      <c r="CO5" s="136">
        <f>B30</f>
        <v>6.0000000000000001E-3</v>
      </c>
      <c r="CP5" s="52" t="s">
        <v>268</v>
      </c>
      <c r="CQ5" s="83" t="s">
        <v>228</v>
      </c>
      <c r="CR5" s="136">
        <f>CO5</f>
        <v>6.0000000000000001E-3</v>
      </c>
      <c r="CS5" s="52" t="s">
        <v>268</v>
      </c>
      <c r="CT5" s="83" t="s">
        <v>267</v>
      </c>
      <c r="CU5" s="136">
        <f>B5</f>
        <v>1</v>
      </c>
      <c r="CV5" s="52" t="s">
        <v>344</v>
      </c>
      <c r="CW5" s="52" t="s">
        <v>267</v>
      </c>
      <c r="CX5" s="136">
        <f>B5</f>
        <v>1</v>
      </c>
      <c r="CY5" s="52" t="s">
        <v>344</v>
      </c>
      <c r="CZ5" s="83" t="s">
        <v>267</v>
      </c>
      <c r="DA5" s="136">
        <f>B5</f>
        <v>1</v>
      </c>
      <c r="DB5" s="52" t="s">
        <v>344</v>
      </c>
      <c r="DC5" s="83" t="s">
        <v>267</v>
      </c>
      <c r="DD5" s="136">
        <f>B5</f>
        <v>1</v>
      </c>
      <c r="DE5" s="52" t="s">
        <v>344</v>
      </c>
      <c r="DF5" s="52" t="s">
        <v>17</v>
      </c>
      <c r="DG5" s="137">
        <f>(DG8*DG9*DG10*((1-EXP(-DG11*DG12))))/(DG13*DG11)</f>
        <v>6.6877504027585484E-4</v>
      </c>
      <c r="DH5" s="52" t="s">
        <v>18</v>
      </c>
      <c r="DI5" s="83" t="s">
        <v>19</v>
      </c>
      <c r="DJ5" s="161">
        <f>DJ7</f>
        <v>1.914E-5</v>
      </c>
      <c r="DK5" s="83"/>
      <c r="DL5" s="83" t="s">
        <v>19</v>
      </c>
      <c r="DM5" s="161">
        <f>DM7</f>
        <v>1.914E-5</v>
      </c>
      <c r="DO5" s="52" t="s">
        <v>17</v>
      </c>
      <c r="DP5" s="137">
        <f>(DP8*DP9*DP10*((1-EXP(-DP11*DP12))))/(DP13*DP11)</f>
        <v>6.8418630199139872E-4</v>
      </c>
      <c r="DQ5" s="52" t="s">
        <v>18</v>
      </c>
      <c r="DR5" s="83" t="s">
        <v>267</v>
      </c>
      <c r="DS5" s="136">
        <f>B5</f>
        <v>1</v>
      </c>
      <c r="DT5" s="52" t="s">
        <v>344</v>
      </c>
      <c r="DU5" s="83" t="s">
        <v>239</v>
      </c>
      <c r="DV5" s="169">
        <f>B24</f>
        <v>4.2E-7</v>
      </c>
      <c r="DW5" s="52" t="s">
        <v>601</v>
      </c>
      <c r="DX5" s="83" t="s">
        <v>20</v>
      </c>
      <c r="DY5" s="161">
        <f>DY7</f>
        <v>2.1999999999999999E-5</v>
      </c>
      <c r="DZ5" s="83"/>
      <c r="EA5" s="83" t="s">
        <v>20</v>
      </c>
      <c r="EB5" s="161">
        <f>EB7</f>
        <v>2.1999999999999999E-5</v>
      </c>
      <c r="EC5" s="84"/>
      <c r="ED5" s="83" t="s">
        <v>20</v>
      </c>
      <c r="EE5" s="161">
        <f>EE7</f>
        <v>2.1999999999999999E-5</v>
      </c>
      <c r="EF5" s="84"/>
      <c r="EG5" s="83" t="s">
        <v>267</v>
      </c>
      <c r="EH5" s="136">
        <f>B5</f>
        <v>1</v>
      </c>
      <c r="EI5" s="52" t="s">
        <v>344</v>
      </c>
      <c r="EJ5" s="83" t="s">
        <v>236</v>
      </c>
      <c r="EK5" s="169">
        <f>B25</f>
        <v>5.0000000000000001E-4</v>
      </c>
      <c r="EL5" s="52" t="s">
        <v>388</v>
      </c>
      <c r="EM5" s="83" t="s">
        <v>20</v>
      </c>
      <c r="EN5" s="161">
        <f>EN7</f>
        <v>2.1999999999999999E-5</v>
      </c>
      <c r="EO5" s="83"/>
      <c r="EP5" s="83" t="s">
        <v>20</v>
      </c>
      <c r="EQ5" s="161">
        <f>EQ7</f>
        <v>2.1999999999999999E-5</v>
      </c>
      <c r="ER5" s="84"/>
      <c r="ES5" s="83" t="s">
        <v>20</v>
      </c>
      <c r="ET5" s="161">
        <f>ET7</f>
        <v>2.1999999999999999E-5</v>
      </c>
      <c r="EU5" s="84"/>
      <c r="EV5" s="83" t="s">
        <v>267</v>
      </c>
      <c r="EW5" s="136">
        <f>B5</f>
        <v>1</v>
      </c>
      <c r="EX5" s="52" t="s">
        <v>344</v>
      </c>
      <c r="EY5" s="83" t="s">
        <v>171</v>
      </c>
      <c r="EZ5" s="169">
        <f>B27</f>
        <v>3.0000000000000001E-3</v>
      </c>
      <c r="FA5" s="52" t="s">
        <v>388</v>
      </c>
      <c r="FB5" s="83" t="s">
        <v>20</v>
      </c>
      <c r="FC5" s="161">
        <f>FC7</f>
        <v>2.1999999999999999E-5</v>
      </c>
      <c r="FD5" s="83"/>
      <c r="FE5" s="83" t="s">
        <v>20</v>
      </c>
      <c r="FF5" s="161">
        <f>FF7</f>
        <v>2.1999999999999999E-5</v>
      </c>
      <c r="FG5" s="83"/>
      <c r="FH5" s="83" t="s">
        <v>20</v>
      </c>
      <c r="FI5" s="161">
        <f>FI7</f>
        <v>2.1999999999999999E-5</v>
      </c>
      <c r="FJ5" s="84"/>
      <c r="FK5" s="83" t="s">
        <v>267</v>
      </c>
      <c r="FL5" s="136">
        <f>B5</f>
        <v>1</v>
      </c>
      <c r="FM5" s="52" t="s">
        <v>344</v>
      </c>
      <c r="FN5" s="83" t="s">
        <v>105</v>
      </c>
      <c r="FO5" s="161">
        <f>B23</f>
        <v>240</v>
      </c>
      <c r="FP5" s="83" t="s">
        <v>18</v>
      </c>
      <c r="FQ5" s="83" t="s">
        <v>105</v>
      </c>
      <c r="FR5" s="161">
        <f>B23</f>
        <v>240</v>
      </c>
      <c r="FS5" s="83" t="s">
        <v>18</v>
      </c>
      <c r="FT5" s="83" t="s">
        <v>105</v>
      </c>
      <c r="FU5" s="161">
        <f>B23</f>
        <v>240</v>
      </c>
      <c r="FV5" s="83" t="s">
        <v>18</v>
      </c>
      <c r="FW5" s="83" t="s">
        <v>156</v>
      </c>
      <c r="FX5" s="161">
        <f>B33</f>
        <v>4</v>
      </c>
      <c r="FY5" s="88" t="s">
        <v>18</v>
      </c>
      <c r="FZ5" s="83" t="s">
        <v>267</v>
      </c>
      <c r="GA5" s="136">
        <f>B5</f>
        <v>1</v>
      </c>
      <c r="GB5" s="52" t="s">
        <v>344</v>
      </c>
      <c r="GC5" s="83" t="s">
        <v>237</v>
      </c>
      <c r="GD5" s="169">
        <f>B26</f>
        <v>6.0000000000000001E-3</v>
      </c>
      <c r="GE5" s="52" t="s">
        <v>388</v>
      </c>
      <c r="GF5" s="83" t="s">
        <v>20</v>
      </c>
      <c r="GG5" s="161">
        <f>GG7</f>
        <v>2.1999999999999999E-5</v>
      </c>
      <c r="GH5" s="83"/>
      <c r="GI5" s="83" t="s">
        <v>20</v>
      </c>
      <c r="GJ5" s="161">
        <f>GJ7</f>
        <v>2.1999999999999999E-5</v>
      </c>
      <c r="GK5" s="83"/>
      <c r="GL5" s="83" t="s">
        <v>20</v>
      </c>
      <c r="GM5" s="161">
        <f>GM7</f>
        <v>2.1999999999999999E-5</v>
      </c>
      <c r="GN5" s="84"/>
      <c r="GO5" s="83" t="s">
        <v>267</v>
      </c>
      <c r="GP5" s="136">
        <f>B5</f>
        <v>1</v>
      </c>
      <c r="GQ5" s="52" t="s">
        <v>344</v>
      </c>
      <c r="GR5" s="83" t="s">
        <v>238</v>
      </c>
      <c r="GS5" s="169">
        <f>B28</f>
        <v>1.7000000000000001E-4</v>
      </c>
      <c r="GT5" s="52" t="s">
        <v>388</v>
      </c>
      <c r="GU5" s="83" t="s">
        <v>20</v>
      </c>
      <c r="GV5" s="161">
        <f>GV7</f>
        <v>2.1999999999999999E-5</v>
      </c>
      <c r="GW5" s="83"/>
      <c r="GX5" s="83" t="s">
        <v>20</v>
      </c>
      <c r="GY5" s="161">
        <f>GY7</f>
        <v>2.1999999999999999E-5</v>
      </c>
      <c r="GZ5" s="83"/>
      <c r="HA5" s="83" t="s">
        <v>20</v>
      </c>
      <c r="HB5" s="161">
        <f>HB7</f>
        <v>2.1999999999999999E-5</v>
      </c>
      <c r="HC5" s="84"/>
      <c r="HD5" s="89" t="s">
        <v>21</v>
      </c>
      <c r="HE5" s="175">
        <f>B34</f>
        <v>15</v>
      </c>
      <c r="HF5" s="83" t="s">
        <v>11</v>
      </c>
    </row>
    <row r="6" spans="1:214" x14ac:dyDescent="0.2">
      <c r="A6" s="83" t="s">
        <v>247</v>
      </c>
      <c r="B6" s="184">
        <v>0.36297000000000001</v>
      </c>
      <c r="C6" s="84" t="s">
        <v>259</v>
      </c>
      <c r="D6" s="83" t="s">
        <v>22</v>
      </c>
      <c r="E6" s="137">
        <f>0.693/E7</f>
        <v>1.6041666666666665E-3</v>
      </c>
      <c r="G6" s="83" t="s">
        <v>248</v>
      </c>
      <c r="H6" s="136">
        <f>B7</f>
        <v>8.8060000000000005E-4</v>
      </c>
      <c r="I6" s="83" t="s">
        <v>259</v>
      </c>
      <c r="J6" s="83" t="s">
        <v>249</v>
      </c>
      <c r="K6" s="136">
        <f>B8</f>
        <v>8.8060000000000005E-4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1.6041666666666665E-3</v>
      </c>
      <c r="BV6" s="83" t="s">
        <v>248</v>
      </c>
      <c r="BW6" s="136">
        <f>B7</f>
        <v>8.8060000000000005E-4</v>
      </c>
      <c r="BX6" s="83" t="s">
        <v>259</v>
      </c>
      <c r="BY6" s="83" t="s">
        <v>249</v>
      </c>
      <c r="BZ6" s="136">
        <f>B8</f>
        <v>8.8060000000000005E-4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B17</f>
        <v>8.8060000000000005E-4</v>
      </c>
      <c r="CM6" s="91" t="s">
        <v>10</v>
      </c>
      <c r="CN6" s="84" t="s">
        <v>20</v>
      </c>
      <c r="CO6" s="139">
        <f>CO8</f>
        <v>2.1999999999999999E-5</v>
      </c>
      <c r="CQ6" s="84" t="s">
        <v>169</v>
      </c>
      <c r="CR6" s="162">
        <f>B133</f>
        <v>1</v>
      </c>
      <c r="CS6" s="52" t="s">
        <v>28</v>
      </c>
      <c r="CT6" s="83" t="s">
        <v>249</v>
      </c>
      <c r="CU6" s="136">
        <f>B8</f>
        <v>8.8060000000000005E-4</v>
      </c>
      <c r="CV6" s="83" t="s">
        <v>259</v>
      </c>
      <c r="CW6" s="83" t="s">
        <v>22</v>
      </c>
      <c r="CX6" s="137">
        <f>0.693/CX7</f>
        <v>1.6041666666666665E-3</v>
      </c>
      <c r="CZ6" s="83" t="s">
        <v>248</v>
      </c>
      <c r="DA6" s="136">
        <f>B7</f>
        <v>8.8060000000000005E-4</v>
      </c>
      <c r="DB6" s="83" t="s">
        <v>259</v>
      </c>
      <c r="DC6" s="83" t="s">
        <v>258</v>
      </c>
      <c r="DD6" s="136">
        <f>B17</f>
        <v>8.8060000000000005E-4</v>
      </c>
      <c r="DE6" s="92" t="s">
        <v>259</v>
      </c>
      <c r="DF6" s="52" t="s">
        <v>25</v>
      </c>
      <c r="DG6" s="137">
        <f>(DG8*DG9*DG14*((1-EXP(-DG11*DG12))))/(DG13*DG11)</f>
        <v>9.0847184154504852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B17</f>
        <v>8.8060000000000005E-4</v>
      </c>
      <c r="DT6" s="83" t="s">
        <v>259</v>
      </c>
      <c r="DU6" s="83" t="s">
        <v>27</v>
      </c>
      <c r="DV6" s="142">
        <f>B203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B17</f>
        <v>8.8060000000000005E-4</v>
      </c>
      <c r="EI6" s="83" t="s">
        <v>259</v>
      </c>
      <c r="EJ6" s="83" t="s">
        <v>29</v>
      </c>
      <c r="EK6" s="142">
        <f>B209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B17</f>
        <v>8.8060000000000005E-4</v>
      </c>
      <c r="EX6" s="83" t="s">
        <v>259</v>
      </c>
      <c r="EY6" s="83" t="s">
        <v>148</v>
      </c>
      <c r="EZ6" s="164">
        <f>B214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B17</f>
        <v>8.8060000000000005E-4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B33</f>
        <v>4</v>
      </c>
      <c r="FS6" s="83" t="s">
        <v>18</v>
      </c>
      <c r="FT6" s="83" t="s">
        <v>156</v>
      </c>
      <c r="FU6" s="161">
        <f>B33</f>
        <v>4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B17</f>
        <v>8.8060000000000005E-4</v>
      </c>
      <c r="GB6" s="83" t="s">
        <v>259</v>
      </c>
      <c r="GC6" s="83" t="s">
        <v>485</v>
      </c>
      <c r="GD6" s="164">
        <f>B219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B17</f>
        <v>8.8060000000000005E-4</v>
      </c>
      <c r="GQ6" s="83" t="s">
        <v>259</v>
      </c>
      <c r="GR6" s="83" t="s">
        <v>150</v>
      </c>
      <c r="GS6" s="142">
        <f>B224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1.0860677344847198</v>
      </c>
      <c r="HF6" s="83" t="s">
        <v>11</v>
      </c>
    </row>
    <row r="7" spans="1:214" x14ac:dyDescent="0.2">
      <c r="A7" s="83" t="s">
        <v>248</v>
      </c>
      <c r="B7" s="183">
        <v>8.8060000000000005E-4</v>
      </c>
      <c r="C7" s="84" t="s">
        <v>259</v>
      </c>
      <c r="D7" s="91" t="s">
        <v>231</v>
      </c>
      <c r="E7" s="136">
        <f>B18</f>
        <v>432</v>
      </c>
      <c r="F7" s="52" t="s">
        <v>60</v>
      </c>
      <c r="G7" s="83" t="s">
        <v>247</v>
      </c>
      <c r="H7" s="139">
        <f>B6</f>
        <v>0.36297000000000001</v>
      </c>
      <c r="I7" s="84" t="s">
        <v>259</v>
      </c>
      <c r="J7" s="83" t="s">
        <v>247</v>
      </c>
      <c r="K7" s="136">
        <f>B6</f>
        <v>0.36297000000000001</v>
      </c>
      <c r="L7" s="84" t="s">
        <v>259</v>
      </c>
      <c r="M7" s="83" t="s">
        <v>22</v>
      </c>
      <c r="N7" s="137">
        <f>0.693/N8</f>
        <v>1.6041666666666665E-3</v>
      </c>
      <c r="P7" s="83" t="s">
        <v>22</v>
      </c>
      <c r="Q7" s="137">
        <f>0.693/Q8</f>
        <v>1.6041666666666665E-3</v>
      </c>
      <c r="S7" s="83" t="s">
        <v>22</v>
      </c>
      <c r="T7" s="137">
        <f>0.693/T8</f>
        <v>1.6041666666666665E-3</v>
      </c>
      <c r="V7" s="83" t="s">
        <v>22</v>
      </c>
      <c r="W7" s="137">
        <f>0.693/W8</f>
        <v>1.6041666666666665E-3</v>
      </c>
      <c r="Y7" s="83" t="s">
        <v>22</v>
      </c>
      <c r="Z7" s="137">
        <f>0.693/Z8</f>
        <v>1.6041666666666665E-3</v>
      </c>
      <c r="AB7" s="83" t="s">
        <v>425</v>
      </c>
      <c r="AC7" s="150">
        <f>B231</f>
        <v>250</v>
      </c>
      <c r="AD7" s="150">
        <f>B243</f>
        <v>250</v>
      </c>
      <c r="AE7" s="150">
        <f>B255</f>
        <v>225</v>
      </c>
      <c r="AF7" s="150">
        <f>B267</f>
        <v>250</v>
      </c>
      <c r="AG7" s="150">
        <f>B291</f>
        <v>250</v>
      </c>
      <c r="AH7" s="83" t="s">
        <v>24</v>
      </c>
      <c r="AI7" s="83" t="s">
        <v>22</v>
      </c>
      <c r="AJ7" s="137">
        <f>0.693/AJ8</f>
        <v>1.6041666666666665E-3</v>
      </c>
      <c r="AL7" s="83" t="s">
        <v>22</v>
      </c>
      <c r="AM7" s="137">
        <f>0.693/AM8</f>
        <v>1.6041666666666665E-3</v>
      </c>
      <c r="AO7" s="83" t="s">
        <v>22</v>
      </c>
      <c r="AP7" s="137">
        <f>0.693/AP8</f>
        <v>1.6041666666666665E-3</v>
      </c>
      <c r="AR7" s="83" t="s">
        <v>22</v>
      </c>
      <c r="AS7" s="137">
        <f>0.693/AS8</f>
        <v>1.6041666666666665E-3</v>
      </c>
      <c r="AU7" s="83" t="s">
        <v>22</v>
      </c>
      <c r="AV7" s="137">
        <f>0.693/AV8</f>
        <v>1.6041666666666665E-3</v>
      </c>
      <c r="AX7" s="83" t="s">
        <v>22</v>
      </c>
      <c r="AY7" s="137">
        <f>0.693/AY8</f>
        <v>1.6041666666666665E-3</v>
      </c>
      <c r="BA7" s="83" t="s">
        <v>22</v>
      </c>
      <c r="BB7" s="137">
        <f>0.693/BB8</f>
        <v>1.6041666666666665E-3</v>
      </c>
      <c r="BD7" s="83" t="s">
        <v>22</v>
      </c>
      <c r="BE7" s="137">
        <f>0.693/BE8</f>
        <v>1.6041666666666665E-3</v>
      </c>
      <c r="BG7" s="83" t="s">
        <v>22</v>
      </c>
      <c r="BH7" s="137">
        <f>0.693/BH8</f>
        <v>1.6041666666666665E-3</v>
      </c>
      <c r="BJ7" s="83" t="s">
        <v>22</v>
      </c>
      <c r="BK7" s="137">
        <f>0.693/BK8</f>
        <v>1.6041666666666665E-3</v>
      </c>
      <c r="BM7" s="83" t="s">
        <v>22</v>
      </c>
      <c r="BN7" s="137">
        <f>0.693/BN8</f>
        <v>1.6041666666666665E-3</v>
      </c>
      <c r="BP7" s="83" t="s">
        <v>22</v>
      </c>
      <c r="BQ7" s="137">
        <f>0.693/BQ8</f>
        <v>1.6041666666666665E-3</v>
      </c>
      <c r="BS7" s="91" t="s">
        <v>231</v>
      </c>
      <c r="BT7" s="136">
        <f>B18</f>
        <v>432</v>
      </c>
      <c r="BU7" s="52" t="s">
        <v>60</v>
      </c>
      <c r="BV7" s="83" t="s">
        <v>247</v>
      </c>
      <c r="BW7" s="139">
        <f>B6</f>
        <v>0.36297000000000001</v>
      </c>
      <c r="BX7" s="84" t="s">
        <v>259</v>
      </c>
      <c r="BY7" s="83" t="s">
        <v>247</v>
      </c>
      <c r="BZ7" s="139">
        <f>B6</f>
        <v>0.36297000000000001</v>
      </c>
      <c r="CA7" s="84" t="s">
        <v>259</v>
      </c>
      <c r="CB7" s="83" t="s">
        <v>22</v>
      </c>
      <c r="CC7" s="137">
        <f>0.693/CC8</f>
        <v>1.6041666666666665E-3</v>
      </c>
      <c r="CE7" s="83" t="s">
        <v>22</v>
      </c>
      <c r="CF7" s="137">
        <f>0.693/CF8</f>
        <v>1.6041666666666665E-3</v>
      </c>
      <c r="CH7" s="83" t="s">
        <v>22</v>
      </c>
      <c r="CI7" s="137">
        <f>0.693/CI8</f>
        <v>1.6041666666666665E-3</v>
      </c>
      <c r="CK7" s="52" t="s">
        <v>140</v>
      </c>
      <c r="CL7" s="138">
        <f>B103</f>
        <v>75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B6</f>
        <v>0.36297000000000001</v>
      </c>
      <c r="CV7" s="84" t="s">
        <v>259</v>
      </c>
      <c r="CW7" s="91" t="s">
        <v>231</v>
      </c>
      <c r="CX7" s="136">
        <f>B18</f>
        <v>432</v>
      </c>
      <c r="CY7" s="52" t="s">
        <v>60</v>
      </c>
      <c r="CZ7" s="84" t="s">
        <v>247</v>
      </c>
      <c r="DA7" s="139">
        <f>B6</f>
        <v>0.36297000000000001</v>
      </c>
      <c r="DB7" s="84" t="s">
        <v>259</v>
      </c>
      <c r="DC7" s="83" t="s">
        <v>260</v>
      </c>
      <c r="DD7" s="166">
        <f>(DD5)/(DD6*(DD8+DD11)*DD19)</f>
        <v>1.1858919423480364E-2</v>
      </c>
      <c r="DE7" s="92" t="s">
        <v>10</v>
      </c>
      <c r="DF7" s="52" t="s">
        <v>31</v>
      </c>
      <c r="DG7" s="137">
        <f>(DG8*DG9*DG15*DG21*((1-EXP(-DG16*DG17))))/(DG18*DG16)</f>
        <v>3.6421488784670224</v>
      </c>
      <c r="DH7" s="52" t="s">
        <v>18</v>
      </c>
      <c r="DI7" s="83" t="s">
        <v>32</v>
      </c>
      <c r="DJ7" s="136">
        <f>B31</f>
        <v>1.914E-5</v>
      </c>
      <c r="DL7" s="83" t="s">
        <v>32</v>
      </c>
      <c r="DM7" s="136">
        <f>B31</f>
        <v>1.914E-5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DS5/(DS6*DS8*DS15)</f>
        <v>7.5247076305231166E-3</v>
      </c>
      <c r="DT7" s="52" t="s">
        <v>10</v>
      </c>
      <c r="DV7" s="138"/>
      <c r="DX7" s="83" t="s">
        <v>33</v>
      </c>
      <c r="DY7" s="136">
        <f>B32</f>
        <v>2.1999999999999999E-5</v>
      </c>
      <c r="EA7" s="83" t="s">
        <v>33</v>
      </c>
      <c r="EB7" s="136">
        <f>B32</f>
        <v>2.1999999999999999E-5</v>
      </c>
      <c r="EC7" s="84"/>
      <c r="ED7" s="83" t="s">
        <v>33</v>
      </c>
      <c r="EE7" s="136">
        <f>B32</f>
        <v>2.1999999999999999E-5</v>
      </c>
      <c r="EF7" s="84"/>
      <c r="EG7" s="83" t="s">
        <v>260</v>
      </c>
      <c r="EH7" s="168">
        <f>EH5/(EH6*EH8*EH15)</f>
        <v>2.0624486283362106E-2</v>
      </c>
      <c r="EI7" s="52" t="s">
        <v>10</v>
      </c>
      <c r="EM7" s="83" t="s">
        <v>33</v>
      </c>
      <c r="EN7" s="136">
        <f>B32</f>
        <v>2.1999999999999999E-5</v>
      </c>
      <c r="EP7" s="83" t="s">
        <v>33</v>
      </c>
      <c r="EQ7" s="136">
        <f>B32</f>
        <v>2.1999999999999999E-5</v>
      </c>
      <c r="ER7" s="84"/>
      <c r="ES7" s="83" t="s">
        <v>33</v>
      </c>
      <c r="ET7" s="136">
        <f>B32</f>
        <v>2.1999999999999999E-5</v>
      </c>
      <c r="EU7" s="84"/>
      <c r="EV7" s="83" t="s">
        <v>260</v>
      </c>
      <c r="EW7" s="168">
        <f>EW5/(EW6*EW8*EW15)</f>
        <v>6.8985086050435546E-2</v>
      </c>
      <c r="EX7" s="52" t="s">
        <v>10</v>
      </c>
      <c r="EY7" s="83"/>
      <c r="EZ7" s="142">
        <v>1000</v>
      </c>
      <c r="FA7" s="83" t="s">
        <v>132</v>
      </c>
      <c r="FB7" s="83" t="s">
        <v>33</v>
      </c>
      <c r="FC7" s="161">
        <f>B32</f>
        <v>2.1999999999999999E-5</v>
      </c>
      <c r="FD7" s="83"/>
      <c r="FE7" s="83" t="s">
        <v>33</v>
      </c>
      <c r="FF7" s="161">
        <f>B32</f>
        <v>2.1999999999999999E-5</v>
      </c>
      <c r="FG7" s="83"/>
      <c r="FH7" s="83" t="s">
        <v>33</v>
      </c>
      <c r="FI7" s="161">
        <f>B32</f>
        <v>2.1999999999999999E-5</v>
      </c>
      <c r="FJ7" s="84"/>
      <c r="FK7" s="83" t="s">
        <v>260</v>
      </c>
      <c r="FL7" s="168">
        <f>FL5/(FL6*FL8*FL15)</f>
        <v>2.3681052913415882E-2</v>
      </c>
      <c r="FM7" s="52" t="s">
        <v>10</v>
      </c>
      <c r="FN7" s="83"/>
      <c r="FQ7" s="52" t="s">
        <v>350</v>
      </c>
      <c r="FR7" s="164">
        <f>B170</f>
        <v>1</v>
      </c>
      <c r="FT7" s="83"/>
      <c r="FU7" s="83"/>
      <c r="FV7" s="83"/>
      <c r="FZ7" s="83" t="s">
        <v>260</v>
      </c>
      <c r="GA7" s="168">
        <f>GA5/(GA6*GA8*GA15)</f>
        <v>3.4461402651801483E-2</v>
      </c>
      <c r="GB7" s="52" t="s">
        <v>10</v>
      </c>
      <c r="GC7" s="83"/>
      <c r="GD7" s="142">
        <v>1000</v>
      </c>
      <c r="GE7" s="83" t="s">
        <v>132</v>
      </c>
      <c r="GF7" s="83" t="s">
        <v>33</v>
      </c>
      <c r="GG7" s="161">
        <f>B32</f>
        <v>2.1999999999999999E-5</v>
      </c>
      <c r="GH7" s="83"/>
      <c r="GI7" s="83" t="s">
        <v>33</v>
      </c>
      <c r="GJ7" s="161">
        <f>B32</f>
        <v>2.1999999999999999E-5</v>
      </c>
      <c r="GK7" s="83"/>
      <c r="GL7" s="83" t="s">
        <v>33</v>
      </c>
      <c r="GM7" s="161">
        <f>B32</f>
        <v>2.1999999999999999E-5</v>
      </c>
      <c r="GN7" s="84"/>
      <c r="GO7" s="83" t="s">
        <v>260</v>
      </c>
      <c r="GP7" s="168">
        <f>GP5/(GP6*GP8*GP14)</f>
        <v>3.773160902043389E-2</v>
      </c>
      <c r="GQ7" s="52" t="s">
        <v>10</v>
      </c>
      <c r="GR7" s="88"/>
      <c r="GS7" s="142">
        <v>1000</v>
      </c>
      <c r="GT7" s="83" t="s">
        <v>132</v>
      </c>
      <c r="GU7" s="83" t="s">
        <v>33</v>
      </c>
      <c r="GV7" s="161">
        <f>B32</f>
        <v>2.1999999999999999E-5</v>
      </c>
      <c r="GW7" s="83"/>
      <c r="GX7" s="83" t="s">
        <v>33</v>
      </c>
      <c r="GY7" s="161">
        <f>B32</f>
        <v>2.1999999999999999E-5</v>
      </c>
      <c r="GZ7" s="83"/>
      <c r="HA7" s="83" t="s">
        <v>33</v>
      </c>
      <c r="HB7" s="161">
        <f>B32</f>
        <v>2.1999999999999999E-5</v>
      </c>
      <c r="HC7" s="84"/>
      <c r="HD7" s="83" t="s">
        <v>22</v>
      </c>
      <c r="HE7" s="137">
        <f>0.693/HE9</f>
        <v>1.6041666666666665E-3</v>
      </c>
    </row>
    <row r="8" spans="1:214" x14ac:dyDescent="0.2">
      <c r="A8" s="83" t="s">
        <v>249</v>
      </c>
      <c r="B8" s="183">
        <v>8.8060000000000005E-4</v>
      </c>
      <c r="C8" s="83" t="s">
        <v>259</v>
      </c>
      <c r="D8" s="52" t="s">
        <v>382</v>
      </c>
      <c r="E8" s="138">
        <f>B56</f>
        <v>350</v>
      </c>
      <c r="F8" s="52" t="s">
        <v>24</v>
      </c>
      <c r="G8" s="91" t="s">
        <v>257</v>
      </c>
      <c r="H8" s="136">
        <f>B16</f>
        <v>0.28767199999999998</v>
      </c>
      <c r="I8" s="84" t="s">
        <v>259</v>
      </c>
      <c r="J8" s="83" t="s">
        <v>269</v>
      </c>
      <c r="K8" s="136">
        <f>B10</f>
        <v>3.7173200000000003E-2</v>
      </c>
      <c r="L8" s="83" t="s">
        <v>351</v>
      </c>
      <c r="M8" s="91" t="s">
        <v>231</v>
      </c>
      <c r="N8" s="136">
        <f>B18</f>
        <v>432</v>
      </c>
      <c r="O8" s="52" t="s">
        <v>60</v>
      </c>
      <c r="P8" s="91" t="s">
        <v>231</v>
      </c>
      <c r="Q8" s="136">
        <f>B18</f>
        <v>432</v>
      </c>
      <c r="R8" s="52" t="s">
        <v>60</v>
      </c>
      <c r="S8" s="91" t="s">
        <v>231</v>
      </c>
      <c r="T8" s="136">
        <f>B18</f>
        <v>432</v>
      </c>
      <c r="U8" s="52" t="s">
        <v>60</v>
      </c>
      <c r="V8" s="91" t="s">
        <v>231</v>
      </c>
      <c r="W8" s="136">
        <f>B18</f>
        <v>432</v>
      </c>
      <c r="X8" s="52" t="s">
        <v>60</v>
      </c>
      <c r="Y8" s="91" t="s">
        <v>231</v>
      </c>
      <c r="Z8" s="136">
        <f>B18</f>
        <v>432</v>
      </c>
      <c r="AA8" s="52" t="s">
        <v>60</v>
      </c>
      <c r="AB8" s="83" t="s">
        <v>249</v>
      </c>
      <c r="AC8" s="136">
        <f>B9</f>
        <v>7.5480000000000002E-4</v>
      </c>
      <c r="AD8" s="136">
        <f>B9</f>
        <v>7.5480000000000002E-4</v>
      </c>
      <c r="AE8" s="136">
        <f>B9</f>
        <v>7.5480000000000002E-4</v>
      </c>
      <c r="AF8" s="136">
        <f>B9</f>
        <v>7.5480000000000002E-4</v>
      </c>
      <c r="AG8" s="136">
        <f>B9</f>
        <v>7.5480000000000002E-4</v>
      </c>
      <c r="AH8" s="83" t="s">
        <v>259</v>
      </c>
      <c r="AI8" s="91" t="s">
        <v>231</v>
      </c>
      <c r="AJ8" s="136">
        <f>B18</f>
        <v>432</v>
      </c>
      <c r="AK8" s="52" t="s">
        <v>60</v>
      </c>
      <c r="AL8" s="91" t="s">
        <v>231</v>
      </c>
      <c r="AM8" s="136">
        <f>B18</f>
        <v>432</v>
      </c>
      <c r="AN8" s="52" t="s">
        <v>60</v>
      </c>
      <c r="AO8" s="91" t="s">
        <v>231</v>
      </c>
      <c r="AP8" s="136">
        <f>B18</f>
        <v>432</v>
      </c>
      <c r="AQ8" s="52" t="s">
        <v>60</v>
      </c>
      <c r="AR8" s="91" t="s">
        <v>231</v>
      </c>
      <c r="AS8" s="136">
        <f>B18</f>
        <v>432</v>
      </c>
      <c r="AT8" s="52" t="s">
        <v>60</v>
      </c>
      <c r="AU8" s="91" t="s">
        <v>231</v>
      </c>
      <c r="AV8" s="136">
        <f>B18</f>
        <v>432</v>
      </c>
      <c r="AW8" s="52" t="s">
        <v>60</v>
      </c>
      <c r="AX8" s="91" t="s">
        <v>231</v>
      </c>
      <c r="AY8" s="136">
        <f>B18</f>
        <v>432</v>
      </c>
      <c r="AZ8" s="52" t="s">
        <v>60</v>
      </c>
      <c r="BA8" s="91" t="s">
        <v>231</v>
      </c>
      <c r="BB8" s="136">
        <f>B18</f>
        <v>432</v>
      </c>
      <c r="BC8" s="52" t="s">
        <v>60</v>
      </c>
      <c r="BD8" s="91" t="s">
        <v>231</v>
      </c>
      <c r="BE8" s="136">
        <f>B18</f>
        <v>432</v>
      </c>
      <c r="BF8" s="52" t="s">
        <v>60</v>
      </c>
      <c r="BG8" s="91" t="s">
        <v>231</v>
      </c>
      <c r="BH8" s="136">
        <f>B18</f>
        <v>432</v>
      </c>
      <c r="BI8" s="52" t="s">
        <v>60</v>
      </c>
      <c r="BJ8" s="91" t="s">
        <v>231</v>
      </c>
      <c r="BK8" s="136">
        <f>B18</f>
        <v>432</v>
      </c>
      <c r="BL8" s="52" t="s">
        <v>60</v>
      </c>
      <c r="BM8" s="91" t="s">
        <v>231</v>
      </c>
      <c r="BN8" s="136">
        <f>B18</f>
        <v>432</v>
      </c>
      <c r="BO8" s="52" t="s">
        <v>60</v>
      </c>
      <c r="BP8" s="91" t="s">
        <v>231</v>
      </c>
      <c r="BQ8" s="136">
        <f>B18</f>
        <v>432</v>
      </c>
      <c r="BR8" s="52" t="s">
        <v>60</v>
      </c>
      <c r="BS8" s="52" t="s">
        <v>140</v>
      </c>
      <c r="BT8" s="138">
        <f>B103</f>
        <v>75</v>
      </c>
      <c r="BU8" s="52" t="s">
        <v>24</v>
      </c>
      <c r="BV8" s="91" t="s">
        <v>257</v>
      </c>
      <c r="BW8" s="136">
        <f>B16</f>
        <v>0.28767199999999998</v>
      </c>
      <c r="BX8" s="84" t="s">
        <v>259</v>
      </c>
      <c r="BY8" s="83" t="s">
        <v>269</v>
      </c>
      <c r="BZ8" s="136">
        <f>B10</f>
        <v>3.7173200000000003E-2</v>
      </c>
      <c r="CA8" s="83" t="s">
        <v>351</v>
      </c>
      <c r="CB8" s="91" t="s">
        <v>231</v>
      </c>
      <c r="CC8" s="136">
        <f>B18</f>
        <v>432</v>
      </c>
      <c r="CD8" s="52" t="s">
        <v>60</v>
      </c>
      <c r="CE8" s="91" t="s">
        <v>231</v>
      </c>
      <c r="CF8" s="136">
        <f>B18</f>
        <v>432</v>
      </c>
      <c r="CG8" s="52" t="s">
        <v>60</v>
      </c>
      <c r="CH8" s="91" t="s">
        <v>231</v>
      </c>
      <c r="CI8" s="136">
        <f>B18</f>
        <v>432</v>
      </c>
      <c r="CJ8" s="52" t="s">
        <v>60</v>
      </c>
      <c r="CK8" s="52" t="s">
        <v>159</v>
      </c>
      <c r="CL8" s="162">
        <f>B128</f>
        <v>1</v>
      </c>
      <c r="CM8" s="52" t="s">
        <v>221</v>
      </c>
      <c r="CN8" s="84" t="s">
        <v>33</v>
      </c>
      <c r="CO8" s="136">
        <f>B32</f>
        <v>2.1999999999999999E-5</v>
      </c>
      <c r="CT8" s="83" t="s">
        <v>269</v>
      </c>
      <c r="CU8" s="136">
        <f>B10</f>
        <v>3.7173200000000003E-2</v>
      </c>
      <c r="CV8" s="83" t="s">
        <v>351</v>
      </c>
      <c r="CW8" s="52" t="s">
        <v>362</v>
      </c>
      <c r="CX8" s="138">
        <f>B169</f>
        <v>350</v>
      </c>
      <c r="CY8" s="52" t="s">
        <v>24</v>
      </c>
      <c r="CZ8" s="83" t="s">
        <v>270</v>
      </c>
      <c r="DA8" s="165">
        <f>B16</f>
        <v>0.28767199999999998</v>
      </c>
      <c r="DB8" s="83" t="s">
        <v>259</v>
      </c>
      <c r="DC8" s="83" t="s">
        <v>516</v>
      </c>
      <c r="DD8" s="149">
        <f>(DD9*DD15*DD20)+(DD10*DD14*DD21)</f>
        <v>39585</v>
      </c>
      <c r="DE8" s="92" t="s">
        <v>347</v>
      </c>
      <c r="DF8" s="83" t="s">
        <v>36</v>
      </c>
      <c r="DG8" s="138">
        <f>B193</f>
        <v>3.62</v>
      </c>
      <c r="DH8" s="52" t="s">
        <v>37</v>
      </c>
      <c r="DI8" s="83" t="s">
        <v>393</v>
      </c>
      <c r="DJ8" s="138">
        <f>B35</f>
        <v>0.26</v>
      </c>
      <c r="DL8" s="83" t="s">
        <v>393</v>
      </c>
      <c r="DM8" s="138">
        <f>B35</f>
        <v>0.26</v>
      </c>
      <c r="DO8" s="83" t="s">
        <v>36</v>
      </c>
      <c r="DP8" s="138">
        <f>B193</f>
        <v>3.62</v>
      </c>
      <c r="DQ8" s="52" t="s">
        <v>37</v>
      </c>
      <c r="DR8" s="83" t="s">
        <v>147</v>
      </c>
      <c r="DS8" s="149">
        <f>(DS11*DS9*DS17)+(DS12*DS10*DS18)</f>
        <v>150914.75</v>
      </c>
      <c r="DT8" s="92" t="s">
        <v>347</v>
      </c>
      <c r="DU8" s="52" t="s">
        <v>518</v>
      </c>
      <c r="DV8" s="146">
        <f>B204</f>
        <v>1.03</v>
      </c>
      <c r="DW8" s="52" t="s">
        <v>286</v>
      </c>
      <c r="DX8" s="83" t="s">
        <v>392</v>
      </c>
      <c r="DY8" s="138">
        <f>B36</f>
        <v>0.25</v>
      </c>
      <c r="EA8" s="83" t="s">
        <v>392</v>
      </c>
      <c r="EB8" s="138">
        <f>B36</f>
        <v>0.25</v>
      </c>
      <c r="EC8" s="84"/>
      <c r="ED8" s="83" t="s">
        <v>392</v>
      </c>
      <c r="EE8" s="138">
        <f>B36</f>
        <v>0.25</v>
      </c>
      <c r="EF8" s="84"/>
      <c r="EG8" s="83" t="s">
        <v>519</v>
      </c>
      <c r="EH8" s="149">
        <f>(EH11*EH9*EH17)+(EH12*EH10*EH18)</f>
        <v>55060.25</v>
      </c>
      <c r="EI8" s="92" t="s">
        <v>347</v>
      </c>
      <c r="EJ8" s="83"/>
      <c r="EM8" s="83" t="s">
        <v>392</v>
      </c>
      <c r="EN8" s="138">
        <f>B36</f>
        <v>0.25</v>
      </c>
      <c r="EP8" s="83" t="s">
        <v>392</v>
      </c>
      <c r="EQ8" s="138">
        <f>B36</f>
        <v>0.25</v>
      </c>
      <c r="ER8" s="84"/>
      <c r="ES8" s="83" t="s">
        <v>392</v>
      </c>
      <c r="ET8" s="138">
        <f>B36</f>
        <v>0.25</v>
      </c>
      <c r="EU8" s="84"/>
      <c r="EV8" s="83" t="s">
        <v>520</v>
      </c>
      <c r="EW8" s="149">
        <f>(EW11*EW9*EW17)+(EW12*EW10*EW18)</f>
        <v>16461.375</v>
      </c>
      <c r="EX8" s="92" t="s">
        <v>347</v>
      </c>
      <c r="EY8" s="83"/>
      <c r="EZ8" s="83"/>
      <c r="FA8" s="83"/>
      <c r="FB8" s="83" t="s">
        <v>392</v>
      </c>
      <c r="FC8" s="142">
        <f>B36</f>
        <v>0.25</v>
      </c>
      <c r="FD8" s="83"/>
      <c r="FE8" s="83" t="s">
        <v>392</v>
      </c>
      <c r="FF8" s="142">
        <f>B36</f>
        <v>0.25</v>
      </c>
      <c r="FG8" s="83"/>
      <c r="FH8" s="83" t="s">
        <v>392</v>
      </c>
      <c r="FI8" s="142">
        <f>B36</f>
        <v>0.25</v>
      </c>
      <c r="FJ8" s="84"/>
      <c r="FK8" s="83" t="s">
        <v>521</v>
      </c>
      <c r="FL8" s="173">
        <f>(FL9*FL11*FL17)+(FL10*FL12*FL18)</f>
        <v>47953.5</v>
      </c>
      <c r="FM8" s="92" t="s">
        <v>347</v>
      </c>
      <c r="FN8" s="83"/>
      <c r="FO8" s="83"/>
      <c r="FP8" s="83"/>
      <c r="FQ8" s="83" t="s">
        <v>22</v>
      </c>
      <c r="FR8" s="137">
        <f>0.693/FR9</f>
        <v>1.6041666666666665E-3</v>
      </c>
      <c r="FT8" s="83"/>
      <c r="FU8" s="83"/>
      <c r="FV8" s="83"/>
      <c r="FZ8" s="83" t="s">
        <v>522</v>
      </c>
      <c r="GA8" s="173">
        <f>(GA11*GA9*GA17)+(GA10*GA12*GA18)</f>
        <v>32952.5</v>
      </c>
      <c r="GB8" s="92" t="s">
        <v>347</v>
      </c>
      <c r="GC8" s="83"/>
      <c r="GD8" s="83"/>
      <c r="GE8" s="83"/>
      <c r="GF8" s="83" t="s">
        <v>392</v>
      </c>
      <c r="GG8" s="142">
        <f>B36</f>
        <v>0.25</v>
      </c>
      <c r="GH8" s="83"/>
      <c r="GI8" s="83" t="s">
        <v>392</v>
      </c>
      <c r="GJ8" s="142">
        <f>B36</f>
        <v>0.25</v>
      </c>
      <c r="GK8" s="83"/>
      <c r="GL8" s="83" t="s">
        <v>392</v>
      </c>
      <c r="GM8" s="142">
        <f>B36</f>
        <v>0.25</v>
      </c>
      <c r="GN8" s="84"/>
      <c r="GO8" s="83" t="s">
        <v>523</v>
      </c>
      <c r="GP8" s="149">
        <f>(GP9*GP11*GP16)+(GP10*GP12*GP17)</f>
        <v>30096.5</v>
      </c>
      <c r="GQ8" s="92" t="s">
        <v>347</v>
      </c>
      <c r="GR8" s="83"/>
      <c r="GS8" s="83"/>
      <c r="GT8" s="83"/>
      <c r="GU8" s="83" t="s">
        <v>392</v>
      </c>
      <c r="GV8" s="142">
        <f>B36</f>
        <v>0.25</v>
      </c>
      <c r="GW8" s="83"/>
      <c r="GX8" s="83" t="s">
        <v>392</v>
      </c>
      <c r="GY8" s="142">
        <f>B36</f>
        <v>0.25</v>
      </c>
      <c r="GZ8" s="83"/>
      <c r="HA8" s="83" t="s">
        <v>392</v>
      </c>
      <c r="HB8" s="142">
        <f>B36</f>
        <v>0.25</v>
      </c>
      <c r="HC8" s="84"/>
      <c r="HD8" s="52" t="s">
        <v>16</v>
      </c>
      <c r="HE8" s="137">
        <f>1-EXP(-HE7*HE12)</f>
        <v>1.6028806790575612E-3</v>
      </c>
    </row>
    <row r="9" spans="1:214" x14ac:dyDescent="0.2">
      <c r="A9" s="83" t="s">
        <v>250</v>
      </c>
      <c r="B9" s="183">
        <v>7.5480000000000002E-4</v>
      </c>
      <c r="C9" s="83" t="s">
        <v>259</v>
      </c>
      <c r="D9" s="52" t="s">
        <v>379</v>
      </c>
      <c r="E9" s="138">
        <f>B53</f>
        <v>1</v>
      </c>
      <c r="F9" s="52" t="s">
        <v>146</v>
      </c>
      <c r="G9" s="83" t="s">
        <v>258</v>
      </c>
      <c r="H9" s="136">
        <f>B17</f>
        <v>8.8060000000000005E-4</v>
      </c>
      <c r="I9" s="92" t="s">
        <v>259</v>
      </c>
      <c r="J9" s="83" t="s">
        <v>258</v>
      </c>
      <c r="K9" s="136">
        <f>B17</f>
        <v>8.8060000000000005E-4</v>
      </c>
      <c r="L9" s="92" t="s">
        <v>259</v>
      </c>
      <c r="M9" s="52" t="s">
        <v>382</v>
      </c>
      <c r="N9" s="138">
        <f>B56</f>
        <v>350</v>
      </c>
      <c r="O9" s="52" t="s">
        <v>24</v>
      </c>
      <c r="P9" s="52" t="s">
        <v>382</v>
      </c>
      <c r="Q9" s="138">
        <f>B56</f>
        <v>350</v>
      </c>
      <c r="R9" s="52" t="s">
        <v>24</v>
      </c>
      <c r="S9" s="52" t="s">
        <v>382</v>
      </c>
      <c r="T9" s="138">
        <f>B56</f>
        <v>350</v>
      </c>
      <c r="U9" s="52" t="s">
        <v>24</v>
      </c>
      <c r="V9" s="52" t="s">
        <v>423</v>
      </c>
      <c r="W9" s="138">
        <f>B255</f>
        <v>225</v>
      </c>
      <c r="X9" s="52" t="s">
        <v>24</v>
      </c>
      <c r="Y9" s="52" t="s">
        <v>316</v>
      </c>
      <c r="Z9" s="138">
        <f>B231</f>
        <v>250</v>
      </c>
      <c r="AA9" s="52" t="s">
        <v>24</v>
      </c>
      <c r="AB9" s="83" t="s">
        <v>34</v>
      </c>
      <c r="AC9" s="146">
        <f>B232</f>
        <v>1</v>
      </c>
      <c r="AD9" s="146">
        <f>B244</f>
        <v>1</v>
      </c>
      <c r="AE9" s="146">
        <f>B256</f>
        <v>1</v>
      </c>
      <c r="AF9" s="146">
        <f>B268</f>
        <v>1</v>
      </c>
      <c r="AG9" s="146">
        <f>B292</f>
        <v>1</v>
      </c>
      <c r="AH9" s="83" t="s">
        <v>60</v>
      </c>
      <c r="AI9" s="52" t="s">
        <v>35</v>
      </c>
      <c r="AJ9" s="138">
        <f>B243</f>
        <v>250</v>
      </c>
      <c r="AK9" s="52" t="s">
        <v>24</v>
      </c>
      <c r="AL9" s="52" t="s">
        <v>35</v>
      </c>
      <c r="AM9" s="138">
        <f>B243</f>
        <v>250</v>
      </c>
      <c r="AN9" s="52" t="s">
        <v>24</v>
      </c>
      <c r="AO9" s="52" t="s">
        <v>35</v>
      </c>
      <c r="AP9" s="138">
        <f>B243</f>
        <v>250</v>
      </c>
      <c r="AQ9" s="52" t="s">
        <v>24</v>
      </c>
      <c r="AR9" s="52" t="s">
        <v>423</v>
      </c>
      <c r="AS9" s="138">
        <f>B255</f>
        <v>225</v>
      </c>
      <c r="AT9" s="52" t="s">
        <v>24</v>
      </c>
      <c r="AU9" s="52" t="s">
        <v>423</v>
      </c>
      <c r="AV9" s="138">
        <f>B255</f>
        <v>225</v>
      </c>
      <c r="AW9" s="52" t="s">
        <v>24</v>
      </c>
      <c r="AX9" s="52" t="s">
        <v>423</v>
      </c>
      <c r="AY9" s="138">
        <f>B255</f>
        <v>225</v>
      </c>
      <c r="AZ9" s="52" t="s">
        <v>24</v>
      </c>
      <c r="BA9" s="52" t="s">
        <v>316</v>
      </c>
      <c r="BB9" s="138">
        <f>B231</f>
        <v>250</v>
      </c>
      <c r="BC9" s="52" t="s">
        <v>24</v>
      </c>
      <c r="BD9" s="52" t="s">
        <v>316</v>
      </c>
      <c r="BE9" s="138">
        <f>B231</f>
        <v>250</v>
      </c>
      <c r="BF9" s="52" t="s">
        <v>24</v>
      </c>
      <c r="BG9" s="52" t="s">
        <v>316</v>
      </c>
      <c r="BH9" s="138">
        <f>B231</f>
        <v>250</v>
      </c>
      <c r="BI9" s="52" t="s">
        <v>24</v>
      </c>
      <c r="BJ9" s="52" t="s">
        <v>191</v>
      </c>
      <c r="BK9" s="138">
        <f>BK10*BK11</f>
        <v>250</v>
      </c>
      <c r="BL9" s="52" t="s">
        <v>24</v>
      </c>
      <c r="BM9" s="52" t="s">
        <v>191</v>
      </c>
      <c r="BN9" s="138">
        <f>BN10*BN11</f>
        <v>250</v>
      </c>
      <c r="BO9" s="52" t="s">
        <v>24</v>
      </c>
      <c r="BP9" s="52" t="s">
        <v>191</v>
      </c>
      <c r="BQ9" s="138">
        <f>BQ10*BQ11</f>
        <v>250</v>
      </c>
      <c r="BR9" s="52" t="s">
        <v>24</v>
      </c>
      <c r="BS9" s="52" t="s">
        <v>247</v>
      </c>
      <c r="BT9" s="139">
        <f>E11</f>
        <v>0.36297000000000001</v>
      </c>
      <c r="BU9" s="84" t="s">
        <v>259</v>
      </c>
      <c r="BV9" s="83" t="s">
        <v>258</v>
      </c>
      <c r="BW9" s="136">
        <f>B17</f>
        <v>8.8060000000000005E-4</v>
      </c>
      <c r="BX9" s="92" t="s">
        <v>259</v>
      </c>
      <c r="BY9" s="83" t="s">
        <v>77</v>
      </c>
      <c r="BZ9" s="136">
        <f>B19</f>
        <v>1359344473.5814338</v>
      </c>
      <c r="CA9" s="83" t="s">
        <v>78</v>
      </c>
      <c r="CB9" s="52" t="s">
        <v>140</v>
      </c>
      <c r="CC9" s="138">
        <f>B103</f>
        <v>75</v>
      </c>
      <c r="CD9" s="52" t="s">
        <v>24</v>
      </c>
      <c r="CE9" s="52" t="s">
        <v>140</v>
      </c>
      <c r="CF9" s="138">
        <f>B103</f>
        <v>75</v>
      </c>
      <c r="CG9" s="52" t="s">
        <v>24</v>
      </c>
      <c r="CH9" s="52" t="s">
        <v>140</v>
      </c>
      <c r="CI9" s="138">
        <f>B103</f>
        <v>75</v>
      </c>
      <c r="CJ9" s="52" t="s">
        <v>24</v>
      </c>
      <c r="CN9" s="84" t="s">
        <v>392</v>
      </c>
      <c r="CO9" s="162">
        <f>B36</f>
        <v>0.25</v>
      </c>
      <c r="CT9" s="83" t="s">
        <v>258</v>
      </c>
      <c r="CU9" s="136">
        <f>B17</f>
        <v>8.8060000000000005E-4</v>
      </c>
      <c r="CV9" s="92" t="s">
        <v>259</v>
      </c>
      <c r="CW9" s="52" t="s">
        <v>363</v>
      </c>
      <c r="CX9" s="138">
        <f>B170</f>
        <v>1</v>
      </c>
      <c r="CY9" s="52" t="s">
        <v>146</v>
      </c>
      <c r="CZ9" s="83" t="s">
        <v>258</v>
      </c>
      <c r="DA9" s="136">
        <f>B17</f>
        <v>8.8060000000000005E-4</v>
      </c>
      <c r="DB9" s="84" t="s">
        <v>259</v>
      </c>
      <c r="DC9" s="83" t="s">
        <v>513</v>
      </c>
      <c r="DD9" s="146">
        <f>B151</f>
        <v>41.7</v>
      </c>
      <c r="DE9" s="92" t="s">
        <v>221</v>
      </c>
      <c r="DF9" s="83" t="s">
        <v>40</v>
      </c>
      <c r="DG9" s="138">
        <f>B194</f>
        <v>0.25</v>
      </c>
      <c r="DH9" s="52" t="s">
        <v>41</v>
      </c>
      <c r="DI9" s="52" t="s">
        <v>350</v>
      </c>
      <c r="DJ9" s="164">
        <f>B170</f>
        <v>1</v>
      </c>
      <c r="DL9" s="83"/>
      <c r="DO9" s="83" t="s">
        <v>40</v>
      </c>
      <c r="DP9" s="138">
        <f>B194</f>
        <v>0.25</v>
      </c>
      <c r="DQ9" s="52" t="s">
        <v>41</v>
      </c>
      <c r="DR9" s="83" t="s">
        <v>452</v>
      </c>
      <c r="DS9" s="146">
        <f>B153</f>
        <v>349.5</v>
      </c>
      <c r="DT9" s="92" t="s">
        <v>221</v>
      </c>
      <c r="DU9" s="83"/>
      <c r="DX9" s="83" t="s">
        <v>517</v>
      </c>
      <c r="DY9" s="136">
        <f>B24</f>
        <v>4.2E-7</v>
      </c>
      <c r="DZ9" s="52" t="s">
        <v>601</v>
      </c>
      <c r="EA9" s="83" t="s">
        <v>517</v>
      </c>
      <c r="EB9" s="136">
        <f>B24</f>
        <v>4.2E-7</v>
      </c>
      <c r="EC9" s="52" t="s">
        <v>601</v>
      </c>
      <c r="ED9" s="83" t="s">
        <v>517</v>
      </c>
      <c r="EE9" s="136">
        <f>B24</f>
        <v>4.2E-7</v>
      </c>
      <c r="EF9" s="52" t="s">
        <v>601</v>
      </c>
      <c r="EG9" s="83" t="s">
        <v>453</v>
      </c>
      <c r="EH9" s="170">
        <f>B155</f>
        <v>40.1</v>
      </c>
      <c r="EI9" s="92" t="s">
        <v>221</v>
      </c>
      <c r="EJ9" s="83"/>
      <c r="EM9" s="83" t="s">
        <v>236</v>
      </c>
      <c r="EN9" s="136">
        <f>B25</f>
        <v>5.0000000000000001E-4</v>
      </c>
      <c r="EO9" s="52" t="s">
        <v>388</v>
      </c>
      <c r="EP9" s="83" t="s">
        <v>236</v>
      </c>
      <c r="EQ9" s="169">
        <f>B25</f>
        <v>5.0000000000000001E-4</v>
      </c>
      <c r="ER9" s="52" t="s">
        <v>388</v>
      </c>
      <c r="ES9" s="83" t="s">
        <v>236</v>
      </c>
      <c r="ET9" s="169">
        <f>B25</f>
        <v>5.0000000000000001E-4</v>
      </c>
      <c r="EU9" s="52" t="s">
        <v>388</v>
      </c>
      <c r="EV9" s="83" t="s">
        <v>454</v>
      </c>
      <c r="EW9" s="171">
        <f>B157</f>
        <v>10.95</v>
      </c>
      <c r="EX9" s="92" t="s">
        <v>221</v>
      </c>
      <c r="EY9" s="83"/>
      <c r="EZ9" s="83"/>
      <c r="FA9" s="83"/>
      <c r="FB9" s="83" t="s">
        <v>171</v>
      </c>
      <c r="FC9" s="169">
        <f>B27</f>
        <v>3.0000000000000001E-3</v>
      </c>
      <c r="FD9" s="52" t="s">
        <v>388</v>
      </c>
      <c r="FE9" s="83" t="s">
        <v>171</v>
      </c>
      <c r="FF9" s="169">
        <f>B27</f>
        <v>3.0000000000000001E-3</v>
      </c>
      <c r="FG9" s="52" t="s">
        <v>388</v>
      </c>
      <c r="FH9" s="83" t="s">
        <v>171</v>
      </c>
      <c r="FI9" s="169">
        <f>B27</f>
        <v>3.0000000000000001E-3</v>
      </c>
      <c r="FJ9" s="52" t="s">
        <v>388</v>
      </c>
      <c r="FK9" s="83" t="s">
        <v>471</v>
      </c>
      <c r="FL9" s="150">
        <f>B159</f>
        <v>32.799999999999997</v>
      </c>
      <c r="FM9" s="92" t="s">
        <v>221</v>
      </c>
      <c r="FN9" s="83"/>
      <c r="FO9" s="83"/>
      <c r="FP9" s="83"/>
      <c r="FQ9" s="91" t="s">
        <v>231</v>
      </c>
      <c r="FR9" s="136">
        <f>B18</f>
        <v>432</v>
      </c>
      <c r="FS9" s="52" t="s">
        <v>60</v>
      </c>
      <c r="FT9" s="83"/>
      <c r="FU9" s="93"/>
      <c r="FV9" s="83"/>
      <c r="FW9" s="83"/>
      <c r="FX9" s="93"/>
      <c r="FY9" s="83"/>
      <c r="FZ9" s="83" t="s">
        <v>473</v>
      </c>
      <c r="GA9" s="174">
        <f>B161</f>
        <v>23.6</v>
      </c>
      <c r="GB9" s="92" t="s">
        <v>221</v>
      </c>
      <c r="GC9" s="83"/>
      <c r="GD9" s="83"/>
      <c r="GE9" s="83"/>
      <c r="GF9" s="83" t="s">
        <v>237</v>
      </c>
      <c r="GG9" s="169">
        <f>B26</f>
        <v>6.0000000000000001E-3</v>
      </c>
      <c r="GH9" s="52" t="s">
        <v>388</v>
      </c>
      <c r="GI9" s="83" t="s">
        <v>237</v>
      </c>
      <c r="GJ9" s="169">
        <f>B26</f>
        <v>6.0000000000000001E-3</v>
      </c>
      <c r="GK9" s="52" t="s">
        <v>388</v>
      </c>
      <c r="GL9" s="83" t="s">
        <v>237</v>
      </c>
      <c r="GM9" s="169">
        <f>B26</f>
        <v>6.0000000000000001E-3</v>
      </c>
      <c r="GN9" s="52" t="s">
        <v>388</v>
      </c>
      <c r="GO9" s="83" t="s">
        <v>455</v>
      </c>
      <c r="GP9" s="150">
        <f>B163</f>
        <v>18.5</v>
      </c>
      <c r="GQ9" s="92" t="s">
        <v>221</v>
      </c>
      <c r="GR9" s="83"/>
      <c r="GS9" s="83"/>
      <c r="GT9" s="83"/>
      <c r="GU9" s="83" t="s">
        <v>238</v>
      </c>
      <c r="GV9" s="169">
        <f>B28</f>
        <v>1.7000000000000001E-4</v>
      </c>
      <c r="GW9" s="52" t="s">
        <v>388</v>
      </c>
      <c r="GX9" s="83" t="s">
        <v>238</v>
      </c>
      <c r="GY9" s="169">
        <f>B28</f>
        <v>1.7000000000000001E-4</v>
      </c>
      <c r="GZ9" s="52" t="s">
        <v>388</v>
      </c>
      <c r="HA9" s="83" t="s">
        <v>238</v>
      </c>
      <c r="HB9" s="169">
        <f>B28</f>
        <v>1.7000000000000001E-4</v>
      </c>
      <c r="HC9" s="52" t="s">
        <v>388</v>
      </c>
      <c r="HD9" s="91" t="s">
        <v>231</v>
      </c>
      <c r="HE9" s="136">
        <f>B18</f>
        <v>432</v>
      </c>
      <c r="HF9" s="52" t="s">
        <v>60</v>
      </c>
    </row>
    <row r="10" spans="1:214" x14ac:dyDescent="0.2">
      <c r="A10" s="83" t="s">
        <v>251</v>
      </c>
      <c r="B10" s="183">
        <v>3.7173200000000003E-2</v>
      </c>
      <c r="C10" s="83" t="s">
        <v>351</v>
      </c>
      <c r="D10" s="52" t="s">
        <v>92</v>
      </c>
      <c r="E10" s="138">
        <f>E9</f>
        <v>1</v>
      </c>
      <c r="G10" s="83" t="s">
        <v>260</v>
      </c>
      <c r="H10" s="143">
        <f>H5/(H6*H15)</f>
        <v>1.5417891368880012</v>
      </c>
      <c r="I10" s="92" t="s">
        <v>11</v>
      </c>
      <c r="J10" s="83" t="s">
        <v>77</v>
      </c>
      <c r="K10" s="136">
        <f>B19</f>
        <v>1359344473.5814338</v>
      </c>
      <c r="L10" s="83" t="s">
        <v>78</v>
      </c>
      <c r="M10" s="52" t="s">
        <v>379</v>
      </c>
      <c r="N10" s="138">
        <f>B53</f>
        <v>1</v>
      </c>
      <c r="O10" s="52" t="s">
        <v>146</v>
      </c>
      <c r="P10" s="52" t="s">
        <v>379</v>
      </c>
      <c r="Q10" s="138">
        <f>B53</f>
        <v>1</v>
      </c>
      <c r="R10" s="52" t="s">
        <v>146</v>
      </c>
      <c r="S10" s="52" t="s">
        <v>379</v>
      </c>
      <c r="T10" s="138">
        <f>B53</f>
        <v>1</v>
      </c>
      <c r="U10" s="52" t="s">
        <v>146</v>
      </c>
      <c r="V10" s="52" t="s">
        <v>424</v>
      </c>
      <c r="W10" s="138">
        <f>B256</f>
        <v>1</v>
      </c>
      <c r="X10" s="52" t="s">
        <v>146</v>
      </c>
      <c r="Y10" s="52" t="s">
        <v>422</v>
      </c>
      <c r="Z10" s="138">
        <f>B232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B277</f>
        <v>5</v>
      </c>
      <c r="AG10" s="146">
        <f>B300</f>
        <v>5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B244</f>
        <v>1</v>
      </c>
      <c r="AN10" s="52" t="s">
        <v>146</v>
      </c>
      <c r="AO10" s="52" t="s">
        <v>420</v>
      </c>
      <c r="AP10" s="138">
        <f>B244</f>
        <v>1</v>
      </c>
      <c r="AQ10" s="52" t="s">
        <v>146</v>
      </c>
      <c r="AR10" s="52" t="s">
        <v>424</v>
      </c>
      <c r="AS10" s="138">
        <f>B256</f>
        <v>1</v>
      </c>
      <c r="AT10" s="52" t="s">
        <v>146</v>
      </c>
      <c r="AU10" s="52" t="s">
        <v>424</v>
      </c>
      <c r="AV10" s="138">
        <f>B256</f>
        <v>1</v>
      </c>
      <c r="AW10" s="52" t="s">
        <v>146</v>
      </c>
      <c r="AX10" s="52" t="s">
        <v>424</v>
      </c>
      <c r="AY10" s="138">
        <f>B256</f>
        <v>1</v>
      </c>
      <c r="AZ10" s="52" t="s">
        <v>146</v>
      </c>
      <c r="BA10" s="52" t="s">
        <v>422</v>
      </c>
      <c r="BB10" s="138">
        <f>B232</f>
        <v>1</v>
      </c>
      <c r="BC10" s="52" t="s">
        <v>146</v>
      </c>
      <c r="BD10" s="52" t="s">
        <v>422</v>
      </c>
      <c r="BE10" s="138">
        <f>B232</f>
        <v>1</v>
      </c>
      <c r="BF10" s="52" t="s">
        <v>146</v>
      </c>
      <c r="BG10" s="52" t="s">
        <v>422</v>
      </c>
      <c r="BH10" s="138">
        <f>B232</f>
        <v>1</v>
      </c>
      <c r="BI10" s="52" t="s">
        <v>146</v>
      </c>
      <c r="BJ10" s="52" t="s">
        <v>220</v>
      </c>
      <c r="BK10" s="138">
        <f>B278</f>
        <v>50</v>
      </c>
      <c r="BL10" s="52" t="s">
        <v>113</v>
      </c>
      <c r="BM10" s="52" t="s">
        <v>220</v>
      </c>
      <c r="BN10" s="138">
        <f>B278</f>
        <v>50</v>
      </c>
      <c r="BO10" s="52" t="s">
        <v>113</v>
      </c>
      <c r="BP10" s="52" t="s">
        <v>220</v>
      </c>
      <c r="BQ10" s="138">
        <f>B278</f>
        <v>50</v>
      </c>
      <c r="BR10" s="52" t="s">
        <v>113</v>
      </c>
      <c r="BS10" s="83" t="s">
        <v>428</v>
      </c>
      <c r="BT10" s="149">
        <f>(BT22*BT13*(1/24)*BT11*BT25)+(BT23*BT14*(1/24)*BT12*BT26)</f>
        <v>55.3125</v>
      </c>
      <c r="BU10" s="52" t="s">
        <v>426</v>
      </c>
      <c r="BV10" s="83" t="s">
        <v>260</v>
      </c>
      <c r="BW10" s="143">
        <f>BW5/(BW6*BW13)</f>
        <v>504.70638705932816</v>
      </c>
      <c r="BX10" s="92" t="s">
        <v>11</v>
      </c>
      <c r="BY10" s="84" t="s">
        <v>16</v>
      </c>
      <c r="BZ10" s="137">
        <f>(BZ30*BZ11)/(1-EXP(-BZ11*BZ30))</f>
        <v>1.0008022977791844</v>
      </c>
      <c r="CB10" s="52" t="s">
        <v>51</v>
      </c>
      <c r="CC10" s="138">
        <f>B117</f>
        <v>1</v>
      </c>
      <c r="CD10" s="52" t="s">
        <v>146</v>
      </c>
      <c r="CE10" s="52" t="s">
        <v>51</v>
      </c>
      <c r="CF10" s="138">
        <f>B117</f>
        <v>1</v>
      </c>
      <c r="CG10" s="52" t="s">
        <v>146</v>
      </c>
      <c r="CH10" s="52" t="s">
        <v>51</v>
      </c>
      <c r="CI10" s="138">
        <f>B117</f>
        <v>1</v>
      </c>
      <c r="CJ10" s="52" t="s">
        <v>146</v>
      </c>
      <c r="CN10" s="84" t="s">
        <v>164</v>
      </c>
      <c r="CO10" s="162">
        <f>B129</f>
        <v>1</v>
      </c>
      <c r="CP10" s="52" t="s">
        <v>246</v>
      </c>
      <c r="CT10" s="83" t="s">
        <v>77</v>
      </c>
      <c r="CU10" s="136">
        <f>B19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1.0008022977791844</v>
      </c>
      <c r="DC10" s="83" t="s">
        <v>514</v>
      </c>
      <c r="DD10" s="146">
        <f>B152</f>
        <v>125.7</v>
      </c>
      <c r="DE10" s="92" t="s">
        <v>221</v>
      </c>
      <c r="DF10" s="92" t="s">
        <v>32</v>
      </c>
      <c r="DG10" s="136">
        <f>B31</f>
        <v>1.914E-5</v>
      </c>
      <c r="DI10" s="83" t="s">
        <v>22</v>
      </c>
      <c r="DJ10" s="137">
        <f>0.693/DJ11</f>
        <v>1.6041666666666665E-3</v>
      </c>
      <c r="DL10" s="92"/>
      <c r="DO10" s="92" t="s">
        <v>32</v>
      </c>
      <c r="DP10" s="136">
        <f>B31</f>
        <v>1.914E-5</v>
      </c>
      <c r="DR10" s="83" t="s">
        <v>461</v>
      </c>
      <c r="DS10" s="146">
        <f>B154</f>
        <v>445.6</v>
      </c>
      <c r="DT10" s="92" t="s">
        <v>221</v>
      </c>
      <c r="DU10" s="92"/>
      <c r="DX10" s="83" t="s">
        <v>498</v>
      </c>
      <c r="DY10" s="138">
        <f>B205</f>
        <v>20.3</v>
      </c>
      <c r="DZ10" s="52" t="s">
        <v>246</v>
      </c>
      <c r="EA10" s="83" t="s">
        <v>498</v>
      </c>
      <c r="EB10" s="138">
        <f>B205</f>
        <v>20.3</v>
      </c>
      <c r="EC10" s="52" t="s">
        <v>246</v>
      </c>
      <c r="ED10" s="83" t="s">
        <v>498</v>
      </c>
      <c r="EE10" s="138">
        <f>B205</f>
        <v>20.3</v>
      </c>
      <c r="EF10" s="52" t="s">
        <v>246</v>
      </c>
      <c r="EG10" s="83" t="s">
        <v>462</v>
      </c>
      <c r="EH10" s="170">
        <f>B156</f>
        <v>178</v>
      </c>
      <c r="EI10" s="92" t="s">
        <v>221</v>
      </c>
      <c r="EJ10" s="92"/>
      <c r="EM10" s="83" t="s">
        <v>494</v>
      </c>
      <c r="EN10" s="138">
        <f>B210</f>
        <v>11.77</v>
      </c>
      <c r="EO10" s="52" t="s">
        <v>246</v>
      </c>
      <c r="EP10" s="83" t="s">
        <v>494</v>
      </c>
      <c r="EQ10" s="138">
        <f>B210</f>
        <v>11.77</v>
      </c>
      <c r="ER10" s="52" t="s">
        <v>246</v>
      </c>
      <c r="ES10" s="83" t="s">
        <v>494</v>
      </c>
      <c r="ET10" s="138">
        <f>B210</f>
        <v>11.77</v>
      </c>
      <c r="EU10" s="52" t="s">
        <v>246</v>
      </c>
      <c r="EV10" s="83" t="s">
        <v>463</v>
      </c>
      <c r="EW10" s="170">
        <f>B158</f>
        <v>53.4</v>
      </c>
      <c r="EX10" s="92" t="s">
        <v>221</v>
      </c>
      <c r="EY10" s="83"/>
      <c r="EZ10" s="83"/>
      <c r="FA10" s="83"/>
      <c r="FB10" s="83" t="s">
        <v>152</v>
      </c>
      <c r="FC10" s="142">
        <f>B215</f>
        <v>0.2</v>
      </c>
      <c r="FD10" s="52" t="s">
        <v>246</v>
      </c>
      <c r="FE10" s="83" t="s">
        <v>152</v>
      </c>
      <c r="FF10" s="142">
        <f>B215</f>
        <v>0.2</v>
      </c>
      <c r="FG10" s="52" t="s">
        <v>246</v>
      </c>
      <c r="FH10" s="83" t="s">
        <v>152</v>
      </c>
      <c r="FI10" s="142">
        <f>B215</f>
        <v>0.2</v>
      </c>
      <c r="FJ10" s="52" t="s">
        <v>246</v>
      </c>
      <c r="FK10" s="83" t="s">
        <v>472</v>
      </c>
      <c r="FL10" s="150">
        <f>B160</f>
        <v>155.4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1.0008022977791844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B162</f>
        <v>106.6</v>
      </c>
      <c r="GB10" s="92" t="s">
        <v>221</v>
      </c>
      <c r="GC10" s="83"/>
      <c r="GD10" s="83"/>
      <c r="GE10" s="83"/>
      <c r="GF10" s="83" t="s">
        <v>486</v>
      </c>
      <c r="GG10" s="142">
        <f>B220</f>
        <v>0.2</v>
      </c>
      <c r="GH10" s="52" t="s">
        <v>246</v>
      </c>
      <c r="GI10" s="83" t="s">
        <v>486</v>
      </c>
      <c r="GJ10" s="142">
        <f>B220</f>
        <v>0.2</v>
      </c>
      <c r="GK10" s="52" t="s">
        <v>246</v>
      </c>
      <c r="GL10" s="83" t="s">
        <v>486</v>
      </c>
      <c r="GM10" s="142">
        <f>B220</f>
        <v>0.2</v>
      </c>
      <c r="GN10" s="52" t="s">
        <v>246</v>
      </c>
      <c r="GO10" s="83" t="s">
        <v>464</v>
      </c>
      <c r="GP10" s="150">
        <f>B164</f>
        <v>97.9</v>
      </c>
      <c r="GQ10" s="92" t="s">
        <v>221</v>
      </c>
      <c r="GR10" s="83"/>
      <c r="GS10" s="83"/>
      <c r="GT10" s="83"/>
      <c r="GU10" s="83" t="s">
        <v>490</v>
      </c>
      <c r="GV10" s="142">
        <f>B225</f>
        <v>4.7</v>
      </c>
      <c r="GW10" s="52" t="s">
        <v>246</v>
      </c>
      <c r="GX10" s="83" t="s">
        <v>490</v>
      </c>
      <c r="GY10" s="142">
        <f>B225</f>
        <v>4.7</v>
      </c>
      <c r="GZ10" s="52" t="s">
        <v>246</v>
      </c>
      <c r="HA10" s="83" t="s">
        <v>490</v>
      </c>
      <c r="HB10" s="142">
        <f>B225</f>
        <v>4.7</v>
      </c>
      <c r="HC10" s="52" t="s">
        <v>246</v>
      </c>
      <c r="HD10" s="84" t="s">
        <v>38</v>
      </c>
      <c r="HE10" s="163">
        <f>B83</f>
        <v>0.3</v>
      </c>
    </row>
    <row r="11" spans="1:214" x14ac:dyDescent="0.2">
      <c r="A11" s="83" t="s">
        <v>252</v>
      </c>
      <c r="B11" s="183">
        <v>2.5484199999999999E-2</v>
      </c>
      <c r="C11" s="83" t="s">
        <v>352</v>
      </c>
      <c r="D11" s="52" t="s">
        <v>247</v>
      </c>
      <c r="E11" s="139">
        <f>B6</f>
        <v>0.36297000000000001</v>
      </c>
      <c r="F11" s="84" t="s">
        <v>259</v>
      </c>
      <c r="G11" s="83" t="s">
        <v>261</v>
      </c>
      <c r="H11" s="144">
        <f>H5/(H7*H16*H28)</f>
        <v>8.8944265588644373E-4</v>
      </c>
      <c r="I11" s="92" t="s">
        <v>11</v>
      </c>
      <c r="J11" s="84" t="s">
        <v>16</v>
      </c>
      <c r="K11" s="137">
        <f>(K43*K12)/(1-EXP(-K12*K43))</f>
        <v>1.0008022977791844</v>
      </c>
      <c r="M11" s="52" t="s">
        <v>299</v>
      </c>
      <c r="N11" s="138">
        <f>B61</f>
        <v>0.4</v>
      </c>
      <c r="P11" s="52" t="s">
        <v>299</v>
      </c>
      <c r="Q11" s="138">
        <f>B61</f>
        <v>0.4</v>
      </c>
      <c r="S11" s="52" t="s">
        <v>299</v>
      </c>
      <c r="T11" s="138">
        <f>B61</f>
        <v>0.4</v>
      </c>
      <c r="V11" s="52" t="s">
        <v>247</v>
      </c>
      <c r="W11" s="139">
        <f>B6</f>
        <v>0.36297000000000001</v>
      </c>
      <c r="X11" s="84" t="s">
        <v>39</v>
      </c>
      <c r="Y11" s="52" t="s">
        <v>247</v>
      </c>
      <c r="Z11" s="139">
        <f>B6</f>
        <v>0.36297000000000001</v>
      </c>
      <c r="AA11" s="84" t="s">
        <v>39</v>
      </c>
      <c r="AB11" s="83" t="s">
        <v>220</v>
      </c>
      <c r="AC11" s="146"/>
      <c r="AD11" s="146"/>
      <c r="AE11" s="146"/>
      <c r="AF11" s="146">
        <f>B278</f>
        <v>50</v>
      </c>
      <c r="AG11" s="146">
        <f>B301</f>
        <v>50</v>
      </c>
      <c r="AH11" s="83" t="s">
        <v>113</v>
      </c>
      <c r="AI11" s="52" t="s">
        <v>299</v>
      </c>
      <c r="AJ11" s="138">
        <f>B248</f>
        <v>0.4</v>
      </c>
      <c r="AL11" s="52" t="s">
        <v>299</v>
      </c>
      <c r="AM11" s="138">
        <f>B248</f>
        <v>0.4</v>
      </c>
      <c r="AO11" s="52" t="s">
        <v>299</v>
      </c>
      <c r="AP11" s="138">
        <f>B248</f>
        <v>0.4</v>
      </c>
      <c r="AR11" s="52" t="s">
        <v>299</v>
      </c>
      <c r="AS11" s="138">
        <f>B260</f>
        <v>0.4</v>
      </c>
      <c r="AU11" s="52" t="s">
        <v>299</v>
      </c>
      <c r="AV11" s="138">
        <f>B260</f>
        <v>0.4</v>
      </c>
      <c r="AX11" s="52" t="s">
        <v>299</v>
      </c>
      <c r="AY11" s="138">
        <f>B260</f>
        <v>0.4</v>
      </c>
      <c r="BA11" s="52" t="s">
        <v>299</v>
      </c>
      <c r="BB11" s="138">
        <f>B236</f>
        <v>0.4</v>
      </c>
      <c r="BD11" s="52" t="s">
        <v>299</v>
      </c>
      <c r="BE11" s="138">
        <f>B236</f>
        <v>0.4</v>
      </c>
      <c r="BG11" s="52" t="s">
        <v>299</v>
      </c>
      <c r="BH11" s="138">
        <f>B236</f>
        <v>0.4</v>
      </c>
      <c r="BJ11" s="52" t="s">
        <v>219</v>
      </c>
      <c r="BK11" s="138">
        <f>B277</f>
        <v>5</v>
      </c>
      <c r="BL11" s="52" t="s">
        <v>112</v>
      </c>
      <c r="BM11" s="52" t="s">
        <v>219</v>
      </c>
      <c r="BN11" s="138">
        <f>B277</f>
        <v>5</v>
      </c>
      <c r="BO11" s="52" t="s">
        <v>112</v>
      </c>
      <c r="BP11" s="52" t="s">
        <v>219</v>
      </c>
      <c r="BQ11" s="138">
        <f>B277</f>
        <v>5</v>
      </c>
      <c r="BR11" s="52" t="s">
        <v>112</v>
      </c>
      <c r="BS11" s="83" t="s">
        <v>429</v>
      </c>
      <c r="BT11" s="141">
        <f>B93</f>
        <v>10</v>
      </c>
      <c r="BU11" s="92" t="s">
        <v>407</v>
      </c>
      <c r="BV11" s="83" t="s">
        <v>261</v>
      </c>
      <c r="BW11" s="159"/>
      <c r="BX11" s="92" t="s">
        <v>11</v>
      </c>
      <c r="BY11" s="83" t="s">
        <v>22</v>
      </c>
      <c r="BZ11" s="137">
        <f>0.693/BZ12</f>
        <v>1.6041666666666665E-3</v>
      </c>
      <c r="CB11" s="52" t="s">
        <v>300</v>
      </c>
      <c r="CC11" s="138">
        <f>B118</f>
        <v>2.41E-4</v>
      </c>
      <c r="CE11" s="52" t="s">
        <v>300</v>
      </c>
      <c r="CF11" s="138">
        <f>B120</f>
        <v>1.17E-4</v>
      </c>
      <c r="CH11" s="52" t="s">
        <v>300</v>
      </c>
      <c r="CI11" s="138">
        <f>B124</f>
        <v>2.2599999999999999E-4</v>
      </c>
      <c r="CN11" s="84" t="s">
        <v>161</v>
      </c>
      <c r="CO11" s="162">
        <f>B130</f>
        <v>1</v>
      </c>
      <c r="CP11" s="52" t="s">
        <v>246</v>
      </c>
      <c r="CT11" s="84" t="s">
        <v>16</v>
      </c>
      <c r="CU11" s="137">
        <f>(CU43*CU12)/(1-EXP(-CU12*CU43))</f>
        <v>1.0008022977791844</v>
      </c>
      <c r="CW11" s="52" t="s">
        <v>247</v>
      </c>
      <c r="CX11" s="139">
        <f>B6</f>
        <v>0.36297000000000001</v>
      </c>
      <c r="CY11" s="84" t="s">
        <v>259</v>
      </c>
      <c r="CZ11" s="83" t="s">
        <v>22</v>
      </c>
      <c r="DA11" s="137">
        <f>0.693/DA12</f>
        <v>1.6041666666666665E-3</v>
      </c>
      <c r="DC11" s="83" t="s">
        <v>515</v>
      </c>
      <c r="DD11" s="149">
        <f>(DD12*DD15*DD20)+(DD13*DD14*DD21)</f>
        <v>56173.250000000007</v>
      </c>
      <c r="DE11" s="92" t="s">
        <v>347</v>
      </c>
      <c r="DF11" s="92" t="s">
        <v>49</v>
      </c>
      <c r="DG11" s="137">
        <f>DG19+DG20</f>
        <v>3.1394977168949772E-5</v>
      </c>
      <c r="DI11" s="91" t="s">
        <v>231</v>
      </c>
      <c r="DJ11" s="136">
        <f>B18</f>
        <v>432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B168</f>
        <v>350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B168</f>
        <v>350</v>
      </c>
      <c r="EI11" s="83" t="s">
        <v>24</v>
      </c>
      <c r="EJ11" s="92"/>
      <c r="EM11" s="83" t="s">
        <v>495</v>
      </c>
      <c r="EN11" s="138">
        <f>B211</f>
        <v>0.5</v>
      </c>
      <c r="EP11" s="83" t="s">
        <v>495</v>
      </c>
      <c r="EQ11" s="138">
        <f>B211</f>
        <v>0.5</v>
      </c>
      <c r="ER11" s="84"/>
      <c r="ES11" s="83" t="s">
        <v>495</v>
      </c>
      <c r="ET11" s="138">
        <f>B211</f>
        <v>0.5</v>
      </c>
      <c r="EU11" s="84"/>
      <c r="EV11" s="83" t="s">
        <v>456</v>
      </c>
      <c r="EW11" s="150">
        <f>B168</f>
        <v>350</v>
      </c>
      <c r="EX11" s="83" t="s">
        <v>24</v>
      </c>
      <c r="EY11" s="83"/>
      <c r="EZ11" s="83"/>
      <c r="FA11" s="83"/>
      <c r="FB11" s="83" t="s">
        <v>151</v>
      </c>
      <c r="FC11" s="142">
        <f>B216</f>
        <v>2.1999999999999999E-2</v>
      </c>
      <c r="FD11" s="52" t="s">
        <v>246</v>
      </c>
      <c r="FE11" s="83" t="s">
        <v>151</v>
      </c>
      <c r="FF11" s="142">
        <f>B216</f>
        <v>2.1999999999999999E-2</v>
      </c>
      <c r="FG11" s="52" t="s">
        <v>246</v>
      </c>
      <c r="FH11" s="83" t="s">
        <v>151</v>
      </c>
      <c r="FI11" s="142">
        <f>B216</f>
        <v>2.1999999999999999E-2</v>
      </c>
      <c r="FJ11" s="52" t="s">
        <v>246</v>
      </c>
      <c r="FK11" s="83" t="s">
        <v>456</v>
      </c>
      <c r="FL11" s="150">
        <f>B168</f>
        <v>350</v>
      </c>
      <c r="FM11" s="83" t="s">
        <v>24</v>
      </c>
      <c r="FN11" s="83"/>
      <c r="FO11" s="83"/>
      <c r="FP11" s="83"/>
      <c r="FQ11" s="88"/>
      <c r="FR11" s="86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B168</f>
        <v>350</v>
      </c>
      <c r="GB11" s="83" t="s">
        <v>24</v>
      </c>
      <c r="GC11" s="83"/>
      <c r="GD11" s="83"/>
      <c r="GE11" s="83"/>
      <c r="GF11" s="83" t="s">
        <v>487</v>
      </c>
      <c r="GG11" s="142">
        <f>B221</f>
        <v>2.1999999999999999E-2</v>
      </c>
      <c r="GH11" s="52" t="s">
        <v>246</v>
      </c>
      <c r="GI11" s="83" t="s">
        <v>487</v>
      </c>
      <c r="GJ11" s="142">
        <f>B221</f>
        <v>2.1999999999999999E-2</v>
      </c>
      <c r="GK11" s="52" t="s">
        <v>246</v>
      </c>
      <c r="GL11" s="83" t="s">
        <v>487</v>
      </c>
      <c r="GM11" s="142">
        <f>B221</f>
        <v>2.1999999999999999E-2</v>
      </c>
      <c r="GN11" s="52" t="s">
        <v>246</v>
      </c>
      <c r="GO11" s="83" t="s">
        <v>456</v>
      </c>
      <c r="GP11" s="150">
        <f>B168</f>
        <v>350</v>
      </c>
      <c r="GQ11" s="83" t="s">
        <v>24</v>
      </c>
      <c r="GR11" s="83"/>
      <c r="GS11" s="83"/>
      <c r="GT11" s="83"/>
      <c r="GU11" s="83" t="s">
        <v>491</v>
      </c>
      <c r="GV11" s="142">
        <f>B226</f>
        <v>0.37</v>
      </c>
      <c r="GW11" s="52" t="s">
        <v>246</v>
      </c>
      <c r="GX11" s="83" t="s">
        <v>491</v>
      </c>
      <c r="GY11" s="142">
        <f>B226</f>
        <v>0.37</v>
      </c>
      <c r="GZ11" s="52" t="s">
        <v>246</v>
      </c>
      <c r="HA11" s="83" t="s">
        <v>491</v>
      </c>
      <c r="HB11" s="142">
        <f>B226</f>
        <v>0.37</v>
      </c>
      <c r="HC11" s="52" t="s">
        <v>246</v>
      </c>
      <c r="HD11" s="84" t="s">
        <v>42</v>
      </c>
      <c r="HE11" s="150">
        <f>B84</f>
        <v>1.5</v>
      </c>
    </row>
    <row r="12" spans="1:214" x14ac:dyDescent="0.2">
      <c r="A12" s="83" t="s">
        <v>253</v>
      </c>
      <c r="B12" s="183">
        <v>1.83064E-2</v>
      </c>
      <c r="C12" s="83" t="s">
        <v>351</v>
      </c>
      <c r="D12" s="83" t="s">
        <v>43</v>
      </c>
      <c r="E12" s="140">
        <f>((E15/E16)*E23*E13*E25)+((E15/E16)*E24*E14*E26)</f>
        <v>6195</v>
      </c>
      <c r="F12" s="52" t="s">
        <v>426</v>
      </c>
      <c r="G12" s="83" t="s">
        <v>266</v>
      </c>
      <c r="H12" s="144">
        <f>H5/(H8*(1/H43)*H21)</f>
        <v>129.68229188014223</v>
      </c>
      <c r="I12" s="92" t="s">
        <v>11</v>
      </c>
      <c r="J12" s="83" t="s">
        <v>22</v>
      </c>
      <c r="K12" s="137">
        <f>0.693/K13</f>
        <v>1.6041666666666665E-3</v>
      </c>
      <c r="M12" s="52" t="s">
        <v>300</v>
      </c>
      <c r="N12" s="138">
        <f>B62</f>
        <v>1</v>
      </c>
      <c r="P12" s="52" t="s">
        <v>300</v>
      </c>
      <c r="Q12" s="138">
        <f>B62</f>
        <v>1</v>
      </c>
      <c r="S12" s="52" t="s">
        <v>300</v>
      </c>
      <c r="T12" s="138">
        <f>B62</f>
        <v>1</v>
      </c>
      <c r="V12" s="52" t="s">
        <v>44</v>
      </c>
      <c r="W12" s="150">
        <f>B262</f>
        <v>8</v>
      </c>
      <c r="X12" s="84" t="s">
        <v>194</v>
      </c>
      <c r="Y12" s="52" t="s">
        <v>44</v>
      </c>
      <c r="Z12" s="150">
        <f>B239</f>
        <v>8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B274</f>
        <v>8</v>
      </c>
      <c r="AG12" s="150">
        <f>B297</f>
        <v>8</v>
      </c>
      <c r="AH12" s="83" t="s">
        <v>194</v>
      </c>
      <c r="AI12" s="52" t="s">
        <v>300</v>
      </c>
      <c r="AJ12" s="138">
        <f>B235</f>
        <v>1</v>
      </c>
      <c r="AL12" s="52" t="s">
        <v>300</v>
      </c>
      <c r="AM12" s="138">
        <f>B235</f>
        <v>1</v>
      </c>
      <c r="AO12" s="52" t="s">
        <v>300</v>
      </c>
      <c r="AP12" s="138">
        <f>B247</f>
        <v>1</v>
      </c>
      <c r="AR12" s="52" t="s">
        <v>300</v>
      </c>
      <c r="AS12" s="138">
        <f>B259</f>
        <v>1</v>
      </c>
      <c r="AU12" s="52" t="s">
        <v>300</v>
      </c>
      <c r="AV12" s="138">
        <f>B259</f>
        <v>1</v>
      </c>
      <c r="AX12" s="52" t="s">
        <v>300</v>
      </c>
      <c r="AY12" s="138">
        <f>B259</f>
        <v>1</v>
      </c>
      <c r="BA12" s="52" t="s">
        <v>300</v>
      </c>
      <c r="BB12" s="138">
        <f>B235</f>
        <v>1</v>
      </c>
      <c r="BD12" s="52" t="s">
        <v>300</v>
      </c>
      <c r="BE12" s="138">
        <f>B235</f>
        <v>1</v>
      </c>
      <c r="BG12" s="52" t="s">
        <v>300</v>
      </c>
      <c r="BH12" s="138">
        <f>B235</f>
        <v>1</v>
      </c>
      <c r="BJ12" s="52" t="s">
        <v>158</v>
      </c>
      <c r="BK12" s="138">
        <f>B268</f>
        <v>1</v>
      </c>
      <c r="BL12" s="52" t="s">
        <v>146</v>
      </c>
      <c r="BM12" s="52" t="s">
        <v>158</v>
      </c>
      <c r="BN12" s="138">
        <f>B268</f>
        <v>1</v>
      </c>
      <c r="BO12" s="52" t="s">
        <v>146</v>
      </c>
      <c r="BP12" s="52" t="s">
        <v>158</v>
      </c>
      <c r="BQ12" s="138">
        <f>B268</f>
        <v>1</v>
      </c>
      <c r="BR12" s="52" t="s">
        <v>146</v>
      </c>
      <c r="BS12" s="83" t="s">
        <v>430</v>
      </c>
      <c r="BT12" s="141">
        <f>B94</f>
        <v>20</v>
      </c>
      <c r="BU12" s="92" t="s">
        <v>407</v>
      </c>
      <c r="BV12" s="83" t="s">
        <v>266</v>
      </c>
      <c r="BW12" s="145">
        <f>BW5/(BW8*(1/BW29)*BW16)</f>
        <v>676.69660817412432</v>
      </c>
      <c r="BX12" s="92" t="s">
        <v>11</v>
      </c>
      <c r="BY12" s="91" t="s">
        <v>231</v>
      </c>
      <c r="BZ12" s="136">
        <f>B18</f>
        <v>432</v>
      </c>
      <c r="CA12" s="52" t="s">
        <v>60</v>
      </c>
      <c r="CB12" s="52" t="s">
        <v>413</v>
      </c>
      <c r="CC12" s="138">
        <f>B119</f>
        <v>0.753</v>
      </c>
      <c r="CE12" s="52" t="s">
        <v>414</v>
      </c>
      <c r="CF12" s="138">
        <f>B121</f>
        <v>0.74299999999999999</v>
      </c>
      <c r="CH12" s="52" t="s">
        <v>416</v>
      </c>
      <c r="CI12" s="138">
        <f>B125</f>
        <v>0.66200000000000003</v>
      </c>
      <c r="CN12" s="84" t="s">
        <v>162</v>
      </c>
      <c r="CO12" s="162">
        <f>B131</f>
        <v>1</v>
      </c>
      <c r="CP12" s="52" t="s">
        <v>41</v>
      </c>
      <c r="CT12" s="83" t="s">
        <v>22</v>
      </c>
      <c r="CU12" s="137">
        <f>0.693/CU13</f>
        <v>1.6041666666666665E-3</v>
      </c>
      <c r="CW12" s="83" t="s">
        <v>506</v>
      </c>
      <c r="CX12" s="140">
        <f>((CX16/24)*CX23*CX13*CX25)+((CX15/24)*CX24*CX14*CX26)</f>
        <v>6475</v>
      </c>
      <c r="CY12" s="52" t="s">
        <v>426</v>
      </c>
      <c r="CZ12" s="91" t="s">
        <v>231</v>
      </c>
      <c r="DA12" s="136">
        <f>B18</f>
        <v>432</v>
      </c>
      <c r="DB12" s="52" t="s">
        <v>60</v>
      </c>
      <c r="DC12" s="83" t="s">
        <v>467</v>
      </c>
      <c r="DD12" s="146">
        <f>B149</f>
        <v>68.099999999999994</v>
      </c>
      <c r="DE12" s="92" t="s">
        <v>221</v>
      </c>
      <c r="DF12" s="92" t="s">
        <v>52</v>
      </c>
      <c r="DG12" s="138">
        <f>B195</f>
        <v>10950</v>
      </c>
      <c r="DH12" s="52" t="s">
        <v>53</v>
      </c>
      <c r="DI12" s="84" t="s">
        <v>16</v>
      </c>
      <c r="DJ12" s="137">
        <f>(DJ9*DJ10)/(1-EXP(-DJ10*DJ9))</f>
        <v>1.0008022977791844</v>
      </c>
      <c r="DL12" s="92"/>
      <c r="DO12" s="92" t="s">
        <v>52</v>
      </c>
      <c r="DP12" s="138">
        <f>B195</f>
        <v>10950</v>
      </c>
      <c r="DQ12" s="52" t="s">
        <v>53</v>
      </c>
      <c r="DR12" s="83" t="s">
        <v>465</v>
      </c>
      <c r="DS12" s="150">
        <f>B168</f>
        <v>350</v>
      </c>
      <c r="DT12" s="83" t="s">
        <v>24</v>
      </c>
      <c r="DU12" s="92"/>
      <c r="DX12" s="83" t="s">
        <v>500</v>
      </c>
      <c r="DY12" s="138">
        <f>B207</f>
        <v>1</v>
      </c>
      <c r="EA12" s="83" t="s">
        <v>500</v>
      </c>
      <c r="EB12" s="138">
        <f>B207</f>
        <v>1</v>
      </c>
      <c r="EC12" s="84"/>
      <c r="ED12" s="83" t="s">
        <v>500</v>
      </c>
      <c r="EE12" s="138">
        <f>B207</f>
        <v>1</v>
      </c>
      <c r="EF12" s="84"/>
      <c r="EG12" s="83" t="s">
        <v>465</v>
      </c>
      <c r="EH12" s="150">
        <f>B168</f>
        <v>350</v>
      </c>
      <c r="EI12" s="83" t="s">
        <v>24</v>
      </c>
      <c r="EJ12" s="92"/>
      <c r="EM12" s="83" t="s">
        <v>496</v>
      </c>
      <c r="EN12" s="138">
        <f>B212</f>
        <v>1</v>
      </c>
      <c r="EP12" s="83" t="s">
        <v>496</v>
      </c>
      <c r="EQ12" s="138">
        <f>B212</f>
        <v>1</v>
      </c>
      <c r="ER12" s="84"/>
      <c r="ES12" s="83" t="s">
        <v>496</v>
      </c>
      <c r="ET12" s="138">
        <f>B212</f>
        <v>1</v>
      </c>
      <c r="EU12" s="84"/>
      <c r="EV12" s="83" t="s">
        <v>465</v>
      </c>
      <c r="EW12" s="150">
        <f>B168</f>
        <v>350</v>
      </c>
      <c r="EX12" s="83" t="s">
        <v>24</v>
      </c>
      <c r="EY12" s="83"/>
      <c r="EZ12" s="83"/>
      <c r="FA12" s="83"/>
      <c r="FB12" s="83" t="s">
        <v>153</v>
      </c>
      <c r="FC12" s="164">
        <f>B217</f>
        <v>1</v>
      </c>
      <c r="FD12" s="83"/>
      <c r="FE12" s="83" t="s">
        <v>153</v>
      </c>
      <c r="FF12" s="164">
        <f>B217</f>
        <v>1</v>
      </c>
      <c r="FG12" s="83"/>
      <c r="FH12" s="83" t="s">
        <v>153</v>
      </c>
      <c r="FI12" s="164">
        <f>B217</f>
        <v>1</v>
      </c>
      <c r="FJ12" s="84"/>
      <c r="FK12" s="83" t="s">
        <v>465</v>
      </c>
      <c r="FL12" s="150">
        <f>B168</f>
        <v>350</v>
      </c>
      <c r="FM12" s="83" t="s">
        <v>24</v>
      </c>
      <c r="FN12" s="83"/>
      <c r="FO12" s="83"/>
      <c r="FP12" s="83"/>
      <c r="FQ12" s="88"/>
      <c r="FR12" s="88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B168</f>
        <v>350</v>
      </c>
      <c r="GB12" s="83" t="s">
        <v>24</v>
      </c>
      <c r="GC12" s="83"/>
      <c r="GD12" s="83"/>
      <c r="GE12" s="83"/>
      <c r="GF12" s="83" t="s">
        <v>488</v>
      </c>
      <c r="GG12" s="142">
        <f>B222</f>
        <v>1</v>
      </c>
      <c r="GH12" s="83"/>
      <c r="GI12" s="83" t="s">
        <v>488</v>
      </c>
      <c r="GJ12" s="142">
        <f>B222</f>
        <v>1</v>
      </c>
      <c r="GK12" s="83"/>
      <c r="GL12" s="83" t="s">
        <v>488</v>
      </c>
      <c r="GM12" s="142">
        <f>B222</f>
        <v>1</v>
      </c>
      <c r="GN12" s="84"/>
      <c r="GO12" s="83" t="s">
        <v>465</v>
      </c>
      <c r="GP12" s="150">
        <f>B168</f>
        <v>350</v>
      </c>
      <c r="GQ12" s="83" t="s">
        <v>24</v>
      </c>
      <c r="GR12" s="83"/>
      <c r="GS12" s="83"/>
      <c r="GT12" s="83"/>
      <c r="GU12" s="83" t="s">
        <v>492</v>
      </c>
      <c r="GV12" s="142">
        <f>B227</f>
        <v>1</v>
      </c>
      <c r="GW12" s="83"/>
      <c r="GX12" s="83" t="s">
        <v>492</v>
      </c>
      <c r="GY12" s="142">
        <f>B227</f>
        <v>1</v>
      </c>
      <c r="GZ12" s="83"/>
      <c r="HA12" s="83" t="s">
        <v>492</v>
      </c>
      <c r="HB12" s="142">
        <f>B227</f>
        <v>1</v>
      </c>
      <c r="HC12" s="84"/>
      <c r="HD12" s="84" t="s">
        <v>47</v>
      </c>
      <c r="HE12" s="163">
        <v>1</v>
      </c>
    </row>
    <row r="13" spans="1:214" x14ac:dyDescent="0.2">
      <c r="A13" s="83" t="s">
        <v>254</v>
      </c>
      <c r="B13" s="183">
        <v>3.4557999999999998E-2</v>
      </c>
      <c r="C13" s="83" t="s">
        <v>351</v>
      </c>
      <c r="D13" s="83" t="s">
        <v>366</v>
      </c>
      <c r="E13" s="141">
        <f>B38</f>
        <v>10</v>
      </c>
      <c r="F13" s="92" t="s">
        <v>407</v>
      </c>
      <c r="G13" s="83" t="s">
        <v>263</v>
      </c>
      <c r="H13" s="144">
        <f>H14/((1/H40)*(H48+H49+H50))</f>
        <v>3.7815102646694463</v>
      </c>
      <c r="I13" s="92" t="s">
        <v>11</v>
      </c>
      <c r="J13" s="91" t="s">
        <v>231</v>
      </c>
      <c r="K13" s="136">
        <f>B18</f>
        <v>432</v>
      </c>
      <c r="L13" s="52" t="s">
        <v>60</v>
      </c>
      <c r="M13" s="52" t="s">
        <v>54</v>
      </c>
      <c r="N13" s="138">
        <f>B63</f>
        <v>1</v>
      </c>
      <c r="P13" s="52" t="s">
        <v>54</v>
      </c>
      <c r="Q13" s="138">
        <f>B63</f>
        <v>1</v>
      </c>
      <c r="S13" s="52" t="s">
        <v>54</v>
      </c>
      <c r="T13" s="138">
        <f>B63</f>
        <v>1</v>
      </c>
      <c r="V13" s="52" t="s">
        <v>50</v>
      </c>
      <c r="W13" s="146">
        <f>B254</f>
        <v>60</v>
      </c>
      <c r="X13" s="84" t="s">
        <v>407</v>
      </c>
      <c r="Y13" s="52" t="s">
        <v>50</v>
      </c>
      <c r="Z13" s="146">
        <f>B230</f>
        <v>60</v>
      </c>
      <c r="AA13" s="84" t="s">
        <v>407</v>
      </c>
      <c r="AB13" s="83" t="s">
        <v>349</v>
      </c>
      <c r="AC13" s="146">
        <f>B233</f>
        <v>100</v>
      </c>
      <c r="AD13" s="146">
        <f>B245</f>
        <v>50</v>
      </c>
      <c r="AE13" s="146">
        <f>B257</f>
        <v>100</v>
      </c>
      <c r="AF13" s="146">
        <f>B269</f>
        <v>330</v>
      </c>
      <c r="AG13" s="146">
        <f>B293</f>
        <v>330</v>
      </c>
      <c r="AH13" s="52" t="s">
        <v>48</v>
      </c>
      <c r="AI13" s="52" t="s">
        <v>54</v>
      </c>
      <c r="AJ13" s="138">
        <f>B249</f>
        <v>1</v>
      </c>
      <c r="AL13" s="52" t="s">
        <v>54</v>
      </c>
      <c r="AM13" s="138">
        <f>B249</f>
        <v>1</v>
      </c>
      <c r="AO13" s="52" t="s">
        <v>54</v>
      </c>
      <c r="AP13" s="138">
        <f>B249</f>
        <v>1</v>
      </c>
      <c r="AR13" s="52" t="s">
        <v>54</v>
      </c>
      <c r="AS13" s="138">
        <f>B261</f>
        <v>1</v>
      </c>
      <c r="AU13" s="52" t="s">
        <v>54</v>
      </c>
      <c r="AV13" s="138">
        <f>B261</f>
        <v>1</v>
      </c>
      <c r="AX13" s="52" t="s">
        <v>54</v>
      </c>
      <c r="AY13" s="138">
        <f>B261</f>
        <v>1</v>
      </c>
      <c r="BA13" s="52" t="s">
        <v>54</v>
      </c>
      <c r="BB13" s="138">
        <f>B237</f>
        <v>1</v>
      </c>
      <c r="BD13" s="52" t="s">
        <v>54</v>
      </c>
      <c r="BE13" s="138">
        <f>B237</f>
        <v>1</v>
      </c>
      <c r="BG13" s="52" t="s">
        <v>54</v>
      </c>
      <c r="BH13" s="138">
        <f>B237</f>
        <v>1</v>
      </c>
      <c r="BJ13" s="52" t="s">
        <v>300</v>
      </c>
      <c r="BK13" s="136">
        <f>B279</f>
        <v>2.41E-4</v>
      </c>
      <c r="BM13" s="52" t="s">
        <v>300</v>
      </c>
      <c r="BN13" s="136">
        <f>B283</f>
        <v>1.17E-4</v>
      </c>
      <c r="BP13" s="52" t="s">
        <v>300</v>
      </c>
      <c r="BQ13" s="136">
        <f>B287</f>
        <v>2.2599999999999999E-4</v>
      </c>
      <c r="BS13" s="52" t="s">
        <v>431</v>
      </c>
      <c r="BT13" s="141">
        <f>B106</f>
        <v>1</v>
      </c>
      <c r="BU13" s="52" t="s">
        <v>194</v>
      </c>
      <c r="BV13" s="83" t="s">
        <v>440</v>
      </c>
      <c r="BW13" s="160">
        <f>((BW18*BW20*BW23*BW14*BW30)+(BW19*BW21*BW24*BW15*BW31))</f>
        <v>2.25</v>
      </c>
      <c r="BX13" s="83" t="s">
        <v>345</v>
      </c>
      <c r="BY13" s="83" t="s">
        <v>260</v>
      </c>
      <c r="BZ13" s="143">
        <f>(BZ5/(BZ6*BZ16*(1/BZ33)))*BZ10</f>
        <v>123.19788094458684</v>
      </c>
      <c r="CA13" s="92" t="s">
        <v>10</v>
      </c>
      <c r="CB13" s="52" t="s">
        <v>90</v>
      </c>
      <c r="CC13" s="138">
        <f>B108</f>
        <v>1</v>
      </c>
      <c r="CD13" s="52" t="s">
        <v>194</v>
      </c>
      <c r="CE13" s="52" t="s">
        <v>90</v>
      </c>
      <c r="CF13" s="138">
        <f>B108</f>
        <v>1</v>
      </c>
      <c r="CG13" s="52" t="s">
        <v>194</v>
      </c>
      <c r="CH13" s="52" t="s">
        <v>90</v>
      </c>
      <c r="CI13" s="138">
        <f>B108</f>
        <v>1</v>
      </c>
      <c r="CJ13" s="52" t="s">
        <v>194</v>
      </c>
      <c r="CN13" s="84" t="s">
        <v>163</v>
      </c>
      <c r="CO13" s="162">
        <f>B132</f>
        <v>1</v>
      </c>
      <c r="CP13" s="52" t="s">
        <v>41</v>
      </c>
      <c r="CT13" s="91" t="s">
        <v>231</v>
      </c>
      <c r="CU13" s="136">
        <f>B18</f>
        <v>432</v>
      </c>
      <c r="CV13" s="52" t="s">
        <v>60</v>
      </c>
      <c r="CW13" s="83" t="s">
        <v>450</v>
      </c>
      <c r="CX13" s="141">
        <f>B147</f>
        <v>10</v>
      </c>
      <c r="CY13" s="92" t="s">
        <v>407</v>
      </c>
      <c r="CZ13" s="83" t="s">
        <v>260</v>
      </c>
      <c r="DA13" s="143">
        <f>DA5/(DA6*DA24)</f>
        <v>1.4471637197444738</v>
      </c>
      <c r="DB13" s="83" t="s">
        <v>11</v>
      </c>
      <c r="DC13" s="83" t="s">
        <v>468</v>
      </c>
      <c r="DD13" s="146">
        <f>B150</f>
        <v>176.8</v>
      </c>
      <c r="DE13" s="92" t="s">
        <v>221</v>
      </c>
      <c r="DF13" s="92" t="s">
        <v>55</v>
      </c>
      <c r="DG13" s="138">
        <f>B196</f>
        <v>240</v>
      </c>
      <c r="DH13" s="52" t="s">
        <v>56</v>
      </c>
      <c r="DL13" s="92"/>
      <c r="DO13" s="92" t="s">
        <v>55</v>
      </c>
      <c r="DP13" s="138">
        <f>B196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B208</f>
        <v>1</v>
      </c>
      <c r="EA13" s="83" t="s">
        <v>501</v>
      </c>
      <c r="EB13" s="138">
        <f>B208</f>
        <v>1</v>
      </c>
      <c r="EC13" s="84"/>
      <c r="ED13" s="83" t="s">
        <v>501</v>
      </c>
      <c r="EE13" s="138">
        <f>B208</f>
        <v>1</v>
      </c>
      <c r="EF13" s="84"/>
      <c r="EG13" s="83" t="s">
        <v>363</v>
      </c>
      <c r="EH13" s="150">
        <f>B170</f>
        <v>1</v>
      </c>
      <c r="EI13" s="84" t="s">
        <v>60</v>
      </c>
      <c r="EJ13" s="92"/>
      <c r="EM13" s="83" t="s">
        <v>497</v>
      </c>
      <c r="EN13" s="138">
        <f>B213</f>
        <v>1</v>
      </c>
      <c r="EP13" s="83" t="s">
        <v>497</v>
      </c>
      <c r="EQ13" s="138">
        <f>B213</f>
        <v>1</v>
      </c>
      <c r="ER13" s="84"/>
      <c r="ES13" s="83" t="s">
        <v>497</v>
      </c>
      <c r="ET13" s="138">
        <f>B213</f>
        <v>1</v>
      </c>
      <c r="EU13" s="84"/>
      <c r="EV13" s="83" t="s">
        <v>363</v>
      </c>
      <c r="EW13" s="150">
        <f>B170</f>
        <v>1</v>
      </c>
      <c r="EX13" s="84" t="s">
        <v>60</v>
      </c>
      <c r="EY13" s="83"/>
      <c r="EZ13" s="83"/>
      <c r="FA13" s="83"/>
      <c r="FB13" s="83" t="s">
        <v>154</v>
      </c>
      <c r="FC13" s="164">
        <f>B218</f>
        <v>1</v>
      </c>
      <c r="FD13" s="83"/>
      <c r="FE13" s="83" t="s">
        <v>154</v>
      </c>
      <c r="FF13" s="164">
        <f>B218</f>
        <v>1</v>
      </c>
      <c r="FG13" s="83"/>
      <c r="FH13" s="83" t="s">
        <v>154</v>
      </c>
      <c r="FI13" s="164">
        <f>B218</f>
        <v>1</v>
      </c>
      <c r="FJ13" s="84"/>
      <c r="FK13" s="83" t="s">
        <v>363</v>
      </c>
      <c r="FL13" s="141">
        <f>B170</f>
        <v>1</v>
      </c>
      <c r="FM13" s="92" t="s">
        <v>60</v>
      </c>
      <c r="FN13" s="83"/>
      <c r="FO13" s="83"/>
      <c r="FP13" s="83"/>
      <c r="FQ13" s="88"/>
      <c r="FR13" s="88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B170</f>
        <v>1</v>
      </c>
      <c r="GB13" s="92" t="s">
        <v>60</v>
      </c>
      <c r="GC13" s="83"/>
      <c r="GD13" s="83"/>
      <c r="GE13" s="83"/>
      <c r="GF13" s="83" t="s">
        <v>489</v>
      </c>
      <c r="GG13" s="142">
        <f>B223</f>
        <v>1</v>
      </c>
      <c r="GH13" s="83"/>
      <c r="GI13" s="83" t="s">
        <v>489</v>
      </c>
      <c r="GJ13" s="142">
        <f>B223</f>
        <v>1</v>
      </c>
      <c r="GK13" s="83"/>
      <c r="GL13" s="83" t="s">
        <v>489</v>
      </c>
      <c r="GM13" s="142">
        <f>B223</f>
        <v>1</v>
      </c>
      <c r="GN13" s="84"/>
      <c r="GO13" s="83" t="s">
        <v>363</v>
      </c>
      <c r="GP13" s="141">
        <f>B170</f>
        <v>1</v>
      </c>
      <c r="GQ13" s="92" t="s">
        <v>60</v>
      </c>
      <c r="GR13" s="83"/>
      <c r="GS13" s="83"/>
      <c r="GT13" s="83"/>
      <c r="GU13" s="83" t="s">
        <v>493</v>
      </c>
      <c r="GV13" s="142">
        <f>B228</f>
        <v>1</v>
      </c>
      <c r="GW13" s="83"/>
      <c r="GX13" s="83" t="s">
        <v>493</v>
      </c>
      <c r="GY13" s="142">
        <f>B228</f>
        <v>1</v>
      </c>
      <c r="GZ13" s="83"/>
      <c r="HA13" s="83" t="s">
        <v>493</v>
      </c>
      <c r="HB13" s="142">
        <f>B228</f>
        <v>1</v>
      </c>
      <c r="HC13" s="84"/>
      <c r="HD13" s="84" t="s">
        <v>59</v>
      </c>
      <c r="HE13" s="150">
        <f>B33</f>
        <v>4</v>
      </c>
    </row>
    <row r="14" spans="1:214" x14ac:dyDescent="0.2">
      <c r="A14" s="83" t="s">
        <v>255</v>
      </c>
      <c r="B14" s="183">
        <v>3.7173200000000003E-2</v>
      </c>
      <c r="C14" s="83" t="s">
        <v>351</v>
      </c>
      <c r="D14" s="83" t="s">
        <v>367</v>
      </c>
      <c r="E14" s="141">
        <f>B39</f>
        <v>20</v>
      </c>
      <c r="F14" s="92" t="s">
        <v>407</v>
      </c>
      <c r="G14" s="83" t="s">
        <v>264</v>
      </c>
      <c r="H14" s="145">
        <f>H5/(H9*(H22+H25)*H41)</f>
        <v>4.8129308288714479E-2</v>
      </c>
      <c r="I14" s="92" t="s">
        <v>10</v>
      </c>
      <c r="J14" s="83" t="s">
        <v>260</v>
      </c>
      <c r="K14" s="143">
        <f>(K5/(K6*K19*(1/K46)))*K11</f>
        <v>26.399545916697186</v>
      </c>
      <c r="L14" s="92" t="s">
        <v>10</v>
      </c>
      <c r="M14" s="52" t="s">
        <v>408</v>
      </c>
      <c r="N14" s="150">
        <f>B78</f>
        <v>1.752</v>
      </c>
      <c r="O14" s="52" t="s">
        <v>194</v>
      </c>
      <c r="P14" s="52" t="s">
        <v>408</v>
      </c>
      <c r="Q14" s="150">
        <f>B78</f>
        <v>1.752</v>
      </c>
      <c r="R14" s="52" t="s">
        <v>194</v>
      </c>
      <c r="S14" s="52" t="s">
        <v>408</v>
      </c>
      <c r="T14" s="150">
        <f>B78</f>
        <v>1.752</v>
      </c>
      <c r="U14" s="52" t="s">
        <v>194</v>
      </c>
      <c r="V14" s="83" t="s">
        <v>256</v>
      </c>
      <c r="W14" s="136">
        <f>B15</f>
        <v>125.5296</v>
      </c>
      <c r="X14" s="83" t="s">
        <v>343</v>
      </c>
      <c r="Y14" s="83" t="s">
        <v>256</v>
      </c>
      <c r="Z14" s="136">
        <f>B15</f>
        <v>125.5296</v>
      </c>
      <c r="AA14" s="83" t="s">
        <v>343</v>
      </c>
      <c r="AB14" s="83" t="s">
        <v>300</v>
      </c>
      <c r="AC14" s="141">
        <f>B235</f>
        <v>1</v>
      </c>
      <c r="AD14" s="141">
        <f>B247</f>
        <v>1</v>
      </c>
      <c r="AE14" s="141">
        <f>B259</f>
        <v>1</v>
      </c>
      <c r="AF14" s="141">
        <f>B279</f>
        <v>2.41E-4</v>
      </c>
      <c r="AG14" s="141">
        <f>B279</f>
        <v>2.41E-4</v>
      </c>
      <c r="AH14" s="92"/>
      <c r="AI14" s="52" t="s">
        <v>57</v>
      </c>
      <c r="AJ14" s="136">
        <f>B250</f>
        <v>0</v>
      </c>
      <c r="AK14" s="52" t="s">
        <v>194</v>
      </c>
      <c r="AL14" s="52" t="s">
        <v>57</v>
      </c>
      <c r="AM14" s="136">
        <f>B250</f>
        <v>0</v>
      </c>
      <c r="AN14" s="52" t="s">
        <v>194</v>
      </c>
      <c r="AO14" s="52" t="s">
        <v>57</v>
      </c>
      <c r="AP14" s="136">
        <f>B250</f>
        <v>0</v>
      </c>
      <c r="AQ14" s="52" t="s">
        <v>194</v>
      </c>
      <c r="AR14" s="52" t="s">
        <v>57</v>
      </c>
      <c r="AS14" s="136">
        <f>B262</f>
        <v>8</v>
      </c>
      <c r="AT14" s="52" t="s">
        <v>194</v>
      </c>
      <c r="AU14" s="52" t="s">
        <v>57</v>
      </c>
      <c r="AV14" s="136">
        <f>B262</f>
        <v>8</v>
      </c>
      <c r="AW14" s="52" t="s">
        <v>194</v>
      </c>
      <c r="AX14" s="52" t="s">
        <v>57</v>
      </c>
      <c r="AY14" s="136">
        <f>B262</f>
        <v>8</v>
      </c>
      <c r="AZ14" s="52" t="s">
        <v>194</v>
      </c>
      <c r="BA14" s="52" t="s">
        <v>57</v>
      </c>
      <c r="BB14" s="146">
        <f>B238</f>
        <v>8</v>
      </c>
      <c r="BC14" s="90" t="s">
        <v>194</v>
      </c>
      <c r="BD14" s="90" t="s">
        <v>57</v>
      </c>
      <c r="BE14" s="146">
        <f>B238</f>
        <v>8</v>
      </c>
      <c r="BF14" s="90" t="s">
        <v>194</v>
      </c>
      <c r="BG14" s="90" t="s">
        <v>58</v>
      </c>
      <c r="BH14" s="146">
        <f>B238</f>
        <v>8</v>
      </c>
      <c r="BI14" s="52" t="s">
        <v>194</v>
      </c>
      <c r="BJ14" s="52" t="s">
        <v>413</v>
      </c>
      <c r="BK14" s="136">
        <f>B280</f>
        <v>0.753</v>
      </c>
      <c r="BM14" s="52" t="s">
        <v>414</v>
      </c>
      <c r="BN14" s="136">
        <f>B284</f>
        <v>0.74299999999999999</v>
      </c>
      <c r="BP14" s="52" t="s">
        <v>416</v>
      </c>
      <c r="BQ14" s="136">
        <f>B288</f>
        <v>0.66200000000000003</v>
      </c>
      <c r="BS14" s="52" t="s">
        <v>432</v>
      </c>
      <c r="BT14" s="141">
        <f>B107</f>
        <v>1</v>
      </c>
      <c r="BU14" s="52" t="s">
        <v>194</v>
      </c>
      <c r="BV14" s="83" t="s">
        <v>439</v>
      </c>
      <c r="BW14" s="146">
        <f>B95</f>
        <v>0.05</v>
      </c>
      <c r="BX14" s="83" t="s">
        <v>357</v>
      </c>
      <c r="BY14" s="83" t="s">
        <v>261</v>
      </c>
      <c r="BZ14" s="144">
        <f>(BZ5/(BZ7*BZ17*(1/BZ9)*BZ32))*BZ10</f>
        <v>67761.623113207301</v>
      </c>
      <c r="CA14" s="92" t="s">
        <v>10</v>
      </c>
      <c r="CB14" s="52" t="s">
        <v>412</v>
      </c>
      <c r="CC14" s="139">
        <f>B10</f>
        <v>3.7173200000000003E-2</v>
      </c>
      <c r="CD14" s="84" t="s">
        <v>353</v>
      </c>
      <c r="CE14" s="52" t="s">
        <v>415</v>
      </c>
      <c r="CF14" s="139">
        <f>B12</f>
        <v>1.83064E-2</v>
      </c>
      <c r="CG14" s="84" t="s">
        <v>353</v>
      </c>
      <c r="CH14" s="52" t="s">
        <v>417</v>
      </c>
      <c r="CI14" s="139">
        <f>B14</f>
        <v>3.7173200000000003E-2</v>
      </c>
      <c r="CJ14" s="84" t="s">
        <v>353</v>
      </c>
      <c r="CK14" s="84"/>
      <c r="CL14" s="84"/>
      <c r="CM14" s="84"/>
      <c r="CN14" s="52" t="s">
        <v>95</v>
      </c>
      <c r="CO14" s="164">
        <f>B117</f>
        <v>1</v>
      </c>
      <c r="CQ14" s="84"/>
      <c r="CR14" s="84"/>
      <c r="CS14" s="84"/>
      <c r="CT14" s="83" t="s">
        <v>260</v>
      </c>
      <c r="CU14" s="143">
        <f>(CU5/(CU6*CU25*(1/CU46)))*CU11</f>
        <v>28.236036067423942</v>
      </c>
      <c r="CV14" s="92" t="s">
        <v>10</v>
      </c>
      <c r="CW14" s="83" t="s">
        <v>459</v>
      </c>
      <c r="CX14" s="141">
        <f>B148</f>
        <v>20</v>
      </c>
      <c r="CY14" s="92" t="s">
        <v>407</v>
      </c>
      <c r="CZ14" s="83" t="s">
        <v>261</v>
      </c>
      <c r="DA14" s="144">
        <f>DA5/(DA7*DA25*DA45)</f>
        <v>8.5098027076702999E-4</v>
      </c>
      <c r="DB14" s="83" t="s">
        <v>11</v>
      </c>
      <c r="DC14" s="83" t="s">
        <v>465</v>
      </c>
      <c r="DD14" s="146">
        <f>B168</f>
        <v>350</v>
      </c>
      <c r="DE14" s="83" t="s">
        <v>24</v>
      </c>
      <c r="DF14" s="92" t="s">
        <v>393</v>
      </c>
      <c r="DG14" s="138">
        <f>B35</f>
        <v>0.26</v>
      </c>
      <c r="DL14" s="92"/>
      <c r="DO14" s="92" t="s">
        <v>393</v>
      </c>
      <c r="DP14" s="138">
        <f>B35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B204</f>
        <v>1.03</v>
      </c>
      <c r="DZ14" s="52" t="s">
        <v>286</v>
      </c>
      <c r="EA14" s="52" t="s">
        <v>518</v>
      </c>
      <c r="EB14" s="146">
        <f>B204</f>
        <v>1.03</v>
      </c>
      <c r="EC14" s="52" t="s">
        <v>286</v>
      </c>
      <c r="ED14" s="92" t="s">
        <v>392</v>
      </c>
      <c r="EE14" s="163">
        <f>B36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B170</f>
        <v>1</v>
      </c>
      <c r="EP14" s="92"/>
      <c r="EQ14" s="84"/>
      <c r="ER14" s="84"/>
      <c r="ES14" s="92" t="s">
        <v>392</v>
      </c>
      <c r="ET14" s="163">
        <f>B36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B170</f>
        <v>1</v>
      </c>
      <c r="FE14" s="83"/>
      <c r="FF14" s="83"/>
      <c r="FG14" s="83"/>
      <c r="FH14" s="83" t="s">
        <v>392</v>
      </c>
      <c r="FI14" s="142">
        <f>B36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88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B170</f>
        <v>1</v>
      </c>
      <c r="GI14" s="83"/>
      <c r="GJ14" s="83"/>
      <c r="GK14" s="83"/>
      <c r="GL14" s="83" t="s">
        <v>392</v>
      </c>
      <c r="GM14" s="142">
        <f>B36</f>
        <v>0.25</v>
      </c>
      <c r="GN14" s="84"/>
      <c r="GO14" s="92" t="s">
        <v>484</v>
      </c>
      <c r="GP14" s="146">
        <f>B192</f>
        <v>1</v>
      </c>
      <c r="GR14" s="83"/>
      <c r="GS14" s="83"/>
      <c r="GT14" s="83"/>
      <c r="GU14" s="52" t="s">
        <v>350</v>
      </c>
      <c r="GV14" s="164">
        <f>B170</f>
        <v>1</v>
      </c>
      <c r="GX14" s="83"/>
      <c r="GY14" s="83"/>
      <c r="GZ14" s="83"/>
      <c r="HA14" s="83" t="s">
        <v>392</v>
      </c>
      <c r="HB14" s="142">
        <f>B36</f>
        <v>0.25</v>
      </c>
      <c r="HC14" s="84"/>
      <c r="HD14" s="52" t="s">
        <v>225</v>
      </c>
      <c r="HE14" s="138">
        <v>1</v>
      </c>
    </row>
    <row r="15" spans="1:214" x14ac:dyDescent="0.2">
      <c r="A15" s="83" t="s">
        <v>256</v>
      </c>
      <c r="B15" s="183">
        <v>125.5296</v>
      </c>
      <c r="C15" s="83" t="s">
        <v>351</v>
      </c>
      <c r="D15" s="52" t="s">
        <v>384</v>
      </c>
      <c r="E15" s="138">
        <f>B59</f>
        <v>24</v>
      </c>
      <c r="F15" s="52" t="s">
        <v>194</v>
      </c>
      <c r="G15" s="83" t="s">
        <v>395</v>
      </c>
      <c r="H15" s="147">
        <f>(H29*H17*H68)+(H30*H18*H69)</f>
        <v>736.54</v>
      </c>
      <c r="I15" s="83" t="s">
        <v>345</v>
      </c>
      <c r="J15" s="83" t="s">
        <v>261</v>
      </c>
      <c r="K15" s="144">
        <f>(K5/(K7*K20*(1/K10)*K45))*K11</f>
        <v>605.01449208220811</v>
      </c>
      <c r="L15" s="92" t="s">
        <v>10</v>
      </c>
      <c r="M15" s="52" t="s">
        <v>412</v>
      </c>
      <c r="N15" s="139">
        <f>B10</f>
        <v>3.7173200000000003E-2</v>
      </c>
      <c r="O15" s="84" t="s">
        <v>353</v>
      </c>
      <c r="P15" s="52" t="s">
        <v>415</v>
      </c>
      <c r="Q15" s="139">
        <f>B12</f>
        <v>1.83064E-2</v>
      </c>
      <c r="R15" s="84" t="s">
        <v>353</v>
      </c>
      <c r="S15" s="52" t="s">
        <v>417</v>
      </c>
      <c r="T15" s="139">
        <f>B14</f>
        <v>3.7173200000000003E-2</v>
      </c>
      <c r="U15" s="84" t="s">
        <v>353</v>
      </c>
      <c r="V15" s="83" t="s">
        <v>301</v>
      </c>
      <c r="W15" s="142">
        <f>B258</f>
        <v>1</v>
      </c>
      <c r="Y15" s="83" t="s">
        <v>301</v>
      </c>
      <c r="Z15" s="142">
        <f>B234</f>
        <v>1</v>
      </c>
      <c r="AB15" s="83" t="s">
        <v>232</v>
      </c>
      <c r="AC15" s="141">
        <f>B230</f>
        <v>60</v>
      </c>
      <c r="AD15" s="141">
        <f>B242</f>
        <v>60</v>
      </c>
      <c r="AE15" s="141">
        <f>B254</f>
        <v>60</v>
      </c>
      <c r="AF15" s="141">
        <f>B266</f>
        <v>60</v>
      </c>
      <c r="AG15" s="141">
        <f>B290</f>
        <v>60</v>
      </c>
      <c r="AH15" s="92" t="s">
        <v>407</v>
      </c>
      <c r="AI15" s="52" t="s">
        <v>412</v>
      </c>
      <c r="AJ15" s="139">
        <f>B10</f>
        <v>3.7173200000000003E-2</v>
      </c>
      <c r="AK15" s="84" t="s">
        <v>353</v>
      </c>
      <c r="AL15" s="52" t="s">
        <v>415</v>
      </c>
      <c r="AM15" s="139">
        <f>B12</f>
        <v>1.83064E-2</v>
      </c>
      <c r="AN15" s="84" t="s">
        <v>353</v>
      </c>
      <c r="AO15" s="52" t="s">
        <v>417</v>
      </c>
      <c r="AP15" s="139">
        <f>B14</f>
        <v>3.7173200000000003E-2</v>
      </c>
      <c r="AQ15" s="84" t="s">
        <v>353</v>
      </c>
      <c r="AR15" s="52" t="s">
        <v>412</v>
      </c>
      <c r="AS15" s="139">
        <f>B10</f>
        <v>3.7173200000000003E-2</v>
      </c>
      <c r="AT15" s="84" t="s">
        <v>353</v>
      </c>
      <c r="AU15" s="52" t="s">
        <v>415</v>
      </c>
      <c r="AV15" s="139">
        <f>B12</f>
        <v>1.83064E-2</v>
      </c>
      <c r="AW15" s="84" t="s">
        <v>353</v>
      </c>
      <c r="AX15" s="52" t="s">
        <v>417</v>
      </c>
      <c r="AY15" s="139">
        <f>B14</f>
        <v>3.7173200000000003E-2</v>
      </c>
      <c r="AZ15" s="84" t="s">
        <v>353</v>
      </c>
      <c r="BA15" s="52" t="s">
        <v>412</v>
      </c>
      <c r="BB15" s="139">
        <f>B10</f>
        <v>3.7173200000000003E-2</v>
      </c>
      <c r="BC15" s="84" t="s">
        <v>353</v>
      </c>
      <c r="BD15" s="52" t="s">
        <v>415</v>
      </c>
      <c r="BE15" s="139">
        <f>B12</f>
        <v>1.83064E-2</v>
      </c>
      <c r="BF15" s="84" t="s">
        <v>353</v>
      </c>
      <c r="BG15" s="52" t="s">
        <v>417</v>
      </c>
      <c r="BH15" s="139">
        <f>B14</f>
        <v>3.7173200000000003E-2</v>
      </c>
      <c r="BI15" s="84" t="s">
        <v>353</v>
      </c>
      <c r="BJ15" s="52" t="s">
        <v>57</v>
      </c>
      <c r="BK15" s="146">
        <f>B274</f>
        <v>8</v>
      </c>
      <c r="BL15" s="52" t="s">
        <v>194</v>
      </c>
      <c r="BM15" s="90" t="s">
        <v>57</v>
      </c>
      <c r="BN15" s="146">
        <f>B274</f>
        <v>8</v>
      </c>
      <c r="BO15" s="90" t="s">
        <v>194</v>
      </c>
      <c r="BP15" s="90" t="s">
        <v>57</v>
      </c>
      <c r="BQ15" s="146">
        <f>B274</f>
        <v>8</v>
      </c>
      <c r="BR15" s="52" t="s">
        <v>194</v>
      </c>
      <c r="BS15" s="52" t="s">
        <v>90</v>
      </c>
      <c r="BT15" s="138">
        <f>B108</f>
        <v>1</v>
      </c>
      <c r="BU15" s="52" t="s">
        <v>194</v>
      </c>
      <c r="BV15" s="83" t="s">
        <v>438</v>
      </c>
      <c r="BW15" s="146">
        <f>B96</f>
        <v>0.05</v>
      </c>
      <c r="BX15" s="83" t="s">
        <v>357</v>
      </c>
      <c r="BY15" s="83" t="s">
        <v>262</v>
      </c>
      <c r="BZ15" s="145">
        <f>((BZ5)/(BZ8*BZ22*(1/BZ31)*BZ25*(1/24)*BZ28*BZ29))*BZ10</f>
        <v>17328029.135020088</v>
      </c>
      <c r="CA15" s="92" t="s">
        <v>10</v>
      </c>
      <c r="CN15" s="83" t="s">
        <v>22</v>
      </c>
      <c r="CO15" s="137">
        <f>0.693/CO16</f>
        <v>1.6041666666666665E-3</v>
      </c>
      <c r="CT15" s="83" t="s">
        <v>261</v>
      </c>
      <c r="CU15" s="144">
        <f>(CU5/(CU7*CU26*(1/CU10)*CU45))*CU11</f>
        <v>578.85170323540979</v>
      </c>
      <c r="CV15" s="92" t="s">
        <v>10</v>
      </c>
      <c r="CW15" s="52" t="s">
        <v>365</v>
      </c>
      <c r="CX15" s="138">
        <f>B172</f>
        <v>24</v>
      </c>
      <c r="CY15" s="52" t="s">
        <v>194</v>
      </c>
      <c r="CZ15" s="83" t="s">
        <v>266</v>
      </c>
      <c r="DA15" s="153">
        <f>DA5/(DA8*DA26*(DA46/DA47))</f>
        <v>127.10569703781944</v>
      </c>
      <c r="DB15" s="83" t="s">
        <v>11</v>
      </c>
      <c r="DC15" s="83" t="s">
        <v>456</v>
      </c>
      <c r="DD15" s="146">
        <f>B167</f>
        <v>350</v>
      </c>
      <c r="DE15" s="83" t="s">
        <v>24</v>
      </c>
      <c r="DF15" s="92" t="s">
        <v>61</v>
      </c>
      <c r="DG15" s="138">
        <f>B197</f>
        <v>0.42</v>
      </c>
      <c r="DH15" s="52" t="s">
        <v>41</v>
      </c>
      <c r="DL15" s="92"/>
      <c r="DO15" s="92" t="s">
        <v>61</v>
      </c>
      <c r="DP15" s="138">
        <f>B197</f>
        <v>0.42</v>
      </c>
      <c r="DQ15" s="52" t="s">
        <v>41</v>
      </c>
      <c r="DR15" s="92" t="s">
        <v>479</v>
      </c>
      <c r="DS15" s="146">
        <f>B187</f>
        <v>1</v>
      </c>
      <c r="DU15" s="92"/>
      <c r="DX15" s="52" t="s">
        <v>350</v>
      </c>
      <c r="DY15" s="164">
        <f>B170</f>
        <v>1</v>
      </c>
      <c r="EA15" s="92"/>
      <c r="EB15" s="84"/>
      <c r="EC15" s="84"/>
      <c r="ED15" s="83" t="s">
        <v>27</v>
      </c>
      <c r="EE15" s="142">
        <f>B203</f>
        <v>92</v>
      </c>
      <c r="EF15" s="83" t="s">
        <v>28</v>
      </c>
      <c r="EG15" s="92" t="s">
        <v>480</v>
      </c>
      <c r="EH15" s="146">
        <f>B188</f>
        <v>1</v>
      </c>
      <c r="EJ15" s="92"/>
      <c r="EM15" s="83" t="s">
        <v>22</v>
      </c>
      <c r="EN15" s="137">
        <f>0.693/EN16</f>
        <v>1.6041666666666665E-3</v>
      </c>
      <c r="EP15" s="92"/>
      <c r="EQ15" s="84"/>
      <c r="ER15" s="84"/>
      <c r="ES15" s="83" t="s">
        <v>29</v>
      </c>
      <c r="ET15" s="142">
        <f>B209</f>
        <v>53</v>
      </c>
      <c r="EU15" s="83" t="s">
        <v>28</v>
      </c>
      <c r="EV15" s="92" t="s">
        <v>481</v>
      </c>
      <c r="EW15" s="146">
        <f>B189</f>
        <v>1</v>
      </c>
      <c r="EY15" s="83"/>
      <c r="EZ15" s="83"/>
      <c r="FA15" s="83"/>
      <c r="FB15" s="83" t="s">
        <v>22</v>
      </c>
      <c r="FC15" s="137">
        <f>0.693/FC16</f>
        <v>1.6041666666666665E-3</v>
      </c>
      <c r="FE15" s="83"/>
      <c r="FF15" s="83"/>
      <c r="FG15" s="83"/>
      <c r="FH15" s="83" t="s">
        <v>148</v>
      </c>
      <c r="FI15" s="164">
        <f>B214</f>
        <v>0.4</v>
      </c>
      <c r="FJ15" s="83" t="s">
        <v>28</v>
      </c>
      <c r="FK15" s="92" t="s">
        <v>482</v>
      </c>
      <c r="FL15" s="146">
        <f>B190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B191</f>
        <v>1</v>
      </c>
      <c r="GC15" s="83"/>
      <c r="GD15" s="83"/>
      <c r="GE15" s="83"/>
      <c r="GF15" s="83" t="s">
        <v>22</v>
      </c>
      <c r="GG15" s="137">
        <f>0.693/GG16</f>
        <v>1.6041666666666665E-3</v>
      </c>
      <c r="GI15" s="83"/>
      <c r="GJ15" s="83"/>
      <c r="GK15" s="83"/>
      <c r="GL15" s="83" t="s">
        <v>149</v>
      </c>
      <c r="GM15" s="164">
        <f>B219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1.6041666666666665E-3</v>
      </c>
      <c r="GX15" s="83"/>
      <c r="GY15" s="83"/>
      <c r="GZ15" s="83"/>
      <c r="HA15" s="83" t="s">
        <v>150</v>
      </c>
      <c r="HB15" s="142">
        <f>B224</f>
        <v>11.4</v>
      </c>
      <c r="HC15" s="83" t="s">
        <v>28</v>
      </c>
      <c r="HD15" s="84"/>
    </row>
    <row r="16" spans="1:214" s="83" customFormat="1" x14ac:dyDescent="0.2">
      <c r="A16" s="91" t="s">
        <v>257</v>
      </c>
      <c r="B16" s="183">
        <v>0.28767199999999998</v>
      </c>
      <c r="C16" s="84" t="s">
        <v>259</v>
      </c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6195</v>
      </c>
      <c r="I16" s="83" t="s">
        <v>426</v>
      </c>
      <c r="J16" s="83" t="s">
        <v>262</v>
      </c>
      <c r="K16" s="144">
        <f>(K5/(K8*K42*((K37*K41*(1/K35))+(K38*K40*(1/K35)))*K32*(1/K44)*K33))*K11</f>
        <v>81.005518692283701</v>
      </c>
      <c r="L16" s="92" t="s">
        <v>10</v>
      </c>
      <c r="M16" s="52" t="s">
        <v>409</v>
      </c>
      <c r="N16" s="150">
        <f>B79</f>
        <v>16.416</v>
      </c>
      <c r="O16" s="52" t="s">
        <v>194</v>
      </c>
      <c r="P16" s="52" t="s">
        <v>409</v>
      </c>
      <c r="Q16" s="150">
        <f>B79</f>
        <v>16.416</v>
      </c>
      <c r="R16" s="52" t="s">
        <v>194</v>
      </c>
      <c r="S16" s="52" t="s">
        <v>409</v>
      </c>
      <c r="T16" s="150">
        <f>B79</f>
        <v>16.416</v>
      </c>
      <c r="U16" s="52" t="s">
        <v>194</v>
      </c>
      <c r="V16" s="52" t="s">
        <v>261</v>
      </c>
      <c r="W16" s="143">
        <f>(W5)/((W12/24)*W9*W10*W11*W13)</f>
        <v>6.1223302813516879E-4</v>
      </c>
      <c r="X16" s="52" t="s">
        <v>15</v>
      </c>
      <c r="Y16" s="52" t="s">
        <v>261</v>
      </c>
      <c r="Z16" s="143">
        <f>(Z5)/((Z12/24)*Z9*Z10*Z11*Z13)</f>
        <v>5.5100972532165201E-4</v>
      </c>
      <c r="AA16" s="52" t="s">
        <v>15</v>
      </c>
      <c r="AB16" s="83" t="s">
        <v>299</v>
      </c>
      <c r="AC16" s="141">
        <f>B236</f>
        <v>0.4</v>
      </c>
      <c r="AD16" s="141">
        <f>B248</f>
        <v>0.4</v>
      </c>
      <c r="AE16" s="141">
        <f>B260</f>
        <v>0.4</v>
      </c>
      <c r="AF16" s="141">
        <f>B272</f>
        <v>0.4</v>
      </c>
      <c r="AG16" s="141">
        <f>B295</f>
        <v>0.4</v>
      </c>
      <c r="AH16" s="92"/>
      <c r="AI16" s="52" t="s">
        <v>69</v>
      </c>
      <c r="AJ16" s="136">
        <f>B251</f>
        <v>8</v>
      </c>
      <c r="AK16" s="52" t="s">
        <v>194</v>
      </c>
      <c r="AL16" s="52" t="s">
        <v>69</v>
      </c>
      <c r="AM16" s="136">
        <f>B251</f>
        <v>8</v>
      </c>
      <c r="AN16" s="52" t="s">
        <v>194</v>
      </c>
      <c r="AO16" s="52" t="s">
        <v>69</v>
      </c>
      <c r="AP16" s="136">
        <f>B251</f>
        <v>8</v>
      </c>
      <c r="AQ16" s="52" t="s">
        <v>194</v>
      </c>
      <c r="AR16" s="52" t="s">
        <v>69</v>
      </c>
      <c r="AS16" s="136">
        <f>B263</f>
        <v>0</v>
      </c>
      <c r="AT16" s="52" t="s">
        <v>194</v>
      </c>
      <c r="AU16" s="52" t="s">
        <v>69</v>
      </c>
      <c r="AV16" s="136">
        <f>B263</f>
        <v>0</v>
      </c>
      <c r="AW16" s="52" t="s">
        <v>194</v>
      </c>
      <c r="AX16" s="52" t="s">
        <v>69</v>
      </c>
      <c r="AY16" s="136">
        <f>B263</f>
        <v>0</v>
      </c>
      <c r="AZ16" s="52" t="s">
        <v>194</v>
      </c>
      <c r="BA16" s="52" t="s">
        <v>69</v>
      </c>
      <c r="BB16" s="146">
        <f>B239</f>
        <v>8</v>
      </c>
      <c r="BC16" s="90" t="s">
        <v>194</v>
      </c>
      <c r="BD16" s="90" t="s">
        <v>69</v>
      </c>
      <c r="BE16" s="146">
        <f>B239</f>
        <v>8</v>
      </c>
      <c r="BF16" s="90" t="s">
        <v>194</v>
      </c>
      <c r="BG16" s="90" t="s">
        <v>69</v>
      </c>
      <c r="BH16" s="146">
        <f>B239</f>
        <v>8</v>
      </c>
      <c r="BI16" s="52" t="s">
        <v>194</v>
      </c>
      <c r="BJ16" s="52" t="s">
        <v>412</v>
      </c>
      <c r="BK16" s="139">
        <f>B10</f>
        <v>3.7173200000000003E-2</v>
      </c>
      <c r="BL16" s="84" t="s">
        <v>353</v>
      </c>
      <c r="BM16" s="52" t="s">
        <v>415</v>
      </c>
      <c r="BN16" s="139">
        <f>B12</f>
        <v>1.83064E-2</v>
      </c>
      <c r="BO16" s="84" t="s">
        <v>353</v>
      </c>
      <c r="BP16" s="52" t="s">
        <v>417</v>
      </c>
      <c r="BQ16" s="139">
        <f>B14</f>
        <v>3.7173200000000003E-2</v>
      </c>
      <c r="BR16" s="84" t="s">
        <v>353</v>
      </c>
      <c r="BS16" s="83" t="s">
        <v>256</v>
      </c>
      <c r="BT16" s="136">
        <f>E17</f>
        <v>125.5296</v>
      </c>
      <c r="BU16" s="83" t="s">
        <v>343</v>
      </c>
      <c r="BV16" s="83" t="s">
        <v>437</v>
      </c>
      <c r="BW16" s="140">
        <f>((BW18*BW20*BW23*BW30)+(BW19*BW21*BW24*BW31))</f>
        <v>45</v>
      </c>
      <c r="BX16" s="83" t="s">
        <v>356</v>
      </c>
      <c r="BY16" s="83" t="s">
        <v>46</v>
      </c>
      <c r="BZ16" s="149">
        <f>(BZ18*BZ22*BZ34)+(BZ19*BZ23*BZ35)</f>
        <v>9225</v>
      </c>
      <c r="CA16" s="83" t="s">
        <v>346</v>
      </c>
      <c r="CN16" s="91" t="s">
        <v>231</v>
      </c>
      <c r="CO16" s="136">
        <f>B18</f>
        <v>432</v>
      </c>
      <c r="CP16" s="52" t="s">
        <v>60</v>
      </c>
      <c r="CT16" s="83" t="s">
        <v>262</v>
      </c>
      <c r="CU16" s="144">
        <f>(CU5/(CU8*CU42*((CU37*CU41*(1/24))+(CU38*CU40*(1/24)))*CU32*(1/CU44)))*CU11</f>
        <v>41.668911811732769</v>
      </c>
      <c r="CV16" s="92" t="s">
        <v>10</v>
      </c>
      <c r="CW16" s="52" t="s">
        <v>364</v>
      </c>
      <c r="CX16" s="138">
        <f>B171</f>
        <v>24</v>
      </c>
      <c r="CY16" s="52" t="s">
        <v>194</v>
      </c>
      <c r="CZ16" s="83" t="s">
        <v>512</v>
      </c>
      <c r="DA16" s="153">
        <f>DG2</f>
        <v>0.93175296139242847</v>
      </c>
      <c r="DB16" s="83" t="s">
        <v>11</v>
      </c>
      <c r="DC16" s="83" t="s">
        <v>363</v>
      </c>
      <c r="DD16" s="146">
        <f>B170</f>
        <v>1</v>
      </c>
      <c r="DE16" s="83" t="s">
        <v>60</v>
      </c>
      <c r="DF16" s="92" t="s">
        <v>63</v>
      </c>
      <c r="DG16" s="151">
        <f>DG20+(0.693/DG22)</f>
        <v>4.9504394977168943E-2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1.6041666666666665E-3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B18</f>
        <v>432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B18</f>
        <v>432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B18</f>
        <v>432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B165</f>
        <v>0.15</v>
      </c>
      <c r="GQ16" s="52"/>
      <c r="GU16" s="91" t="s">
        <v>231</v>
      </c>
      <c r="GV16" s="136">
        <f>B18</f>
        <v>432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</row>
    <row r="17" spans="1:214" ht="13.5" thickBot="1" x14ac:dyDescent="0.25">
      <c r="A17" s="83" t="s">
        <v>258</v>
      </c>
      <c r="B17" s="183">
        <v>8.8060000000000005E-4</v>
      </c>
      <c r="C17" s="92" t="s">
        <v>259</v>
      </c>
      <c r="D17" s="83" t="s">
        <v>256</v>
      </c>
      <c r="E17" s="136">
        <f>B15</f>
        <v>125.5296</v>
      </c>
      <c r="F17" s="83" t="s">
        <v>343</v>
      </c>
      <c r="G17" s="83" t="s">
        <v>370</v>
      </c>
      <c r="H17" s="146">
        <f>B42</f>
        <v>0.78</v>
      </c>
      <c r="I17" s="52" t="s">
        <v>28</v>
      </c>
      <c r="J17" s="83" t="s">
        <v>263</v>
      </c>
      <c r="K17" s="153">
        <f>(K18/(K47+K48))*K11</f>
        <v>0.18524760264136017</v>
      </c>
      <c r="L17" s="92" t="s">
        <v>10</v>
      </c>
      <c r="M17" s="83"/>
      <c r="N17" s="83"/>
      <c r="O17" s="83"/>
      <c r="P17" s="83"/>
      <c r="Q17" s="83"/>
      <c r="R17" s="83"/>
      <c r="S17" s="83"/>
      <c r="T17" s="83"/>
      <c r="U17" s="83"/>
      <c r="V17" s="52" t="s">
        <v>271</v>
      </c>
      <c r="W17" s="144">
        <f>(W5)/((W12/24)*W9*W14*(1/365))</f>
        <v>3.8769076509975874E-2</v>
      </c>
      <c r="X17" s="52" t="s">
        <v>15</v>
      </c>
      <c r="Y17" s="52" t="s">
        <v>271</v>
      </c>
      <c r="Z17" s="144">
        <f>(Z5)/((Z12/24)*Z9*Z14*(1/365))</f>
        <v>3.4892168858978286E-2</v>
      </c>
      <c r="AA17" s="52" t="s">
        <v>15</v>
      </c>
      <c r="AB17" s="83" t="s">
        <v>413</v>
      </c>
      <c r="AC17" s="141">
        <f>B237</f>
        <v>1</v>
      </c>
      <c r="AD17" s="141">
        <f>B249</f>
        <v>1</v>
      </c>
      <c r="AE17" s="141">
        <f>B261</f>
        <v>1</v>
      </c>
      <c r="AF17" s="141">
        <f>B280</f>
        <v>0.753</v>
      </c>
      <c r="AG17" s="141">
        <f>B280</f>
        <v>0.753</v>
      </c>
      <c r="AH17" s="92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K17" s="83"/>
      <c r="BL17" s="83"/>
      <c r="BM17" s="83"/>
      <c r="BN17" s="83"/>
      <c r="BO17" s="83"/>
      <c r="BP17" s="83"/>
      <c r="BQ17" s="83"/>
      <c r="BR17" s="83"/>
      <c r="BS17" s="83" t="s">
        <v>301</v>
      </c>
      <c r="BT17" s="142">
        <f>B111</f>
        <v>1</v>
      </c>
      <c r="BV17" s="83" t="s">
        <v>65</v>
      </c>
      <c r="BW17" s="141">
        <f>B116</f>
        <v>0.5</v>
      </c>
      <c r="BX17" s="52" t="s">
        <v>66</v>
      </c>
      <c r="BY17" s="83" t="s">
        <v>43</v>
      </c>
      <c r="BZ17" s="149">
        <f>(BZ24*BZ20*(BZ26/24)*BZ34)+(BZ23*BZ21*(BZ27/24)*BZ35)</f>
        <v>55.3125</v>
      </c>
      <c r="CA17" s="52" t="s">
        <v>426</v>
      </c>
      <c r="CN17" s="84" t="s">
        <v>16</v>
      </c>
      <c r="CO17" s="137">
        <f>(CO14*CO15)/(1-EXP(-CO15*CO14))</f>
        <v>1.0008022977791844</v>
      </c>
      <c r="CT17" s="83" t="s">
        <v>263</v>
      </c>
      <c r="CU17" s="153">
        <f>DJ2</f>
        <v>4.5644462204579822E-2</v>
      </c>
      <c r="CV17" s="92" t="s">
        <v>10</v>
      </c>
      <c r="CW17" s="83" t="s">
        <v>256</v>
      </c>
      <c r="CX17" s="136">
        <f>B15</f>
        <v>125.5296</v>
      </c>
      <c r="CY17" s="83" t="s">
        <v>343</v>
      </c>
      <c r="CZ17" s="83" t="s">
        <v>511</v>
      </c>
      <c r="DA17" s="153">
        <f>DD2</f>
        <v>1.1858919423480364E-2</v>
      </c>
      <c r="DB17" s="83" t="s">
        <v>10</v>
      </c>
      <c r="DC17" s="93"/>
      <c r="DD17" s="136">
        <v>9.9999999999999995E-7</v>
      </c>
      <c r="DE17" s="88"/>
      <c r="DF17" s="92" t="s">
        <v>67</v>
      </c>
      <c r="DG17" s="142">
        <f>B198</f>
        <v>60</v>
      </c>
      <c r="DH17" s="83" t="s">
        <v>53</v>
      </c>
      <c r="DL17" s="92"/>
      <c r="DM17" s="83"/>
      <c r="DN17" s="83"/>
      <c r="DO17" s="92" t="s">
        <v>67</v>
      </c>
      <c r="DP17" s="142">
        <f>B198</f>
        <v>60</v>
      </c>
      <c r="DQ17" s="83" t="s">
        <v>53</v>
      </c>
      <c r="DR17" s="83" t="s">
        <v>475</v>
      </c>
      <c r="DS17" s="146">
        <f>B165</f>
        <v>0.15</v>
      </c>
      <c r="DU17" s="92"/>
      <c r="DV17" s="87"/>
      <c r="DW17" s="83"/>
      <c r="DX17" s="91" t="s">
        <v>231</v>
      </c>
      <c r="DY17" s="136">
        <f>B18</f>
        <v>432</v>
      </c>
      <c r="DZ17" s="52" t="s">
        <v>60</v>
      </c>
      <c r="EA17" s="92"/>
      <c r="EB17" s="83"/>
      <c r="EC17" s="83"/>
      <c r="ED17" s="92" t="s">
        <v>67</v>
      </c>
      <c r="EE17" s="142">
        <f>B198</f>
        <v>60</v>
      </c>
      <c r="EF17" s="83" t="s">
        <v>53</v>
      </c>
      <c r="EG17" s="83" t="s">
        <v>475</v>
      </c>
      <c r="EH17" s="146">
        <f>B165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1.0008022977791844</v>
      </c>
      <c r="EP17" s="92"/>
      <c r="EQ17" s="83"/>
      <c r="ER17" s="83"/>
      <c r="ES17" s="92" t="s">
        <v>67</v>
      </c>
      <c r="ET17" s="142">
        <f>B198</f>
        <v>60</v>
      </c>
      <c r="EU17" s="83" t="s">
        <v>53</v>
      </c>
      <c r="EV17" s="83" t="s">
        <v>475</v>
      </c>
      <c r="EW17" s="141">
        <f>B165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1.0008022977791844</v>
      </c>
      <c r="FE17" s="83"/>
      <c r="FF17" s="83"/>
      <c r="FG17" s="83"/>
      <c r="FH17" s="83" t="s">
        <v>67</v>
      </c>
      <c r="FI17" s="142">
        <f>B198</f>
        <v>60</v>
      </c>
      <c r="FJ17" s="83" t="s">
        <v>53</v>
      </c>
      <c r="FK17" s="83" t="s">
        <v>475</v>
      </c>
      <c r="FL17" s="141">
        <f>B165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B165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1.0008022977791844</v>
      </c>
      <c r="GI17" s="83"/>
      <c r="GJ17" s="83"/>
      <c r="GK17" s="83"/>
      <c r="GL17" s="83" t="s">
        <v>67</v>
      </c>
      <c r="GM17" s="142">
        <f>B198</f>
        <v>60</v>
      </c>
      <c r="GN17" s="83" t="s">
        <v>53</v>
      </c>
      <c r="GO17" s="83" t="s">
        <v>476</v>
      </c>
      <c r="GP17" s="141">
        <f>B166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1.0008022977791844</v>
      </c>
      <c r="GX17" s="83"/>
      <c r="GY17" s="83"/>
      <c r="GZ17" s="83"/>
      <c r="HA17" s="83" t="s">
        <v>67</v>
      </c>
      <c r="HB17" s="142">
        <f>B198</f>
        <v>60</v>
      </c>
      <c r="HC17" s="83" t="s">
        <v>53</v>
      </c>
      <c r="HD17" s="84"/>
      <c r="HE17" s="84"/>
    </row>
    <row r="18" spans="1:214" ht="19.5" thickTop="1" thickBot="1" x14ac:dyDescent="0.25">
      <c r="A18" s="91" t="s">
        <v>231</v>
      </c>
      <c r="B18" s="183">
        <v>432</v>
      </c>
      <c r="C18" s="52" t="s">
        <v>235</v>
      </c>
      <c r="D18" s="83" t="s">
        <v>301</v>
      </c>
      <c r="E18" s="142">
        <f>B60</f>
        <v>1</v>
      </c>
      <c r="G18" s="83" t="s">
        <v>371</v>
      </c>
      <c r="H18" s="146">
        <f>B43</f>
        <v>2.5</v>
      </c>
      <c r="I18" s="52" t="s">
        <v>28</v>
      </c>
      <c r="J18" s="83" t="s">
        <v>264</v>
      </c>
      <c r="K18" s="154">
        <f>K5/(K9*(K25+K28)*K36)</f>
        <v>4.8129308288714479E-2</v>
      </c>
      <c r="L18" s="92" t="s">
        <v>10</v>
      </c>
      <c r="V18" s="52" t="s">
        <v>261</v>
      </c>
      <c r="W18" s="144">
        <f>(W5*W7*W6)/((W12/24)*(1-EXP(-W7*W10))*W11*W13*W9*W10)</f>
        <v>6.1272422133398492E-4</v>
      </c>
      <c r="X18" s="52" t="s">
        <v>16</v>
      </c>
      <c r="Y18" s="52" t="s">
        <v>261</v>
      </c>
      <c r="Z18" s="144">
        <f>(Z5*Z7*Z6)/((Z12/24)*(1-EXP(-Z7*Z10))*Z11*Z13*Z9*Z10)</f>
        <v>5.5145179920058646E-4</v>
      </c>
      <c r="AA18" s="52" t="s">
        <v>16</v>
      </c>
      <c r="AB18" s="83" t="s">
        <v>412</v>
      </c>
      <c r="AC18" s="136">
        <f>B10</f>
        <v>3.7173200000000003E-2</v>
      </c>
      <c r="AD18" s="136">
        <f>B10</f>
        <v>3.7173200000000003E-2</v>
      </c>
      <c r="AE18" s="136">
        <f>B10</f>
        <v>3.7173200000000003E-2</v>
      </c>
      <c r="AF18" s="136">
        <f>B10</f>
        <v>3.7173200000000003E-2</v>
      </c>
      <c r="AG18" s="136">
        <f>B10</f>
        <v>3.7173200000000003E-2</v>
      </c>
      <c r="AH18" s="83" t="s">
        <v>351</v>
      </c>
      <c r="BS18" s="52" t="s">
        <v>261</v>
      </c>
      <c r="BT18" s="143">
        <f>(BT5)/(BT9*BT10)</f>
        <v>4.9808788729640847E-2</v>
      </c>
      <c r="BU18" s="52" t="s">
        <v>15</v>
      </c>
      <c r="BV18" s="83" t="s">
        <v>433</v>
      </c>
      <c r="BW18" s="150">
        <f>B112</f>
        <v>45</v>
      </c>
      <c r="BX18" s="83" t="s">
        <v>24</v>
      </c>
      <c r="BY18" s="83" t="s">
        <v>441</v>
      </c>
      <c r="BZ18" s="146">
        <f>B97</f>
        <v>200</v>
      </c>
      <c r="CA18" s="84" t="s">
        <v>48</v>
      </c>
      <c r="CB18" s="274" t="s">
        <v>572</v>
      </c>
      <c r="CC18" s="270"/>
      <c r="CD18" s="270"/>
      <c r="CE18" s="271" t="s">
        <v>573</v>
      </c>
      <c r="CF18" s="270"/>
      <c r="CG18" s="273"/>
      <c r="CJ18" s="83"/>
      <c r="CT18" s="83" t="s">
        <v>264</v>
      </c>
      <c r="CU18" s="153">
        <f>DD2</f>
        <v>1.1858919423480364E-2</v>
      </c>
      <c r="CV18" s="92" t="s">
        <v>10</v>
      </c>
      <c r="CW18" s="83" t="s">
        <v>301</v>
      </c>
      <c r="CX18" s="142">
        <f>B180</f>
        <v>1</v>
      </c>
      <c r="CZ18" s="91" t="s">
        <v>272</v>
      </c>
      <c r="DA18" s="144">
        <f>EZ2</f>
        <v>57487.571708696283</v>
      </c>
      <c r="DB18" s="83" t="s">
        <v>10</v>
      </c>
      <c r="DC18" s="88"/>
      <c r="DD18" s="136">
        <v>1000</v>
      </c>
      <c r="DE18" s="92" t="s">
        <v>99</v>
      </c>
      <c r="DF18" s="92" t="s">
        <v>68</v>
      </c>
      <c r="DG18" s="142">
        <f>B199</f>
        <v>2</v>
      </c>
      <c r="DH18" s="83" t="s">
        <v>56</v>
      </c>
      <c r="DL18" s="92"/>
      <c r="DM18" s="83"/>
      <c r="DN18" s="83"/>
      <c r="DO18" s="92" t="s">
        <v>68</v>
      </c>
      <c r="DP18" s="142">
        <f>B199</f>
        <v>2</v>
      </c>
      <c r="DQ18" s="83" t="s">
        <v>56</v>
      </c>
      <c r="DR18" s="83" t="s">
        <v>476</v>
      </c>
      <c r="DS18" s="146">
        <f>B166</f>
        <v>0.85</v>
      </c>
      <c r="DU18" s="92"/>
      <c r="DV18" s="83"/>
      <c r="DW18" s="83"/>
      <c r="DX18" s="84" t="s">
        <v>16</v>
      </c>
      <c r="DY18" s="137">
        <f>(DY15*DY16)/(1-EXP(-DY16*DY15))</f>
        <v>1.0008022977791844</v>
      </c>
      <c r="EA18" s="92"/>
      <c r="EB18" s="83"/>
      <c r="EC18" s="83"/>
      <c r="ED18" s="92" t="s">
        <v>68</v>
      </c>
      <c r="EE18" s="142">
        <f>B199</f>
        <v>2</v>
      </c>
      <c r="EF18" s="83" t="s">
        <v>56</v>
      </c>
      <c r="EG18" s="83" t="s">
        <v>476</v>
      </c>
      <c r="EH18" s="146">
        <f>B166</f>
        <v>0.85</v>
      </c>
      <c r="EJ18" s="92"/>
      <c r="EK18" s="83"/>
      <c r="EL18" s="83"/>
      <c r="EP18" s="92"/>
      <c r="EQ18" s="83"/>
      <c r="ER18" s="83"/>
      <c r="ES18" s="92" t="s">
        <v>68</v>
      </c>
      <c r="ET18" s="142">
        <f>B199</f>
        <v>2</v>
      </c>
      <c r="EU18" s="83" t="s">
        <v>56</v>
      </c>
      <c r="EV18" s="83" t="s">
        <v>476</v>
      </c>
      <c r="EW18" s="141">
        <f>B166</f>
        <v>0.85</v>
      </c>
      <c r="EX18" s="92"/>
      <c r="EY18" s="83"/>
      <c r="EZ18" s="83"/>
      <c r="FA18" s="83"/>
      <c r="FB18" s="83"/>
      <c r="FC18" s="83"/>
      <c r="FD18" s="83"/>
      <c r="FE18" s="83"/>
      <c r="FF18" s="83"/>
      <c r="FG18" s="83"/>
      <c r="FH18" s="83" t="s">
        <v>68</v>
      </c>
      <c r="FI18" s="142">
        <f>B199</f>
        <v>2</v>
      </c>
      <c r="FJ18" s="83" t="s">
        <v>56</v>
      </c>
      <c r="FK18" s="83" t="s">
        <v>476</v>
      </c>
      <c r="FL18" s="141">
        <f>B166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B166</f>
        <v>0.85</v>
      </c>
      <c r="GB18" s="92"/>
      <c r="GC18" s="83"/>
      <c r="GD18" s="83"/>
      <c r="GE18" s="83"/>
      <c r="GF18" s="83"/>
      <c r="GG18" s="83"/>
      <c r="GH18" s="83"/>
      <c r="GI18" s="83"/>
      <c r="GJ18" s="83"/>
      <c r="GK18" s="83"/>
      <c r="GL18" s="83" t="s">
        <v>68</v>
      </c>
      <c r="GM18" s="142">
        <f>B199</f>
        <v>2</v>
      </c>
      <c r="GN18" s="83" t="s">
        <v>56</v>
      </c>
      <c r="GR18" s="83"/>
      <c r="GS18" s="83"/>
      <c r="GT18" s="83"/>
      <c r="GU18" s="83"/>
      <c r="GV18" s="83"/>
      <c r="GW18" s="83"/>
      <c r="GX18" s="83"/>
      <c r="GY18" s="83"/>
      <c r="GZ18" s="83"/>
      <c r="HA18" s="83" t="s">
        <v>68</v>
      </c>
      <c r="HB18" s="142">
        <f>B199</f>
        <v>2</v>
      </c>
      <c r="HC18" s="83" t="s">
        <v>56</v>
      </c>
    </row>
    <row r="19" spans="1:214" ht="19.5" thickTop="1" thickBot="1" x14ac:dyDescent="0.25">
      <c r="A19" s="91" t="s">
        <v>77</v>
      </c>
      <c r="B19" s="183">
        <f>PEF!D3</f>
        <v>1359344473.5814338</v>
      </c>
      <c r="C19" s="52" t="s">
        <v>524</v>
      </c>
      <c r="D19" s="52" t="s">
        <v>261</v>
      </c>
      <c r="E19" s="143">
        <f>(E5)/((E15/E16)*E11*E12)</f>
        <v>4.4472132794322187E-4</v>
      </c>
      <c r="F19" s="52" t="s">
        <v>15</v>
      </c>
      <c r="G19" s="83" t="s">
        <v>366</v>
      </c>
      <c r="H19" s="146">
        <f>B38</f>
        <v>10</v>
      </c>
      <c r="I19" s="52" t="s">
        <v>407</v>
      </c>
      <c r="J19" s="83" t="s">
        <v>445</v>
      </c>
      <c r="K19" s="155">
        <f>K21*K31*K51+K22*K32*K52</f>
        <v>43050</v>
      </c>
      <c r="L19" s="83" t="s">
        <v>346</v>
      </c>
      <c r="V19" s="52" t="s">
        <v>271</v>
      </c>
      <c r="W19" s="145">
        <f>(W5*W7*W6)/((W12/24)*(1-EXP(-W7*W6))*W14*W9*(1/365))</f>
        <v>3.880018085396085E-2</v>
      </c>
      <c r="X19" s="52" t="s">
        <v>16</v>
      </c>
      <c r="Y19" s="52" t="s">
        <v>271</v>
      </c>
      <c r="Z19" s="145">
        <f>(Z5*Z7*Z6)/((Z12/24)*(1-EXP(-Z7*Z6))*Z14*Z9*(1/365))</f>
        <v>3.4920162768564765E-2</v>
      </c>
      <c r="AA19" s="52" t="s">
        <v>16</v>
      </c>
      <c r="AB19" s="83" t="s">
        <v>247</v>
      </c>
      <c r="AC19" s="139">
        <f>B6</f>
        <v>0.36297000000000001</v>
      </c>
      <c r="AD19" s="139">
        <f>B6</f>
        <v>0.36297000000000001</v>
      </c>
      <c r="AE19" s="139">
        <f>B6</f>
        <v>0.36297000000000001</v>
      </c>
      <c r="AF19" s="139">
        <f>B6</f>
        <v>0.36297000000000001</v>
      </c>
      <c r="AG19" s="139">
        <f>B6</f>
        <v>0.36297000000000001</v>
      </c>
      <c r="AH19" s="84" t="s">
        <v>259</v>
      </c>
      <c r="BS19" s="52" t="s">
        <v>271</v>
      </c>
      <c r="BT19" s="144">
        <f>(BT5)/(BT16*BT8*(1/365)*BT15*(1/24)*BT17)</f>
        <v>0.93045783623942102</v>
      </c>
      <c r="BU19" s="52" t="s">
        <v>15</v>
      </c>
      <c r="BV19" s="83" t="s">
        <v>434</v>
      </c>
      <c r="BW19" s="150">
        <f>B113</f>
        <v>45</v>
      </c>
      <c r="BX19" s="83" t="s">
        <v>24</v>
      </c>
      <c r="BY19" s="83" t="s">
        <v>442</v>
      </c>
      <c r="BZ19" s="146">
        <f>B98</f>
        <v>100</v>
      </c>
      <c r="CA19" s="84" t="s">
        <v>48</v>
      </c>
      <c r="CB19" s="267" t="s">
        <v>537</v>
      </c>
      <c r="CC19" s="261">
        <f>(CC22*CC23*CC24)/((1-EXP(-CC24*CC23))*CC27*CC31*(CC26/365)*CC29*(CC30/24)*CC28)</f>
        <v>361136976.54254413</v>
      </c>
      <c r="CD19" s="278" t="s">
        <v>10</v>
      </c>
      <c r="CE19" s="258" t="s">
        <v>537</v>
      </c>
      <c r="CF19" s="261">
        <f>(CF22*CF23*CF24)/((1-EXP(-CF24*CF23))*CF27*CF31*(CF26/365)*CF29*(CF30/24)*CF28)</f>
        <v>35240265.120967984</v>
      </c>
      <c r="CG19" s="264" t="s">
        <v>10</v>
      </c>
      <c r="CH19" s="83"/>
      <c r="CI19" s="83"/>
      <c r="CK19" s="274" t="s">
        <v>576</v>
      </c>
      <c r="CL19" s="270"/>
      <c r="CM19" s="270"/>
      <c r="CN19" s="271" t="s">
        <v>576</v>
      </c>
      <c r="CO19" s="270"/>
      <c r="CP19" s="270"/>
      <c r="CQ19" s="271" t="s">
        <v>576</v>
      </c>
      <c r="CR19" s="270"/>
      <c r="CS19" s="273"/>
      <c r="CT19" s="91" t="s">
        <v>272</v>
      </c>
      <c r="CU19" s="144">
        <f>FC2</f>
        <v>319.61210070389518</v>
      </c>
      <c r="CV19" s="92" t="s">
        <v>10</v>
      </c>
      <c r="CW19" s="52" t="s">
        <v>261</v>
      </c>
      <c r="CX19" s="143">
        <f>(CX5)/((CX15/CX16)*CX11*CX12)</f>
        <v>4.2549013538351499E-4</v>
      </c>
      <c r="CY19" s="52" t="s">
        <v>15</v>
      </c>
      <c r="CZ19" s="91" t="s">
        <v>273</v>
      </c>
      <c r="DA19" s="144">
        <f>GS2</f>
        <v>19469.354499707886</v>
      </c>
      <c r="DB19" s="83" t="s">
        <v>10</v>
      </c>
      <c r="DC19" s="92" t="s">
        <v>361</v>
      </c>
      <c r="DD19" s="146">
        <f>B186</f>
        <v>1</v>
      </c>
      <c r="DE19" s="93"/>
      <c r="DF19" s="92" t="s">
        <v>70</v>
      </c>
      <c r="DG19" s="138">
        <f>B200</f>
        <v>2.6999999999999999E-5</v>
      </c>
      <c r="DH19" s="52" t="s">
        <v>64</v>
      </c>
      <c r="DL19" s="92"/>
      <c r="DO19" s="92" t="s">
        <v>70</v>
      </c>
      <c r="DP19" s="138">
        <f>B200</f>
        <v>2.6999999999999999E-5</v>
      </c>
      <c r="DQ19" s="52" t="s">
        <v>64</v>
      </c>
      <c r="DU19" s="92"/>
      <c r="EA19" s="92"/>
      <c r="EB19" s="84"/>
      <c r="EC19" s="84"/>
      <c r="ED19" s="92" t="s">
        <v>70</v>
      </c>
      <c r="EE19" s="163">
        <f>B200</f>
        <v>2.6999999999999999E-5</v>
      </c>
      <c r="EF19" s="84" t="s">
        <v>64</v>
      </c>
      <c r="EJ19" s="92"/>
      <c r="EP19" s="92"/>
      <c r="EQ19" s="84"/>
      <c r="ER19" s="84"/>
      <c r="ES19" s="92" t="s">
        <v>70</v>
      </c>
      <c r="ET19" s="163">
        <f>B200</f>
        <v>2.6999999999999999E-5</v>
      </c>
      <c r="EU19" s="84" t="s">
        <v>64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B200</f>
        <v>2.6999999999999999E-5</v>
      </c>
      <c r="FJ19" s="84" t="s">
        <v>64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B200</f>
        <v>2.6999999999999999E-5</v>
      </c>
      <c r="GN19" s="84" t="s">
        <v>64</v>
      </c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B200</f>
        <v>2.6999999999999999E-5</v>
      </c>
      <c r="HC19" s="84" t="s">
        <v>64</v>
      </c>
    </row>
    <row r="20" spans="1:214" ht="19.5" thickTop="1" thickBot="1" x14ac:dyDescent="0.25">
      <c r="A20" s="91" t="s">
        <v>103</v>
      </c>
      <c r="B20" s="183">
        <f>PEF!G3</f>
        <v>776129.4078035407</v>
      </c>
      <c r="C20" s="52" t="s">
        <v>524</v>
      </c>
      <c r="D20" s="52" t="s">
        <v>271</v>
      </c>
      <c r="E20" s="144">
        <f>(E5)/((E15/E16)*E8*E17*(1/365)*E18)</f>
        <v>8.307659252137686E-3</v>
      </c>
      <c r="F20" s="52" t="s">
        <v>15</v>
      </c>
      <c r="G20" s="83" t="s">
        <v>367</v>
      </c>
      <c r="H20" s="146">
        <f>B39</f>
        <v>20</v>
      </c>
      <c r="I20" s="52" t="s">
        <v>407</v>
      </c>
      <c r="J20" s="83" t="s">
        <v>396</v>
      </c>
      <c r="K20" s="155">
        <f>(K31*K23*(K34/24)*K51)+(K32*K24*(K35/24)*K52)</f>
        <v>6195</v>
      </c>
      <c r="L20" s="52" t="s">
        <v>407</v>
      </c>
      <c r="M20" s="325" t="s">
        <v>566</v>
      </c>
      <c r="N20" s="326"/>
      <c r="O20" s="326"/>
      <c r="P20" s="327" t="s">
        <v>536</v>
      </c>
      <c r="Q20" s="326"/>
      <c r="R20" s="329"/>
      <c r="AB20" s="83" t="s">
        <v>83</v>
      </c>
      <c r="AC20" s="139">
        <f>B238</f>
        <v>8</v>
      </c>
      <c r="AD20" s="139">
        <f>B250</f>
        <v>0</v>
      </c>
      <c r="AE20" s="139">
        <f>B262</f>
        <v>8</v>
      </c>
      <c r="AF20" s="139">
        <f>B274</f>
        <v>8</v>
      </c>
      <c r="AG20" s="139">
        <f>B297</f>
        <v>8</v>
      </c>
      <c r="AH20" s="84" t="s">
        <v>194</v>
      </c>
      <c r="AI20" s="296" t="s">
        <v>558</v>
      </c>
      <c r="AJ20" s="294"/>
      <c r="AK20" s="297"/>
      <c r="AL20" s="293" t="s">
        <v>545</v>
      </c>
      <c r="AM20" s="294"/>
      <c r="AN20" s="295"/>
      <c r="AR20" s="296" t="s">
        <v>560</v>
      </c>
      <c r="AS20" s="294"/>
      <c r="AT20" s="297"/>
      <c r="AU20" s="293" t="s">
        <v>550</v>
      </c>
      <c r="AV20" s="294"/>
      <c r="AW20" s="295"/>
      <c r="BA20" s="296" t="s">
        <v>562</v>
      </c>
      <c r="BB20" s="294"/>
      <c r="BC20" s="297"/>
      <c r="BD20" s="293" t="s">
        <v>553</v>
      </c>
      <c r="BE20" s="294"/>
      <c r="BF20" s="295"/>
      <c r="BJ20" s="296" t="s">
        <v>563</v>
      </c>
      <c r="BK20" s="294"/>
      <c r="BL20" s="297"/>
      <c r="BM20" s="293" t="s">
        <v>556</v>
      </c>
      <c r="BN20" s="294"/>
      <c r="BO20" s="295"/>
      <c r="BS20" s="52" t="s">
        <v>261</v>
      </c>
      <c r="BT20" s="144">
        <f>(BT5*BT24*BT6)/((1-EXP(-BT6*BT24))*BT9*BT10)</f>
        <v>4.9848750210222489E-2</v>
      </c>
      <c r="BU20" s="52" t="s">
        <v>16</v>
      </c>
      <c r="BV20" s="52" t="s">
        <v>443</v>
      </c>
      <c r="BW20" s="138">
        <f>B109</f>
        <v>1</v>
      </c>
      <c r="BX20" s="52" t="s">
        <v>89</v>
      </c>
      <c r="BY20" s="83" t="s">
        <v>429</v>
      </c>
      <c r="BZ20" s="141">
        <f>B93</f>
        <v>10</v>
      </c>
      <c r="CA20" s="92" t="s">
        <v>407</v>
      </c>
      <c r="CB20" s="268"/>
      <c r="CC20" s="262"/>
      <c r="CD20" s="279"/>
      <c r="CE20" s="259"/>
      <c r="CF20" s="262"/>
      <c r="CG20" s="265"/>
      <c r="CK20" s="267" t="s">
        <v>530</v>
      </c>
      <c r="CL20" s="261">
        <f>CL23/(CL24*CL25*CL26)</f>
        <v>15.141191611779846</v>
      </c>
      <c r="CM20" s="255" t="s">
        <v>10</v>
      </c>
      <c r="CN20" s="258" t="s">
        <v>7</v>
      </c>
      <c r="CO20" s="261">
        <f>(CL20/(CO23*((CO28*CO30*CO31*(CO24+CO25))+(CO29*CO30))))*CO34</f>
        <v>24244.916259368525</v>
      </c>
      <c r="CP20" s="255" t="s">
        <v>10</v>
      </c>
      <c r="CQ20" s="258" t="s">
        <v>6</v>
      </c>
      <c r="CR20" s="261">
        <f>CL20/(CR23*CR24*(1/CR25))</f>
        <v>30282383.223559693</v>
      </c>
      <c r="CS20" s="264" t="s">
        <v>10</v>
      </c>
      <c r="CT20" s="91" t="s">
        <v>273</v>
      </c>
      <c r="CU20" s="144">
        <f>GV2</f>
        <v>143.76300757817938</v>
      </c>
      <c r="CV20" s="92" t="s">
        <v>10</v>
      </c>
      <c r="CW20" s="52" t="s">
        <v>271</v>
      </c>
      <c r="CX20" s="144">
        <f>(CX5)/((CX15/CX16)*CX8*CX17*(1/365)*CX18)</f>
        <v>8.307659252137686E-3</v>
      </c>
      <c r="CY20" s="52" t="s">
        <v>15</v>
      </c>
      <c r="CZ20" s="91" t="s">
        <v>274</v>
      </c>
      <c r="DA20" s="144">
        <f>EK2</f>
        <v>778.28250125894738</v>
      </c>
      <c r="DB20" s="83" t="s">
        <v>10</v>
      </c>
      <c r="DC20" s="83" t="s">
        <v>475</v>
      </c>
      <c r="DD20" s="146">
        <f>B165</f>
        <v>0.15</v>
      </c>
      <c r="DF20" s="92" t="s">
        <v>71</v>
      </c>
      <c r="DG20" s="137">
        <f>0.693/DG23</f>
        <v>4.3949771689497717E-6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91" t="s">
        <v>104</v>
      </c>
      <c r="B21" s="183">
        <f>PEF!J3</f>
        <v>69557565.807898715</v>
      </c>
      <c r="C21" s="52" t="s">
        <v>524</v>
      </c>
      <c r="D21" s="52" t="s">
        <v>261</v>
      </c>
      <c r="E21" s="144">
        <f>(E5*E10*E6)/((1-EXP(-E6*E10))*E11*E12)</f>
        <v>4.4507812687698657E-4</v>
      </c>
      <c r="F21" s="52" t="s">
        <v>16</v>
      </c>
      <c r="G21" s="83" t="s">
        <v>397</v>
      </c>
      <c r="H21" s="148">
        <f>(H29*H36*H32*H68)+(H30*H37*H33*H69)</f>
        <v>234.815</v>
      </c>
      <c r="I21" s="83" t="s">
        <v>356</v>
      </c>
      <c r="J21" s="83" t="s">
        <v>368</v>
      </c>
      <c r="K21" s="146">
        <f>B40</f>
        <v>200</v>
      </c>
      <c r="L21" s="84" t="s">
        <v>48</v>
      </c>
      <c r="M21" s="330" t="s">
        <v>537</v>
      </c>
      <c r="N21" s="333">
        <f>(N24*N25*N26)/((1-EXP(-N26*N25))*N34*N32*(N28/365)*(((N33/24)*N31)+((N35/24)*N30)))</f>
        <v>118.16083484872986</v>
      </c>
      <c r="O21" s="336" t="s">
        <v>76</v>
      </c>
      <c r="P21" s="339" t="s">
        <v>537</v>
      </c>
      <c r="Q21" s="333">
        <f>(Q24*Q25*Q26)/((1-EXP(-Q26*Q25))*Q34*Q32*(Q28/365)*(((Q33/24)*Q31)+((Q35/24)*Q30)))</f>
        <v>87.135666052780877</v>
      </c>
      <c r="R21" s="342" t="s">
        <v>10</v>
      </c>
      <c r="AB21" s="83" t="s">
        <v>85</v>
      </c>
      <c r="AC21" s="139">
        <f>B239</f>
        <v>8</v>
      </c>
      <c r="AD21" s="139">
        <f>B251</f>
        <v>8</v>
      </c>
      <c r="AE21" s="139">
        <f>B263</f>
        <v>0</v>
      </c>
      <c r="AF21" s="139">
        <f>B275</f>
        <v>8</v>
      </c>
      <c r="AG21" s="139">
        <f>B298</f>
        <v>8</v>
      </c>
      <c r="AH21" s="84" t="s">
        <v>194</v>
      </c>
      <c r="AI21" s="306" t="s">
        <v>537</v>
      </c>
      <c r="AJ21" s="303">
        <f>(AJ24*AJ25*AJ26)/((1-EXP(-AJ26*AJ25))*AJ34*(AJ28/365)*AJ29*(AJ35/24)*AJ30*AJ32)</f>
        <v>430.02272626498257</v>
      </c>
      <c r="AK21" s="290" t="s">
        <v>76</v>
      </c>
      <c r="AL21" s="287" t="s">
        <v>537</v>
      </c>
      <c r="AM21" s="303">
        <f>(AM24*AM25*AM26)/((1-EXP(-AM26*AM25))*AM34*(AM28/365)*AM29*(AM35/24)*AM30*AM32)</f>
        <v>317.11282946588545</v>
      </c>
      <c r="AN21" s="281" t="s">
        <v>10</v>
      </c>
      <c r="AR21" s="306" t="s">
        <v>537</v>
      </c>
      <c r="AS21" s="303">
        <f>(AS24*AS25*AS26)/((1-EXP(-AS26*AS25))*AS34*(AS28/365)*AS29*(AS33/24)*AS31*AS32)</f>
        <v>191.1212116733256</v>
      </c>
      <c r="AT21" s="290" t="s">
        <v>76</v>
      </c>
      <c r="AU21" s="287" t="s">
        <v>537</v>
      </c>
      <c r="AV21" s="303">
        <f>(AV24*AV25*AV26)/((1-EXP(-AV26*AV25))*AV34*(AV28/365)*AV29*(AV33/24)*AV31*AV32)</f>
        <v>140.93903531817134</v>
      </c>
      <c r="AW21" s="281" t="s">
        <v>10</v>
      </c>
      <c r="BA21" s="306" t="s">
        <v>537</v>
      </c>
      <c r="BB21" s="303">
        <f>(BB24*BB25*BB26)/((1-EXP(-BB26*BB25))*BB34*(BB28/365)*(BB33/24)*BB31*BB32)</f>
        <v>172.00909050599304</v>
      </c>
      <c r="BC21" s="290" t="s">
        <v>76</v>
      </c>
      <c r="BD21" s="287" t="s">
        <v>537</v>
      </c>
      <c r="BE21" s="303">
        <f>(BE24*BE25*BE26)/((1-EXP(-BE26*BE25))*BE34*(BE28/365)*(BE33/24)*BE31*BE32)</f>
        <v>126.84513178635419</v>
      </c>
      <c r="BF21" s="281" t="s">
        <v>10</v>
      </c>
      <c r="BJ21" s="306" t="s">
        <v>537</v>
      </c>
      <c r="BK21" s="284">
        <f>(BK24*BK25*BK26)/((1-EXP(-BK26*BK25))*BK35*(BK28/365)*(BK34/24)*BK32*BK33)</f>
        <v>13542636.620345403</v>
      </c>
      <c r="BL21" s="290" t="s">
        <v>76</v>
      </c>
      <c r="BM21" s="287" t="s">
        <v>537</v>
      </c>
      <c r="BN21" s="284">
        <f>(BN24*BN25*BN26)/((1-EXP(-BN26*BN25))*BN35*(BN28/365)*(BN34/24)*BN32*BN33)</f>
        <v>1321509.9420362993</v>
      </c>
      <c r="BO21" s="281" t="s">
        <v>10</v>
      </c>
      <c r="BS21" s="52" t="s">
        <v>271</v>
      </c>
      <c r="BT21" s="145">
        <f>(BT5*BT24*BT6)/((1-EXP(-BT6*BT24))*BT16*BT8*(1/365)*BT15*(1/24)*BT17)</f>
        <v>0.93120434049506029</v>
      </c>
      <c r="BU21" s="52" t="s">
        <v>16</v>
      </c>
      <c r="BV21" s="52" t="s">
        <v>444</v>
      </c>
      <c r="BW21" s="138">
        <f>B110</f>
        <v>1</v>
      </c>
      <c r="BX21" s="52" t="s">
        <v>89</v>
      </c>
      <c r="BY21" s="83" t="s">
        <v>430</v>
      </c>
      <c r="BZ21" s="141">
        <f>B94</f>
        <v>20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56"/>
      <c r="CN21" s="259"/>
      <c r="CO21" s="262"/>
      <c r="CP21" s="256"/>
      <c r="CQ21" s="259"/>
      <c r="CR21" s="262"/>
      <c r="CS21" s="265"/>
      <c r="CT21" s="91" t="s">
        <v>274</v>
      </c>
      <c r="CU21" s="144">
        <f>EN2</f>
        <v>11.990983756129069</v>
      </c>
      <c r="CV21" s="92" t="s">
        <v>10</v>
      </c>
      <c r="CW21" s="52" t="s">
        <v>261</v>
      </c>
      <c r="CX21" s="144">
        <f>(CX5*CX10*CX6)/((CX15/CX16)*(1-EXP(-CX6*CX9))*CX11*CX12)</f>
        <v>4.2583150517419799E-4</v>
      </c>
      <c r="CY21" s="52" t="s">
        <v>16</v>
      </c>
      <c r="CZ21" s="91" t="s">
        <v>509</v>
      </c>
      <c r="DA21" s="144">
        <f>DV2</f>
        <v>200580.97462315761</v>
      </c>
      <c r="DB21" s="83" t="s">
        <v>10</v>
      </c>
      <c r="DC21" s="83" t="s">
        <v>476</v>
      </c>
      <c r="DD21" s="146">
        <f>B166</f>
        <v>0.85</v>
      </c>
      <c r="DF21" s="92" t="s">
        <v>73</v>
      </c>
      <c r="DG21" s="138">
        <f>B201</f>
        <v>1</v>
      </c>
      <c r="DH21" s="52" t="s">
        <v>41</v>
      </c>
      <c r="DL21" s="92"/>
      <c r="DO21" s="92" t="s">
        <v>73</v>
      </c>
      <c r="DP21" s="138">
        <f>B201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B201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B201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B201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B201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B201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91" t="s">
        <v>231</v>
      </c>
      <c r="B22" s="183">
        <f>B18*365</f>
        <v>157680</v>
      </c>
      <c r="C22" s="52" t="s">
        <v>222</v>
      </c>
      <c r="D22" s="52" t="s">
        <v>271</v>
      </c>
      <c r="E22" s="145">
        <f>(E5*E10*E6)/((E15/E16)*E8*(1-EXP(-E6*E10))*E17*(1/365)*E18)</f>
        <v>8.3143244687058967E-3</v>
      </c>
      <c r="F22" s="52" t="s">
        <v>16</v>
      </c>
      <c r="G22" s="83" t="s">
        <v>398</v>
      </c>
      <c r="H22" s="149">
        <f>(H29*H23*H68)+(H30*H24*H69)</f>
        <v>56282.8</v>
      </c>
      <c r="I22" s="92" t="s">
        <v>347</v>
      </c>
      <c r="J22" s="83" t="s">
        <v>369</v>
      </c>
      <c r="K22" s="146">
        <f>B41</f>
        <v>100</v>
      </c>
      <c r="L22" s="84" t="s">
        <v>48</v>
      </c>
      <c r="M22" s="331"/>
      <c r="N22" s="334"/>
      <c r="O22" s="337"/>
      <c r="P22" s="340"/>
      <c r="Q22" s="334"/>
      <c r="R22" s="343"/>
      <c r="T22" s="85"/>
      <c r="AB22" s="83" t="s">
        <v>88</v>
      </c>
      <c r="AC22" s="150">
        <f>B240</f>
        <v>0.4</v>
      </c>
      <c r="AD22" s="150">
        <f>B252</f>
        <v>0.4</v>
      </c>
      <c r="AE22" s="150">
        <f>B264</f>
        <v>0.4</v>
      </c>
      <c r="AF22" s="150">
        <f>B276</f>
        <v>0.4</v>
      </c>
      <c r="AG22" s="150">
        <f>B299</f>
        <v>0.4</v>
      </c>
      <c r="AI22" s="307"/>
      <c r="AJ22" s="304"/>
      <c r="AK22" s="291"/>
      <c r="AL22" s="288"/>
      <c r="AM22" s="304"/>
      <c r="AN22" s="282"/>
      <c r="AR22" s="307"/>
      <c r="AS22" s="304"/>
      <c r="AT22" s="291"/>
      <c r="AU22" s="288"/>
      <c r="AV22" s="304"/>
      <c r="AW22" s="282"/>
      <c r="BA22" s="307"/>
      <c r="BB22" s="304"/>
      <c r="BC22" s="291"/>
      <c r="BD22" s="288"/>
      <c r="BE22" s="304"/>
      <c r="BF22" s="282"/>
      <c r="BJ22" s="307"/>
      <c r="BK22" s="285"/>
      <c r="BL22" s="291"/>
      <c r="BM22" s="288"/>
      <c r="BN22" s="285"/>
      <c r="BO22" s="282"/>
      <c r="BS22" s="52" t="s">
        <v>433</v>
      </c>
      <c r="BT22" s="138">
        <f>B104</f>
        <v>75</v>
      </c>
      <c r="BU22" s="52" t="s">
        <v>24</v>
      </c>
      <c r="BV22" s="83" t="s">
        <v>90</v>
      </c>
      <c r="BW22" s="150">
        <f>B108</f>
        <v>1</v>
      </c>
      <c r="BX22" s="52" t="s">
        <v>194</v>
      </c>
      <c r="BY22" s="83" t="s">
        <v>140</v>
      </c>
      <c r="BZ22" s="150">
        <f>B103</f>
        <v>75</v>
      </c>
      <c r="CA22" s="83" t="s">
        <v>24</v>
      </c>
      <c r="CB22" s="52" t="s">
        <v>267</v>
      </c>
      <c r="CC22" s="136">
        <f>B5</f>
        <v>1</v>
      </c>
      <c r="CD22" s="52" t="s">
        <v>344</v>
      </c>
      <c r="CE22" s="52" t="s">
        <v>267</v>
      </c>
      <c r="CF22" s="136">
        <f>B5</f>
        <v>1</v>
      </c>
      <c r="CG22" s="52" t="s">
        <v>344</v>
      </c>
      <c r="CK22" s="269"/>
      <c r="CL22" s="263"/>
      <c r="CM22" s="257"/>
      <c r="CN22" s="260"/>
      <c r="CO22" s="263"/>
      <c r="CP22" s="257"/>
      <c r="CQ22" s="260"/>
      <c r="CR22" s="263"/>
      <c r="CS22" s="266"/>
      <c r="CT22" s="91" t="s">
        <v>275</v>
      </c>
      <c r="CU22" s="144">
        <f>DY2</f>
        <v>3372.922096804904</v>
      </c>
      <c r="CV22" s="92" t="s">
        <v>10</v>
      </c>
      <c r="CW22" s="52" t="s">
        <v>271</v>
      </c>
      <c r="CX22" s="145">
        <f>(CX5*CX10*CX6)/((CX15/CX16)*CX8*(1-EXP(-CX6*CX10))*CX17*(1/365)*CX18)</f>
        <v>8.3143244687058967E-3</v>
      </c>
      <c r="CY22" s="52" t="s">
        <v>16</v>
      </c>
      <c r="CZ22" s="91" t="s">
        <v>510</v>
      </c>
      <c r="DA22" s="144">
        <f>GD2</f>
        <v>14358.917771583949</v>
      </c>
      <c r="DB22" s="83" t="s">
        <v>10</v>
      </c>
      <c r="DF22" s="92" t="s">
        <v>74</v>
      </c>
      <c r="DG22" s="138">
        <f>B202</f>
        <v>14</v>
      </c>
      <c r="DH22" s="52" t="s">
        <v>75</v>
      </c>
      <c r="DL22" s="92"/>
      <c r="DO22" s="92" t="s">
        <v>74</v>
      </c>
      <c r="DP22" s="138">
        <f>B202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B202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B202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B202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B202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B202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105</v>
      </c>
      <c r="B23" s="182">
        <v>240</v>
      </c>
      <c r="C23" s="84" t="s">
        <v>18</v>
      </c>
      <c r="D23" s="52" t="s">
        <v>380</v>
      </c>
      <c r="E23" s="138">
        <f>B54</f>
        <v>350</v>
      </c>
      <c r="F23" s="52" t="s">
        <v>24</v>
      </c>
      <c r="G23" s="83" t="s">
        <v>399</v>
      </c>
      <c r="H23" s="146">
        <f>B149</f>
        <v>68.099999999999994</v>
      </c>
      <c r="I23" s="92" t="s">
        <v>221</v>
      </c>
      <c r="J23" s="83" t="s">
        <v>366</v>
      </c>
      <c r="K23" s="141">
        <f>B38</f>
        <v>10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308"/>
      <c r="AS23" s="305"/>
      <c r="AT23" s="292"/>
      <c r="AU23" s="289"/>
      <c r="AV23" s="305"/>
      <c r="AW23" s="283"/>
      <c r="BA23" s="308"/>
      <c r="BB23" s="305"/>
      <c r="BC23" s="292"/>
      <c r="BD23" s="289"/>
      <c r="BE23" s="305"/>
      <c r="BF23" s="283"/>
      <c r="BJ23" s="308"/>
      <c r="BK23" s="286"/>
      <c r="BL23" s="292"/>
      <c r="BM23" s="289"/>
      <c r="BN23" s="286"/>
      <c r="BO23" s="283"/>
      <c r="BS23" s="52" t="s">
        <v>434</v>
      </c>
      <c r="BT23" s="138">
        <f>B105</f>
        <v>75</v>
      </c>
      <c r="BU23" s="52" t="s">
        <v>24</v>
      </c>
      <c r="BV23" s="83" t="s">
        <v>435</v>
      </c>
      <c r="BW23" s="138">
        <f>B114</f>
        <v>1</v>
      </c>
      <c r="BX23" s="52" t="s">
        <v>80</v>
      </c>
      <c r="BY23" s="83" t="s">
        <v>434</v>
      </c>
      <c r="BZ23" s="150">
        <f>B105</f>
        <v>75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B5</f>
        <v>1</v>
      </c>
      <c r="CM23" s="52" t="s">
        <v>344</v>
      </c>
      <c r="CN23" s="52" t="s">
        <v>229</v>
      </c>
      <c r="CO23" s="136">
        <f>B29</f>
        <v>5.0000000000000001E-4</v>
      </c>
      <c r="CP23" s="52" t="s">
        <v>268</v>
      </c>
      <c r="CQ23" s="83" t="s">
        <v>229</v>
      </c>
      <c r="CR23" s="136">
        <f>CO23</f>
        <v>5.0000000000000001E-4</v>
      </c>
      <c r="CS23" s="52" t="s">
        <v>268</v>
      </c>
      <c r="CT23" s="91" t="s">
        <v>276</v>
      </c>
      <c r="CU23" s="144">
        <f>GG2</f>
        <v>79.830887553669413</v>
      </c>
      <c r="CV23" s="92" t="s">
        <v>10</v>
      </c>
      <c r="CW23" s="52" t="s">
        <v>456</v>
      </c>
      <c r="CX23" s="138">
        <f>B167</f>
        <v>350</v>
      </c>
      <c r="CY23" s="52" t="s">
        <v>24</v>
      </c>
      <c r="CZ23" s="91" t="s">
        <v>277</v>
      </c>
      <c r="DA23" s="145">
        <f>FO2</f>
        <v>9.8671053805899508E-2</v>
      </c>
      <c r="DB23" s="83" t="s">
        <v>10</v>
      </c>
      <c r="DF23" s="83" t="s">
        <v>267</v>
      </c>
      <c r="DG23" s="136">
        <f>B22</f>
        <v>157680</v>
      </c>
      <c r="DH23" s="52" t="s">
        <v>222</v>
      </c>
      <c r="DO23" s="83" t="s">
        <v>19</v>
      </c>
      <c r="DP23" s="161">
        <f>DP25</f>
        <v>1.914E-5</v>
      </c>
      <c r="EA23" s="83"/>
      <c r="EB23" s="83"/>
      <c r="EC23" s="84"/>
      <c r="ED23" s="83" t="s">
        <v>19</v>
      </c>
      <c r="EE23" s="161">
        <f>EE25</f>
        <v>2.1999999999999999E-5</v>
      </c>
      <c r="EF23" s="84"/>
      <c r="EP23" s="83"/>
      <c r="EQ23" s="83"/>
      <c r="ER23" s="84"/>
      <c r="ES23" s="83" t="s">
        <v>19</v>
      </c>
      <c r="ET23" s="161">
        <f>ET25</f>
        <v>2.1999999999999999E-5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2.1999999999999999E-5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2.1999999999999999E-5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2.1999999999999999E-5</v>
      </c>
      <c r="HC23" s="84"/>
      <c r="HD23" s="67" t="s">
        <v>14</v>
      </c>
      <c r="HE23" s="126">
        <f>((HE25*HE42)*HE38*HE33*10^-3*HE32*HE27)/(HE31*HE41*(1-EXP(-HE27*HE32)))</f>
        <v>7.9710936770401475E-2</v>
      </c>
      <c r="HF23" s="220" t="s">
        <v>592</v>
      </c>
    </row>
    <row r="24" spans="1:214" ht="14.25" thickTop="1" thickBot="1" x14ac:dyDescent="0.25">
      <c r="A24" s="83" t="s">
        <v>239</v>
      </c>
      <c r="B24" s="183">
        <v>4.2E-7</v>
      </c>
      <c r="C24" s="52" t="s">
        <v>601</v>
      </c>
      <c r="D24" s="52" t="s">
        <v>381</v>
      </c>
      <c r="E24" s="138">
        <f>B55</f>
        <v>350</v>
      </c>
      <c r="F24" s="52" t="s">
        <v>24</v>
      </c>
      <c r="G24" s="83" t="s">
        <v>310</v>
      </c>
      <c r="H24" s="146">
        <f>B46</f>
        <v>188.5</v>
      </c>
      <c r="I24" s="92" t="s">
        <v>221</v>
      </c>
      <c r="J24" s="83" t="s">
        <v>367</v>
      </c>
      <c r="K24" s="141">
        <f>B39</f>
        <v>20</v>
      </c>
      <c r="L24" s="52" t="s">
        <v>407</v>
      </c>
      <c r="M24" s="52" t="s">
        <v>267</v>
      </c>
      <c r="N24" s="136">
        <f>B5</f>
        <v>1</v>
      </c>
      <c r="O24" s="52" t="s">
        <v>344</v>
      </c>
      <c r="P24" s="52" t="s">
        <v>267</v>
      </c>
      <c r="Q24" s="136">
        <f>B5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1.6041666666666665E-3</v>
      </c>
      <c r="AD24" s="137">
        <f>0.693/AD25</f>
        <v>1.6041666666666665E-3</v>
      </c>
      <c r="AE24" s="137">
        <f>0.693/AE25</f>
        <v>1.6041666666666665E-3</v>
      </c>
      <c r="AF24" s="137">
        <f>0.693/AF25</f>
        <v>1.6041666666666665E-3</v>
      </c>
      <c r="AG24" s="137">
        <f>0.693/AG25</f>
        <v>1.6041666666666665E-3</v>
      </c>
      <c r="AI24" s="52" t="s">
        <v>267</v>
      </c>
      <c r="AJ24" s="136">
        <f>B5</f>
        <v>1</v>
      </c>
      <c r="AK24" s="52" t="s">
        <v>344</v>
      </c>
      <c r="AL24" s="52" t="s">
        <v>267</v>
      </c>
      <c r="AM24" s="136">
        <f>B5</f>
        <v>1</v>
      </c>
      <c r="AN24" s="52" t="s">
        <v>344</v>
      </c>
      <c r="AR24" s="52" t="s">
        <v>267</v>
      </c>
      <c r="AS24" s="136">
        <f>B5</f>
        <v>1</v>
      </c>
      <c r="AT24" s="52" t="s">
        <v>344</v>
      </c>
      <c r="AU24" s="52" t="s">
        <v>267</v>
      </c>
      <c r="AV24" s="136">
        <f>B5</f>
        <v>1</v>
      </c>
      <c r="AW24" s="52" t="s">
        <v>344</v>
      </c>
      <c r="BA24" s="52" t="s">
        <v>267</v>
      </c>
      <c r="BB24" s="136">
        <f>B5</f>
        <v>1</v>
      </c>
      <c r="BC24" s="52" t="s">
        <v>344</v>
      </c>
      <c r="BD24" s="52" t="s">
        <v>267</v>
      </c>
      <c r="BE24" s="136">
        <f>B5</f>
        <v>1</v>
      </c>
      <c r="BF24" s="52" t="s">
        <v>344</v>
      </c>
      <c r="BJ24" s="52" t="s">
        <v>267</v>
      </c>
      <c r="BK24" s="136">
        <f>B5</f>
        <v>1</v>
      </c>
      <c r="BL24" s="52" t="s">
        <v>344</v>
      </c>
      <c r="BM24" s="52" t="s">
        <v>267</v>
      </c>
      <c r="BN24" s="136">
        <f>B5</f>
        <v>1</v>
      </c>
      <c r="BO24" s="52" t="s">
        <v>344</v>
      </c>
      <c r="BS24" s="91" t="s">
        <v>95</v>
      </c>
      <c r="BT24" s="158">
        <f>B117</f>
        <v>1</v>
      </c>
      <c r="BU24" s="91" t="s">
        <v>60</v>
      </c>
      <c r="BV24" s="83" t="s">
        <v>436</v>
      </c>
      <c r="BW24" s="138">
        <f>B115</f>
        <v>1</v>
      </c>
      <c r="BX24" s="52" t="s">
        <v>80</v>
      </c>
      <c r="BY24" s="83" t="s">
        <v>433</v>
      </c>
      <c r="BZ24" s="150">
        <f>B104</f>
        <v>75</v>
      </c>
      <c r="CA24" s="83" t="s">
        <v>24</v>
      </c>
      <c r="CB24" s="83" t="s">
        <v>22</v>
      </c>
      <c r="CC24" s="137">
        <f>0.693/CC25</f>
        <v>1.6041666666666665E-3</v>
      </c>
      <c r="CE24" s="83" t="s">
        <v>22</v>
      </c>
      <c r="CF24" s="137">
        <f>0.693/CF25</f>
        <v>1.6041666666666665E-3</v>
      </c>
      <c r="CK24" s="52" t="s">
        <v>258</v>
      </c>
      <c r="CL24" s="136">
        <f>B17</f>
        <v>8.8060000000000005E-4</v>
      </c>
      <c r="CM24" s="91" t="s">
        <v>10</v>
      </c>
      <c r="CN24" s="52" t="s">
        <v>20</v>
      </c>
      <c r="CO24" s="139">
        <f>CO26</f>
        <v>2.1999999999999999E-5</v>
      </c>
      <c r="CQ24" s="84" t="s">
        <v>170</v>
      </c>
      <c r="CR24" s="162">
        <f>B139</f>
        <v>1</v>
      </c>
      <c r="CS24" s="52" t="s">
        <v>28</v>
      </c>
      <c r="CT24" s="91" t="s">
        <v>277</v>
      </c>
      <c r="CU24" s="145">
        <f>FR2</f>
        <v>3.9500086949295106E-4</v>
      </c>
      <c r="CV24" s="92" t="s">
        <v>10</v>
      </c>
      <c r="CW24" s="52" t="s">
        <v>465</v>
      </c>
      <c r="CX24" s="138">
        <f>B168</f>
        <v>350</v>
      </c>
      <c r="CY24" s="52" t="s">
        <v>24</v>
      </c>
      <c r="CZ24" s="83" t="s">
        <v>45</v>
      </c>
      <c r="DA24" s="149">
        <f>(DA35*DA27*DA49)+(DA36*DA28*DA50)</f>
        <v>784.7</v>
      </c>
      <c r="DB24" s="52" t="s">
        <v>345</v>
      </c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128">
        <f>((HE26*HE42)*HE38*HE33*10^-3*HE32*HE27)/(HE31*HE41*(1-EXP(-HE27*HE32)))</f>
        <v>5.7714317674589797E-3</v>
      </c>
      <c r="HF24" s="221" t="s">
        <v>593</v>
      </c>
    </row>
    <row r="25" spans="1:214" ht="15" thickTop="1" x14ac:dyDescent="0.2">
      <c r="A25" s="83" t="s">
        <v>236</v>
      </c>
      <c r="B25" s="183">
        <v>5.0000000000000001E-4</v>
      </c>
      <c r="C25" s="52" t="s">
        <v>388</v>
      </c>
      <c r="D25" s="83" t="s">
        <v>376</v>
      </c>
      <c r="E25" s="146">
        <f>B49</f>
        <v>0.23</v>
      </c>
      <c r="G25" s="83" t="s">
        <v>400</v>
      </c>
      <c r="H25" s="149">
        <f>(H29*H26*H68)+(H30*H27*H69)</f>
        <v>38095.4</v>
      </c>
      <c r="I25" s="92" t="s">
        <v>347</v>
      </c>
      <c r="J25" s="83" t="s">
        <v>446</v>
      </c>
      <c r="K25" s="149">
        <f>(K31*K26*K51)+(K32*K27*K52)</f>
        <v>56282.8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5.4287877283719355E-4</v>
      </c>
      <c r="X25" s="62" t="s">
        <v>9</v>
      </c>
      <c r="Y25" s="202" t="s">
        <v>16</v>
      </c>
      <c r="Z25" s="187">
        <f>1/((1/Z41)+(1/Z40))</f>
        <v>5.4287877283719355E-4</v>
      </c>
      <c r="AA25" s="63" t="s">
        <v>9</v>
      </c>
      <c r="AB25" s="91" t="s">
        <v>231</v>
      </c>
      <c r="AC25" s="136">
        <f>B18</f>
        <v>432</v>
      </c>
      <c r="AD25" s="136">
        <f>B18</f>
        <v>432</v>
      </c>
      <c r="AE25" s="136">
        <f>B18</f>
        <v>432</v>
      </c>
      <c r="AF25" s="136">
        <f>B18</f>
        <v>432</v>
      </c>
      <c r="AG25" s="136">
        <f>B18</f>
        <v>432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B101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B108</f>
        <v>1</v>
      </c>
      <c r="CA25" s="94" t="s">
        <v>194</v>
      </c>
      <c r="CB25" s="91" t="s">
        <v>231</v>
      </c>
      <c r="CC25" s="136">
        <f>B18</f>
        <v>432</v>
      </c>
      <c r="CD25" s="52" t="s">
        <v>60</v>
      </c>
      <c r="CE25" s="91" t="s">
        <v>231</v>
      </c>
      <c r="CF25" s="136">
        <f>B18</f>
        <v>432</v>
      </c>
      <c r="CG25" s="52" t="s">
        <v>60</v>
      </c>
      <c r="CK25" s="52" t="s">
        <v>140</v>
      </c>
      <c r="CL25" s="138">
        <f>B103</f>
        <v>75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40250</v>
      </c>
      <c r="CV25" s="83" t="s">
        <v>346</v>
      </c>
      <c r="CW25" s="83" t="s">
        <v>475</v>
      </c>
      <c r="CX25" s="146">
        <f>B165</f>
        <v>0.15</v>
      </c>
      <c r="CZ25" s="83" t="s">
        <v>43</v>
      </c>
      <c r="DA25" s="140">
        <f>(DA35*DA29*(DA38/24)*DA49)+(DA36*DA30*(DA39/24)*DA50)</f>
        <v>6475</v>
      </c>
      <c r="DB25" s="83" t="s">
        <v>426</v>
      </c>
      <c r="DF25" s="52" t="s">
        <v>33</v>
      </c>
      <c r="DG25" s="136">
        <f>B32</f>
        <v>2.1999999999999999E-5</v>
      </c>
      <c r="DO25" s="83" t="s">
        <v>32</v>
      </c>
      <c r="DP25" s="136">
        <f>B31</f>
        <v>1.914E-5</v>
      </c>
      <c r="EA25" s="83"/>
      <c r="EC25" s="84"/>
      <c r="ED25" s="83" t="s">
        <v>33</v>
      </c>
      <c r="EE25" s="136">
        <f>B32</f>
        <v>2.1999999999999999E-5</v>
      </c>
      <c r="EF25" s="84"/>
      <c r="EP25" s="83"/>
      <c r="ER25" s="84"/>
      <c r="ES25" s="83" t="s">
        <v>33</v>
      </c>
      <c r="ET25" s="136">
        <f>B32</f>
        <v>2.1999999999999999E-5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B32</f>
        <v>2.1999999999999999E-5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B32</f>
        <v>2.1999999999999999E-5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B32</f>
        <v>2.1999999999999999E-5</v>
      </c>
      <c r="HC25" s="84"/>
      <c r="HD25" s="89" t="s">
        <v>21</v>
      </c>
      <c r="HE25" s="150">
        <f>B34</f>
        <v>15</v>
      </c>
      <c r="HF25" s="83" t="s">
        <v>11</v>
      </c>
    </row>
    <row r="26" spans="1:214" ht="13.5" thickBot="1" x14ac:dyDescent="0.25">
      <c r="A26" s="83" t="s">
        <v>237</v>
      </c>
      <c r="B26" s="183">
        <v>6.0000000000000001E-3</v>
      </c>
      <c r="C26" s="52" t="s">
        <v>388</v>
      </c>
      <c r="D26" s="83" t="s">
        <v>377</v>
      </c>
      <c r="E26" s="146">
        <f>B50</f>
        <v>0.77</v>
      </c>
      <c r="G26" s="83" t="s">
        <v>401</v>
      </c>
      <c r="H26" s="146">
        <f>B151</f>
        <v>41.7</v>
      </c>
      <c r="I26" s="92" t="s">
        <v>221</v>
      </c>
      <c r="J26" s="83" t="s">
        <v>399</v>
      </c>
      <c r="K26" s="146">
        <f>B45</f>
        <v>68.099999999999994</v>
      </c>
      <c r="L26" s="92" t="s">
        <v>221</v>
      </c>
      <c r="M26" s="83" t="s">
        <v>22</v>
      </c>
      <c r="N26" s="137">
        <f>0.693/N27</f>
        <v>1.6041666666666665E-3</v>
      </c>
      <c r="P26" s="83" t="s">
        <v>22</v>
      </c>
      <c r="Q26" s="137">
        <f>0.693/Q27</f>
        <v>1.6041666666666665E-3</v>
      </c>
      <c r="V26" s="201" t="s">
        <v>15</v>
      </c>
      <c r="W26" s="75">
        <f>1/((1/W38)+(1/W39))</f>
        <v>5.4244357156439476E-4</v>
      </c>
      <c r="X26" s="76" t="s">
        <v>9</v>
      </c>
      <c r="Y26" s="203" t="s">
        <v>15</v>
      </c>
      <c r="Z26" s="185">
        <f>1/((1/Z38)+(1/Z39))</f>
        <v>5.4244357156439476E-4</v>
      </c>
      <c r="AA26" s="77" t="s">
        <v>9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1.6041666666666665E-3</v>
      </c>
      <c r="AL26" s="83" t="s">
        <v>22</v>
      </c>
      <c r="AM26" s="137">
        <f>0.693/AM27</f>
        <v>1.6041666666666665E-3</v>
      </c>
      <c r="AR26" s="83" t="s">
        <v>22</v>
      </c>
      <c r="AS26" s="137">
        <f>0.693/AS27</f>
        <v>1.6041666666666665E-3</v>
      </c>
      <c r="AU26" s="83" t="s">
        <v>22</v>
      </c>
      <c r="AV26" s="137">
        <f>0.693/AV27</f>
        <v>1.6041666666666665E-3</v>
      </c>
      <c r="BA26" s="83" t="s">
        <v>22</v>
      </c>
      <c r="BB26" s="137">
        <f>0.693/BB27</f>
        <v>1.6041666666666665E-3</v>
      </c>
      <c r="BD26" s="83" t="s">
        <v>22</v>
      </c>
      <c r="BE26" s="137">
        <f>0.693/BE27</f>
        <v>1.6041666666666665E-3</v>
      </c>
      <c r="BJ26" s="83" t="s">
        <v>22</v>
      </c>
      <c r="BK26" s="137">
        <f>0.693/BK27</f>
        <v>1.6041666666666665E-3</v>
      </c>
      <c r="BM26" s="83" t="s">
        <v>22</v>
      </c>
      <c r="BN26" s="137">
        <f>0.693/BN27</f>
        <v>1.6041666666666665E-3</v>
      </c>
      <c r="BS26" s="91" t="s">
        <v>309</v>
      </c>
      <c r="BT26" s="177">
        <f>B102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B106</f>
        <v>1</v>
      </c>
      <c r="CA26" s="94" t="s">
        <v>194</v>
      </c>
      <c r="CB26" s="52" t="s">
        <v>140</v>
      </c>
      <c r="CC26" s="138">
        <f>B103</f>
        <v>75</v>
      </c>
      <c r="CD26" s="52" t="s">
        <v>24</v>
      </c>
      <c r="CE26" s="52" t="s">
        <v>140</v>
      </c>
      <c r="CF26" s="138">
        <f>B103</f>
        <v>75</v>
      </c>
      <c r="CG26" s="52" t="s">
        <v>24</v>
      </c>
      <c r="CK26" s="52" t="s">
        <v>160</v>
      </c>
      <c r="CL26" s="162">
        <f>B134</f>
        <v>1</v>
      </c>
      <c r="CM26" s="52" t="s">
        <v>221</v>
      </c>
      <c r="CN26" s="52" t="s">
        <v>33</v>
      </c>
      <c r="CO26" s="136">
        <f>B32</f>
        <v>2.1999999999999999E-5</v>
      </c>
      <c r="CT26" s="83" t="s">
        <v>506</v>
      </c>
      <c r="CU26" s="155">
        <f>((CU31*CU29*CU47)+(CU32*CU30*CU48))</f>
        <v>6475</v>
      </c>
      <c r="CV26" s="52" t="s">
        <v>426</v>
      </c>
      <c r="CW26" s="83" t="s">
        <v>476</v>
      </c>
      <c r="CX26" s="141">
        <f>B166</f>
        <v>0.85</v>
      </c>
      <c r="CY26" s="83"/>
      <c r="CZ26" s="83" t="s">
        <v>142</v>
      </c>
      <c r="DA26" s="149">
        <f>(DA35*DA40*DA42*DA49)+(DA36*DA41*DA43*DA50)</f>
        <v>239.57499999999999</v>
      </c>
      <c r="DB26" s="52" t="s">
        <v>356</v>
      </c>
      <c r="DO26" s="83" t="s">
        <v>393</v>
      </c>
      <c r="DP26" s="138">
        <f>B35</f>
        <v>0.26</v>
      </c>
      <c r="EA26" s="83"/>
      <c r="EB26" s="84"/>
      <c r="EC26" s="84"/>
      <c r="ED26" s="83" t="s">
        <v>392</v>
      </c>
      <c r="EE26" s="163">
        <f>B36</f>
        <v>0.25</v>
      </c>
      <c r="EF26" s="84"/>
      <c r="EP26" s="83"/>
      <c r="EQ26" s="84"/>
      <c r="ER26" s="84"/>
      <c r="ES26" s="83" t="s">
        <v>392</v>
      </c>
      <c r="ET26" s="163">
        <f>B36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B36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B36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B36</f>
        <v>0.25</v>
      </c>
      <c r="HC26" s="84"/>
      <c r="HD26" s="84" t="s">
        <v>265</v>
      </c>
      <c r="HE26" s="139">
        <f>H2</f>
        <v>1.0860677344847198</v>
      </c>
      <c r="HF26" s="83" t="s">
        <v>11</v>
      </c>
    </row>
    <row r="27" spans="1:214" ht="13.5" thickTop="1" x14ac:dyDescent="0.2">
      <c r="A27" s="83" t="s">
        <v>171</v>
      </c>
      <c r="B27" s="183">
        <v>3.0000000000000001E-3</v>
      </c>
      <c r="C27" s="52" t="s">
        <v>388</v>
      </c>
      <c r="G27" s="83" t="s">
        <v>402</v>
      </c>
      <c r="H27" s="146">
        <f>B48</f>
        <v>128.9</v>
      </c>
      <c r="I27" s="92" t="s">
        <v>221</v>
      </c>
      <c r="J27" s="83" t="s">
        <v>310</v>
      </c>
      <c r="K27" s="146">
        <f>B46</f>
        <v>188.5</v>
      </c>
      <c r="L27" s="92" t="s">
        <v>221</v>
      </c>
      <c r="M27" s="91" t="s">
        <v>231</v>
      </c>
      <c r="N27" s="136">
        <f>B18</f>
        <v>432</v>
      </c>
      <c r="O27" s="52" t="s">
        <v>60</v>
      </c>
      <c r="P27" s="91" t="s">
        <v>231</v>
      </c>
      <c r="Q27" s="136">
        <f>B18</f>
        <v>432</v>
      </c>
      <c r="R27" s="52" t="s">
        <v>60</v>
      </c>
      <c r="V27" s="52" t="s">
        <v>267</v>
      </c>
      <c r="W27" s="136">
        <f>B5</f>
        <v>1</v>
      </c>
      <c r="X27" s="52" t="s">
        <v>344</v>
      </c>
      <c r="Y27" s="52" t="s">
        <v>267</v>
      </c>
      <c r="Z27" s="136">
        <f>B5</f>
        <v>1</v>
      </c>
      <c r="AA27" s="52" t="s">
        <v>344</v>
      </c>
      <c r="AB27" s="84" t="s">
        <v>16</v>
      </c>
      <c r="AC27" s="156">
        <f>(AC23*AC24)/(1-EXP(-AC24*AC23))</f>
        <v>1.0008022977791844</v>
      </c>
      <c r="AD27" s="156">
        <f>(AD23*AD24)/(1-EXP(-AD24*AD23))</f>
        <v>1.0008022977791844</v>
      </c>
      <c r="AE27" s="156">
        <f>(AE23*AE24)/(1-EXP(-AE24*AE23))</f>
        <v>1.0008022977791844</v>
      </c>
      <c r="AF27" s="156">
        <f>(AF23*AF24)/(1-EXP(-AF24*AF23))</f>
        <v>1.0008022977791844</v>
      </c>
      <c r="AG27" s="156">
        <f>(AG23*AG24)/(1-EXP(-AG24*AG23))</f>
        <v>1.0008022977791844</v>
      </c>
      <c r="AI27" s="91" t="s">
        <v>231</v>
      </c>
      <c r="AJ27" s="136">
        <f>B18</f>
        <v>432</v>
      </c>
      <c r="AK27" s="52" t="s">
        <v>60</v>
      </c>
      <c r="AL27" s="91" t="s">
        <v>231</v>
      </c>
      <c r="AM27" s="136">
        <f>B18</f>
        <v>432</v>
      </c>
      <c r="AN27" s="52" t="s">
        <v>60</v>
      </c>
      <c r="AR27" s="91" t="s">
        <v>231</v>
      </c>
      <c r="AS27" s="136">
        <f>B18</f>
        <v>432</v>
      </c>
      <c r="AT27" s="52" t="s">
        <v>60</v>
      </c>
      <c r="AU27" s="91" t="s">
        <v>231</v>
      </c>
      <c r="AV27" s="136">
        <f>B18</f>
        <v>432</v>
      </c>
      <c r="AW27" s="52" t="s">
        <v>60</v>
      </c>
      <c r="BA27" s="91" t="s">
        <v>231</v>
      </c>
      <c r="BB27" s="136">
        <f>B18</f>
        <v>432</v>
      </c>
      <c r="BC27" s="52" t="s">
        <v>60</v>
      </c>
      <c r="BD27" s="91" t="s">
        <v>231</v>
      </c>
      <c r="BE27" s="136">
        <f>B18</f>
        <v>432</v>
      </c>
      <c r="BF27" s="52" t="s">
        <v>60</v>
      </c>
      <c r="BJ27" s="91" t="s">
        <v>231</v>
      </c>
      <c r="BK27" s="136">
        <f>B18</f>
        <v>432</v>
      </c>
      <c r="BL27" s="52" t="s">
        <v>60</v>
      </c>
      <c r="BM27" s="91" t="s">
        <v>231</v>
      </c>
      <c r="BN27" s="136">
        <f>B18</f>
        <v>432</v>
      </c>
      <c r="BO27" s="52" t="s">
        <v>60</v>
      </c>
      <c r="BT27" s="90"/>
      <c r="BW27" s="138">
        <v>1000</v>
      </c>
      <c r="BX27" s="52" t="s">
        <v>218</v>
      </c>
      <c r="BY27" s="83" t="s">
        <v>90</v>
      </c>
      <c r="BZ27" s="150">
        <f>B107</f>
        <v>1</v>
      </c>
      <c r="CA27" s="52" t="s">
        <v>194</v>
      </c>
      <c r="CB27" s="52" t="s">
        <v>51</v>
      </c>
      <c r="CC27" s="138">
        <f>B117</f>
        <v>1</v>
      </c>
      <c r="CD27" s="52" t="s">
        <v>146</v>
      </c>
      <c r="CE27" s="52" t="s">
        <v>51</v>
      </c>
      <c r="CF27" s="138">
        <f>B117</f>
        <v>1</v>
      </c>
      <c r="CG27" s="52" t="s">
        <v>146</v>
      </c>
      <c r="CN27" s="52" t="s">
        <v>392</v>
      </c>
      <c r="CO27" s="162">
        <f>B36</f>
        <v>0.25</v>
      </c>
      <c r="CT27" s="83" t="s">
        <v>449</v>
      </c>
      <c r="CU27" s="146">
        <f>B141</f>
        <v>200</v>
      </c>
      <c r="CV27" s="84" t="s">
        <v>48</v>
      </c>
      <c r="CZ27" s="92" t="s">
        <v>451</v>
      </c>
      <c r="DA27" s="142">
        <f t="shared" ref="DA27:DA34" si="0">B145</f>
        <v>0.78</v>
      </c>
      <c r="DB27" s="83" t="s">
        <v>28</v>
      </c>
      <c r="DW27" s="88"/>
      <c r="DX27" s="88"/>
      <c r="DY27" s="88"/>
      <c r="DZ27" s="88"/>
      <c r="EA27" s="83"/>
      <c r="EB27" s="85"/>
      <c r="ED27" s="83" t="s">
        <v>517</v>
      </c>
      <c r="EE27" s="136">
        <f>B24</f>
        <v>4.2E-7</v>
      </c>
      <c r="EF27" s="52" t="s">
        <v>601</v>
      </c>
      <c r="EP27" s="83"/>
      <c r="EQ27" s="86"/>
      <c r="ES27" s="83" t="s">
        <v>236</v>
      </c>
      <c r="ET27" s="169">
        <f>B25</f>
        <v>5.0000000000000001E-4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B27</f>
        <v>3.0000000000000001E-3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B26</f>
        <v>6.0000000000000001E-3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B28</f>
        <v>1.7000000000000001E-4</v>
      </c>
      <c r="HC27" s="52" t="s">
        <v>388</v>
      </c>
      <c r="HD27" s="83" t="s">
        <v>22</v>
      </c>
      <c r="HE27" s="137">
        <f>0.693/HE29</f>
        <v>1.6041666666666665E-3</v>
      </c>
    </row>
    <row r="28" spans="1:214" x14ac:dyDescent="0.2">
      <c r="A28" s="83" t="s">
        <v>238</v>
      </c>
      <c r="B28" s="183">
        <v>1.7000000000000001E-4</v>
      </c>
      <c r="C28" s="52" t="s">
        <v>388</v>
      </c>
      <c r="G28" s="83" t="s">
        <v>65</v>
      </c>
      <c r="H28" s="141">
        <f>B65</f>
        <v>0.5</v>
      </c>
      <c r="I28" s="52" t="s">
        <v>66</v>
      </c>
      <c r="J28" s="83" t="s">
        <v>447</v>
      </c>
      <c r="K28" s="149">
        <f>(K31*K29*K51)+(K32*K30*K52)</f>
        <v>38095.4</v>
      </c>
      <c r="L28" s="92" t="s">
        <v>347</v>
      </c>
      <c r="M28" s="52" t="s">
        <v>382</v>
      </c>
      <c r="N28" s="138">
        <f>B56</f>
        <v>350</v>
      </c>
      <c r="O28" s="52" t="s">
        <v>24</v>
      </c>
      <c r="P28" s="52" t="s">
        <v>382</v>
      </c>
      <c r="Q28" s="138">
        <f>B56</f>
        <v>350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B243</f>
        <v>250</v>
      </c>
      <c r="AK28" s="52" t="s">
        <v>24</v>
      </c>
      <c r="AL28" s="52" t="s">
        <v>35</v>
      </c>
      <c r="AM28" s="138">
        <f>B243</f>
        <v>250</v>
      </c>
      <c r="AN28" s="52" t="s">
        <v>24</v>
      </c>
      <c r="AR28" s="52" t="s">
        <v>423</v>
      </c>
      <c r="AS28" s="138">
        <f>B255</f>
        <v>225</v>
      </c>
      <c r="AT28" s="52" t="s">
        <v>24</v>
      </c>
      <c r="AU28" s="52" t="s">
        <v>423</v>
      </c>
      <c r="AV28" s="138">
        <f>B255</f>
        <v>225</v>
      </c>
      <c r="AW28" s="52" t="s">
        <v>24</v>
      </c>
      <c r="BA28" s="52" t="s">
        <v>316</v>
      </c>
      <c r="BB28" s="138">
        <f>B231</f>
        <v>250</v>
      </c>
      <c r="BC28" s="52" t="s">
        <v>24</v>
      </c>
      <c r="BD28" s="52" t="s">
        <v>316</v>
      </c>
      <c r="BE28" s="138">
        <f>B231</f>
        <v>250</v>
      </c>
      <c r="BF28" s="52" t="s">
        <v>24</v>
      </c>
      <c r="BJ28" s="52" t="s">
        <v>191</v>
      </c>
      <c r="BK28" s="138">
        <f>BK29*BK30</f>
        <v>250</v>
      </c>
      <c r="BL28" s="52" t="s">
        <v>24</v>
      </c>
      <c r="BM28" s="52" t="s">
        <v>191</v>
      </c>
      <c r="BN28" s="138">
        <f>BN29*BN30</f>
        <v>250</v>
      </c>
      <c r="BO28" s="52" t="s">
        <v>24</v>
      </c>
      <c r="BS28" s="96"/>
      <c r="BV28" s="83"/>
      <c r="BW28" s="146">
        <v>365</v>
      </c>
      <c r="BX28" s="84" t="s">
        <v>24</v>
      </c>
      <c r="BY28" s="83" t="s">
        <v>302</v>
      </c>
      <c r="BZ28" s="141">
        <f>B118</f>
        <v>2.41E-4</v>
      </c>
      <c r="CB28" s="52" t="s">
        <v>300</v>
      </c>
      <c r="CC28" s="138">
        <f>B126</f>
        <v>1.5699999999999999E-5</v>
      </c>
      <c r="CE28" s="52" t="s">
        <v>300</v>
      </c>
      <c r="CF28" s="138">
        <f>B122</f>
        <v>1.35E-4</v>
      </c>
      <c r="CN28" s="52" t="s">
        <v>165</v>
      </c>
      <c r="CO28" s="162">
        <f>B135</f>
        <v>1</v>
      </c>
      <c r="CP28" s="52" t="s">
        <v>246</v>
      </c>
      <c r="CT28" s="83" t="s">
        <v>458</v>
      </c>
      <c r="CU28" s="146">
        <f>B142</f>
        <v>100</v>
      </c>
      <c r="CV28" s="84" t="s">
        <v>48</v>
      </c>
      <c r="CZ28" s="92" t="s">
        <v>460</v>
      </c>
      <c r="DA28" s="142">
        <f t="shared" si="0"/>
        <v>2.5</v>
      </c>
      <c r="DB28" s="83" t="s">
        <v>28</v>
      </c>
      <c r="DW28" s="88"/>
      <c r="DX28" s="88"/>
      <c r="DY28" s="88"/>
      <c r="DZ28" s="88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D28" s="52" t="s">
        <v>16</v>
      </c>
      <c r="HE28" s="137">
        <f>1-EXP(-HE27*HE32)</f>
        <v>1.6028806790575612E-3</v>
      </c>
    </row>
    <row r="29" spans="1:214" ht="15.75" thickBot="1" x14ac:dyDescent="0.25">
      <c r="A29" s="52" t="s">
        <v>229</v>
      </c>
      <c r="B29" s="183">
        <v>5.0000000000000001E-4</v>
      </c>
      <c r="C29" s="52" t="s">
        <v>388</v>
      </c>
      <c r="G29" s="83" t="s">
        <v>380</v>
      </c>
      <c r="H29" s="150">
        <f>B54</f>
        <v>350</v>
      </c>
      <c r="I29" s="83" t="s">
        <v>24</v>
      </c>
      <c r="J29" s="83" t="s">
        <v>401</v>
      </c>
      <c r="K29" s="146">
        <f>B47</f>
        <v>41.7</v>
      </c>
      <c r="L29" s="92" t="s">
        <v>221</v>
      </c>
      <c r="M29" s="52" t="s">
        <v>379</v>
      </c>
      <c r="N29" s="138">
        <f>B53</f>
        <v>1</v>
      </c>
      <c r="O29" s="52" t="s">
        <v>146</v>
      </c>
      <c r="P29" s="52" t="s">
        <v>379</v>
      </c>
      <c r="Q29" s="138">
        <f>B53</f>
        <v>1</v>
      </c>
      <c r="R29" s="52" t="s">
        <v>146</v>
      </c>
      <c r="V29" s="83" t="s">
        <v>22</v>
      </c>
      <c r="W29" s="137">
        <f>0.693/W30</f>
        <v>1.6041666666666665E-3</v>
      </c>
      <c r="Y29" s="83" t="s">
        <v>22</v>
      </c>
      <c r="Z29" s="137">
        <f>0.693/Z30</f>
        <v>1.6041666666666665E-3</v>
      </c>
      <c r="AB29" s="83" t="s">
        <v>260</v>
      </c>
      <c r="AC29" s="143">
        <f>(AC5/(AC8*AC13*AC7*AC9*(1/AC6)))*AC27</f>
        <v>53.036687746644638</v>
      </c>
      <c r="AD29" s="143">
        <f>(AD5/(AD8*AD13*AD7*AD9*(1/AD6)))*AD27</f>
        <v>106.07337549328928</v>
      </c>
      <c r="AE29" s="143">
        <f>(AE5/(AE8*AE13*AE7*AE9*(1/AE6)))*AE27</f>
        <v>58.92965305182738</v>
      </c>
      <c r="AF29" s="143">
        <f>(AF5*AF23*AF24)/((1-EXP(-AF24*AF23))*AF8*AF7*AF9*AF13*(1/AF28))</f>
        <v>16.071723559589284</v>
      </c>
      <c r="AG29" s="143">
        <f>(AG5*AG23*AG24)/((1-EXP(-AG24*AG23))*AG8*AG7*AG9*AG13*(1/AG28))</f>
        <v>16.071723559589284</v>
      </c>
      <c r="AH29" s="83" t="s">
        <v>10</v>
      </c>
      <c r="AI29" s="52" t="s">
        <v>420</v>
      </c>
      <c r="AJ29" s="138">
        <f>B244</f>
        <v>1</v>
      </c>
      <c r="AK29" s="52" t="s">
        <v>146</v>
      </c>
      <c r="AL29" s="52" t="s">
        <v>420</v>
      </c>
      <c r="AM29" s="138">
        <f>B244</f>
        <v>1</v>
      </c>
      <c r="AN29" s="52" t="s">
        <v>146</v>
      </c>
      <c r="AR29" s="52" t="s">
        <v>424</v>
      </c>
      <c r="AS29" s="138">
        <f>B256</f>
        <v>1</v>
      </c>
      <c r="AT29" s="52" t="s">
        <v>146</v>
      </c>
      <c r="AU29" s="52" t="s">
        <v>424</v>
      </c>
      <c r="AV29" s="138">
        <f>B256</f>
        <v>1</v>
      </c>
      <c r="AW29" s="52" t="s">
        <v>146</v>
      </c>
      <c r="BA29" s="52" t="s">
        <v>422</v>
      </c>
      <c r="BB29" s="138">
        <f>B232</f>
        <v>1</v>
      </c>
      <c r="BC29" s="52" t="s">
        <v>146</v>
      </c>
      <c r="BD29" s="52" t="s">
        <v>422</v>
      </c>
      <c r="BE29" s="138">
        <f>B232</f>
        <v>1</v>
      </c>
      <c r="BF29" s="52" t="s">
        <v>146</v>
      </c>
      <c r="BJ29" s="52" t="s">
        <v>220</v>
      </c>
      <c r="BK29" s="138">
        <f>B278</f>
        <v>50</v>
      </c>
      <c r="BL29" s="52" t="s">
        <v>113</v>
      </c>
      <c r="BM29" s="52" t="s">
        <v>220</v>
      </c>
      <c r="BN29" s="138">
        <f>B278</f>
        <v>50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41">
        <f>B119</f>
        <v>0.753</v>
      </c>
      <c r="CB29" s="52" t="s">
        <v>411</v>
      </c>
      <c r="CC29" s="138">
        <f>B127</f>
        <v>0.80900000000000005</v>
      </c>
      <c r="CE29" s="52" t="s">
        <v>418</v>
      </c>
      <c r="CF29" s="138">
        <f>B123</f>
        <v>0.71099999999999997</v>
      </c>
      <c r="CN29" s="52" t="s">
        <v>166</v>
      </c>
      <c r="CO29" s="162">
        <f>B136</f>
        <v>1</v>
      </c>
      <c r="CP29" s="52" t="s">
        <v>246</v>
      </c>
      <c r="CT29" s="83" t="s">
        <v>450</v>
      </c>
      <c r="CU29" s="141">
        <f>B147</f>
        <v>10</v>
      </c>
      <c r="CV29" s="92" t="s">
        <v>407</v>
      </c>
      <c r="CZ29" s="92" t="s">
        <v>450</v>
      </c>
      <c r="DA29" s="142">
        <f t="shared" si="0"/>
        <v>10</v>
      </c>
      <c r="DB29" s="83" t="s">
        <v>143</v>
      </c>
      <c r="DW29" s="88"/>
      <c r="DX29" s="88"/>
      <c r="DY29" s="88"/>
      <c r="DZ29" s="8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B18</f>
        <v>432</v>
      </c>
      <c r="HF29" s="52" t="s">
        <v>60</v>
      </c>
    </row>
    <row r="30" spans="1:214" ht="19.5" thickTop="1" thickBot="1" x14ac:dyDescent="0.25">
      <c r="A30" s="83" t="s">
        <v>228</v>
      </c>
      <c r="B30" s="183">
        <v>6.0000000000000001E-3</v>
      </c>
      <c r="C30" s="52" t="s">
        <v>388</v>
      </c>
      <c r="D30" s="353" t="s">
        <v>528</v>
      </c>
      <c r="E30" s="354"/>
      <c r="F30" s="355"/>
      <c r="G30" s="83" t="s">
        <v>381</v>
      </c>
      <c r="H30" s="150">
        <f>B55</f>
        <v>350</v>
      </c>
      <c r="I30" s="83" t="s">
        <v>24</v>
      </c>
      <c r="J30" s="83" t="s">
        <v>402</v>
      </c>
      <c r="K30" s="146">
        <f>B48</f>
        <v>128.9</v>
      </c>
      <c r="L30" s="92" t="s">
        <v>221</v>
      </c>
      <c r="M30" s="52" t="s">
        <v>299</v>
      </c>
      <c r="N30" s="138">
        <f>B61</f>
        <v>0.4</v>
      </c>
      <c r="P30" s="52" t="s">
        <v>299</v>
      </c>
      <c r="Q30" s="138">
        <f>B61</f>
        <v>0.4</v>
      </c>
      <c r="V30" s="91" t="s">
        <v>231</v>
      </c>
      <c r="W30" s="136">
        <f>B18</f>
        <v>432</v>
      </c>
      <c r="X30" s="52" t="s">
        <v>60</v>
      </c>
      <c r="Y30" s="91" t="s">
        <v>231</v>
      </c>
      <c r="Z30" s="136">
        <f>B18</f>
        <v>432</v>
      </c>
      <c r="AA30" s="52" t="s">
        <v>60</v>
      </c>
      <c r="AB30" s="83" t="s">
        <v>261</v>
      </c>
      <c r="AC30" s="144">
        <f>(AC5/(AC19*AC15*AC7*AC9*(1/AC32)*((8/1)/(24/1))*AC28))*AC27</f>
        <v>749.61295568985565</v>
      </c>
      <c r="AD30" s="144">
        <f>(AD5/(AD19*AD15*AD7*((8/1)/(24/1))*AD9*(1/AD32)*AD28))*AD27</f>
        <v>749.61295568985577</v>
      </c>
      <c r="AE30" s="144">
        <f>(AE5/(AE19*AE15*AE7*((8/1)/(24/1))*AE9*(1/AE32)*AE28))*AE27</f>
        <v>832.90328409983965</v>
      </c>
      <c r="AF30" s="144">
        <f>(AF5*AF23*AF24)/((1-EXP(-AF24*AF23))*AF19*AF7*AF9*(AF12/24)*AF15*(1/AF33)*AF28)</f>
        <v>0.42799795834574822</v>
      </c>
      <c r="AG30" s="144">
        <f>(AG5*AG23*AG24)/((1-EXP(-AG24*AG23))*AG19*AG7*AG9*(AG12/24)*AG15*(1/AG34)*AG28)</f>
        <v>38.357644812778936</v>
      </c>
      <c r="AH30" s="83" t="s">
        <v>10</v>
      </c>
      <c r="AI30" s="52" t="s">
        <v>299</v>
      </c>
      <c r="AJ30" s="138">
        <f>B248</f>
        <v>0.4</v>
      </c>
      <c r="AL30" s="52" t="s">
        <v>299</v>
      </c>
      <c r="AM30" s="138">
        <f>B248</f>
        <v>0.4</v>
      </c>
      <c r="AR30" s="52" t="s">
        <v>299</v>
      </c>
      <c r="AS30" s="138">
        <f>B260</f>
        <v>0.4</v>
      </c>
      <c r="AV30" s="138"/>
      <c r="BA30" s="52" t="s">
        <v>299</v>
      </c>
      <c r="BB30" s="138">
        <f>B236</f>
        <v>0.4</v>
      </c>
      <c r="BD30" s="52" t="s">
        <v>299</v>
      </c>
      <c r="BE30" s="138">
        <f>B236</f>
        <v>0.4</v>
      </c>
      <c r="BJ30" s="52" t="s">
        <v>219</v>
      </c>
      <c r="BK30" s="138">
        <f>B277</f>
        <v>5</v>
      </c>
      <c r="BL30" s="52" t="s">
        <v>112</v>
      </c>
      <c r="BM30" s="52" t="s">
        <v>219</v>
      </c>
      <c r="BN30" s="138">
        <f>B277</f>
        <v>5</v>
      </c>
      <c r="BO30" s="52" t="s">
        <v>112</v>
      </c>
      <c r="BS30" s="91"/>
      <c r="BT30" s="97"/>
      <c r="BU30" s="91"/>
      <c r="BV30" s="91" t="s">
        <v>308</v>
      </c>
      <c r="BW30" s="146">
        <f>B101</f>
        <v>0.23</v>
      </c>
      <c r="BY30" s="94" t="s">
        <v>95</v>
      </c>
      <c r="BZ30" s="150">
        <f>B117</f>
        <v>1</v>
      </c>
      <c r="CA30" s="94" t="s">
        <v>60</v>
      </c>
      <c r="CB30" s="52" t="s">
        <v>90</v>
      </c>
      <c r="CC30" s="138">
        <f>B108</f>
        <v>1</v>
      </c>
      <c r="CD30" s="52" t="s">
        <v>194</v>
      </c>
      <c r="CE30" s="52" t="s">
        <v>90</v>
      </c>
      <c r="CF30" s="138">
        <f>B108</f>
        <v>1</v>
      </c>
      <c r="CG30" s="52" t="s">
        <v>194</v>
      </c>
      <c r="CM30" s="83"/>
      <c r="CN30" s="93" t="s">
        <v>167</v>
      </c>
      <c r="CO30" s="162">
        <f>B137</f>
        <v>1</v>
      </c>
      <c r="CP30" s="52" t="s">
        <v>41</v>
      </c>
      <c r="CQ30" s="88"/>
      <c r="CR30" s="83"/>
      <c r="CS30" s="83"/>
      <c r="CT30" s="83" t="s">
        <v>459</v>
      </c>
      <c r="CU30" s="141">
        <f>B148</f>
        <v>20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20</v>
      </c>
      <c r="DB30" s="83" t="s">
        <v>143</v>
      </c>
      <c r="DW30" s="88"/>
      <c r="DX30" s="88"/>
      <c r="DY30" s="88"/>
      <c r="DZ30" s="8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B83</f>
        <v>0.3</v>
      </c>
    </row>
    <row r="31" spans="1:214" x14ac:dyDescent="0.2">
      <c r="A31" s="84" t="s">
        <v>32</v>
      </c>
      <c r="B31" s="183">
        <f>0.00001914</f>
        <v>1.914E-5</v>
      </c>
      <c r="D31" s="323" t="s">
        <v>530</v>
      </c>
      <c r="E31" s="347">
        <f>E38</f>
        <v>6.0084093697539066E-2</v>
      </c>
      <c r="F31" s="345" t="s">
        <v>10</v>
      </c>
      <c r="G31" s="83" t="s">
        <v>379</v>
      </c>
      <c r="H31" s="150">
        <f>B53</f>
        <v>1</v>
      </c>
      <c r="I31" s="84" t="s">
        <v>60</v>
      </c>
      <c r="J31" s="83" t="s">
        <v>380</v>
      </c>
      <c r="K31" s="150">
        <f>B54</f>
        <v>350</v>
      </c>
      <c r="L31" s="83" t="s">
        <v>24</v>
      </c>
      <c r="M31" s="52" t="s">
        <v>300</v>
      </c>
      <c r="N31" s="138">
        <f>B62</f>
        <v>1</v>
      </c>
      <c r="P31" s="52" t="s">
        <v>300</v>
      </c>
      <c r="Q31" s="138">
        <f>B62</f>
        <v>1</v>
      </c>
      <c r="V31" s="52" t="s">
        <v>35</v>
      </c>
      <c r="W31" s="138">
        <f>B243</f>
        <v>250</v>
      </c>
      <c r="X31" s="52" t="s">
        <v>24</v>
      </c>
      <c r="Y31" s="52" t="s">
        <v>191</v>
      </c>
      <c r="Z31" s="138">
        <f>B267</f>
        <v>250</v>
      </c>
      <c r="AA31" s="52" t="s">
        <v>24</v>
      </c>
      <c r="AB31" s="83" t="s">
        <v>262</v>
      </c>
      <c r="AC31" s="145">
        <f>(AC5*AC23*AC24)/((1-EXP(-AC24*AC23))*AC18*AC7*(1/365)*AC12*(1/24)*AC14*AC17)</f>
        <v>117.92135367073126</v>
      </c>
      <c r="AD31" s="145">
        <f>(AD5*AD23*AD24)/((1-EXP(-AD24*AD23))*AD18*AD7*(1/365)*AD12*(1/24)*AD16*AD17)</f>
        <v>294.80338417682816</v>
      </c>
      <c r="AE31" s="145">
        <f>(AE5*AE23*AE24)/((1-EXP(-AE24*AE23))*AE18*AE7*(1/365)*AE12*(1/24)*AE14*AE17)</f>
        <v>131.02372630081251</v>
      </c>
      <c r="AF31" s="145">
        <f>(AF5*AF23*AF24)/((1-EXP(-AF24*AF23))*AF18*(AF11*AF10)*(1/365)*AF12*(1/24)*AF14*AF17)</f>
        <v>649801.09256325325</v>
      </c>
      <c r="AG31" s="145">
        <f>(AG5*AG23*AG24)/((1-EXP(-AG24*AG23))*AG18*AG7*(1/365)*AG9*(AG12/24)*AG14*AG17)</f>
        <v>649801.09256325325</v>
      </c>
      <c r="AH31" s="83" t="s">
        <v>10</v>
      </c>
      <c r="AI31" s="52" t="s">
        <v>300</v>
      </c>
      <c r="AJ31" s="138">
        <f>B235</f>
        <v>1</v>
      </c>
      <c r="AL31" s="52" t="s">
        <v>300</v>
      </c>
      <c r="AM31" s="138">
        <f>B235</f>
        <v>1</v>
      </c>
      <c r="AR31" s="52" t="s">
        <v>300</v>
      </c>
      <c r="AS31" s="138">
        <f>B259</f>
        <v>1</v>
      </c>
      <c r="AU31" s="52" t="s">
        <v>300</v>
      </c>
      <c r="AV31" s="138">
        <f>B259</f>
        <v>1</v>
      </c>
      <c r="BA31" s="52" t="s">
        <v>300</v>
      </c>
      <c r="BB31" s="138">
        <f>B235</f>
        <v>1</v>
      </c>
      <c r="BD31" s="52" t="s">
        <v>300</v>
      </c>
      <c r="BE31" s="138">
        <f>B235</f>
        <v>1</v>
      </c>
      <c r="BJ31" s="52" t="s">
        <v>158</v>
      </c>
      <c r="BK31" s="138">
        <f>B268</f>
        <v>1</v>
      </c>
      <c r="BL31" s="52" t="s">
        <v>146</v>
      </c>
      <c r="BM31" s="52" t="s">
        <v>158</v>
      </c>
      <c r="BN31" s="138">
        <f>B268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B102</f>
        <v>0.77</v>
      </c>
      <c r="BZ31" s="150">
        <v>365</v>
      </c>
      <c r="CA31" s="52" t="s">
        <v>24</v>
      </c>
      <c r="CB31" s="52" t="s">
        <v>410</v>
      </c>
      <c r="CC31" s="139">
        <f>B11</f>
        <v>2.5484199999999999E-2</v>
      </c>
      <c r="CD31" s="84" t="s">
        <v>353</v>
      </c>
      <c r="CE31" s="52" t="s">
        <v>419</v>
      </c>
      <c r="CF31" s="139">
        <f>B13</f>
        <v>3.4557999999999998E-2</v>
      </c>
      <c r="CG31" s="84" t="s">
        <v>353</v>
      </c>
      <c r="CM31" s="83"/>
      <c r="CN31" s="83" t="s">
        <v>168</v>
      </c>
      <c r="CO31" s="162">
        <f>B138</f>
        <v>1</v>
      </c>
      <c r="CP31" s="52" t="s">
        <v>41</v>
      </c>
      <c r="CQ31" s="83"/>
      <c r="CR31" s="83"/>
      <c r="CS31" s="83"/>
      <c r="CT31" s="83" t="s">
        <v>456</v>
      </c>
      <c r="CU31" s="150">
        <f>B167</f>
        <v>350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68.099999999999994</v>
      </c>
      <c r="DB31" s="83" t="s">
        <v>221</v>
      </c>
      <c r="DW31" s="88"/>
      <c r="DX31" s="88"/>
      <c r="DY31" s="88"/>
      <c r="DZ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B84</f>
        <v>1.5</v>
      </c>
    </row>
    <row r="32" spans="1:214" ht="13.5" thickBot="1" x14ac:dyDescent="0.25">
      <c r="A32" s="52" t="s">
        <v>33</v>
      </c>
      <c r="B32" s="183">
        <v>2.1999999999999999E-5</v>
      </c>
      <c r="D32" s="324"/>
      <c r="E32" s="348"/>
      <c r="F32" s="346"/>
      <c r="G32" s="52" t="s">
        <v>403</v>
      </c>
      <c r="H32" s="138">
        <f>B57</f>
        <v>0.54</v>
      </c>
      <c r="I32" s="52" t="s">
        <v>89</v>
      </c>
      <c r="J32" s="83" t="s">
        <v>381</v>
      </c>
      <c r="K32" s="150">
        <f>B55</f>
        <v>350</v>
      </c>
      <c r="L32" s="83" t="s">
        <v>24</v>
      </c>
      <c r="M32" s="52" t="s">
        <v>54</v>
      </c>
      <c r="N32" s="138">
        <f>B63</f>
        <v>1</v>
      </c>
      <c r="P32" s="52" t="s">
        <v>54</v>
      </c>
      <c r="Q32" s="138">
        <f>B63</f>
        <v>1</v>
      </c>
      <c r="V32" s="52" t="s">
        <v>420</v>
      </c>
      <c r="W32" s="138">
        <f>B244</f>
        <v>1</v>
      </c>
      <c r="X32" s="52" t="s">
        <v>146</v>
      </c>
      <c r="Y32" s="52" t="s">
        <v>158</v>
      </c>
      <c r="Z32" s="138">
        <f>B268</f>
        <v>1</v>
      </c>
      <c r="AA32" s="52" t="s">
        <v>146</v>
      </c>
      <c r="AB32" s="83" t="s">
        <v>77</v>
      </c>
      <c r="AC32" s="136">
        <f>B19</f>
        <v>1359344473.5814338</v>
      </c>
      <c r="AD32" s="136">
        <f>B19</f>
        <v>1359344473.5814338</v>
      </c>
      <c r="AE32" s="136">
        <f>B19</f>
        <v>1359344473.5814338</v>
      </c>
      <c r="AF32" s="136"/>
      <c r="AG32" s="136"/>
      <c r="AH32" s="104" t="s">
        <v>78</v>
      </c>
      <c r="AI32" s="52" t="s">
        <v>54</v>
      </c>
      <c r="AJ32" s="138">
        <f>B249</f>
        <v>1</v>
      </c>
      <c r="AL32" s="52" t="s">
        <v>54</v>
      </c>
      <c r="AM32" s="138">
        <f>B249</f>
        <v>1</v>
      </c>
      <c r="AR32" s="52" t="s">
        <v>54</v>
      </c>
      <c r="AS32" s="138">
        <f>B261</f>
        <v>1</v>
      </c>
      <c r="AU32" s="52" t="s">
        <v>54</v>
      </c>
      <c r="AV32" s="138">
        <f>B261</f>
        <v>1</v>
      </c>
      <c r="BA32" s="52" t="s">
        <v>54</v>
      </c>
      <c r="BB32" s="138">
        <f>B237</f>
        <v>1</v>
      </c>
      <c r="BD32" s="52" t="s">
        <v>54</v>
      </c>
      <c r="BE32" s="138">
        <f>B237</f>
        <v>1</v>
      </c>
      <c r="BJ32" s="52" t="s">
        <v>300</v>
      </c>
      <c r="BK32" s="136">
        <f>B281</f>
        <v>1.5699999999999999E-5</v>
      </c>
      <c r="BM32" s="52" t="s">
        <v>300</v>
      </c>
      <c r="BN32" s="136">
        <f>B285</f>
        <v>1.35E-4</v>
      </c>
      <c r="BS32" s="91"/>
      <c r="BT32" s="99"/>
      <c r="BU32" s="100"/>
      <c r="BW32" s="90"/>
      <c r="BZ32" s="138">
        <v>1000</v>
      </c>
      <c r="CA32" s="52" t="s">
        <v>99</v>
      </c>
      <c r="CM32" s="83"/>
      <c r="CN32" s="83" t="s">
        <v>22</v>
      </c>
      <c r="CO32" s="137">
        <f>0.693/CO33</f>
        <v>1.6041666666666665E-3</v>
      </c>
      <c r="CR32" s="83"/>
      <c r="CS32" s="83"/>
      <c r="CT32" s="83" t="s">
        <v>465</v>
      </c>
      <c r="CU32" s="150">
        <f>B168</f>
        <v>350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176.8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5" thickTop="1" x14ac:dyDescent="0.2">
      <c r="A33" s="83" t="s">
        <v>156</v>
      </c>
      <c r="B33" s="182">
        <v>4</v>
      </c>
      <c r="C33" s="83" t="s">
        <v>18</v>
      </c>
      <c r="D33" s="83" t="s">
        <v>267</v>
      </c>
      <c r="E33" s="136">
        <f>B5</f>
        <v>1</v>
      </c>
      <c r="F33" s="52" t="s">
        <v>344</v>
      </c>
      <c r="G33" s="52" t="s">
        <v>404</v>
      </c>
      <c r="H33" s="138">
        <f>B58</f>
        <v>0.71</v>
      </c>
      <c r="I33" s="52" t="s">
        <v>89</v>
      </c>
      <c r="J33" s="83" t="s">
        <v>379</v>
      </c>
      <c r="K33" s="141">
        <f>B53</f>
        <v>1</v>
      </c>
      <c r="L33" s="92" t="s">
        <v>60</v>
      </c>
      <c r="M33" s="52" t="s">
        <v>408</v>
      </c>
      <c r="N33" s="150">
        <f>B78</f>
        <v>1.752</v>
      </c>
      <c r="O33" s="52" t="s">
        <v>194</v>
      </c>
      <c r="P33" s="52" t="s">
        <v>408</v>
      </c>
      <c r="Q33" s="150">
        <f>B78</f>
        <v>1.752</v>
      </c>
      <c r="R33" s="52" t="s">
        <v>194</v>
      </c>
      <c r="V33" s="52" t="s">
        <v>247</v>
      </c>
      <c r="W33" s="139">
        <f>B6</f>
        <v>0.36297000000000001</v>
      </c>
      <c r="X33" s="84" t="s">
        <v>39</v>
      </c>
      <c r="Y33" s="52" t="s">
        <v>247</v>
      </c>
      <c r="Z33" s="139">
        <f>B6</f>
        <v>0.36297000000000001</v>
      </c>
      <c r="AA33" s="84" t="s">
        <v>39</v>
      </c>
      <c r="AB33" s="104" t="s">
        <v>103</v>
      </c>
      <c r="AC33" s="136"/>
      <c r="AD33" s="136"/>
      <c r="AE33" s="136"/>
      <c r="AF33" s="157">
        <f>B20</f>
        <v>776129.4078035407</v>
      </c>
      <c r="AG33" s="136"/>
      <c r="AH33" s="104" t="s">
        <v>78</v>
      </c>
      <c r="AI33" s="52" t="s">
        <v>57</v>
      </c>
      <c r="AJ33" s="136">
        <f>B250</f>
        <v>0</v>
      </c>
      <c r="AK33" s="52" t="s">
        <v>194</v>
      </c>
      <c r="AL33" s="52" t="s">
        <v>57</v>
      </c>
      <c r="AM33" s="136">
        <f>B250</f>
        <v>0</v>
      </c>
      <c r="AN33" s="52" t="s">
        <v>194</v>
      </c>
      <c r="AR33" s="52" t="s">
        <v>57</v>
      </c>
      <c r="AS33" s="136">
        <f>B262</f>
        <v>8</v>
      </c>
      <c r="AT33" s="52" t="s">
        <v>194</v>
      </c>
      <c r="AU33" s="52" t="s">
        <v>57</v>
      </c>
      <c r="AV33" s="136">
        <f>B262</f>
        <v>8</v>
      </c>
      <c r="AW33" s="52" t="s">
        <v>194</v>
      </c>
      <c r="BA33" s="52" t="s">
        <v>58</v>
      </c>
      <c r="BB33" s="146">
        <f>B238</f>
        <v>8</v>
      </c>
      <c r="BC33" s="90" t="s">
        <v>194</v>
      </c>
      <c r="BD33" s="90" t="s">
        <v>57</v>
      </c>
      <c r="BE33" s="146">
        <f>B238</f>
        <v>8</v>
      </c>
      <c r="BF33" s="52" t="s">
        <v>194</v>
      </c>
      <c r="BJ33" s="52" t="s">
        <v>411</v>
      </c>
      <c r="BK33" s="136">
        <f>B282</f>
        <v>0.80900000000000005</v>
      </c>
      <c r="BM33" s="52" t="s">
        <v>418</v>
      </c>
      <c r="BN33" s="136">
        <f>B286</f>
        <v>0.71099999999999997</v>
      </c>
      <c r="BS33" s="91"/>
      <c r="BT33" s="99"/>
      <c r="BU33" s="100"/>
      <c r="BW33" s="90"/>
      <c r="BZ33" s="146">
        <v>1000</v>
      </c>
      <c r="CA33" s="52" t="s">
        <v>23</v>
      </c>
      <c r="CM33" s="83"/>
      <c r="CN33" s="91" t="s">
        <v>231</v>
      </c>
      <c r="CO33" s="136">
        <f>B18</f>
        <v>432</v>
      </c>
      <c r="CP33" s="52" t="s">
        <v>60</v>
      </c>
      <c r="CR33" s="83"/>
      <c r="CS33" s="83"/>
      <c r="CT33" s="83" t="s">
        <v>363</v>
      </c>
      <c r="CU33" s="141">
        <f t="shared" ref="CU33:CU42" si="1">B170</f>
        <v>1</v>
      </c>
      <c r="CV33" s="92" t="s">
        <v>60</v>
      </c>
      <c r="CZ33" s="92" t="s">
        <v>513</v>
      </c>
      <c r="DA33" s="141">
        <f t="shared" si="0"/>
        <v>41.7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B82</f>
        <v>70</v>
      </c>
    </row>
    <row r="34" spans="1:214" x14ac:dyDescent="0.2">
      <c r="A34" s="84" t="s">
        <v>21</v>
      </c>
      <c r="B34" s="181">
        <v>15</v>
      </c>
      <c r="C34" s="52" t="s">
        <v>11</v>
      </c>
      <c r="D34" s="83" t="s">
        <v>382</v>
      </c>
      <c r="E34" s="150">
        <f>B56</f>
        <v>350</v>
      </c>
      <c r="F34" s="83" t="s">
        <v>24</v>
      </c>
      <c r="G34" s="83" t="s">
        <v>383</v>
      </c>
      <c r="H34" s="150">
        <f>B59</f>
        <v>24</v>
      </c>
      <c r="I34" s="94" t="s">
        <v>194</v>
      </c>
      <c r="J34" s="83" t="s">
        <v>383</v>
      </c>
      <c r="K34" s="150">
        <f>B59</f>
        <v>24</v>
      </c>
      <c r="L34" s="94" t="s">
        <v>194</v>
      </c>
      <c r="M34" s="52" t="s">
        <v>410</v>
      </c>
      <c r="N34" s="139">
        <f>B11</f>
        <v>2.5484199999999999E-2</v>
      </c>
      <c r="O34" s="84" t="s">
        <v>354</v>
      </c>
      <c r="P34" s="52" t="s">
        <v>419</v>
      </c>
      <c r="Q34" s="139">
        <f>B13</f>
        <v>3.4557999999999998E-2</v>
      </c>
      <c r="R34" s="84" t="s">
        <v>353</v>
      </c>
      <c r="V34" s="52" t="s">
        <v>421</v>
      </c>
      <c r="W34" s="150">
        <f>B251</f>
        <v>8</v>
      </c>
      <c r="X34" s="84" t="s">
        <v>194</v>
      </c>
      <c r="Y34" s="52" t="s">
        <v>192</v>
      </c>
      <c r="Z34" s="150">
        <f>B274</f>
        <v>8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B21</f>
        <v>69557565.807898715</v>
      </c>
      <c r="AH34" s="104" t="s">
        <v>78</v>
      </c>
      <c r="AI34" s="52" t="s">
        <v>410</v>
      </c>
      <c r="AJ34" s="139">
        <f>B11</f>
        <v>2.5484199999999999E-2</v>
      </c>
      <c r="AK34" s="84" t="s">
        <v>353</v>
      </c>
      <c r="AL34" s="52" t="s">
        <v>419</v>
      </c>
      <c r="AM34" s="139">
        <f>B13</f>
        <v>3.4557999999999998E-2</v>
      </c>
      <c r="AN34" s="84" t="s">
        <v>353</v>
      </c>
      <c r="AR34" s="52" t="s">
        <v>410</v>
      </c>
      <c r="AS34" s="139">
        <f>B11</f>
        <v>2.5484199999999999E-2</v>
      </c>
      <c r="AT34" s="84" t="s">
        <v>353</v>
      </c>
      <c r="AU34" s="52" t="s">
        <v>419</v>
      </c>
      <c r="AV34" s="139">
        <f>B13</f>
        <v>3.4557999999999998E-2</v>
      </c>
      <c r="AW34" s="84" t="s">
        <v>353</v>
      </c>
      <c r="BA34" s="52" t="s">
        <v>410</v>
      </c>
      <c r="BB34" s="139">
        <f>B11</f>
        <v>2.5484199999999999E-2</v>
      </c>
      <c r="BC34" s="84" t="s">
        <v>353</v>
      </c>
      <c r="BD34" s="52" t="s">
        <v>419</v>
      </c>
      <c r="BE34" s="139">
        <f>B13</f>
        <v>3.4557999999999998E-2</v>
      </c>
      <c r="BF34" s="84" t="s">
        <v>353</v>
      </c>
      <c r="BJ34" s="52" t="s">
        <v>57</v>
      </c>
      <c r="BK34" s="146">
        <f>B274</f>
        <v>8</v>
      </c>
      <c r="BL34" s="90" t="s">
        <v>194</v>
      </c>
      <c r="BM34" s="90" t="s">
        <v>57</v>
      </c>
      <c r="BN34" s="146">
        <f>B274</f>
        <v>8</v>
      </c>
      <c r="BO34" s="52" t="s">
        <v>194</v>
      </c>
      <c r="BT34" s="102"/>
      <c r="BU34" s="91"/>
      <c r="BY34" s="91" t="s">
        <v>308</v>
      </c>
      <c r="BZ34" s="146">
        <f>B101</f>
        <v>0.23</v>
      </c>
      <c r="CM34" s="83"/>
      <c r="CN34" s="84" t="s">
        <v>16</v>
      </c>
      <c r="CO34" s="137">
        <f>(CO31*CO32)/(1-EXP(-CO32*CO31))</f>
        <v>1.0008022977791844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125.7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B33</f>
        <v>4</v>
      </c>
    </row>
    <row r="35" spans="1:214" x14ac:dyDescent="0.2">
      <c r="A35" s="52" t="s">
        <v>393</v>
      </c>
      <c r="B35" s="131">
        <v>0.26</v>
      </c>
      <c r="D35" s="83" t="s">
        <v>258</v>
      </c>
      <c r="E35" s="136">
        <f>B17</f>
        <v>8.8060000000000005E-4</v>
      </c>
      <c r="F35" s="83" t="s">
        <v>87</v>
      </c>
      <c r="G35" s="83" t="s">
        <v>384</v>
      </c>
      <c r="H35" s="150">
        <f>B59</f>
        <v>24</v>
      </c>
      <c r="I35" s="52" t="s">
        <v>194</v>
      </c>
      <c r="J35" s="83" t="s">
        <v>384</v>
      </c>
      <c r="K35" s="150">
        <f>B59</f>
        <v>24</v>
      </c>
      <c r="L35" s="52" t="s">
        <v>194</v>
      </c>
      <c r="M35" s="52" t="s">
        <v>409</v>
      </c>
      <c r="N35" s="150">
        <f>B79</f>
        <v>16.416</v>
      </c>
      <c r="O35" s="52" t="s">
        <v>194</v>
      </c>
      <c r="P35" s="52" t="s">
        <v>409</v>
      </c>
      <c r="Q35" s="150">
        <f>B79</f>
        <v>16.416</v>
      </c>
      <c r="R35" s="52" t="s">
        <v>194</v>
      </c>
      <c r="V35" s="52" t="s">
        <v>304</v>
      </c>
      <c r="W35" s="146">
        <f>B242</f>
        <v>60</v>
      </c>
      <c r="X35" s="84" t="s">
        <v>407</v>
      </c>
      <c r="Y35" s="52" t="s">
        <v>348</v>
      </c>
      <c r="Z35" s="146">
        <f>B266</f>
        <v>60</v>
      </c>
      <c r="AA35" s="84" t="s">
        <v>407</v>
      </c>
      <c r="AI35" s="52" t="s">
        <v>69</v>
      </c>
      <c r="AJ35" s="136">
        <f>B251</f>
        <v>8</v>
      </c>
      <c r="AK35" s="52" t="s">
        <v>194</v>
      </c>
      <c r="AL35" s="52" t="s">
        <v>69</v>
      </c>
      <c r="AM35" s="136">
        <f>B251</f>
        <v>8</v>
      </c>
      <c r="AN35" s="52" t="s">
        <v>194</v>
      </c>
      <c r="AR35" s="52" t="s">
        <v>69</v>
      </c>
      <c r="AS35" s="136">
        <f>B263</f>
        <v>0</v>
      </c>
      <c r="AT35" s="52" t="s">
        <v>194</v>
      </c>
      <c r="AU35" s="52" t="s">
        <v>69</v>
      </c>
      <c r="AV35" s="136">
        <f>B263</f>
        <v>0</v>
      </c>
      <c r="AW35" s="52" t="s">
        <v>194</v>
      </c>
      <c r="BA35" s="52" t="s">
        <v>69</v>
      </c>
      <c r="BB35" s="146">
        <f>B239</f>
        <v>8</v>
      </c>
      <c r="BC35" s="90" t="s">
        <v>194</v>
      </c>
      <c r="BD35" s="90" t="s">
        <v>69</v>
      </c>
      <c r="BE35" s="146">
        <f>B239</f>
        <v>8</v>
      </c>
      <c r="BF35" s="90" t="s">
        <v>194</v>
      </c>
      <c r="BJ35" s="52" t="s">
        <v>410</v>
      </c>
      <c r="BK35" s="139">
        <f>B11</f>
        <v>2.5484199999999999E-2</v>
      </c>
      <c r="BL35" s="84" t="s">
        <v>353</v>
      </c>
      <c r="BM35" s="52" t="s">
        <v>419</v>
      </c>
      <c r="BN35" s="139">
        <f>B13</f>
        <v>3.4557999999999998E-2</v>
      </c>
      <c r="BO35" s="84" t="s">
        <v>353</v>
      </c>
      <c r="BY35" s="91" t="s">
        <v>309</v>
      </c>
      <c r="BZ35" s="146">
        <f>B102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B167</f>
        <v>350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B65</f>
        <v>0.5</v>
      </c>
      <c r="HF35" s="52" t="s">
        <v>355</v>
      </c>
    </row>
    <row r="36" spans="1:214" x14ac:dyDescent="0.2">
      <c r="A36" s="52" t="s">
        <v>392</v>
      </c>
      <c r="B36" s="131">
        <v>0.25</v>
      </c>
      <c r="D36" s="83" t="s">
        <v>389</v>
      </c>
      <c r="E36" s="146">
        <f>B80</f>
        <v>1</v>
      </c>
      <c r="G36" s="83" t="s">
        <v>405</v>
      </c>
      <c r="H36" s="138">
        <f>B66</f>
        <v>1</v>
      </c>
      <c r="I36" s="52" t="s">
        <v>80</v>
      </c>
      <c r="J36" s="83" t="s">
        <v>390</v>
      </c>
      <c r="K36" s="141">
        <f>B68</f>
        <v>0.25</v>
      </c>
      <c r="M36" s="121"/>
      <c r="N36" s="121"/>
      <c r="O36" s="121"/>
      <c r="P36" s="121"/>
      <c r="Q36" s="121"/>
      <c r="R36" s="121"/>
      <c r="V36" s="83" t="s">
        <v>256</v>
      </c>
      <c r="W36" s="136">
        <f>B15</f>
        <v>125.5296</v>
      </c>
      <c r="X36" s="83" t="s">
        <v>343</v>
      </c>
      <c r="Y36" s="83" t="s">
        <v>256</v>
      </c>
      <c r="Z36" s="136">
        <f>B15</f>
        <v>125.5296</v>
      </c>
      <c r="AA36" s="83" t="s">
        <v>343</v>
      </c>
      <c r="AE36" s="352" t="s">
        <v>226</v>
      </c>
      <c r="AF36" s="352"/>
      <c r="AG36" s="352"/>
      <c r="AI36" s="83"/>
      <c r="AJ36" s="83"/>
      <c r="AK36" s="83"/>
      <c r="AL36" s="83"/>
      <c r="AM36" s="83"/>
      <c r="AN36" s="83"/>
      <c r="AR36" s="83"/>
      <c r="AS36" s="83"/>
      <c r="AT36" s="83"/>
      <c r="AU36" s="83"/>
      <c r="AV36" s="83"/>
      <c r="AW36" s="83"/>
      <c r="BA36" s="83"/>
      <c r="BB36" s="83"/>
      <c r="BC36" s="83"/>
      <c r="BD36" s="83"/>
      <c r="BE36" s="83"/>
      <c r="BF36" s="83"/>
      <c r="BS36" s="100"/>
      <c r="BT36" s="100"/>
      <c r="BU36" s="91"/>
      <c r="BZ36" s="90"/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B168</f>
        <v>350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B87</f>
        <v>5</v>
      </c>
      <c r="HF36" s="52" t="s">
        <v>94</v>
      </c>
    </row>
    <row r="37" spans="1:214" x14ac:dyDescent="0.2">
      <c r="A37" s="381" t="s">
        <v>2</v>
      </c>
      <c r="B37" s="382"/>
      <c r="C37" s="383"/>
      <c r="D37" s="83" t="s">
        <v>394</v>
      </c>
      <c r="E37" s="146">
        <f>B44</f>
        <v>54</v>
      </c>
      <c r="F37" s="52" t="s">
        <v>48</v>
      </c>
      <c r="G37" s="83" t="s">
        <v>406</v>
      </c>
      <c r="H37" s="138">
        <f>B67</f>
        <v>1</v>
      </c>
      <c r="I37" s="52" t="s">
        <v>80</v>
      </c>
      <c r="J37" s="83" t="s">
        <v>408</v>
      </c>
      <c r="K37" s="150">
        <f>B78</f>
        <v>1.752</v>
      </c>
      <c r="L37" s="84" t="s">
        <v>194</v>
      </c>
      <c r="V37" s="83" t="s">
        <v>301</v>
      </c>
      <c r="W37" s="142">
        <f>B246</f>
        <v>1</v>
      </c>
      <c r="Y37" s="83" t="s">
        <v>301</v>
      </c>
      <c r="Z37" s="142">
        <f>B270</f>
        <v>1</v>
      </c>
      <c r="AE37" s="352"/>
      <c r="AF37" s="352"/>
      <c r="AG37" s="352"/>
      <c r="BK37" s="352" t="s">
        <v>230</v>
      </c>
      <c r="BL37" s="352"/>
      <c r="BM37" s="352"/>
      <c r="BN37" s="352"/>
      <c r="BO37" s="352"/>
      <c r="BS37" s="91"/>
      <c r="BT37" s="91"/>
      <c r="BU37" s="91"/>
      <c r="BZ37" s="90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12.167999999999999</v>
      </c>
      <c r="CV37" s="84" t="s">
        <v>194</v>
      </c>
      <c r="CZ37" s="92" t="s">
        <v>363</v>
      </c>
      <c r="DA37" s="141">
        <f>B170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4.25" x14ac:dyDescent="0.2">
      <c r="A38" s="83" t="s">
        <v>366</v>
      </c>
      <c r="B38" s="130">
        <v>10</v>
      </c>
      <c r="C38" s="92" t="s">
        <v>407</v>
      </c>
      <c r="D38" s="83" t="s">
        <v>260</v>
      </c>
      <c r="E38" s="152">
        <f>E33/(E35*E34*E37*E36)</f>
        <v>6.0084093697539066E-2</v>
      </c>
      <c r="F38" s="84" t="s">
        <v>10</v>
      </c>
      <c r="H38" s="138">
        <f>1/1000</f>
        <v>1E-3</v>
      </c>
      <c r="I38" s="52" t="s">
        <v>82</v>
      </c>
      <c r="J38" s="83" t="s">
        <v>409</v>
      </c>
      <c r="K38" s="150">
        <f>B79</f>
        <v>16.416</v>
      </c>
      <c r="L38" s="84" t="s">
        <v>194</v>
      </c>
      <c r="V38" s="52" t="s">
        <v>261</v>
      </c>
      <c r="W38" s="143">
        <f>(W27)/((W34/24)*W31*W32*W33*W35)</f>
        <v>5.5100972532165201E-4</v>
      </c>
      <c r="X38" s="52" t="s">
        <v>15</v>
      </c>
      <c r="Y38" s="52" t="s">
        <v>261</v>
      </c>
      <c r="Z38" s="143">
        <f>(Z27)/((Z34/24)*Z31*Z32*Z33*Z35)</f>
        <v>5.5100972532165201E-4</v>
      </c>
      <c r="AA38" s="52" t="s">
        <v>15</v>
      </c>
      <c r="AE38" s="352"/>
      <c r="AF38" s="352"/>
      <c r="AG38" s="352"/>
      <c r="BK38" s="352"/>
      <c r="BL38" s="352"/>
      <c r="BM38" s="352"/>
      <c r="BN38" s="352"/>
      <c r="BO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10.007999999999999</v>
      </c>
      <c r="CV38" s="84" t="s">
        <v>194</v>
      </c>
      <c r="CZ38" s="92" t="s">
        <v>364</v>
      </c>
      <c r="DA38" s="141">
        <f>B171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B88</f>
        <v>0.18</v>
      </c>
      <c r="HF38" s="52" t="s">
        <v>355</v>
      </c>
    </row>
    <row r="39" spans="1:214" x14ac:dyDescent="0.2">
      <c r="A39" s="83" t="s">
        <v>367</v>
      </c>
      <c r="B39" s="130">
        <v>20</v>
      </c>
      <c r="C39" s="92" t="s">
        <v>407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(W27)/((W34/24)*W31*W36*(1/365))</f>
        <v>3.4892168858978286E-2</v>
      </c>
      <c r="X39" s="52" t="s">
        <v>15</v>
      </c>
      <c r="Y39" s="52" t="s">
        <v>271</v>
      </c>
      <c r="Z39" s="144">
        <f>(Z27)/((Z34/24)*Z31*Z36*(1/365))</f>
        <v>3.4892168858978286E-2</v>
      </c>
      <c r="AA39" s="52" t="s">
        <v>15</v>
      </c>
      <c r="BK39" s="352"/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B172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B89</f>
        <v>55</v>
      </c>
      <c r="HF39" s="52" t="s">
        <v>97</v>
      </c>
    </row>
    <row r="40" spans="1:214" x14ac:dyDescent="0.2">
      <c r="A40" s="83" t="s">
        <v>368</v>
      </c>
      <c r="B40" s="130">
        <v>200</v>
      </c>
      <c r="C40" s="84" t="s">
        <v>48</v>
      </c>
      <c r="H40" s="138">
        <v>1000</v>
      </c>
      <c r="I40" s="52" t="s">
        <v>218</v>
      </c>
      <c r="J40" s="83" t="s">
        <v>303</v>
      </c>
      <c r="K40" s="141">
        <v>0.4</v>
      </c>
      <c r="N40" s="85"/>
      <c r="V40" s="52" t="s">
        <v>261</v>
      </c>
      <c r="W40" s="144">
        <f>(W27*W29*W28)/((W34/24)*(1-EXP(-W29*W32))*W33*W35*W31*W32)</f>
        <v>5.5145179920058646E-4</v>
      </c>
      <c r="X40" s="52" t="s">
        <v>16</v>
      </c>
      <c r="Y40" s="52" t="s">
        <v>261</v>
      </c>
      <c r="Z40" s="144">
        <f>(Z27*Z29*Z28)/((Z34/24)*(1-EXP(-Z29*Z32))*Z33*Z35*Z31*Z32)</f>
        <v>5.5145179920058646E-4</v>
      </c>
      <c r="AA40" s="52" t="s">
        <v>16</v>
      </c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0.4</v>
      </c>
      <c r="CZ40" s="92" t="s">
        <v>457</v>
      </c>
      <c r="DA40" s="141">
        <f>B181</f>
        <v>1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B90</f>
        <v>5</v>
      </c>
      <c r="HF40" s="52" t="s">
        <v>97</v>
      </c>
    </row>
    <row r="41" spans="1:214" ht="13.5" thickBot="1" x14ac:dyDescent="0.25">
      <c r="A41" s="83" t="s">
        <v>369</v>
      </c>
      <c r="B41" s="130">
        <v>100</v>
      </c>
      <c r="C41" s="84" t="s">
        <v>48</v>
      </c>
      <c r="G41" s="83" t="s">
        <v>390</v>
      </c>
      <c r="H41" s="141">
        <f>B68</f>
        <v>0.25</v>
      </c>
      <c r="I41" s="84"/>
      <c r="J41" s="83" t="s">
        <v>302</v>
      </c>
      <c r="K41" s="141">
        <v>1</v>
      </c>
      <c r="V41" s="52" t="s">
        <v>271</v>
      </c>
      <c r="W41" s="145">
        <f>(W27*W29*W28)/((W34/24)*(1-EXP(-W29*W28))*W36*W31*(1/365))</f>
        <v>3.4920162768564765E-2</v>
      </c>
      <c r="X41" s="52" t="s">
        <v>16</v>
      </c>
      <c r="Y41" s="52" t="s">
        <v>271</v>
      </c>
      <c r="Z41" s="145">
        <f>(Z27*Z29*Z28)/((Z34/24)*(1-EXP(-Z29*Z28))*Z36*Z31*(1/365))</f>
        <v>3.4920162768564765E-2</v>
      </c>
      <c r="AA41" s="52" t="s">
        <v>16</v>
      </c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41">
        <f t="shared" si="1"/>
        <v>1</v>
      </c>
      <c r="CZ41" s="92" t="s">
        <v>466</v>
      </c>
      <c r="DA41" s="141">
        <f>B182</f>
        <v>1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B91</f>
        <v>5</v>
      </c>
      <c r="HF41" s="52" t="s">
        <v>97</v>
      </c>
    </row>
    <row r="42" spans="1:214" ht="19.5" thickTop="1" thickBot="1" x14ac:dyDescent="0.25">
      <c r="A42" s="83" t="s">
        <v>370</v>
      </c>
      <c r="B42" s="130">
        <v>0.78</v>
      </c>
      <c r="C42" s="83" t="s">
        <v>28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41">
        <v>1</v>
      </c>
      <c r="Y42" s="52" t="s">
        <v>220</v>
      </c>
      <c r="Z42" s="138">
        <f>B278</f>
        <v>50</v>
      </c>
      <c r="AA42" s="52" t="s">
        <v>113</v>
      </c>
      <c r="AI42" s="104"/>
      <c r="AJ42" s="104"/>
      <c r="AK42" s="104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41">
        <f t="shared" si="1"/>
        <v>1</v>
      </c>
      <c r="CW42" s="84"/>
      <c r="CX42" s="84"/>
      <c r="CY42" s="84"/>
      <c r="CZ42" s="52" t="s">
        <v>477</v>
      </c>
      <c r="DA42" s="141">
        <f>B183</f>
        <v>0.54</v>
      </c>
      <c r="DB42" s="92" t="s">
        <v>358</v>
      </c>
      <c r="DW42" s="88"/>
      <c r="DX42" s="88"/>
      <c r="DY42" s="88"/>
      <c r="DZ42" s="88"/>
      <c r="HD42" s="52" t="s">
        <v>225</v>
      </c>
      <c r="HE42" s="138">
        <f>1+((HE35*HE36*HE37)/(HE38*HE39))</f>
        <v>3.1605966718331597</v>
      </c>
    </row>
    <row r="43" spans="1:214" x14ac:dyDescent="0.2">
      <c r="A43" s="83" t="s">
        <v>371</v>
      </c>
      <c r="B43" s="130">
        <v>2.5</v>
      </c>
      <c r="C43" s="52" t="s">
        <v>28</v>
      </c>
      <c r="D43" s="323" t="s">
        <v>530</v>
      </c>
      <c r="E43" s="347">
        <f>E53</f>
        <v>0.25035039040641277</v>
      </c>
      <c r="F43" s="345" t="s">
        <v>11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Y43" s="52" t="s">
        <v>219</v>
      </c>
      <c r="Z43" s="138">
        <f>B277</f>
        <v>5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B184</f>
        <v>0.71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83" t="s">
        <v>310</v>
      </c>
      <c r="B44" s="130">
        <v>54</v>
      </c>
      <c r="C44" s="52" t="s">
        <v>48</v>
      </c>
      <c r="D44" s="324"/>
      <c r="E44" s="348"/>
      <c r="F44" s="346"/>
      <c r="G44" s="52" t="s">
        <v>19</v>
      </c>
      <c r="H44" s="136">
        <f>H46</f>
        <v>1.914E-5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5.75" thickTop="1" x14ac:dyDescent="0.2">
      <c r="A45" s="83" t="s">
        <v>372</v>
      </c>
      <c r="B45" s="130">
        <v>68.099999999999994</v>
      </c>
      <c r="C45" s="92" t="s">
        <v>221</v>
      </c>
      <c r="D45" s="83" t="s">
        <v>267</v>
      </c>
      <c r="E45" s="136">
        <f>B5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B185</f>
        <v>0.5</v>
      </c>
      <c r="DB45" s="92" t="s">
        <v>145</v>
      </c>
      <c r="DW45" s="88"/>
      <c r="DX45" s="88"/>
      <c r="DY45" s="88"/>
      <c r="DZ45" s="88"/>
    </row>
    <row r="46" spans="1:214" x14ac:dyDescent="0.2">
      <c r="A46" s="83" t="s">
        <v>373</v>
      </c>
      <c r="B46" s="130">
        <v>188.5</v>
      </c>
      <c r="C46" s="92" t="s">
        <v>221</v>
      </c>
      <c r="D46" s="83" t="s">
        <v>382</v>
      </c>
      <c r="E46" s="150">
        <f>B56</f>
        <v>350</v>
      </c>
      <c r="F46" s="83" t="s">
        <v>24</v>
      </c>
      <c r="G46" s="84" t="s">
        <v>32</v>
      </c>
      <c r="H46" s="139">
        <f>B31</f>
        <v>1.914E-5</v>
      </c>
      <c r="K46" s="146">
        <v>1000</v>
      </c>
      <c r="L46" s="52" t="s">
        <v>23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83" t="s">
        <v>374</v>
      </c>
      <c r="B47" s="130">
        <v>41.7</v>
      </c>
      <c r="C47" s="92" t="s">
        <v>221</v>
      </c>
      <c r="D47" s="83" t="s">
        <v>258</v>
      </c>
      <c r="E47" s="136">
        <f>B17</f>
        <v>8.8060000000000005E-4</v>
      </c>
      <c r="F47" s="83" t="s">
        <v>87</v>
      </c>
      <c r="G47" s="83" t="s">
        <v>393</v>
      </c>
      <c r="H47" s="142">
        <f>B35</f>
        <v>0.26</v>
      </c>
      <c r="J47" s="52" t="s">
        <v>19</v>
      </c>
      <c r="K47" s="136">
        <f>K49</f>
        <v>1.914E-5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B165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83" t="s">
        <v>375</v>
      </c>
      <c r="B48" s="130">
        <v>128.9</v>
      </c>
      <c r="C48" s="92" t="s">
        <v>221</v>
      </c>
      <c r="D48" s="83" t="s">
        <v>379</v>
      </c>
      <c r="E48" s="146">
        <f>B53</f>
        <v>1</v>
      </c>
      <c r="F48" s="52" t="s">
        <v>60</v>
      </c>
      <c r="G48" s="52" t="s">
        <v>17</v>
      </c>
      <c r="H48" s="137">
        <f>((H51*H52*H53)*((1-EXP(-H54*H55))))/(H56*H54)</f>
        <v>6.6877504027585484E-4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B166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83" t="s">
        <v>376</v>
      </c>
      <c r="B49" s="130">
        <v>0.23</v>
      </c>
      <c r="D49" s="83" t="s">
        <v>394</v>
      </c>
      <c r="E49" s="146">
        <f>B44</f>
        <v>54</v>
      </c>
      <c r="F49" s="52" t="s">
        <v>48</v>
      </c>
      <c r="G49" s="52" t="s">
        <v>25</v>
      </c>
      <c r="H49" s="137">
        <f>(H51*H52*H57*((1-EXP(-H54*H55))))/(H56*H54)</f>
        <v>9.0847184154504852</v>
      </c>
      <c r="I49" s="52" t="s">
        <v>18</v>
      </c>
      <c r="J49" s="84" t="s">
        <v>32</v>
      </c>
      <c r="K49" s="139">
        <f>B31</f>
        <v>1.914E-5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Z49" s="83" t="s">
        <v>475</v>
      </c>
      <c r="DA49" s="146">
        <f>B165</f>
        <v>0.15</v>
      </c>
      <c r="DW49" s="88"/>
      <c r="DX49" s="88"/>
      <c r="DY49" s="88"/>
      <c r="DZ49" s="88"/>
    </row>
    <row r="50" spans="1:130" x14ac:dyDescent="0.2">
      <c r="A50" s="83" t="s">
        <v>377</v>
      </c>
      <c r="B50" s="130">
        <v>0.77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3.6421488784670224</v>
      </c>
      <c r="I50" s="52" t="s">
        <v>18</v>
      </c>
      <c r="J50" s="83" t="s">
        <v>393</v>
      </c>
      <c r="K50" s="142">
        <f>B35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Z50" s="83" t="s">
        <v>476</v>
      </c>
      <c r="DA50" s="146">
        <f>B166</f>
        <v>0.85</v>
      </c>
      <c r="DW50" s="88"/>
      <c r="DX50" s="88"/>
      <c r="DY50" s="88"/>
      <c r="DZ50" s="88"/>
    </row>
    <row r="51" spans="1:130" x14ac:dyDescent="0.2">
      <c r="A51" s="52" t="s">
        <v>378</v>
      </c>
      <c r="B51" s="131">
        <v>1</v>
      </c>
      <c r="C51" s="52" t="s">
        <v>60</v>
      </c>
      <c r="D51" s="83" t="s">
        <v>105</v>
      </c>
      <c r="E51" s="150">
        <f>B23</f>
        <v>240</v>
      </c>
      <c r="F51" s="84" t="s">
        <v>18</v>
      </c>
      <c r="G51" s="83" t="s">
        <v>36</v>
      </c>
      <c r="H51" s="138">
        <f>B69</f>
        <v>3.62</v>
      </c>
      <c r="I51" s="52" t="s">
        <v>37</v>
      </c>
      <c r="J51" s="83" t="s">
        <v>376</v>
      </c>
      <c r="K51" s="146">
        <f>B49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DW51" s="88"/>
      <c r="DX51" s="88"/>
      <c r="DY51" s="88"/>
      <c r="DZ51" s="88"/>
    </row>
    <row r="52" spans="1:130" x14ac:dyDescent="0.2">
      <c r="A52" s="52" t="s">
        <v>448</v>
      </c>
      <c r="B52" s="131">
        <v>1</v>
      </c>
      <c r="C52" s="52" t="s">
        <v>60</v>
      </c>
      <c r="D52" s="83" t="s">
        <v>107</v>
      </c>
      <c r="E52" s="138">
        <f>B64</f>
        <v>1</v>
      </c>
      <c r="F52" s="84" t="s">
        <v>108</v>
      </c>
      <c r="G52" s="83" t="s">
        <v>40</v>
      </c>
      <c r="H52" s="138">
        <f>B70</f>
        <v>0.25</v>
      </c>
      <c r="I52" s="52" t="s">
        <v>41</v>
      </c>
      <c r="J52" s="83" t="s">
        <v>377</v>
      </c>
      <c r="K52" s="146">
        <f>B50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DW52" s="88"/>
      <c r="DX52" s="88"/>
      <c r="DY52" s="88"/>
      <c r="DZ52" s="88"/>
    </row>
    <row r="53" spans="1:130" x14ac:dyDescent="0.2">
      <c r="A53" s="52" t="s">
        <v>379</v>
      </c>
      <c r="B53" s="131">
        <v>1</v>
      </c>
      <c r="C53" s="52" t="s">
        <v>60</v>
      </c>
      <c r="D53" s="83" t="s">
        <v>260</v>
      </c>
      <c r="E53" s="152">
        <f>E45/(E47*E46*E48*E49*E51*E52*(1/E50))</f>
        <v>0.25035039040641277</v>
      </c>
      <c r="F53" s="52" t="s">
        <v>11</v>
      </c>
      <c r="G53" s="92" t="s">
        <v>32</v>
      </c>
      <c r="H53" s="136">
        <f>B31</f>
        <v>1.914E-5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52" t="s">
        <v>380</v>
      </c>
      <c r="B54" s="131">
        <v>350</v>
      </c>
      <c r="C54" s="83" t="s">
        <v>24</v>
      </c>
      <c r="D54" s="95" t="s">
        <v>287</v>
      </c>
      <c r="E54" s="176">
        <v>27.027027027027</v>
      </c>
      <c r="G54" s="92" t="s">
        <v>49</v>
      </c>
      <c r="H54" s="137">
        <f>H62+H63</f>
        <v>3.1394977168949772E-5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52" t="s">
        <v>381</v>
      </c>
      <c r="B55" s="131">
        <v>350</v>
      </c>
      <c r="C55" s="83" t="s">
        <v>24</v>
      </c>
      <c r="G55" s="92" t="s">
        <v>52</v>
      </c>
      <c r="H55" s="138">
        <f>B71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52" t="s">
        <v>382</v>
      </c>
      <c r="B56" s="131">
        <v>350</v>
      </c>
      <c r="C56" s="83" t="s">
        <v>24</v>
      </c>
      <c r="G56" s="92" t="s">
        <v>55</v>
      </c>
      <c r="H56" s="138">
        <f>B72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52" t="s">
        <v>403</v>
      </c>
      <c r="B57" s="131">
        <v>0.54</v>
      </c>
      <c r="C57" s="52" t="s">
        <v>89</v>
      </c>
      <c r="G57" s="92" t="s">
        <v>393</v>
      </c>
      <c r="H57" s="138">
        <f>B35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52" t="s">
        <v>404</v>
      </c>
      <c r="B58" s="131">
        <v>0.71</v>
      </c>
      <c r="C58" s="52" t="s">
        <v>89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52" t="s">
        <v>385</v>
      </c>
      <c r="B59" s="131">
        <v>24</v>
      </c>
      <c r="C59" s="52" t="s">
        <v>194</v>
      </c>
      <c r="G59" s="92" t="s">
        <v>63</v>
      </c>
      <c r="H59" s="151">
        <f>H63+(0.693/H65)</f>
        <v>4.9504394977168943E-2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52" t="s">
        <v>318</v>
      </c>
      <c r="B60" s="131">
        <v>1</v>
      </c>
      <c r="G60" s="92" t="s">
        <v>67</v>
      </c>
      <c r="H60" s="142">
        <f>B73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52" t="s">
        <v>303</v>
      </c>
      <c r="B61" s="131">
        <v>0.4</v>
      </c>
      <c r="G61" s="92" t="s">
        <v>68</v>
      </c>
      <c r="H61" s="142">
        <f>B74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52" t="s">
        <v>302</v>
      </c>
      <c r="B62" s="131">
        <v>1</v>
      </c>
      <c r="G62" s="92" t="s">
        <v>70</v>
      </c>
      <c r="H62" s="138">
        <f>B75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386</v>
      </c>
      <c r="B63" s="131">
        <v>1</v>
      </c>
      <c r="G63" s="92" t="s">
        <v>71</v>
      </c>
      <c r="H63" s="137">
        <f>0.693/H67</f>
        <v>4.3949771689497717E-6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83" t="s">
        <v>107</v>
      </c>
      <c r="B64" s="131">
        <v>1</v>
      </c>
      <c r="C64" s="84" t="s">
        <v>108</v>
      </c>
      <c r="G64" s="92" t="s">
        <v>73</v>
      </c>
      <c r="H64" s="138">
        <f>B76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65</v>
      </c>
      <c r="B65" s="131">
        <v>0.5</v>
      </c>
      <c r="C65" s="52" t="s">
        <v>66</v>
      </c>
      <c r="G65" s="92" t="s">
        <v>74</v>
      </c>
      <c r="H65" s="138">
        <f>B77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79</v>
      </c>
      <c r="B66" s="131">
        <v>1</v>
      </c>
      <c r="C66" s="52" t="s">
        <v>80</v>
      </c>
      <c r="G66" s="52" t="s">
        <v>33</v>
      </c>
      <c r="H66" s="136">
        <f>B32</f>
        <v>2.1999999999999999E-5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81</v>
      </c>
      <c r="B67" s="131">
        <v>1</v>
      </c>
      <c r="C67" s="52" t="s">
        <v>80</v>
      </c>
      <c r="G67" s="83" t="s">
        <v>234</v>
      </c>
      <c r="H67" s="136">
        <f>B22</f>
        <v>157680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390</v>
      </c>
      <c r="B68" s="131">
        <v>0.25</v>
      </c>
      <c r="G68" s="83" t="s">
        <v>376</v>
      </c>
      <c r="H68" s="146">
        <f>B49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83" t="s">
        <v>36</v>
      </c>
      <c r="B69" s="131">
        <v>3.62</v>
      </c>
      <c r="C69" s="52" t="s">
        <v>37</v>
      </c>
      <c r="G69" s="83" t="s">
        <v>377</v>
      </c>
      <c r="H69" s="146">
        <f>B50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83" t="s">
        <v>40</v>
      </c>
      <c r="B70" s="131">
        <v>0.25</v>
      </c>
      <c r="C70" s="52" t="s">
        <v>41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92" t="s">
        <v>52</v>
      </c>
      <c r="B71" s="131">
        <v>10950</v>
      </c>
      <c r="C71" s="52" t="s">
        <v>53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92" t="s">
        <v>55</v>
      </c>
      <c r="B72" s="131">
        <v>240</v>
      </c>
      <c r="C72" s="52" t="s">
        <v>56</v>
      </c>
      <c r="AF72" s="109"/>
      <c r="AG72" s="106"/>
      <c r="AH72" s="106"/>
      <c r="AI72" s="106"/>
      <c r="AJ72" s="106"/>
      <c r="AK72" s="106"/>
    </row>
    <row r="73" spans="1:105" x14ac:dyDescent="0.2">
      <c r="A73" s="92" t="s">
        <v>67</v>
      </c>
      <c r="B73" s="131">
        <v>60</v>
      </c>
      <c r="C73" s="83" t="s">
        <v>53</v>
      </c>
      <c r="AF73" s="109"/>
      <c r="AG73" s="106"/>
      <c r="AH73" s="106"/>
      <c r="AI73" s="106"/>
      <c r="AJ73" s="106"/>
      <c r="AK73" s="106"/>
    </row>
    <row r="74" spans="1:105" x14ac:dyDescent="0.2">
      <c r="A74" s="92" t="s">
        <v>68</v>
      </c>
      <c r="B74" s="131">
        <v>2</v>
      </c>
      <c r="C74" s="83" t="s">
        <v>56</v>
      </c>
      <c r="AF74" s="109"/>
      <c r="AG74" s="106"/>
      <c r="AH74" s="106"/>
      <c r="AI74" s="106"/>
      <c r="AJ74" s="106"/>
      <c r="AK74" s="106"/>
    </row>
    <row r="75" spans="1:105" x14ac:dyDescent="0.2">
      <c r="A75" s="92" t="s">
        <v>70</v>
      </c>
      <c r="B75" s="131">
        <v>2.6999999999999999E-5</v>
      </c>
      <c r="C75" s="52" t="s">
        <v>64</v>
      </c>
      <c r="AF75" s="108"/>
      <c r="AG75" s="106"/>
      <c r="AH75" s="106"/>
      <c r="AI75" s="106"/>
      <c r="AJ75" s="106"/>
      <c r="AK75" s="106"/>
    </row>
    <row r="76" spans="1:105" x14ac:dyDescent="0.2">
      <c r="A76" s="92" t="s">
        <v>73</v>
      </c>
      <c r="B76" s="131">
        <v>1</v>
      </c>
      <c r="C76" s="52" t="s">
        <v>41</v>
      </c>
      <c r="AF76" s="109"/>
      <c r="AG76" s="106"/>
      <c r="AH76" s="106"/>
      <c r="AI76" s="106"/>
      <c r="AJ76" s="106"/>
      <c r="AK76" s="106"/>
    </row>
    <row r="77" spans="1:105" x14ac:dyDescent="0.2">
      <c r="A77" s="92" t="s">
        <v>74</v>
      </c>
      <c r="B77" s="131">
        <v>14</v>
      </c>
      <c r="C77" s="52" t="s">
        <v>75</v>
      </c>
      <c r="AF77" s="109"/>
      <c r="AG77" s="106"/>
      <c r="AH77" s="106"/>
      <c r="AI77" s="106"/>
      <c r="AJ77" s="106"/>
      <c r="AK77" s="106"/>
    </row>
    <row r="78" spans="1:105" x14ac:dyDescent="0.2">
      <c r="A78" s="83" t="s">
        <v>408</v>
      </c>
      <c r="B78" s="130">
        <v>1.752</v>
      </c>
      <c r="C78" s="84" t="s">
        <v>194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409</v>
      </c>
      <c r="B79" s="130">
        <v>16.416</v>
      </c>
      <c r="C79" s="84" t="s">
        <v>194</v>
      </c>
      <c r="AF79" s="109"/>
      <c r="AG79" s="106"/>
    </row>
    <row r="80" spans="1:105" x14ac:dyDescent="0.2">
      <c r="A80" s="83" t="s">
        <v>389</v>
      </c>
      <c r="B80" s="130">
        <v>1</v>
      </c>
      <c r="C80" s="84"/>
      <c r="AF80" s="109"/>
      <c r="AG80" s="106"/>
      <c r="AH80" s="106"/>
      <c r="AI80" s="106"/>
      <c r="AJ80" s="106"/>
      <c r="AK80" s="106"/>
    </row>
    <row r="81" spans="1:37" x14ac:dyDescent="0.2">
      <c r="A81" s="385" t="s">
        <v>387</v>
      </c>
      <c r="B81" s="385"/>
      <c r="C81" s="385"/>
      <c r="AF81" s="109"/>
      <c r="AG81" s="106"/>
      <c r="AH81" s="106"/>
      <c r="AI81" s="106"/>
      <c r="AJ81" s="106"/>
      <c r="AK81" s="106"/>
    </row>
    <row r="82" spans="1:37" x14ac:dyDescent="0.2">
      <c r="A82" s="52" t="s">
        <v>34</v>
      </c>
      <c r="B82" s="131">
        <v>70</v>
      </c>
      <c r="C82" s="52" t="s">
        <v>60</v>
      </c>
      <c r="AF82" s="109"/>
      <c r="AG82" s="106"/>
      <c r="AH82" s="106"/>
      <c r="AI82" s="106"/>
      <c r="AJ82" s="106"/>
      <c r="AK82" s="106"/>
    </row>
    <row r="83" spans="1:37" x14ac:dyDescent="0.2">
      <c r="A83" s="84" t="s">
        <v>38</v>
      </c>
      <c r="B83" s="131">
        <v>0.3</v>
      </c>
      <c r="C83" s="52" t="s">
        <v>391</v>
      </c>
      <c r="AF83" s="109"/>
      <c r="AG83" s="106"/>
      <c r="AH83" s="106"/>
      <c r="AI83" s="106"/>
      <c r="AJ83" s="106"/>
      <c r="AK83" s="106"/>
    </row>
    <row r="84" spans="1:37" x14ac:dyDescent="0.2">
      <c r="A84" s="84" t="s">
        <v>42</v>
      </c>
      <c r="B84" s="130">
        <v>1.5</v>
      </c>
      <c r="C84" s="52" t="s">
        <v>286</v>
      </c>
      <c r="AF84" s="108"/>
      <c r="AG84" s="106"/>
    </row>
    <row r="85" spans="1:37" x14ac:dyDescent="0.2">
      <c r="A85" s="84" t="s">
        <v>47</v>
      </c>
      <c r="B85" s="131">
        <v>1</v>
      </c>
      <c r="C85" s="52" t="s">
        <v>60</v>
      </c>
      <c r="AF85" s="108"/>
      <c r="AG85" s="106"/>
      <c r="AH85" s="106"/>
      <c r="AI85" s="106"/>
      <c r="AJ85" s="106"/>
      <c r="AK85" s="106"/>
    </row>
    <row r="86" spans="1:37" x14ac:dyDescent="0.2">
      <c r="A86" s="84" t="s">
        <v>225</v>
      </c>
      <c r="B86" s="130">
        <v>1</v>
      </c>
      <c r="AF86" s="108"/>
      <c r="AG86" s="106"/>
    </row>
    <row r="87" spans="1:37" x14ac:dyDescent="0.2">
      <c r="A87" s="52" t="s">
        <v>93</v>
      </c>
      <c r="B87" s="130">
        <v>5</v>
      </c>
      <c r="C87" s="52" t="s">
        <v>94</v>
      </c>
      <c r="AH87" s="108"/>
      <c r="AI87" s="108"/>
      <c r="AJ87" s="108"/>
      <c r="AK87" s="108"/>
    </row>
    <row r="88" spans="1:37" x14ac:dyDescent="0.2">
      <c r="A88" s="52" t="s">
        <v>98</v>
      </c>
      <c r="B88" s="130">
        <v>0.18</v>
      </c>
      <c r="C88" s="52" t="s">
        <v>355</v>
      </c>
    </row>
    <row r="89" spans="1:37" x14ac:dyDescent="0.2">
      <c r="A89" s="52" t="s">
        <v>100</v>
      </c>
      <c r="B89" s="130">
        <v>55</v>
      </c>
      <c r="C89" s="52" t="s">
        <v>97</v>
      </c>
    </row>
    <row r="90" spans="1:37" x14ac:dyDescent="0.2">
      <c r="A90" s="52" t="s">
        <v>101</v>
      </c>
      <c r="B90" s="130">
        <v>5</v>
      </c>
      <c r="C90" s="52" t="s">
        <v>97</v>
      </c>
    </row>
    <row r="91" spans="1:37" x14ac:dyDescent="0.2">
      <c r="A91" s="52" t="s">
        <v>102</v>
      </c>
      <c r="B91" s="130">
        <v>5</v>
      </c>
      <c r="C91" s="52" t="s">
        <v>97</v>
      </c>
    </row>
    <row r="92" spans="1:37" x14ac:dyDescent="0.2">
      <c r="A92" s="384" t="s">
        <v>5</v>
      </c>
      <c r="B92" s="384"/>
      <c r="C92" s="384"/>
    </row>
    <row r="93" spans="1:37" x14ac:dyDescent="0.2">
      <c r="A93" s="83" t="s">
        <v>429</v>
      </c>
      <c r="B93" s="131">
        <v>10</v>
      </c>
      <c r="C93" s="92" t="s">
        <v>407</v>
      </c>
    </row>
    <row r="94" spans="1:37" x14ac:dyDescent="0.2">
      <c r="A94" s="83" t="s">
        <v>430</v>
      </c>
      <c r="B94" s="131">
        <v>20</v>
      </c>
      <c r="C94" s="92" t="s">
        <v>407</v>
      </c>
    </row>
    <row r="95" spans="1:37" x14ac:dyDescent="0.2">
      <c r="A95" s="83" t="s">
        <v>439</v>
      </c>
      <c r="B95" s="130">
        <v>0.05</v>
      </c>
      <c r="C95" s="83" t="s">
        <v>357</v>
      </c>
    </row>
    <row r="96" spans="1:37" x14ac:dyDescent="0.2">
      <c r="A96" s="83" t="s">
        <v>438</v>
      </c>
      <c r="B96" s="130">
        <v>0.05</v>
      </c>
      <c r="C96" s="83" t="s">
        <v>357</v>
      </c>
    </row>
    <row r="97" spans="1:3" x14ac:dyDescent="0.2">
      <c r="A97" s="83" t="s">
        <v>441</v>
      </c>
      <c r="B97" s="131">
        <v>200</v>
      </c>
      <c r="C97" s="84" t="s">
        <v>48</v>
      </c>
    </row>
    <row r="98" spans="1:3" x14ac:dyDescent="0.2">
      <c r="A98" s="83" t="s">
        <v>442</v>
      </c>
      <c r="B98" s="131">
        <v>100</v>
      </c>
      <c r="C98" s="84" t="s">
        <v>48</v>
      </c>
    </row>
    <row r="99" spans="1:3" x14ac:dyDescent="0.2">
      <c r="A99" s="52" t="s">
        <v>159</v>
      </c>
      <c r="B99" s="131">
        <v>1</v>
      </c>
      <c r="C99" s="52" t="s">
        <v>221</v>
      </c>
    </row>
    <row r="100" spans="1:3" x14ac:dyDescent="0.2">
      <c r="A100" s="52" t="s">
        <v>160</v>
      </c>
      <c r="B100" s="131">
        <v>1</v>
      </c>
      <c r="C100" s="52" t="s">
        <v>221</v>
      </c>
    </row>
    <row r="101" spans="1:3" x14ac:dyDescent="0.2">
      <c r="A101" s="83" t="s">
        <v>308</v>
      </c>
      <c r="B101" s="130">
        <v>0.23</v>
      </c>
    </row>
    <row r="102" spans="1:3" x14ac:dyDescent="0.2">
      <c r="A102" s="83" t="s">
        <v>309</v>
      </c>
      <c r="B102" s="130">
        <v>0.77</v>
      </c>
    </row>
    <row r="103" spans="1:3" x14ac:dyDescent="0.2">
      <c r="A103" s="52" t="s">
        <v>140</v>
      </c>
      <c r="B103" s="131">
        <v>75</v>
      </c>
      <c r="C103" s="52" t="s">
        <v>24</v>
      </c>
    </row>
    <row r="104" spans="1:3" x14ac:dyDescent="0.2">
      <c r="A104" s="52" t="s">
        <v>433</v>
      </c>
      <c r="B104" s="131">
        <v>75</v>
      </c>
      <c r="C104" s="52" t="s">
        <v>24</v>
      </c>
    </row>
    <row r="105" spans="1:3" x14ac:dyDescent="0.2">
      <c r="A105" s="52" t="s">
        <v>434</v>
      </c>
      <c r="B105" s="131">
        <v>75</v>
      </c>
      <c r="C105" s="52" t="s">
        <v>24</v>
      </c>
    </row>
    <row r="106" spans="1:3" x14ac:dyDescent="0.2">
      <c r="A106" s="52" t="s">
        <v>431</v>
      </c>
      <c r="B106" s="130">
        <v>1</v>
      </c>
      <c r="C106" s="52" t="s">
        <v>194</v>
      </c>
    </row>
    <row r="107" spans="1:3" x14ac:dyDescent="0.2">
      <c r="A107" s="52" t="s">
        <v>432</v>
      </c>
      <c r="B107" s="130">
        <v>1</v>
      </c>
      <c r="C107" s="52" t="s">
        <v>194</v>
      </c>
    </row>
    <row r="108" spans="1:3" x14ac:dyDescent="0.2">
      <c r="A108" s="52" t="s">
        <v>90</v>
      </c>
      <c r="B108" s="131">
        <v>1</v>
      </c>
      <c r="C108" s="52" t="s">
        <v>194</v>
      </c>
    </row>
    <row r="109" spans="1:3" x14ac:dyDescent="0.2">
      <c r="A109" s="52" t="s">
        <v>443</v>
      </c>
      <c r="B109" s="131">
        <v>1</v>
      </c>
      <c r="C109" s="52" t="s">
        <v>89</v>
      </c>
    </row>
    <row r="110" spans="1:3" x14ac:dyDescent="0.2">
      <c r="A110" s="52" t="s">
        <v>444</v>
      </c>
      <c r="B110" s="131">
        <v>1</v>
      </c>
      <c r="C110" s="52" t="s">
        <v>89</v>
      </c>
    </row>
    <row r="111" spans="1:3" x14ac:dyDescent="0.2">
      <c r="A111" s="83" t="s">
        <v>301</v>
      </c>
      <c r="B111" s="131">
        <v>1</v>
      </c>
    </row>
    <row r="112" spans="1:3" x14ac:dyDescent="0.2">
      <c r="A112" s="83" t="s">
        <v>433</v>
      </c>
      <c r="B112" s="130">
        <v>45</v>
      </c>
      <c r="C112" s="83" t="s">
        <v>24</v>
      </c>
    </row>
    <row r="113" spans="1:3" x14ac:dyDescent="0.2">
      <c r="A113" s="83" t="s">
        <v>434</v>
      </c>
      <c r="B113" s="130">
        <v>45</v>
      </c>
      <c r="C113" s="83" t="s">
        <v>24</v>
      </c>
    </row>
    <row r="114" spans="1:3" x14ac:dyDescent="0.2">
      <c r="A114" s="83" t="s">
        <v>435</v>
      </c>
      <c r="B114" s="131">
        <v>1</v>
      </c>
      <c r="C114" s="52" t="s">
        <v>80</v>
      </c>
    </row>
    <row r="115" spans="1:3" x14ac:dyDescent="0.2">
      <c r="A115" s="83" t="s">
        <v>436</v>
      </c>
      <c r="B115" s="131">
        <v>1</v>
      </c>
      <c r="C115" s="52" t="s">
        <v>80</v>
      </c>
    </row>
    <row r="116" spans="1:3" x14ac:dyDescent="0.2">
      <c r="A116" s="83" t="s">
        <v>65</v>
      </c>
      <c r="B116" s="130">
        <v>0.5</v>
      </c>
      <c r="C116" s="52" t="s">
        <v>66</v>
      </c>
    </row>
    <row r="117" spans="1:3" x14ac:dyDescent="0.2">
      <c r="A117" s="52" t="s">
        <v>51</v>
      </c>
      <c r="B117" s="131">
        <v>1</v>
      </c>
      <c r="C117" s="52" t="s">
        <v>60</v>
      </c>
    </row>
    <row r="118" spans="1:3" x14ac:dyDescent="0.2">
      <c r="A118" s="52" t="s">
        <v>329</v>
      </c>
      <c r="B118" s="131">
        <v>2.41E-4</v>
      </c>
    </row>
    <row r="119" spans="1:3" x14ac:dyDescent="0.2">
      <c r="A119" s="52" t="s">
        <v>330</v>
      </c>
      <c r="B119" s="131">
        <v>0.753</v>
      </c>
    </row>
    <row r="120" spans="1:3" x14ac:dyDescent="0.2">
      <c r="A120" s="52" t="s">
        <v>331</v>
      </c>
      <c r="B120" s="131">
        <v>1.17E-4</v>
      </c>
    </row>
    <row r="121" spans="1:3" x14ac:dyDescent="0.2">
      <c r="A121" s="52" t="s">
        <v>332</v>
      </c>
      <c r="B121" s="131">
        <v>0.74299999999999999</v>
      </c>
    </row>
    <row r="122" spans="1:3" x14ac:dyDescent="0.2">
      <c r="A122" s="52" t="s">
        <v>333</v>
      </c>
      <c r="B122" s="131">
        <v>1.35E-4</v>
      </c>
    </row>
    <row r="123" spans="1:3" x14ac:dyDescent="0.2">
      <c r="A123" s="52" t="s">
        <v>334</v>
      </c>
      <c r="B123" s="131">
        <v>0.71099999999999997</v>
      </c>
    </row>
    <row r="124" spans="1:3" x14ac:dyDescent="0.2">
      <c r="A124" s="52" t="s">
        <v>335</v>
      </c>
      <c r="B124" s="131">
        <v>2.2599999999999999E-4</v>
      </c>
    </row>
    <row r="125" spans="1:3" x14ac:dyDescent="0.2">
      <c r="A125" s="52" t="s">
        <v>336</v>
      </c>
      <c r="B125" s="131">
        <v>0.66200000000000003</v>
      </c>
    </row>
    <row r="126" spans="1:3" x14ac:dyDescent="0.2">
      <c r="A126" s="52" t="s">
        <v>337</v>
      </c>
      <c r="B126" s="131">
        <v>1.5699999999999999E-5</v>
      </c>
    </row>
    <row r="127" spans="1:3" x14ac:dyDescent="0.2">
      <c r="A127" s="52" t="s">
        <v>338</v>
      </c>
      <c r="B127" s="131">
        <v>0.80900000000000005</v>
      </c>
    </row>
    <row r="128" spans="1:3" x14ac:dyDescent="0.2">
      <c r="A128" s="52" t="s">
        <v>159</v>
      </c>
      <c r="B128" s="130">
        <v>1</v>
      </c>
      <c r="C128" s="52" t="s">
        <v>221</v>
      </c>
    </row>
    <row r="129" spans="1:3" x14ac:dyDescent="0.2">
      <c r="A129" s="84" t="s">
        <v>164</v>
      </c>
      <c r="B129" s="130">
        <v>1</v>
      </c>
      <c r="C129" s="52" t="s">
        <v>246</v>
      </c>
    </row>
    <row r="130" spans="1:3" x14ac:dyDescent="0.2">
      <c r="A130" s="84" t="s">
        <v>161</v>
      </c>
      <c r="B130" s="130">
        <v>1</v>
      </c>
      <c r="C130" s="52" t="s">
        <v>246</v>
      </c>
    </row>
    <row r="131" spans="1:3" x14ac:dyDescent="0.2">
      <c r="A131" s="84" t="s">
        <v>162</v>
      </c>
      <c r="B131" s="130">
        <v>1</v>
      </c>
      <c r="C131" s="52" t="s">
        <v>41</v>
      </c>
    </row>
    <row r="132" spans="1:3" x14ac:dyDescent="0.2">
      <c r="A132" s="84" t="s">
        <v>163</v>
      </c>
      <c r="B132" s="130">
        <v>1</v>
      </c>
      <c r="C132" s="52" t="s">
        <v>41</v>
      </c>
    </row>
    <row r="133" spans="1:3" x14ac:dyDescent="0.2">
      <c r="A133" s="84" t="s">
        <v>169</v>
      </c>
      <c r="B133" s="130">
        <v>1</v>
      </c>
      <c r="C133" s="52" t="s">
        <v>28</v>
      </c>
    </row>
    <row r="134" spans="1:3" x14ac:dyDescent="0.2">
      <c r="A134" s="52" t="s">
        <v>160</v>
      </c>
      <c r="B134" s="130">
        <v>1</v>
      </c>
      <c r="C134" s="52" t="s">
        <v>221</v>
      </c>
    </row>
    <row r="135" spans="1:3" x14ac:dyDescent="0.2">
      <c r="A135" s="52" t="s">
        <v>165</v>
      </c>
      <c r="B135" s="130">
        <v>1</v>
      </c>
      <c r="C135" s="52" t="s">
        <v>246</v>
      </c>
    </row>
    <row r="136" spans="1:3" x14ac:dyDescent="0.2">
      <c r="A136" s="52" t="s">
        <v>166</v>
      </c>
      <c r="B136" s="130">
        <v>1</v>
      </c>
      <c r="C136" s="52" t="s">
        <v>246</v>
      </c>
    </row>
    <row r="137" spans="1:3" x14ac:dyDescent="0.2">
      <c r="A137" s="93" t="s">
        <v>167</v>
      </c>
      <c r="B137" s="130">
        <v>1</v>
      </c>
      <c r="C137" s="52" t="s">
        <v>41</v>
      </c>
    </row>
    <row r="138" spans="1:3" x14ac:dyDescent="0.2">
      <c r="A138" s="83" t="s">
        <v>168</v>
      </c>
      <c r="B138" s="130">
        <v>1</v>
      </c>
      <c r="C138" s="52" t="s">
        <v>41</v>
      </c>
    </row>
    <row r="139" spans="1:3" x14ac:dyDescent="0.2">
      <c r="A139" s="84" t="s">
        <v>170</v>
      </c>
      <c r="B139" s="130">
        <v>1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200</v>
      </c>
      <c r="C141" s="84" t="s">
        <v>48</v>
      </c>
    </row>
    <row r="142" spans="1:3" x14ac:dyDescent="0.2">
      <c r="A142" s="83" t="s">
        <v>458</v>
      </c>
      <c r="B142" s="130">
        <v>100</v>
      </c>
      <c r="C142" s="84" t="s">
        <v>48</v>
      </c>
    </row>
    <row r="143" spans="1:3" x14ac:dyDescent="0.2">
      <c r="A143" s="83" t="s">
        <v>450</v>
      </c>
      <c r="B143" s="130">
        <v>10</v>
      </c>
      <c r="C143" s="92" t="s">
        <v>407</v>
      </c>
    </row>
    <row r="144" spans="1:3" x14ac:dyDescent="0.2">
      <c r="A144" s="83" t="s">
        <v>459</v>
      </c>
      <c r="B144" s="130">
        <v>20</v>
      </c>
      <c r="C144" s="92" t="s">
        <v>407</v>
      </c>
    </row>
    <row r="145" spans="1:3" x14ac:dyDescent="0.2">
      <c r="A145" s="92" t="s">
        <v>451</v>
      </c>
      <c r="B145" s="131">
        <v>0.78</v>
      </c>
      <c r="C145" s="83" t="s">
        <v>28</v>
      </c>
    </row>
    <row r="146" spans="1:3" x14ac:dyDescent="0.2">
      <c r="A146" s="92" t="s">
        <v>460</v>
      </c>
      <c r="B146" s="131">
        <v>2.5</v>
      </c>
      <c r="C146" s="83" t="s">
        <v>28</v>
      </c>
    </row>
    <row r="147" spans="1:3" ht="15" x14ac:dyDescent="0.2">
      <c r="A147" s="92" t="s">
        <v>450</v>
      </c>
      <c r="B147" s="131">
        <v>10</v>
      </c>
      <c r="C147" s="83" t="s">
        <v>143</v>
      </c>
    </row>
    <row r="148" spans="1:3" ht="15" x14ac:dyDescent="0.2">
      <c r="A148" s="92" t="s">
        <v>459</v>
      </c>
      <c r="B148" s="131">
        <v>20</v>
      </c>
      <c r="C148" s="83" t="s">
        <v>143</v>
      </c>
    </row>
    <row r="149" spans="1:3" x14ac:dyDescent="0.2">
      <c r="A149" s="83" t="s">
        <v>467</v>
      </c>
      <c r="B149" s="130">
        <v>68.099999999999994</v>
      </c>
      <c r="C149" s="92" t="s">
        <v>221</v>
      </c>
    </row>
    <row r="150" spans="1:3" x14ac:dyDescent="0.2">
      <c r="A150" s="83" t="s">
        <v>468</v>
      </c>
      <c r="B150" s="130">
        <v>176.8</v>
      </c>
      <c r="C150" s="92" t="s">
        <v>221</v>
      </c>
    </row>
    <row r="151" spans="1:3" x14ac:dyDescent="0.2">
      <c r="A151" s="83" t="s">
        <v>469</v>
      </c>
      <c r="B151" s="130">
        <v>41.7</v>
      </c>
      <c r="C151" s="92" t="s">
        <v>221</v>
      </c>
    </row>
    <row r="152" spans="1:3" x14ac:dyDescent="0.2">
      <c r="A152" s="83" t="s">
        <v>470</v>
      </c>
      <c r="B152" s="130">
        <v>125.7</v>
      </c>
      <c r="C152" s="92" t="s">
        <v>221</v>
      </c>
    </row>
    <row r="153" spans="1:3" x14ac:dyDescent="0.2">
      <c r="A153" s="83" t="s">
        <v>452</v>
      </c>
      <c r="B153" s="130">
        <v>349.5</v>
      </c>
      <c r="C153" s="92" t="s">
        <v>221</v>
      </c>
    </row>
    <row r="154" spans="1:3" x14ac:dyDescent="0.2">
      <c r="A154" s="83" t="s">
        <v>461</v>
      </c>
      <c r="B154" s="130">
        <v>445.6</v>
      </c>
      <c r="C154" s="92" t="s">
        <v>221</v>
      </c>
    </row>
    <row r="155" spans="1:3" x14ac:dyDescent="0.2">
      <c r="A155" s="83" t="s">
        <v>453</v>
      </c>
      <c r="B155" s="132">
        <v>40.1</v>
      </c>
      <c r="C155" s="92" t="s">
        <v>221</v>
      </c>
    </row>
    <row r="156" spans="1:3" x14ac:dyDescent="0.2">
      <c r="A156" s="83" t="s">
        <v>462</v>
      </c>
      <c r="B156" s="132">
        <v>178</v>
      </c>
      <c r="C156" s="92" t="s">
        <v>221</v>
      </c>
    </row>
    <row r="157" spans="1:3" x14ac:dyDescent="0.2">
      <c r="A157" s="83" t="s">
        <v>454</v>
      </c>
      <c r="B157" s="133">
        <v>10.95</v>
      </c>
      <c r="C157" s="92" t="s">
        <v>221</v>
      </c>
    </row>
    <row r="158" spans="1:3" x14ac:dyDescent="0.2">
      <c r="A158" s="83" t="s">
        <v>463</v>
      </c>
      <c r="B158" s="132">
        <v>53.4</v>
      </c>
      <c r="C158" s="92" t="s">
        <v>221</v>
      </c>
    </row>
    <row r="159" spans="1:3" x14ac:dyDescent="0.2">
      <c r="A159" s="83" t="s">
        <v>471</v>
      </c>
      <c r="B159" s="130">
        <v>32.799999999999997</v>
      </c>
      <c r="C159" s="92" t="s">
        <v>221</v>
      </c>
    </row>
    <row r="160" spans="1:3" x14ac:dyDescent="0.2">
      <c r="A160" s="83" t="s">
        <v>472</v>
      </c>
      <c r="B160" s="130">
        <v>155.4</v>
      </c>
      <c r="C160" s="92" t="s">
        <v>221</v>
      </c>
    </row>
    <row r="161" spans="1:3" x14ac:dyDescent="0.2">
      <c r="A161" s="83" t="s">
        <v>473</v>
      </c>
      <c r="B161" s="132">
        <v>23.6</v>
      </c>
      <c r="C161" s="92" t="s">
        <v>221</v>
      </c>
    </row>
    <row r="162" spans="1:3" x14ac:dyDescent="0.2">
      <c r="A162" s="83" t="s">
        <v>474</v>
      </c>
      <c r="B162" s="132">
        <v>106.6</v>
      </c>
      <c r="C162" s="92" t="s">
        <v>221</v>
      </c>
    </row>
    <row r="163" spans="1:3" x14ac:dyDescent="0.2">
      <c r="A163" s="83" t="s">
        <v>455</v>
      </c>
      <c r="B163" s="130">
        <v>18.5</v>
      </c>
      <c r="C163" s="92" t="s">
        <v>221</v>
      </c>
    </row>
    <row r="164" spans="1:3" x14ac:dyDescent="0.2">
      <c r="A164" s="83" t="s">
        <v>464</v>
      </c>
      <c r="B164" s="130">
        <v>97.9</v>
      </c>
      <c r="C164" s="92" t="s">
        <v>221</v>
      </c>
    </row>
    <row r="165" spans="1:3" x14ac:dyDescent="0.2">
      <c r="A165" s="83" t="s">
        <v>475</v>
      </c>
      <c r="B165" s="130">
        <v>0.15</v>
      </c>
      <c r="C165" s="88"/>
    </row>
    <row r="166" spans="1:3" x14ac:dyDescent="0.2">
      <c r="A166" s="83" t="s">
        <v>476</v>
      </c>
      <c r="B166" s="130">
        <v>0.85</v>
      </c>
      <c r="C166" s="88"/>
    </row>
    <row r="167" spans="1:3" x14ac:dyDescent="0.2">
      <c r="A167" s="83" t="s">
        <v>456</v>
      </c>
      <c r="B167" s="130">
        <v>350</v>
      </c>
      <c r="C167" s="83" t="s">
        <v>24</v>
      </c>
    </row>
    <row r="168" spans="1:3" x14ac:dyDescent="0.2">
      <c r="A168" s="83" t="s">
        <v>465</v>
      </c>
      <c r="B168" s="130">
        <v>350</v>
      </c>
      <c r="C168" s="83" t="s">
        <v>24</v>
      </c>
    </row>
    <row r="169" spans="1:3" x14ac:dyDescent="0.2">
      <c r="A169" s="52" t="s">
        <v>362</v>
      </c>
      <c r="B169" s="131">
        <v>350</v>
      </c>
      <c r="C169" s="83" t="s">
        <v>24</v>
      </c>
    </row>
    <row r="170" spans="1:3" x14ac:dyDescent="0.2">
      <c r="A170" s="83" t="s">
        <v>363</v>
      </c>
      <c r="B170" s="130">
        <v>1</v>
      </c>
      <c r="C170" s="92" t="s">
        <v>60</v>
      </c>
    </row>
    <row r="171" spans="1:3" x14ac:dyDescent="0.2">
      <c r="A171" s="83" t="s">
        <v>364</v>
      </c>
      <c r="B171" s="130">
        <v>24</v>
      </c>
      <c r="C171" s="94" t="s">
        <v>194</v>
      </c>
    </row>
    <row r="172" spans="1:3" x14ac:dyDescent="0.2">
      <c r="A172" s="83" t="s">
        <v>365</v>
      </c>
      <c r="B172" s="130">
        <v>24</v>
      </c>
      <c r="C172" s="52" t="s">
        <v>194</v>
      </c>
    </row>
    <row r="173" spans="1:3" x14ac:dyDescent="0.2">
      <c r="A173" s="83" t="s">
        <v>361</v>
      </c>
      <c r="B173" s="130">
        <v>1</v>
      </c>
    </row>
    <row r="174" spans="1:3" x14ac:dyDescent="0.2">
      <c r="A174" s="83" t="s">
        <v>507</v>
      </c>
      <c r="B174" s="130">
        <v>12.167999999999999</v>
      </c>
      <c r="C174" s="84" t="s">
        <v>194</v>
      </c>
    </row>
    <row r="175" spans="1:3" x14ac:dyDescent="0.2">
      <c r="A175" s="83" t="s">
        <v>508</v>
      </c>
      <c r="B175" s="130">
        <v>10.007999999999999</v>
      </c>
      <c r="C175" s="84" t="s">
        <v>194</v>
      </c>
    </row>
    <row r="176" spans="1:3" x14ac:dyDescent="0.2">
      <c r="A176" s="83" t="s">
        <v>88</v>
      </c>
      <c r="B176" s="130">
        <v>0.4</v>
      </c>
    </row>
    <row r="177" spans="1:3" x14ac:dyDescent="0.2">
      <c r="A177" s="83" t="s">
        <v>303</v>
      </c>
      <c r="B177" s="130">
        <v>0.4</v>
      </c>
    </row>
    <row r="178" spans="1:3" x14ac:dyDescent="0.2">
      <c r="A178" s="83" t="s">
        <v>302</v>
      </c>
      <c r="B178" s="130">
        <v>1</v>
      </c>
    </row>
    <row r="179" spans="1:3" x14ac:dyDescent="0.2">
      <c r="A179" s="83" t="s">
        <v>54</v>
      </c>
      <c r="B179" s="130">
        <v>1</v>
      </c>
    </row>
    <row r="180" spans="1:3" x14ac:dyDescent="0.2">
      <c r="A180" s="83" t="s">
        <v>301</v>
      </c>
      <c r="B180" s="131">
        <v>1</v>
      </c>
    </row>
    <row r="181" spans="1:3" x14ac:dyDescent="0.2">
      <c r="A181" s="92" t="s">
        <v>457</v>
      </c>
      <c r="B181" s="130">
        <v>1</v>
      </c>
      <c r="C181" s="92" t="s">
        <v>144</v>
      </c>
    </row>
    <row r="182" spans="1:3" x14ac:dyDescent="0.2">
      <c r="A182" s="92" t="s">
        <v>466</v>
      </c>
      <c r="B182" s="130">
        <v>1</v>
      </c>
      <c r="C182" s="92" t="s">
        <v>144</v>
      </c>
    </row>
    <row r="183" spans="1:3" x14ac:dyDescent="0.2">
      <c r="A183" s="52" t="s">
        <v>477</v>
      </c>
      <c r="B183" s="130">
        <v>0.54</v>
      </c>
      <c r="C183" s="92" t="s">
        <v>358</v>
      </c>
    </row>
    <row r="184" spans="1:3" x14ac:dyDescent="0.2">
      <c r="A184" s="52" t="s">
        <v>478</v>
      </c>
      <c r="B184" s="130">
        <v>0.71</v>
      </c>
      <c r="C184" s="92" t="s">
        <v>358</v>
      </c>
    </row>
    <row r="185" spans="1:3" ht="15" x14ac:dyDescent="0.2">
      <c r="A185" s="84" t="s">
        <v>65</v>
      </c>
      <c r="B185" s="130">
        <v>0.5</v>
      </c>
      <c r="C185" s="92" t="s">
        <v>145</v>
      </c>
    </row>
    <row r="186" spans="1:3" x14ac:dyDescent="0.2">
      <c r="A186" s="92" t="s">
        <v>361</v>
      </c>
      <c r="B186" s="130">
        <v>1</v>
      </c>
    </row>
    <row r="187" spans="1:3" x14ac:dyDescent="0.2">
      <c r="A187" s="92" t="s">
        <v>479</v>
      </c>
      <c r="B187" s="130">
        <v>1</v>
      </c>
    </row>
    <row r="188" spans="1:3" x14ac:dyDescent="0.2">
      <c r="A188" s="92" t="s">
        <v>480</v>
      </c>
      <c r="B188" s="130">
        <v>1</v>
      </c>
    </row>
    <row r="189" spans="1:3" x14ac:dyDescent="0.2">
      <c r="A189" s="92" t="s">
        <v>481</v>
      </c>
      <c r="B189" s="130">
        <v>1</v>
      </c>
    </row>
    <row r="190" spans="1:3" x14ac:dyDescent="0.2">
      <c r="A190" s="92" t="s">
        <v>482</v>
      </c>
      <c r="B190" s="130">
        <v>1</v>
      </c>
    </row>
    <row r="191" spans="1:3" x14ac:dyDescent="0.2">
      <c r="A191" s="92" t="s">
        <v>483</v>
      </c>
      <c r="B191" s="130">
        <v>1</v>
      </c>
    </row>
    <row r="192" spans="1:3" x14ac:dyDescent="0.2">
      <c r="A192" s="92" t="s">
        <v>484</v>
      </c>
      <c r="B192" s="131">
        <v>1</v>
      </c>
    </row>
    <row r="193" spans="1:3" x14ac:dyDescent="0.2">
      <c r="A193" s="83" t="s">
        <v>36</v>
      </c>
      <c r="B193" s="131">
        <v>3.62</v>
      </c>
      <c r="C193" s="52" t="s">
        <v>37</v>
      </c>
    </row>
    <row r="194" spans="1:3" x14ac:dyDescent="0.2">
      <c r="A194" s="83" t="s">
        <v>40</v>
      </c>
      <c r="B194" s="131">
        <v>0.25</v>
      </c>
      <c r="C194" s="52" t="s">
        <v>41</v>
      </c>
    </row>
    <row r="195" spans="1:3" x14ac:dyDescent="0.2">
      <c r="A195" s="92" t="s">
        <v>52</v>
      </c>
      <c r="B195" s="131">
        <v>10950</v>
      </c>
      <c r="C195" s="52" t="s">
        <v>53</v>
      </c>
    </row>
    <row r="196" spans="1:3" x14ac:dyDescent="0.2">
      <c r="A196" s="92" t="s">
        <v>55</v>
      </c>
      <c r="B196" s="131">
        <v>240</v>
      </c>
      <c r="C196" s="52" t="s">
        <v>56</v>
      </c>
    </row>
    <row r="197" spans="1:3" x14ac:dyDescent="0.2">
      <c r="A197" s="92" t="s">
        <v>61</v>
      </c>
      <c r="B197" s="131">
        <v>0.42</v>
      </c>
      <c r="C197" s="52" t="s">
        <v>41</v>
      </c>
    </row>
    <row r="198" spans="1:3" x14ac:dyDescent="0.2">
      <c r="A198" s="92" t="s">
        <v>67</v>
      </c>
      <c r="B198" s="131">
        <v>60</v>
      </c>
      <c r="C198" s="83" t="s">
        <v>53</v>
      </c>
    </row>
    <row r="199" spans="1:3" x14ac:dyDescent="0.2">
      <c r="A199" s="92" t="s">
        <v>68</v>
      </c>
      <c r="B199" s="131">
        <v>2</v>
      </c>
      <c r="C199" s="83" t="s">
        <v>56</v>
      </c>
    </row>
    <row r="200" spans="1:3" x14ac:dyDescent="0.2">
      <c r="A200" s="92" t="s">
        <v>70</v>
      </c>
      <c r="B200" s="131">
        <v>2.6999999999999999E-5</v>
      </c>
      <c r="C200" s="52" t="s">
        <v>64</v>
      </c>
    </row>
    <row r="201" spans="1:3" x14ac:dyDescent="0.2">
      <c r="A201" s="92" t="s">
        <v>73</v>
      </c>
      <c r="B201" s="131">
        <v>1</v>
      </c>
      <c r="C201" s="52" t="s">
        <v>41</v>
      </c>
    </row>
    <row r="202" spans="1:3" x14ac:dyDescent="0.2">
      <c r="A202" s="92" t="s">
        <v>74</v>
      </c>
      <c r="B202" s="131">
        <v>14</v>
      </c>
      <c r="C202" s="52" t="s">
        <v>75</v>
      </c>
    </row>
    <row r="203" spans="1:3" x14ac:dyDescent="0.2">
      <c r="A203" s="83" t="s">
        <v>27</v>
      </c>
      <c r="B203" s="131">
        <v>92</v>
      </c>
      <c r="C203" s="83" t="s">
        <v>28</v>
      </c>
    </row>
    <row r="204" spans="1:3" x14ac:dyDescent="0.2">
      <c r="A204" s="52" t="s">
        <v>285</v>
      </c>
      <c r="B204" s="130">
        <v>1.03</v>
      </c>
      <c r="C204" s="52" t="s">
        <v>286</v>
      </c>
    </row>
    <row r="205" spans="1:3" x14ac:dyDescent="0.2">
      <c r="A205" s="83" t="s">
        <v>498</v>
      </c>
      <c r="B205" s="131">
        <v>20.3</v>
      </c>
      <c r="C205" s="52" t="s">
        <v>246</v>
      </c>
    </row>
    <row r="206" spans="1:3" x14ac:dyDescent="0.2">
      <c r="A206" s="83" t="s">
        <v>499</v>
      </c>
      <c r="B206" s="131">
        <v>0.04</v>
      </c>
      <c r="C206" s="52" t="s">
        <v>246</v>
      </c>
    </row>
    <row r="207" spans="1:3" x14ac:dyDescent="0.2">
      <c r="A207" s="83" t="s">
        <v>500</v>
      </c>
      <c r="B207" s="131">
        <v>1</v>
      </c>
    </row>
    <row r="208" spans="1:3" x14ac:dyDescent="0.2">
      <c r="A208" s="83" t="s">
        <v>501</v>
      </c>
      <c r="B208" s="131">
        <v>1</v>
      </c>
    </row>
    <row r="209" spans="1:3" x14ac:dyDescent="0.2">
      <c r="A209" s="83" t="s">
        <v>29</v>
      </c>
      <c r="B209" s="131">
        <v>53</v>
      </c>
      <c r="C209" s="83" t="s">
        <v>28</v>
      </c>
    </row>
    <row r="210" spans="1:3" x14ac:dyDescent="0.2">
      <c r="A210" s="83" t="s">
        <v>494</v>
      </c>
      <c r="B210" s="131">
        <v>11.77</v>
      </c>
      <c r="C210" s="52" t="s">
        <v>246</v>
      </c>
    </row>
    <row r="211" spans="1:3" x14ac:dyDescent="0.2">
      <c r="A211" s="83" t="s">
        <v>495</v>
      </c>
      <c r="B211" s="131">
        <v>0.5</v>
      </c>
      <c r="C211" s="52" t="s">
        <v>246</v>
      </c>
    </row>
    <row r="212" spans="1:3" x14ac:dyDescent="0.2">
      <c r="A212" s="83" t="s">
        <v>496</v>
      </c>
      <c r="B212" s="131">
        <v>1</v>
      </c>
    </row>
    <row r="213" spans="1:3" x14ac:dyDescent="0.2">
      <c r="A213" s="83" t="s">
        <v>497</v>
      </c>
      <c r="B213" s="131">
        <v>1</v>
      </c>
    </row>
    <row r="214" spans="1:3" x14ac:dyDescent="0.2">
      <c r="A214" s="83" t="s">
        <v>148</v>
      </c>
      <c r="B214" s="130">
        <v>0.4</v>
      </c>
      <c r="C214" s="83" t="s">
        <v>28</v>
      </c>
    </row>
    <row r="215" spans="1:3" x14ac:dyDescent="0.2">
      <c r="A215" s="83" t="s">
        <v>152</v>
      </c>
      <c r="B215" s="131">
        <v>0.2</v>
      </c>
      <c r="C215" s="52" t="s">
        <v>246</v>
      </c>
    </row>
    <row r="216" spans="1:3" x14ac:dyDescent="0.2">
      <c r="A216" s="83" t="s">
        <v>151</v>
      </c>
      <c r="B216" s="131">
        <v>2.1999999999999999E-2</v>
      </c>
      <c r="C216" s="52" t="s">
        <v>246</v>
      </c>
    </row>
    <row r="217" spans="1:3" x14ac:dyDescent="0.2">
      <c r="A217" s="83" t="s">
        <v>153</v>
      </c>
      <c r="B217" s="130">
        <v>1</v>
      </c>
    </row>
    <row r="218" spans="1:3" x14ac:dyDescent="0.2">
      <c r="A218" s="83" t="s">
        <v>154</v>
      </c>
      <c r="B218" s="130">
        <v>1</v>
      </c>
    </row>
    <row r="219" spans="1:3" x14ac:dyDescent="0.2">
      <c r="A219" s="83" t="s">
        <v>485</v>
      </c>
      <c r="B219" s="130">
        <v>0.4</v>
      </c>
      <c r="C219" s="83" t="s">
        <v>28</v>
      </c>
    </row>
    <row r="220" spans="1:3" x14ac:dyDescent="0.2">
      <c r="A220" s="83" t="s">
        <v>486</v>
      </c>
      <c r="B220" s="131">
        <v>0.2</v>
      </c>
      <c r="C220" s="52" t="s">
        <v>246</v>
      </c>
    </row>
    <row r="221" spans="1:3" x14ac:dyDescent="0.2">
      <c r="A221" s="83" t="s">
        <v>487</v>
      </c>
      <c r="B221" s="131">
        <v>2.1999999999999999E-2</v>
      </c>
      <c r="C221" s="52" t="s">
        <v>246</v>
      </c>
    </row>
    <row r="222" spans="1:3" x14ac:dyDescent="0.2">
      <c r="A222" s="83" t="s">
        <v>488</v>
      </c>
      <c r="B222" s="131">
        <v>1</v>
      </c>
    </row>
    <row r="223" spans="1:3" x14ac:dyDescent="0.2">
      <c r="A223" s="83" t="s">
        <v>489</v>
      </c>
      <c r="B223" s="131">
        <v>1</v>
      </c>
    </row>
    <row r="224" spans="1:3" x14ac:dyDescent="0.2">
      <c r="A224" s="83" t="s">
        <v>150</v>
      </c>
      <c r="B224" s="131">
        <v>11.4</v>
      </c>
      <c r="C224" s="83" t="s">
        <v>28</v>
      </c>
    </row>
    <row r="225" spans="1:3" x14ac:dyDescent="0.2">
      <c r="A225" s="83" t="s">
        <v>490</v>
      </c>
      <c r="B225" s="131">
        <v>4.7</v>
      </c>
      <c r="C225" s="52" t="s">
        <v>246</v>
      </c>
    </row>
    <row r="226" spans="1:3" x14ac:dyDescent="0.2">
      <c r="A226" s="83" t="s">
        <v>491</v>
      </c>
      <c r="B226" s="131">
        <v>0.37</v>
      </c>
      <c r="C226" s="52" t="s">
        <v>246</v>
      </c>
    </row>
    <row r="227" spans="1:3" x14ac:dyDescent="0.2">
      <c r="A227" s="83" t="s">
        <v>492</v>
      </c>
      <c r="B227" s="131">
        <v>1</v>
      </c>
    </row>
    <row r="228" spans="1:3" x14ac:dyDescent="0.2">
      <c r="A228" s="83" t="s">
        <v>493</v>
      </c>
      <c r="B228" s="131">
        <v>1</v>
      </c>
    </row>
    <row r="229" spans="1:3" x14ac:dyDescent="0.2">
      <c r="A229" s="370" t="s">
        <v>311</v>
      </c>
      <c r="B229" s="370"/>
      <c r="C229" s="370"/>
    </row>
    <row r="230" spans="1:3" x14ac:dyDescent="0.2">
      <c r="A230" s="52" t="s">
        <v>504</v>
      </c>
      <c r="B230" s="130">
        <v>60</v>
      </c>
      <c r="C230" s="84" t="s">
        <v>407</v>
      </c>
    </row>
    <row r="231" spans="1:3" x14ac:dyDescent="0.2">
      <c r="A231" s="83" t="s">
        <v>316</v>
      </c>
      <c r="B231" s="130">
        <v>250</v>
      </c>
      <c r="C231" s="52" t="s">
        <v>24</v>
      </c>
    </row>
    <row r="232" spans="1:3" x14ac:dyDescent="0.2">
      <c r="A232" s="83" t="s">
        <v>422</v>
      </c>
      <c r="B232" s="131">
        <v>1</v>
      </c>
      <c r="C232" s="52" t="s">
        <v>60</v>
      </c>
    </row>
    <row r="233" spans="1:3" x14ac:dyDescent="0.2">
      <c r="A233" s="83" t="s">
        <v>317</v>
      </c>
      <c r="B233" s="130">
        <v>100</v>
      </c>
      <c r="C233" s="84" t="s">
        <v>48</v>
      </c>
    </row>
    <row r="234" spans="1:3" x14ac:dyDescent="0.2">
      <c r="A234" s="52" t="s">
        <v>318</v>
      </c>
      <c r="B234" s="131">
        <v>1</v>
      </c>
    </row>
    <row r="235" spans="1:3" x14ac:dyDescent="0.2">
      <c r="A235" s="83" t="s">
        <v>300</v>
      </c>
      <c r="B235" s="131">
        <v>1</v>
      </c>
    </row>
    <row r="236" spans="1:3" x14ac:dyDescent="0.2">
      <c r="A236" s="83" t="s">
        <v>299</v>
      </c>
      <c r="B236" s="131">
        <v>0.4</v>
      </c>
    </row>
    <row r="237" spans="1:3" x14ac:dyDescent="0.2">
      <c r="A237" s="83" t="s">
        <v>54</v>
      </c>
      <c r="B237" s="131">
        <v>1</v>
      </c>
    </row>
    <row r="238" spans="1:3" x14ac:dyDescent="0.2">
      <c r="A238" s="83" t="s">
        <v>83</v>
      </c>
      <c r="B238" s="130">
        <v>8</v>
      </c>
      <c r="C238" s="52" t="s">
        <v>194</v>
      </c>
    </row>
    <row r="239" spans="1:3" x14ac:dyDescent="0.2">
      <c r="A239" s="83" t="s">
        <v>85</v>
      </c>
      <c r="B239" s="130">
        <v>8</v>
      </c>
      <c r="C239" s="52" t="s">
        <v>194</v>
      </c>
    </row>
    <row r="240" spans="1:3" x14ac:dyDescent="0.2">
      <c r="A240" s="83" t="s">
        <v>88</v>
      </c>
      <c r="B240" s="130">
        <v>0.4</v>
      </c>
    </row>
    <row r="241" spans="1:3" x14ac:dyDescent="0.2">
      <c r="A241" s="370" t="s">
        <v>312</v>
      </c>
      <c r="B241" s="370"/>
      <c r="C241" s="370"/>
    </row>
    <row r="242" spans="1:3" x14ac:dyDescent="0.2">
      <c r="A242" s="52" t="s">
        <v>304</v>
      </c>
      <c r="B242" s="130">
        <v>60</v>
      </c>
      <c r="C242" s="84" t="s">
        <v>407</v>
      </c>
    </row>
    <row r="243" spans="1:3" x14ac:dyDescent="0.2">
      <c r="A243" s="83" t="s">
        <v>35</v>
      </c>
      <c r="B243" s="130">
        <v>250</v>
      </c>
      <c r="C243" s="52" t="s">
        <v>24</v>
      </c>
    </row>
    <row r="244" spans="1:3" x14ac:dyDescent="0.2">
      <c r="A244" s="83" t="s">
        <v>420</v>
      </c>
      <c r="B244" s="131">
        <v>1</v>
      </c>
      <c r="C244" s="52" t="s">
        <v>60</v>
      </c>
    </row>
    <row r="245" spans="1:3" x14ac:dyDescent="0.2">
      <c r="A245" s="83" t="s">
        <v>62</v>
      </c>
      <c r="B245" s="130">
        <v>50</v>
      </c>
      <c r="C245" s="84" t="s">
        <v>48</v>
      </c>
    </row>
    <row r="246" spans="1:3" x14ac:dyDescent="0.2">
      <c r="A246" s="52" t="s">
        <v>318</v>
      </c>
      <c r="B246" s="131">
        <v>1</v>
      </c>
    </row>
    <row r="247" spans="1:3" x14ac:dyDescent="0.2">
      <c r="A247" s="83" t="s">
        <v>300</v>
      </c>
      <c r="B247" s="131">
        <v>1</v>
      </c>
    </row>
    <row r="248" spans="1:3" x14ac:dyDescent="0.2">
      <c r="A248" s="83" t="s">
        <v>299</v>
      </c>
      <c r="B248" s="131">
        <v>0.4</v>
      </c>
    </row>
    <row r="249" spans="1:3" x14ac:dyDescent="0.2">
      <c r="A249" s="83" t="s">
        <v>54</v>
      </c>
      <c r="B249" s="131">
        <v>1</v>
      </c>
    </row>
    <row r="250" spans="1:3" x14ac:dyDescent="0.2">
      <c r="A250" s="83" t="s">
        <v>83</v>
      </c>
      <c r="B250" s="130">
        <v>0</v>
      </c>
      <c r="C250" s="52" t="s">
        <v>194</v>
      </c>
    </row>
    <row r="251" spans="1:3" x14ac:dyDescent="0.2">
      <c r="A251" s="83" t="s">
        <v>85</v>
      </c>
      <c r="B251" s="130">
        <v>8</v>
      </c>
      <c r="C251" s="52" t="s">
        <v>194</v>
      </c>
    </row>
    <row r="252" spans="1:3" x14ac:dyDescent="0.2">
      <c r="A252" s="83" t="s">
        <v>88</v>
      </c>
      <c r="B252" s="130">
        <v>0.4</v>
      </c>
    </row>
    <row r="253" spans="1:3" x14ac:dyDescent="0.2">
      <c r="A253" s="370" t="s">
        <v>313</v>
      </c>
      <c r="B253" s="370"/>
      <c r="C253" s="370"/>
    </row>
    <row r="254" spans="1:3" x14ac:dyDescent="0.2">
      <c r="A254" s="52" t="s">
        <v>50</v>
      </c>
      <c r="B254" s="130">
        <v>60</v>
      </c>
      <c r="C254" s="84" t="s">
        <v>407</v>
      </c>
    </row>
    <row r="255" spans="1:3" x14ac:dyDescent="0.2">
      <c r="A255" s="83" t="s">
        <v>423</v>
      </c>
      <c r="B255" s="130">
        <v>225</v>
      </c>
      <c r="C255" s="52" t="s">
        <v>24</v>
      </c>
    </row>
    <row r="256" spans="1:3" x14ac:dyDescent="0.2">
      <c r="A256" s="83" t="s">
        <v>424</v>
      </c>
      <c r="B256" s="131">
        <v>1</v>
      </c>
      <c r="C256" s="52" t="s">
        <v>60</v>
      </c>
    </row>
    <row r="257" spans="1:3" x14ac:dyDescent="0.2">
      <c r="A257" s="83" t="s">
        <v>503</v>
      </c>
      <c r="B257" s="130">
        <v>100</v>
      </c>
      <c r="C257" s="84" t="s">
        <v>48</v>
      </c>
    </row>
    <row r="258" spans="1:3" x14ac:dyDescent="0.2">
      <c r="A258" s="52" t="s">
        <v>318</v>
      </c>
      <c r="B258" s="131">
        <v>1</v>
      </c>
    </row>
    <row r="259" spans="1:3" x14ac:dyDescent="0.2">
      <c r="A259" s="83" t="s">
        <v>300</v>
      </c>
      <c r="B259" s="131">
        <v>1</v>
      </c>
    </row>
    <row r="260" spans="1:3" x14ac:dyDescent="0.2">
      <c r="A260" s="83" t="s">
        <v>299</v>
      </c>
      <c r="B260" s="131">
        <v>0.4</v>
      </c>
    </row>
    <row r="261" spans="1:3" x14ac:dyDescent="0.2">
      <c r="A261" s="83" t="s">
        <v>54</v>
      </c>
      <c r="B261" s="131">
        <v>1</v>
      </c>
    </row>
    <row r="262" spans="1:3" x14ac:dyDescent="0.2">
      <c r="A262" s="83" t="s">
        <v>83</v>
      </c>
      <c r="B262" s="130">
        <v>8</v>
      </c>
      <c r="C262" s="52" t="s">
        <v>194</v>
      </c>
    </row>
    <row r="263" spans="1:3" x14ac:dyDescent="0.2">
      <c r="A263" s="83" t="s">
        <v>85</v>
      </c>
      <c r="B263" s="130">
        <v>0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370" t="s">
        <v>314</v>
      </c>
      <c r="B265" s="370"/>
      <c r="C265" s="370"/>
    </row>
    <row r="266" spans="1:3" x14ac:dyDescent="0.2">
      <c r="A266" s="52" t="s">
        <v>348</v>
      </c>
      <c r="B266" s="130">
        <v>60</v>
      </c>
      <c r="C266" s="84" t="s">
        <v>407</v>
      </c>
    </row>
    <row r="267" spans="1:3" x14ac:dyDescent="0.2">
      <c r="A267" s="83" t="s">
        <v>191</v>
      </c>
      <c r="B267" s="130">
        <v>250</v>
      </c>
      <c r="C267" s="52" t="s">
        <v>24</v>
      </c>
    </row>
    <row r="268" spans="1:3" x14ac:dyDescent="0.2">
      <c r="A268" s="83" t="s">
        <v>158</v>
      </c>
      <c r="B268" s="131">
        <v>1</v>
      </c>
      <c r="C268" s="52" t="s">
        <v>60</v>
      </c>
    </row>
    <row r="269" spans="1:3" x14ac:dyDescent="0.2">
      <c r="A269" s="83" t="s">
        <v>502</v>
      </c>
      <c r="B269" s="130">
        <v>330</v>
      </c>
      <c r="C269" s="84" t="s">
        <v>48</v>
      </c>
    </row>
    <row r="270" spans="1:3" x14ac:dyDescent="0.2">
      <c r="A270" s="52" t="s">
        <v>318</v>
      </c>
      <c r="B270" s="131">
        <v>1</v>
      </c>
    </row>
    <row r="271" spans="1:3" x14ac:dyDescent="0.2">
      <c r="A271" s="83" t="s">
        <v>300</v>
      </c>
      <c r="B271" s="131">
        <v>1</v>
      </c>
    </row>
    <row r="272" spans="1:3" x14ac:dyDescent="0.2">
      <c r="A272" s="83" t="s">
        <v>299</v>
      </c>
      <c r="B272" s="131">
        <v>0.4</v>
      </c>
    </row>
    <row r="273" spans="1:3" x14ac:dyDescent="0.2">
      <c r="A273" s="83" t="s">
        <v>54</v>
      </c>
      <c r="B273" s="131">
        <v>1</v>
      </c>
    </row>
    <row r="274" spans="1:3" x14ac:dyDescent="0.2">
      <c r="A274" s="83" t="s">
        <v>83</v>
      </c>
      <c r="B274" s="130">
        <v>8</v>
      </c>
      <c r="C274" s="52" t="s">
        <v>194</v>
      </c>
    </row>
    <row r="275" spans="1:3" x14ac:dyDescent="0.2">
      <c r="A275" s="83" t="s">
        <v>85</v>
      </c>
      <c r="B275" s="130">
        <v>8</v>
      </c>
      <c r="C275" s="52" t="s">
        <v>194</v>
      </c>
    </row>
    <row r="276" spans="1:3" x14ac:dyDescent="0.2">
      <c r="A276" s="83" t="s">
        <v>88</v>
      </c>
      <c r="B276" s="130">
        <v>0.4</v>
      </c>
    </row>
    <row r="277" spans="1:3" x14ac:dyDescent="0.2">
      <c r="A277" s="83" t="s">
        <v>219</v>
      </c>
      <c r="B277" s="130">
        <v>5</v>
      </c>
      <c r="C277" s="52" t="s">
        <v>112</v>
      </c>
    </row>
    <row r="278" spans="1:3" x14ac:dyDescent="0.2">
      <c r="A278" s="83" t="s">
        <v>220</v>
      </c>
      <c r="B278" s="130">
        <v>50</v>
      </c>
      <c r="C278" s="52" t="s">
        <v>113</v>
      </c>
    </row>
    <row r="279" spans="1:3" x14ac:dyDescent="0.2">
      <c r="A279" s="52" t="s">
        <v>319</v>
      </c>
      <c r="B279" s="131">
        <v>2.41E-4</v>
      </c>
    </row>
    <row r="280" spans="1:3" x14ac:dyDescent="0.2">
      <c r="A280" s="52" t="s">
        <v>320</v>
      </c>
      <c r="B280" s="131">
        <v>0.753</v>
      </c>
    </row>
    <row r="281" spans="1:3" x14ac:dyDescent="0.2">
      <c r="A281" s="52" t="s">
        <v>321</v>
      </c>
      <c r="B281" s="131">
        <v>1.5699999999999999E-5</v>
      </c>
    </row>
    <row r="282" spans="1:3" x14ac:dyDescent="0.2">
      <c r="A282" s="52" t="s">
        <v>322</v>
      </c>
      <c r="B282" s="131">
        <v>0.80900000000000005</v>
      </c>
    </row>
    <row r="283" spans="1:3" x14ac:dyDescent="0.2">
      <c r="A283" s="52" t="s">
        <v>323</v>
      </c>
      <c r="B283" s="131">
        <v>1.17E-4</v>
      </c>
    </row>
    <row r="284" spans="1:3" x14ac:dyDescent="0.2">
      <c r="A284" s="52" t="s">
        <v>324</v>
      </c>
      <c r="B284" s="131">
        <v>0.74299999999999999</v>
      </c>
    </row>
    <row r="285" spans="1:3" x14ac:dyDescent="0.2">
      <c r="A285" s="52" t="s">
        <v>325</v>
      </c>
      <c r="B285" s="131">
        <v>1.35E-4</v>
      </c>
    </row>
    <row r="286" spans="1:3" x14ac:dyDescent="0.2">
      <c r="A286" s="52" t="s">
        <v>326</v>
      </c>
      <c r="B286" s="131">
        <v>0.71099999999999997</v>
      </c>
    </row>
    <row r="287" spans="1:3" x14ac:dyDescent="0.2">
      <c r="A287" s="52" t="s">
        <v>327</v>
      </c>
      <c r="B287" s="131">
        <v>2.2599999999999999E-4</v>
      </c>
    </row>
    <row r="288" spans="1:3" x14ac:dyDescent="0.2">
      <c r="A288" s="52" t="s">
        <v>328</v>
      </c>
      <c r="B288" s="131">
        <v>0.66200000000000003</v>
      </c>
    </row>
    <row r="289" spans="1:3" x14ac:dyDescent="0.2">
      <c r="A289" s="370" t="s">
        <v>315</v>
      </c>
      <c r="B289" s="370"/>
      <c r="C289" s="370"/>
    </row>
    <row r="290" spans="1:3" x14ac:dyDescent="0.2">
      <c r="A290" s="52" t="s">
        <v>348</v>
      </c>
      <c r="B290" s="130">
        <v>60</v>
      </c>
      <c r="C290" s="84" t="s">
        <v>407</v>
      </c>
    </row>
    <row r="291" spans="1:3" x14ac:dyDescent="0.2">
      <c r="A291" s="83" t="s">
        <v>191</v>
      </c>
      <c r="B291" s="130">
        <v>250</v>
      </c>
      <c r="C291" s="52" t="s">
        <v>24</v>
      </c>
    </row>
    <row r="292" spans="1:3" x14ac:dyDescent="0.2">
      <c r="A292" s="83" t="s">
        <v>158</v>
      </c>
      <c r="B292" s="131">
        <v>1</v>
      </c>
      <c r="C292" s="52" t="s">
        <v>60</v>
      </c>
    </row>
    <row r="293" spans="1:3" x14ac:dyDescent="0.2">
      <c r="A293" s="83" t="s">
        <v>502</v>
      </c>
      <c r="B293" s="130">
        <v>330</v>
      </c>
      <c r="C293" s="84" t="s">
        <v>48</v>
      </c>
    </row>
    <row r="294" spans="1:3" x14ac:dyDescent="0.2">
      <c r="A294" s="83" t="s">
        <v>300</v>
      </c>
      <c r="B294" s="131">
        <v>1</v>
      </c>
    </row>
    <row r="295" spans="1:3" x14ac:dyDescent="0.2">
      <c r="A295" s="83" t="s">
        <v>299</v>
      </c>
      <c r="B295" s="131">
        <v>0.4</v>
      </c>
    </row>
    <row r="296" spans="1:3" x14ac:dyDescent="0.2">
      <c r="A296" s="83" t="s">
        <v>54</v>
      </c>
      <c r="B296" s="131">
        <v>1</v>
      </c>
    </row>
    <row r="297" spans="1:3" x14ac:dyDescent="0.2">
      <c r="A297" s="83" t="s">
        <v>83</v>
      </c>
      <c r="B297" s="130">
        <v>8</v>
      </c>
      <c r="C297" s="52" t="s">
        <v>194</v>
      </c>
    </row>
    <row r="298" spans="1:3" x14ac:dyDescent="0.2">
      <c r="A298" s="83" t="s">
        <v>85</v>
      </c>
      <c r="B298" s="130">
        <v>8</v>
      </c>
      <c r="C298" s="52" t="s">
        <v>194</v>
      </c>
    </row>
    <row r="299" spans="1:3" x14ac:dyDescent="0.2">
      <c r="A299" s="83" t="s">
        <v>88</v>
      </c>
      <c r="B299" s="130">
        <v>0.4</v>
      </c>
    </row>
    <row r="300" spans="1:3" x14ac:dyDescent="0.2">
      <c r="A300" s="83" t="s">
        <v>219</v>
      </c>
      <c r="B300" s="130">
        <v>5</v>
      </c>
      <c r="C300" s="52" t="s">
        <v>112</v>
      </c>
    </row>
    <row r="301" spans="1:3" x14ac:dyDescent="0.2">
      <c r="A301" s="83" t="s">
        <v>220</v>
      </c>
      <c r="B301" s="130">
        <v>50</v>
      </c>
      <c r="C301" s="52" t="s">
        <v>113</v>
      </c>
    </row>
  </sheetData>
  <sheetProtection selectLockedCells="1" selectUnlockedCells="1"/>
  <mergeCells count="346">
    <mergeCell ref="GU1:GW1"/>
    <mergeCell ref="GX1:GZ1"/>
    <mergeCell ref="HA1:HC1"/>
    <mergeCell ref="HD1:HF1"/>
    <mergeCell ref="HD21:HF21"/>
    <mergeCell ref="L2:L4"/>
    <mergeCell ref="K2:K4"/>
    <mergeCell ref="J2:J4"/>
    <mergeCell ref="I2:I4"/>
    <mergeCell ref="FT1:FV1"/>
    <mergeCell ref="FW1:FX1"/>
    <mergeCell ref="FZ1:GB1"/>
    <mergeCell ref="GC1:GE1"/>
    <mergeCell ref="GF1:GH1"/>
    <mergeCell ref="GI1:GK1"/>
    <mergeCell ref="GL1:GN1"/>
    <mergeCell ref="GO1:GQ1"/>
    <mergeCell ref="GR1:GT1"/>
    <mergeCell ref="ES1:EU1"/>
    <mergeCell ref="EV1:EX1"/>
    <mergeCell ref="EY1:FA1"/>
    <mergeCell ref="FB1:FD1"/>
    <mergeCell ref="FE1:FG1"/>
    <mergeCell ref="FH1:FJ1"/>
    <mergeCell ref="FK1:FM1"/>
    <mergeCell ref="FN1:FP1"/>
    <mergeCell ref="FQ1:FS1"/>
    <mergeCell ref="EJ1:EL1"/>
    <mergeCell ref="EG1:EI1"/>
    <mergeCell ref="ED1:EF1"/>
    <mergeCell ref="EA1:EC1"/>
    <mergeCell ref="DX1:DZ1"/>
    <mergeCell ref="DU1:DW1"/>
    <mergeCell ref="DR1:DT1"/>
    <mergeCell ref="EM1:EO1"/>
    <mergeCell ref="EP1:ER1"/>
    <mergeCell ref="FS2:FS4"/>
    <mergeCell ref="FR2:FR4"/>
    <mergeCell ref="FQ2:FQ4"/>
    <mergeCell ref="FP2:FP4"/>
    <mergeCell ref="FO2:FO4"/>
    <mergeCell ref="FN2:FN4"/>
    <mergeCell ref="FM2:FM4"/>
    <mergeCell ref="DR2:DR4"/>
    <mergeCell ref="FL2:FL4"/>
    <mergeCell ref="FK2:FK4"/>
    <mergeCell ref="FJ2:FJ4"/>
    <mergeCell ref="FI2:FI4"/>
    <mergeCell ref="FH2:FH4"/>
    <mergeCell ref="FG2:FG4"/>
    <mergeCell ref="FF2:FF4"/>
    <mergeCell ref="FE2:FE4"/>
    <mergeCell ref="FD2:FD4"/>
    <mergeCell ref="FC2:FC4"/>
    <mergeCell ref="FB2:FB4"/>
    <mergeCell ref="FA2:FA4"/>
    <mergeCell ref="EZ2:EZ4"/>
    <mergeCell ref="HC2:HC4"/>
    <mergeCell ref="HB2:HB4"/>
    <mergeCell ref="HA2:HA4"/>
    <mergeCell ref="GZ2:GZ4"/>
    <mergeCell ref="GY2:GY4"/>
    <mergeCell ref="GX2:GX4"/>
    <mergeCell ref="GB2:GB4"/>
    <mergeCell ref="GA2:GA4"/>
    <mergeCell ref="FZ2:FZ4"/>
    <mergeCell ref="GG2:GG4"/>
    <mergeCell ref="GF2:GF4"/>
    <mergeCell ref="GE2:GE4"/>
    <mergeCell ref="GD2:GD4"/>
    <mergeCell ref="GC2:GC4"/>
    <mergeCell ref="FY2:FY4"/>
    <mergeCell ref="FX2:FX4"/>
    <mergeCell ref="FW2:FW4"/>
    <mergeCell ref="FV2:FV4"/>
    <mergeCell ref="FU2:FU4"/>
    <mergeCell ref="FT2:FT4"/>
    <mergeCell ref="EO2:EO4"/>
    <mergeCell ref="EN2:EN4"/>
    <mergeCell ref="GW2:GW4"/>
    <mergeCell ref="GV2:GV4"/>
    <mergeCell ref="GU2:GU4"/>
    <mergeCell ref="GT2:GT4"/>
    <mergeCell ref="GS2:GS4"/>
    <mergeCell ref="GR2:GR4"/>
    <mergeCell ref="GQ2:GQ4"/>
    <mergeCell ref="GP2:GP4"/>
    <mergeCell ref="GO2:GO4"/>
    <mergeCell ref="GN2:GN4"/>
    <mergeCell ref="GM2:GM4"/>
    <mergeCell ref="GL2:GL4"/>
    <mergeCell ref="GK2:GK4"/>
    <mergeCell ref="GJ2:GJ4"/>
    <mergeCell ref="GI2:GI4"/>
    <mergeCell ref="GH2:GH4"/>
    <mergeCell ref="EY2:EY4"/>
    <mergeCell ref="EX2:EX4"/>
    <mergeCell ref="EW2:EW4"/>
    <mergeCell ref="EV2:EV4"/>
    <mergeCell ref="EU2:EU4"/>
    <mergeCell ref="ET2:ET4"/>
    <mergeCell ref="ES2:ES4"/>
    <mergeCell ref="ER2:ER4"/>
    <mergeCell ref="EQ2:EQ4"/>
    <mergeCell ref="EP2:EP4"/>
    <mergeCell ref="EA2:EA4"/>
    <mergeCell ref="DZ2:DZ4"/>
    <mergeCell ref="DY2:DY4"/>
    <mergeCell ref="DX2:DX4"/>
    <mergeCell ref="DW2:DW4"/>
    <mergeCell ref="DV2:DV4"/>
    <mergeCell ref="DU2:DU4"/>
    <mergeCell ref="DT2:DT4"/>
    <mergeCell ref="DS2:DS4"/>
    <mergeCell ref="EM2:EM4"/>
    <mergeCell ref="EL2:EL4"/>
    <mergeCell ref="EK2:EK4"/>
    <mergeCell ref="EI2:EI4"/>
    <mergeCell ref="EF2:EF4"/>
    <mergeCell ref="EB2:EB4"/>
    <mergeCell ref="EC2:EC4"/>
    <mergeCell ref="EE2:EE4"/>
    <mergeCell ref="EH2:EH4"/>
    <mergeCell ref="EJ2:EJ4"/>
    <mergeCell ref="EG2:EG4"/>
    <mergeCell ref="ED2:ED4"/>
    <mergeCell ref="DC1:DE1"/>
    <mergeCell ref="DF1:DH1"/>
    <mergeCell ref="DI1:DK1"/>
    <mergeCell ref="DL1:DN1"/>
    <mergeCell ref="DO1:DQ1"/>
    <mergeCell ref="DQ2:DQ4"/>
    <mergeCell ref="DP2:DP4"/>
    <mergeCell ref="DO2:DO4"/>
    <mergeCell ref="DN2:DN4"/>
    <mergeCell ref="DM2:DM4"/>
    <mergeCell ref="DL2:DL4"/>
    <mergeCell ref="DK2:DK4"/>
    <mergeCell ref="DJ2:DJ4"/>
    <mergeCell ref="DI2:DI4"/>
    <mergeCell ref="DH2:DH4"/>
    <mergeCell ref="DG2:DG4"/>
    <mergeCell ref="DF2:DF4"/>
    <mergeCell ref="DE2:DE4"/>
    <mergeCell ref="DD2:DD4"/>
    <mergeCell ref="DC2:DC4"/>
    <mergeCell ref="CT1:CV1"/>
    <mergeCell ref="CV2:CV4"/>
    <mergeCell ref="CU2:CU4"/>
    <mergeCell ref="CT2:CT4"/>
    <mergeCell ref="CW1:CY1"/>
    <mergeCell ref="DB2:DB4"/>
    <mergeCell ref="DA2:DA4"/>
    <mergeCell ref="CZ2:CZ4"/>
    <mergeCell ref="CZ1:DB1"/>
    <mergeCell ref="A289:C289"/>
    <mergeCell ref="A229:C229"/>
    <mergeCell ref="A241:C241"/>
    <mergeCell ref="A140:C140"/>
    <mergeCell ref="A2:C4"/>
    <mergeCell ref="A37:C37"/>
    <mergeCell ref="A92:C92"/>
    <mergeCell ref="A81:C81"/>
    <mergeCell ref="A253:C253"/>
    <mergeCell ref="A265:C265"/>
    <mergeCell ref="A1:C1"/>
    <mergeCell ref="CC35:CG38"/>
    <mergeCell ref="BK37:BO40"/>
    <mergeCell ref="AE36:AG38"/>
    <mergeCell ref="D42:F42"/>
    <mergeCell ref="D30:F30"/>
    <mergeCell ref="J1:L1"/>
    <mergeCell ref="G1:I1"/>
    <mergeCell ref="D1:F1"/>
    <mergeCell ref="E31:E32"/>
    <mergeCell ref="D31:D32"/>
    <mergeCell ref="F31:F32"/>
    <mergeCell ref="S1:U1"/>
    <mergeCell ref="S2:S4"/>
    <mergeCell ref="T2:T4"/>
    <mergeCell ref="U2:U4"/>
    <mergeCell ref="H2:H4"/>
    <mergeCell ref="G2:G4"/>
    <mergeCell ref="V1:X1"/>
    <mergeCell ref="Y1:AA1"/>
    <mergeCell ref="V23:X23"/>
    <mergeCell ref="Y23:AA23"/>
    <mergeCell ref="AI1:AK1"/>
    <mergeCell ref="AL20:AN20"/>
    <mergeCell ref="D43:D44"/>
    <mergeCell ref="M1:O1"/>
    <mergeCell ref="P1:R1"/>
    <mergeCell ref="M20:O20"/>
    <mergeCell ref="P20:R20"/>
    <mergeCell ref="M2:M4"/>
    <mergeCell ref="N2:N4"/>
    <mergeCell ref="O2:O4"/>
    <mergeCell ref="P2:P4"/>
    <mergeCell ref="Q2:Q4"/>
    <mergeCell ref="R2:R4"/>
    <mergeCell ref="R21:R23"/>
    <mergeCell ref="Q21:Q23"/>
    <mergeCell ref="P21:P23"/>
    <mergeCell ref="O21:O23"/>
    <mergeCell ref="N21:N23"/>
    <mergeCell ref="M21:M23"/>
    <mergeCell ref="F43:F44"/>
    <mergeCell ref="E43:E44"/>
    <mergeCell ref="AK21:AK23"/>
    <mergeCell ref="AJ21:AJ23"/>
    <mergeCell ref="AI21:AI23"/>
    <mergeCell ref="AR1:AT1"/>
    <mergeCell ref="AU1:AW1"/>
    <mergeCell ref="AX1:AZ1"/>
    <mergeCell ref="AI20:AK20"/>
    <mergeCell ref="AB1:AB4"/>
    <mergeCell ref="AC2:AC4"/>
    <mergeCell ref="AD2:AD4"/>
    <mergeCell ref="AH2:AH4"/>
    <mergeCell ref="AG2:AG4"/>
    <mergeCell ref="AF2:AF4"/>
    <mergeCell ref="AE2:AE4"/>
    <mergeCell ref="AM2:AM4"/>
    <mergeCell ref="AL2:AL4"/>
    <mergeCell ref="AK2:AK4"/>
    <mergeCell ref="AJ2:AJ4"/>
    <mergeCell ref="AI2:AI4"/>
    <mergeCell ref="BA1:BC1"/>
    <mergeCell ref="BD1:BF1"/>
    <mergeCell ref="AQ2:AQ4"/>
    <mergeCell ref="AP2:AP4"/>
    <mergeCell ref="AO2:AO4"/>
    <mergeCell ref="AN2:AN4"/>
    <mergeCell ref="AO1:AQ1"/>
    <mergeCell ref="AL1:AN1"/>
    <mergeCell ref="BF21:BF23"/>
    <mergeCell ref="AS2:AS4"/>
    <mergeCell ref="AY2:AY4"/>
    <mergeCell ref="BB21:BB23"/>
    <mergeCell ref="BE21:BE23"/>
    <mergeCell ref="AN21:AN23"/>
    <mergeCell ref="AM21:AM23"/>
    <mergeCell ref="AL21:AL23"/>
    <mergeCell ref="BO21:BO23"/>
    <mergeCell ref="AR21:AR23"/>
    <mergeCell ref="AU21:AU23"/>
    <mergeCell ref="BA2:BA4"/>
    <mergeCell ref="BD2:BD4"/>
    <mergeCell ref="BG2:BG4"/>
    <mergeCell ref="BA21:BA23"/>
    <mergeCell ref="BD21:BD23"/>
    <mergeCell ref="BB2:BB4"/>
    <mergeCell ref="AR20:AT20"/>
    <mergeCell ref="AU20:AW20"/>
    <mergeCell ref="BA20:BC20"/>
    <mergeCell ref="BD20:BF20"/>
    <mergeCell ref="BJ20:BL20"/>
    <mergeCell ref="BM20:BO20"/>
    <mergeCell ref="AR2:AR4"/>
    <mergeCell ref="AU2:AU4"/>
    <mergeCell ref="AX2:AX4"/>
    <mergeCell ref="BJ2:BJ4"/>
    <mergeCell ref="BM2:BM4"/>
    <mergeCell ref="BO2:BO4"/>
    <mergeCell ref="AV2:AV4"/>
    <mergeCell ref="AV21:AV23"/>
    <mergeCell ref="AS21:AS23"/>
    <mergeCell ref="BK21:BK23"/>
    <mergeCell ref="BN21:BN23"/>
    <mergeCell ref="BN2:BN4"/>
    <mergeCell ref="BK2:BK4"/>
    <mergeCell ref="BE2:BE4"/>
    <mergeCell ref="BJ21:BJ23"/>
    <mergeCell ref="BM21:BM23"/>
    <mergeCell ref="AT21:AT23"/>
    <mergeCell ref="BC21:BC23"/>
    <mergeCell ref="BL21:BL23"/>
    <mergeCell ref="AT2:AT4"/>
    <mergeCell ref="AW2:AW4"/>
    <mergeCell ref="AW21:AW23"/>
    <mergeCell ref="AZ2:AZ4"/>
    <mergeCell ref="BC2:BC4"/>
    <mergeCell ref="BF2:BF4"/>
    <mergeCell ref="BI2:BI4"/>
    <mergeCell ref="BH2:BH4"/>
    <mergeCell ref="BR2:BR4"/>
    <mergeCell ref="BQ2:BQ4"/>
    <mergeCell ref="BP2:BP4"/>
    <mergeCell ref="BL2:BL4"/>
    <mergeCell ref="BG1:BI1"/>
    <mergeCell ref="BJ1:BL1"/>
    <mergeCell ref="BM1:BO1"/>
    <mergeCell ref="BP1:BR1"/>
    <mergeCell ref="CE1:CG1"/>
    <mergeCell ref="BS1:BU1"/>
    <mergeCell ref="BV1:BX1"/>
    <mergeCell ref="BY1:CA1"/>
    <mergeCell ref="CB1:CD1"/>
    <mergeCell ref="CD2:CD4"/>
    <mergeCell ref="BV2:BV4"/>
    <mergeCell ref="BW2:BW4"/>
    <mergeCell ref="BX2:BX4"/>
    <mergeCell ref="BY2:BY4"/>
    <mergeCell ref="BZ2:BZ4"/>
    <mergeCell ref="CA2:CA4"/>
    <mergeCell ref="CC2:CC4"/>
    <mergeCell ref="CB2:CB4"/>
    <mergeCell ref="CH1:CJ1"/>
    <mergeCell ref="CB18:CD18"/>
    <mergeCell ref="CE18:CG18"/>
    <mergeCell ref="CB19:CB21"/>
    <mergeCell ref="CC19:CC21"/>
    <mergeCell ref="CD19:CD21"/>
    <mergeCell ref="CE19:CE21"/>
    <mergeCell ref="CF19:CF21"/>
    <mergeCell ref="CG19:CG21"/>
    <mergeCell ref="CJ2:CJ4"/>
    <mergeCell ref="CI2:CI4"/>
    <mergeCell ref="CH2:CH4"/>
    <mergeCell ref="CG2:CG4"/>
    <mergeCell ref="CF2:CF4"/>
    <mergeCell ref="CE2:CE4"/>
    <mergeCell ref="CK1:CM1"/>
    <mergeCell ref="CN1:CP1"/>
    <mergeCell ref="CQ1:CS1"/>
    <mergeCell ref="CK19:CM19"/>
    <mergeCell ref="CN19:CP19"/>
    <mergeCell ref="CQ19:CS19"/>
    <mergeCell ref="CS2:CS4"/>
    <mergeCell ref="CR2:CR4"/>
    <mergeCell ref="CQ2:CQ4"/>
    <mergeCell ref="CP2:CP4"/>
    <mergeCell ref="CO2:CO4"/>
    <mergeCell ref="CN2:CN4"/>
    <mergeCell ref="CM2:CM4"/>
    <mergeCell ref="CL2:CL4"/>
    <mergeCell ref="CK2:CK4"/>
    <mergeCell ref="CP20:CP22"/>
    <mergeCell ref="CQ20:CQ22"/>
    <mergeCell ref="CR20:CR22"/>
    <mergeCell ref="CS20:CS22"/>
    <mergeCell ref="CK20:CK22"/>
    <mergeCell ref="CL20:CL22"/>
    <mergeCell ref="CM20:CM22"/>
    <mergeCell ref="CN20:CN22"/>
    <mergeCell ref="CO20:CO22"/>
  </mergeCells>
  <pageMargins left="0.75" right="0.75" top="1" bottom="1" header="0.51180555555555551" footer="0.51180555555555551"/>
  <pageSetup firstPageNumber="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77"/>
  <sheetViews>
    <sheetView zoomScale="80" zoomScaleNormal="80" workbookViewId="0">
      <selection activeCell="B21" sqref="B21"/>
    </sheetView>
  </sheetViews>
  <sheetFormatPr defaultRowHeight="12.75" x14ac:dyDescent="0.2"/>
  <cols>
    <col min="1" max="1" width="15" style="52" bestFit="1" customWidth="1"/>
    <col min="2" max="2" width="9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28515625" style="52" bestFit="1" customWidth="1"/>
    <col min="79" max="79" width="18.85546875" style="52" bestFit="1" customWidth="1"/>
    <col min="80" max="80" width="11" style="52" bestFit="1" customWidth="1"/>
    <col min="81" max="81" width="9.28515625" style="52" bestFit="1" customWidth="1"/>
    <col min="82" max="82" width="20.28515625" style="52" bestFit="1" customWidth="1"/>
    <col min="83" max="83" width="12.42578125" style="52" bestFit="1" customWidth="1"/>
    <col min="84" max="84" width="9.28515625" style="52" bestFit="1" customWidth="1"/>
    <col min="85" max="85" width="20.28515625" style="52" bestFit="1" customWidth="1"/>
    <col min="86" max="86" width="13.5703125" style="52" bestFit="1" customWidth="1"/>
    <col min="87" max="87" width="9.2851562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6.285156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9.28515625" style="52" bestFit="1" customWidth="1"/>
    <col min="142" max="142" width="7" style="52" bestFit="1" customWidth="1"/>
    <col min="143" max="143" width="12" style="52" bestFit="1" customWidth="1"/>
    <col min="144" max="144" width="9.28515625" style="52" bestFit="1" customWidth="1"/>
    <col min="145" max="145" width="7" style="52" bestFit="1" customWidth="1"/>
    <col min="146" max="146" width="12" style="52" bestFit="1" customWidth="1"/>
    <col min="147" max="147" width="9.28515625" style="52" bestFit="1" customWidth="1"/>
    <col min="148" max="148" width="7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7" style="52" bestFit="1" customWidth="1"/>
    <col min="158" max="158" width="12" style="52" bestFit="1" customWidth="1"/>
    <col min="159" max="159" width="9.28515625" style="52" bestFit="1" customWidth="1"/>
    <col min="160" max="160" width="7" style="52" bestFit="1" customWidth="1"/>
    <col min="161" max="161" width="12" style="52" bestFit="1" customWidth="1"/>
    <col min="162" max="162" width="9.28515625" style="52" bestFit="1" customWidth="1"/>
    <col min="163" max="163" width="7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6.285156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9.28515625" style="52" bestFit="1" customWidth="1"/>
    <col min="187" max="187" width="7" style="52" bestFit="1" customWidth="1"/>
    <col min="188" max="188" width="12" style="52" bestFit="1" customWidth="1"/>
    <col min="189" max="189" width="9.28515625" style="52" bestFit="1" customWidth="1"/>
    <col min="190" max="190" width="7" style="52" bestFit="1" customWidth="1"/>
    <col min="191" max="191" width="12" style="52" bestFit="1" customWidth="1"/>
    <col min="192" max="192" width="9.28515625" style="52" bestFit="1" customWidth="1"/>
    <col min="193" max="193" width="7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7" style="52" bestFit="1" customWidth="1"/>
    <col min="203" max="203" width="12" style="52" bestFit="1" customWidth="1"/>
    <col min="204" max="204" width="9.28515625" style="52" bestFit="1" customWidth="1"/>
    <col min="205" max="205" width="7" style="52" bestFit="1" customWidth="1"/>
    <col min="206" max="206" width="12" style="52" bestFit="1" customWidth="1"/>
    <col min="207" max="207" width="9.28515625" style="52" bestFit="1" customWidth="1"/>
    <col min="208" max="208" width="7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13" style="52" bestFit="1" customWidth="1"/>
    <col min="214" max="214" width="21.28515625" style="52" bestFit="1" customWidth="1"/>
    <col min="215" max="16384" width="9.140625" style="52"/>
  </cols>
  <sheetData>
    <row r="1" spans="1:214" ht="21.75" thickTop="1" thickBot="1" x14ac:dyDescent="0.25">
      <c r="A1" s="652" t="s">
        <v>359</v>
      </c>
      <c r="B1" s="653"/>
      <c r="C1" s="654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565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296" t="s">
        <v>557</v>
      </c>
      <c r="AJ1" s="294"/>
      <c r="AK1" s="297"/>
      <c r="AL1" s="293" t="s">
        <v>546</v>
      </c>
      <c r="AM1" s="294"/>
      <c r="AN1" s="297"/>
      <c r="AO1" s="293" t="s">
        <v>547</v>
      </c>
      <c r="AP1" s="294"/>
      <c r="AQ1" s="295"/>
      <c r="AR1" s="296" t="s">
        <v>559</v>
      </c>
      <c r="AS1" s="294"/>
      <c r="AT1" s="297"/>
      <c r="AU1" s="293" t="s">
        <v>548</v>
      </c>
      <c r="AV1" s="294"/>
      <c r="AW1" s="297"/>
      <c r="AX1" s="293" t="s">
        <v>549</v>
      </c>
      <c r="AY1" s="294"/>
      <c r="AZ1" s="295"/>
      <c r="BA1" s="296" t="s">
        <v>561</v>
      </c>
      <c r="BB1" s="294"/>
      <c r="BC1" s="297"/>
      <c r="BD1" s="293" t="s">
        <v>551</v>
      </c>
      <c r="BE1" s="294"/>
      <c r="BF1" s="297"/>
      <c r="BG1" s="293" t="s">
        <v>552</v>
      </c>
      <c r="BH1" s="294"/>
      <c r="BI1" s="295"/>
      <c r="BJ1" s="296" t="s">
        <v>564</v>
      </c>
      <c r="BK1" s="294"/>
      <c r="BL1" s="297"/>
      <c r="BM1" s="293" t="s">
        <v>554</v>
      </c>
      <c r="BN1" s="294"/>
      <c r="BO1" s="297"/>
      <c r="BP1" s="293" t="s">
        <v>555</v>
      </c>
      <c r="BQ1" s="294"/>
      <c r="BR1" s="295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274" t="s">
        <v>569</v>
      </c>
      <c r="CC1" s="270"/>
      <c r="CD1" s="270"/>
      <c r="CE1" s="271" t="s">
        <v>570</v>
      </c>
      <c r="CF1" s="270"/>
      <c r="CG1" s="272"/>
      <c r="CH1" s="270" t="s">
        <v>571</v>
      </c>
      <c r="CI1" s="270"/>
      <c r="CJ1" s="273"/>
      <c r="CK1" s="270" t="s">
        <v>575</v>
      </c>
      <c r="CL1" s="270"/>
      <c r="CM1" s="270"/>
      <c r="CN1" s="271" t="s">
        <v>575</v>
      </c>
      <c r="CO1" s="270"/>
      <c r="CP1" s="272"/>
      <c r="CQ1" s="270" t="s">
        <v>575</v>
      </c>
      <c r="CR1" s="270"/>
      <c r="CS1" s="273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4.25" thickTop="1" thickBot="1" x14ac:dyDescent="0.25">
      <c r="A2" s="681" t="s">
        <v>240</v>
      </c>
      <c r="B2" s="682"/>
      <c r="C2" s="683"/>
      <c r="D2" s="193"/>
      <c r="E2" s="194"/>
      <c r="F2" s="194"/>
      <c r="G2" s="363" t="s">
        <v>531</v>
      </c>
      <c r="H2" s="360">
        <f>1/((1/H10)+(1/H12)+(1/H13))</f>
        <v>7.9867948192004316E-3</v>
      </c>
      <c r="I2" s="625" t="s">
        <v>291</v>
      </c>
      <c r="J2" s="622" t="s">
        <v>531</v>
      </c>
      <c r="K2" s="360">
        <f>1/((1/K14)+(1/K15)+(1/K16)+(1/K17))</f>
        <v>6.9880770777628915E-4</v>
      </c>
      <c r="L2" s="345" t="s">
        <v>290</v>
      </c>
      <c r="M2" s="330" t="s">
        <v>537</v>
      </c>
      <c r="N2" s="333">
        <f>((N5*N6*N7)/((1-EXP(-N7*N6))*N15*N13*(N9/365)*(((N14/24)*N12)+((N16/24)*N11))))/N17</f>
        <v>1.0218643353221871E-2</v>
      </c>
      <c r="O2" s="336" t="s">
        <v>290</v>
      </c>
      <c r="P2" s="339" t="s">
        <v>537</v>
      </c>
      <c r="Q2" s="333">
        <f>((Q5*Q6*Q7)/((1-EXP(-Q7*Q6))*Q15*Q13*(Q9/365)*(((Q14/24)*Q12)+((Q16/24)*Q11))))/Q17</f>
        <v>7.1179104169572724E-2</v>
      </c>
      <c r="R2" s="336" t="s">
        <v>290</v>
      </c>
      <c r="S2" s="339" t="s">
        <v>537</v>
      </c>
      <c r="T2" s="333">
        <f>((T5*T6*T7)/((1-EXP(-T7*T6))*T15*T13*(T9/365)*(((T14/24)*T12)+((T16/24)*T11))))/T17</f>
        <v>1.2770424745564493E-2</v>
      </c>
      <c r="U2" s="342" t="s">
        <v>290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0.29992701452800546</v>
      </c>
      <c r="AD2" s="315">
        <f>1/((1/AD29)+(1/AD30)+(1/AD31))</f>
        <v>3.8999872950584089E-2</v>
      </c>
      <c r="AE2" s="315">
        <f>1/((1/AE29)+(1/AE30)+(1/AE31))</f>
        <v>0.29992701452800546</v>
      </c>
      <c r="AF2" s="315">
        <f>1/((1/AF29)+(1/AF30)+(1/AF31))</f>
        <v>0.27711794929017736</v>
      </c>
      <c r="AG2" s="320">
        <f>1/((1/AG29)+(1/AG31)+(1/AG30))</f>
        <v>0.37138877430002321</v>
      </c>
      <c r="AH2" s="318" t="s">
        <v>290</v>
      </c>
      <c r="AI2" s="306" t="s">
        <v>537</v>
      </c>
      <c r="AJ2" s="303">
        <f>((AJ5*AJ6*AJ7)/((1-EXP(-AJ7*AJ6))*AJ15*(AJ9/365)*AJ10*(AJ16/24)*AJ11*AJ13))/AJ17</f>
        <v>6.2832394250290649E-2</v>
      </c>
      <c r="AK2" s="290" t="s">
        <v>290</v>
      </c>
      <c r="AL2" s="287" t="s">
        <v>537</v>
      </c>
      <c r="AM2" s="303">
        <f>((AM5*AM6*AM7)/((1-EXP(-AM7*AM6))*AM15*(AM9/365)*AM10*(AM16/24)*AM11*AM13))/AM17</f>
        <v>0.4320372321601389</v>
      </c>
      <c r="AN2" s="290" t="s">
        <v>290</v>
      </c>
      <c r="AO2" s="287" t="s">
        <v>537</v>
      </c>
      <c r="AP2" s="303">
        <f>((AP5*AP6*AP7)/((1-EXP(-AP7*AP6))*AP15*(AP9/365)*AP10*(AP16/24)*AP11*AP13))/AP17</f>
        <v>7.8170323952549373E-2</v>
      </c>
      <c r="AQ2" s="281" t="s">
        <v>290</v>
      </c>
      <c r="AR2" s="306" t="s">
        <v>537</v>
      </c>
      <c r="AS2" s="303">
        <f>((AS5*AS6*AS7)/((1-EXP(-AS7*AS6))*AS15*(AS9/365)*AS10*(AS14/24)*AS12*AS13))/AS17</f>
        <v>0.5067128568571827</v>
      </c>
      <c r="AT2" s="290" t="s">
        <v>290</v>
      </c>
      <c r="AU2" s="287" t="s">
        <v>537</v>
      </c>
      <c r="AV2" s="303">
        <f>((AV5*AV6*AV7)/((1-EXP(-AV7*AV6))*AV15*(AV9/365)*AV10*(AV14/24)*AV12*AV13))/AV17</f>
        <v>7.436096939072959</v>
      </c>
      <c r="AW2" s="290" t="s">
        <v>290</v>
      </c>
      <c r="AX2" s="287" t="s">
        <v>537</v>
      </c>
      <c r="AY2" s="303">
        <f>((AY5*AY6*AY7)/((1-EXP(-AY7*AY6))*AY15*(AY9/365)*AY10*(AY14/24)*AY12*AY13))/AY17</f>
        <v>0.77396360349058801</v>
      </c>
      <c r="AZ2" s="281" t="s">
        <v>290</v>
      </c>
      <c r="BA2" s="306" t="s">
        <v>537</v>
      </c>
      <c r="BB2" s="303">
        <f>((BB5*BB6*BB7)/((1-EXP(-BB7*BB6))*BB15*(BB9/365)*(BB14/24)*BB12*BB13))/BB17</f>
        <v>0.5067128568571827</v>
      </c>
      <c r="BC2" s="290" t="s">
        <v>290</v>
      </c>
      <c r="BD2" s="287" t="s">
        <v>537</v>
      </c>
      <c r="BE2" s="303">
        <f>((BE5*BE6*BE7)/((1-EXP(-BE7*BE6))*BE15*(BE9/365)*(BE14/24)*BE12*BE13))/BE17</f>
        <v>7.436096939072959</v>
      </c>
      <c r="BF2" s="290" t="s">
        <v>290</v>
      </c>
      <c r="BG2" s="287" t="s">
        <v>537</v>
      </c>
      <c r="BH2" s="303">
        <f>((BH5*BH6*BH7)/((1-EXP(-BH7*BH6))*BH15*(BH9/365)*(BH14/24)*BH12*BH13))/BH17</f>
        <v>0.77396360349058801</v>
      </c>
      <c r="BI2" s="281" t="s">
        <v>290</v>
      </c>
      <c r="BJ2" s="306" t="s">
        <v>537</v>
      </c>
      <c r="BK2" s="284">
        <f>((BK5*BK6*BK7)/((1-EXP(-BK7*BK6))*BK16*(BK9/365)*(BK15/24)*BK13*BK14))/BK17</f>
        <v>0.8445214280953045</v>
      </c>
      <c r="BL2" s="290" t="s">
        <v>290</v>
      </c>
      <c r="BM2" s="287" t="s">
        <v>537</v>
      </c>
      <c r="BN2" s="284">
        <f>((BN5*BN6*BN7)/((1-EXP(-BN7*BN6))*BN16*(BN9/365)*(BN15/24)*BN13*BN14))/BN17</f>
        <v>12.39349489845493</v>
      </c>
      <c r="BO2" s="290" t="s">
        <v>290</v>
      </c>
      <c r="BP2" s="287" t="s">
        <v>537</v>
      </c>
      <c r="BQ2" s="284">
        <f>((BQ5*BQ6*BQ7)/((1-EXP(-BQ7*BQ6))*BQ16*(BQ9/365)*(BQ15/24)*BQ13*BQ14))/BQ17</f>
        <v>1.2899393391509795</v>
      </c>
      <c r="BR2" s="281" t="s">
        <v>290</v>
      </c>
      <c r="BS2" s="214"/>
      <c r="BT2" s="120"/>
      <c r="BU2" s="215"/>
      <c r="BV2" s="258" t="s">
        <v>531</v>
      </c>
      <c r="BW2" s="261">
        <f>1/((1/BW10)+(1/BW12))</f>
        <v>3.7502641189320362E-3</v>
      </c>
      <c r="BX2" s="278" t="s">
        <v>291</v>
      </c>
      <c r="BY2" s="258" t="s">
        <v>531</v>
      </c>
      <c r="BZ2" s="261">
        <f>1/((1/BZ13)+(1/BZ14)+(1/BZ15))</f>
        <v>0.97858104132084744</v>
      </c>
      <c r="CA2" s="264" t="s">
        <v>290</v>
      </c>
      <c r="CB2" s="267" t="s">
        <v>537</v>
      </c>
      <c r="CC2" s="261">
        <f>((CC5*CC6*CC7)/((1-EXP(-CC7*CC6))*CC14*(CC9/365)*CC12*(CC13/24)*CC11))/CC15</f>
        <v>1.1516201292208696</v>
      </c>
      <c r="CD2" s="278" t="s">
        <v>290</v>
      </c>
      <c r="CE2" s="258" t="s">
        <v>537</v>
      </c>
      <c r="CF2" s="261">
        <f>((CF5*CF6*CF7)/((1-EXP(-CF7*CF6))*CF14*(CF9/365)*CF12*(CF13/24)*CF11))/CF15</f>
        <v>16.900220316074908</v>
      </c>
      <c r="CG2" s="278" t="s">
        <v>290</v>
      </c>
      <c r="CH2" s="258" t="s">
        <v>537</v>
      </c>
      <c r="CI2" s="261">
        <f>((CI5*CI6*CI7)/((1-EXP(-CI7*CI6))*CI14*(CI9/365)*CI12*(CI13/24)*CI11))/CI15</f>
        <v>1.7590081897513361</v>
      </c>
      <c r="CJ2" s="264" t="s">
        <v>290</v>
      </c>
      <c r="CK2" s="267" t="s">
        <v>530</v>
      </c>
      <c r="CL2" s="261">
        <f>(CL5/(CL6*CL7*CL8))/CL9</f>
        <v>0.13354837250174359</v>
      </c>
      <c r="CM2" s="255" t="s">
        <v>290</v>
      </c>
      <c r="CN2" s="258" t="s">
        <v>7</v>
      </c>
      <c r="CO2" s="261" t="e">
        <f>(CL2/(CO5*((CO10*CO12*CO13*(CO6+CO7))+(CO11*CO12))))*CO17</f>
        <v>#DIV/0!</v>
      </c>
      <c r="CP2" s="278" t="s">
        <v>290</v>
      </c>
      <c r="CQ2" s="275" t="s">
        <v>6</v>
      </c>
      <c r="CR2" s="261" t="e">
        <f>CL2/(CR5*CR6*(1/CR7))</f>
        <v>#DIV/0!</v>
      </c>
      <c r="CS2" s="264" t="s">
        <v>290</v>
      </c>
      <c r="CT2" s="395" t="s">
        <v>531</v>
      </c>
      <c r="CU2" s="392">
        <f>1/((1/CU14)+(1/CU15)+(1/CU16)+(1/CU17))</f>
        <v>4.3044261293350419E-3</v>
      </c>
      <c r="CV2" s="389" t="s">
        <v>290</v>
      </c>
      <c r="CW2" s="218"/>
      <c r="CX2" s="219"/>
      <c r="CY2" s="219"/>
      <c r="CZ2" s="407" t="s">
        <v>531</v>
      </c>
      <c r="DA2" s="404">
        <f>1/((1/DA13)+(1/DA15)+(1/DA16))</f>
        <v>1.2857607345493693E-2</v>
      </c>
      <c r="DB2" s="401" t="s">
        <v>291</v>
      </c>
      <c r="DC2" s="442" t="s">
        <v>530</v>
      </c>
      <c r="DD2" s="439">
        <f>DD7</f>
        <v>1.3354837250174358E-3</v>
      </c>
      <c r="DE2" s="436" t="s">
        <v>290</v>
      </c>
      <c r="DF2" s="433" t="s">
        <v>530</v>
      </c>
      <c r="DG2" s="424">
        <f>DD7/((1/DG24)*(DG5+DG6+DG7))</f>
        <v>9.9625517994208559E-2</v>
      </c>
      <c r="DH2" s="430" t="s">
        <v>291</v>
      </c>
      <c r="DI2" s="427" t="s">
        <v>530</v>
      </c>
      <c r="DJ2" s="424">
        <f>(DD7/(DJ5+DJ6))*DJ12</f>
        <v>4.8608914177197867E-3</v>
      </c>
      <c r="DK2" s="430" t="s">
        <v>290</v>
      </c>
      <c r="DL2" s="427" t="s">
        <v>581</v>
      </c>
      <c r="DM2" s="424">
        <f>((DD7)/(DM5+DM6))*DJ12</f>
        <v>4.8608914177197867E-3</v>
      </c>
      <c r="DN2" s="430" t="s">
        <v>290</v>
      </c>
      <c r="DO2" s="427" t="s">
        <v>582</v>
      </c>
      <c r="DP2" s="424">
        <f>-(DP5+DP6+DP7)/(DP23+DP24)</f>
        <v>-49.001215422593845</v>
      </c>
      <c r="DQ2" s="421" t="s">
        <v>18</v>
      </c>
      <c r="DR2" s="574" t="s">
        <v>530</v>
      </c>
      <c r="DS2" s="445">
        <f>DS7</f>
        <v>2.6709674500348716E-3</v>
      </c>
      <c r="DT2" s="484" t="s">
        <v>290</v>
      </c>
      <c r="DU2" s="481" t="s">
        <v>530</v>
      </c>
      <c r="DV2" s="463">
        <f>(DS7*DV8)/(DV5*DV6*(1/1000))</f>
        <v>78.692690890615481</v>
      </c>
      <c r="DW2" s="466" t="s">
        <v>291</v>
      </c>
      <c r="DX2" s="478" t="s">
        <v>530</v>
      </c>
      <c r="DY2" s="463">
        <f>(DS7*DY14)/(DY9*((DY10*DY12*DY13*(DY5+DY6))+(DY11*DY12)))*DY18</f>
        <v>1.2441874759224418</v>
      </c>
      <c r="DZ2" s="466" t="s">
        <v>290</v>
      </c>
      <c r="EA2" s="478" t="s">
        <v>581</v>
      </c>
      <c r="EB2" s="463">
        <f>(DS7*DY14)/(EB9*((EB10*EB12*EB13*(EB5+EB6))+(EB11*EB12)))*DY18</f>
        <v>1.2441874759224418</v>
      </c>
      <c r="EC2" s="466" t="s">
        <v>290</v>
      </c>
      <c r="ED2" s="478" t="s">
        <v>582</v>
      </c>
      <c r="EE2" s="463">
        <f>-EE15/((EE10*EE12*EE13*(EE5+EE6))+(EE11*EE12))</f>
        <v>-15.807288534561259</v>
      </c>
      <c r="EF2" s="460" t="s">
        <v>18</v>
      </c>
      <c r="EG2" s="475" t="s">
        <v>530</v>
      </c>
      <c r="EH2" s="469">
        <f>EH7</f>
        <v>2.6709674500348716E-3</v>
      </c>
      <c r="EI2" s="457" t="s">
        <v>290</v>
      </c>
      <c r="EJ2" s="472" t="s">
        <v>530</v>
      </c>
      <c r="EK2" s="454">
        <f>EH7/(EK5*EK6)</f>
        <v>2.9644477802828764E-2</v>
      </c>
      <c r="EL2" s="451" t="s">
        <v>291</v>
      </c>
      <c r="EM2" s="448" t="s">
        <v>530</v>
      </c>
      <c r="EN2" s="454">
        <f>(EH7/(EN9*((EN10*EN12*EN13*(EN5+EN6))+(EN11*EN12))))*EN17</f>
        <v>0.43142313624917411</v>
      </c>
      <c r="EO2" s="451" t="s">
        <v>290</v>
      </c>
      <c r="EP2" s="448" t="s">
        <v>581</v>
      </c>
      <c r="EQ2" s="454">
        <f>(EH7/(EQ9*((EQ10*EQ12*EQ13*(EQ5+EQ6))+(EQ11*EQ12))))*EN17</f>
        <v>0.43142313624917411</v>
      </c>
      <c r="ER2" s="451" t="s">
        <v>290</v>
      </c>
      <c r="ES2" s="448" t="s">
        <v>582</v>
      </c>
      <c r="ET2" s="454">
        <f>-ET15/((ET10*ET12*ET13*(ET5+ET6))+(ET11*ET12))</f>
        <v>-14.550086614194845</v>
      </c>
      <c r="EU2" s="499" t="s">
        <v>18</v>
      </c>
      <c r="EV2" s="496" t="s">
        <v>530</v>
      </c>
      <c r="EW2" s="493">
        <f>EW7</f>
        <v>2.6709674500348716E-3</v>
      </c>
      <c r="EX2" s="490" t="s">
        <v>290</v>
      </c>
      <c r="EY2" s="487" t="s">
        <v>530</v>
      </c>
      <c r="EZ2" s="586" t="e">
        <f>EW7/(EZ5*EZ6*(1/EZ7))</f>
        <v>#DIV/0!</v>
      </c>
      <c r="FA2" s="592" t="s">
        <v>291</v>
      </c>
      <c r="FB2" s="589" t="s">
        <v>530</v>
      </c>
      <c r="FC2" s="586" t="e">
        <f>(EW7/(FC9*((FC10*FC12*FC13*(FC5+FC6))+(FC11*FC12))))*FC17</f>
        <v>#DIV/0!</v>
      </c>
      <c r="FD2" s="595" t="s">
        <v>290</v>
      </c>
      <c r="FE2" s="589" t="s">
        <v>581</v>
      </c>
      <c r="FF2" s="586">
        <f>(EW7/(FF9*(FF10*FF12*FF13*(FF5*FF6))+(FF11*FF12)))*FC17</f>
        <v>0.12143390559903611</v>
      </c>
      <c r="FG2" s="592" t="s">
        <v>290</v>
      </c>
      <c r="FH2" s="589" t="s">
        <v>582</v>
      </c>
      <c r="FI2" s="586">
        <f>FI15/((FI10*FI12*FI13*(FI5+FI6))+(FI11*FI12))</f>
        <v>5.3050397877984095</v>
      </c>
      <c r="FJ2" s="583" t="s">
        <v>18</v>
      </c>
      <c r="FK2" s="580" t="s">
        <v>530</v>
      </c>
      <c r="FL2" s="577">
        <f>FL7</f>
        <v>2.6709674500348716E-3</v>
      </c>
      <c r="FM2" s="571" t="s">
        <v>290</v>
      </c>
      <c r="FN2" s="568" t="s">
        <v>530</v>
      </c>
      <c r="FO2" s="505">
        <f>FL7/(FO5*(1/FO6))</f>
        <v>0.66774186250871792</v>
      </c>
      <c r="FP2" s="511" t="s">
        <v>291</v>
      </c>
      <c r="FQ2" s="508" t="s">
        <v>530</v>
      </c>
      <c r="FR2" s="505">
        <f>((FL7*FR6)/FR5)*FR10</f>
        <v>6.6788648079469856E-4</v>
      </c>
      <c r="FS2" s="511" t="s">
        <v>290</v>
      </c>
      <c r="FT2" s="508" t="s">
        <v>581</v>
      </c>
      <c r="FU2" s="505">
        <f>((FL7*FU6)/FU5)*FR10</f>
        <v>6.6788648079469856E-4</v>
      </c>
      <c r="FV2" s="511" t="s">
        <v>290</v>
      </c>
      <c r="FW2" s="508" t="s">
        <v>582</v>
      </c>
      <c r="FX2" s="505">
        <f>-FX5/FX6</f>
        <v>-1E-3</v>
      </c>
      <c r="FY2" s="502" t="s">
        <v>18</v>
      </c>
      <c r="FZ2" s="556" t="s">
        <v>530</v>
      </c>
      <c r="GA2" s="553">
        <f>GA7</f>
        <v>2.6709674500348716E-3</v>
      </c>
      <c r="GB2" s="550" t="s">
        <v>290</v>
      </c>
      <c r="GC2" s="559" t="s">
        <v>530</v>
      </c>
      <c r="GD2" s="538" t="e">
        <f>GA7/(GD5*GD6*(1/GD7))</f>
        <v>#DIV/0!</v>
      </c>
      <c r="GE2" s="544" t="s">
        <v>291</v>
      </c>
      <c r="GF2" s="541" t="s">
        <v>530</v>
      </c>
      <c r="GG2" s="538" t="e">
        <f>(GA7/((GG9)*((GG10*GG12*GG13*(GG5+GG6))+(GG11*GG12))))*GG17</f>
        <v>#DIV/0!</v>
      </c>
      <c r="GH2" s="544" t="s">
        <v>290</v>
      </c>
      <c r="GI2" s="541" t="s">
        <v>581</v>
      </c>
      <c r="GJ2" s="538" t="e">
        <f>(GA7/((GJ9)*((GJ10*GJ12*GJ13*(GJ5+GJ6))+(GJ11*GJ12))))*GG17</f>
        <v>#DIV/0!</v>
      </c>
      <c r="GK2" s="544" t="s">
        <v>290</v>
      </c>
      <c r="GL2" s="541" t="s">
        <v>582</v>
      </c>
      <c r="GM2" s="538">
        <f>GM15/((GM10*GM12*GM13*(GM5+GM6))+(GM11*GM12))</f>
        <v>5.3050397877984095</v>
      </c>
      <c r="GN2" s="535" t="s">
        <v>18</v>
      </c>
      <c r="GO2" s="532" t="s">
        <v>530</v>
      </c>
      <c r="GP2" s="529">
        <f>GP7</f>
        <v>2.6709674500348716E-3</v>
      </c>
      <c r="GQ2" s="526" t="s">
        <v>290</v>
      </c>
      <c r="GR2" s="523" t="s">
        <v>530</v>
      </c>
      <c r="GS2" s="517" t="e">
        <f>GP7/(GS5*GS6*(1/GS7))</f>
        <v>#DIV/0!</v>
      </c>
      <c r="GT2" s="514" t="s">
        <v>291</v>
      </c>
      <c r="GU2" s="520" t="s">
        <v>530</v>
      </c>
      <c r="GV2" s="517" t="e">
        <f>(GP7/((GV9)*((GV10*GV12*GV13*(GV5+GV6))+(GV11*GV12))))*GV17</f>
        <v>#DIV/0!</v>
      </c>
      <c r="GW2" s="514" t="s">
        <v>290</v>
      </c>
      <c r="GX2" s="520" t="s">
        <v>581</v>
      </c>
      <c r="GY2" s="517" t="e">
        <f>(GP7/((GY9*((GY10*GY12*GY13*(GY5+GY6))+(GY11*GY12)))))*GV17</f>
        <v>#DIV/0!</v>
      </c>
      <c r="GZ2" s="514" t="s">
        <v>290</v>
      </c>
      <c r="HA2" s="520" t="s">
        <v>582</v>
      </c>
      <c r="HB2" s="517">
        <f>GP7/((HB10*HB12*HB13*(HB5+HB6))+(HB11*HB12))</f>
        <v>1.6437734322326735E-3</v>
      </c>
      <c r="HC2" s="547" t="s">
        <v>18</v>
      </c>
      <c r="HD2" s="54"/>
      <c r="HE2" s="55"/>
      <c r="HF2" s="56"/>
    </row>
    <row r="3" spans="1:214" ht="13.5" thickTop="1" x14ac:dyDescent="0.2">
      <c r="A3" s="114" t="s">
        <v>302</v>
      </c>
      <c r="B3" s="228">
        <v>0.124</v>
      </c>
      <c r="C3" s="115"/>
      <c r="D3" s="189" t="s">
        <v>15</v>
      </c>
      <c r="E3" s="134">
        <f>1/((1/E19)+(1/E20))</f>
        <v>2.9059648597674287E-6</v>
      </c>
      <c r="F3" s="58" t="s">
        <v>289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3.2169743025994549E-5</v>
      </c>
      <c r="X3" s="62" t="s">
        <v>289</v>
      </c>
      <c r="Y3" s="202" t="s">
        <v>16</v>
      </c>
      <c r="Z3" s="187">
        <f>1/((1/Z18)+(1/Z19))</f>
        <v>3.2169743025994549E-5</v>
      </c>
      <c r="AA3" s="63" t="s">
        <v>289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307"/>
      <c r="AS3" s="304"/>
      <c r="AT3" s="291"/>
      <c r="AU3" s="288"/>
      <c r="AV3" s="304"/>
      <c r="AW3" s="291"/>
      <c r="AX3" s="288"/>
      <c r="AY3" s="304"/>
      <c r="AZ3" s="282"/>
      <c r="BA3" s="307"/>
      <c r="BB3" s="304"/>
      <c r="BC3" s="291"/>
      <c r="BD3" s="288"/>
      <c r="BE3" s="304"/>
      <c r="BF3" s="291"/>
      <c r="BG3" s="288"/>
      <c r="BH3" s="304"/>
      <c r="BI3" s="282"/>
      <c r="BJ3" s="307"/>
      <c r="BK3" s="285"/>
      <c r="BL3" s="291"/>
      <c r="BM3" s="288"/>
      <c r="BN3" s="285"/>
      <c r="BO3" s="291"/>
      <c r="BP3" s="288"/>
      <c r="BQ3" s="285"/>
      <c r="BR3" s="282"/>
      <c r="BS3" s="212" t="s">
        <v>15</v>
      </c>
      <c r="BT3" s="64">
        <f>1/((1/BT18)+(1/BT19))</f>
        <v>3.8041721800591787E-5</v>
      </c>
      <c r="BU3" s="53" t="s">
        <v>289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56"/>
      <c r="CN3" s="259"/>
      <c r="CO3" s="262"/>
      <c r="CP3" s="279"/>
      <c r="CQ3" s="276"/>
      <c r="CR3" s="262"/>
      <c r="CS3" s="265"/>
      <c r="CT3" s="396"/>
      <c r="CU3" s="393"/>
      <c r="CV3" s="390"/>
      <c r="CW3" s="216" t="s">
        <v>15</v>
      </c>
      <c r="CX3" s="65">
        <f>1/((1/CX19)+(1/CX20))</f>
        <v>2.9054439804353394E-6</v>
      </c>
      <c r="CY3" s="66" t="s">
        <v>289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222">
        <f>(HE5*HE14)*(10^-3)*(HE13+(HE10/HE11))*((HE12*HE7)/HE8)</f>
        <v>2.2204830239385252E-4</v>
      </c>
      <c r="HF3" s="220" t="s">
        <v>595</v>
      </c>
    </row>
    <row r="4" spans="1:214" ht="13.5" thickBot="1" x14ac:dyDescent="0.25">
      <c r="A4" s="116" t="s">
        <v>54</v>
      </c>
      <c r="B4" s="229">
        <v>0.79200000000000004</v>
      </c>
      <c r="C4" s="117"/>
      <c r="D4" s="190" t="s">
        <v>16</v>
      </c>
      <c r="E4" s="135">
        <f>1/((1/E21)+(1/E22))</f>
        <v>2.9065942282116363E-6</v>
      </c>
      <c r="F4" s="68" t="s">
        <v>289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3.2162777271737446E-5</v>
      </c>
      <c r="X4" s="76" t="s">
        <v>289</v>
      </c>
      <c r="Y4" s="203" t="s">
        <v>15</v>
      </c>
      <c r="Z4" s="186">
        <f>1/((1/Z16)+(1/Z17))</f>
        <v>3.2162777271737446E-5</v>
      </c>
      <c r="AA4" s="77" t="s">
        <v>289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308"/>
      <c r="AS4" s="305"/>
      <c r="AT4" s="292"/>
      <c r="AU4" s="289"/>
      <c r="AV4" s="305"/>
      <c r="AW4" s="292"/>
      <c r="AX4" s="289"/>
      <c r="AY4" s="305"/>
      <c r="AZ4" s="283"/>
      <c r="BA4" s="308"/>
      <c r="BB4" s="305"/>
      <c r="BC4" s="292"/>
      <c r="BD4" s="289"/>
      <c r="BE4" s="305"/>
      <c r="BF4" s="292"/>
      <c r="BG4" s="289"/>
      <c r="BH4" s="305"/>
      <c r="BI4" s="283"/>
      <c r="BJ4" s="308"/>
      <c r="BK4" s="286"/>
      <c r="BL4" s="292"/>
      <c r="BM4" s="289"/>
      <c r="BN4" s="286"/>
      <c r="BO4" s="292"/>
      <c r="BP4" s="289"/>
      <c r="BQ4" s="286"/>
      <c r="BR4" s="283"/>
      <c r="BS4" s="213" t="s">
        <v>16</v>
      </c>
      <c r="BT4" s="78">
        <f>1/((1/BT20)+(1/BT21))</f>
        <v>3.8049960805679607E-5</v>
      </c>
      <c r="BU4" s="79" t="s">
        <v>289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57"/>
      <c r="CN4" s="260"/>
      <c r="CO4" s="263"/>
      <c r="CP4" s="280"/>
      <c r="CQ4" s="277"/>
      <c r="CR4" s="263"/>
      <c r="CS4" s="266"/>
      <c r="CT4" s="397"/>
      <c r="CU4" s="394"/>
      <c r="CV4" s="391"/>
      <c r="CW4" s="217" t="s">
        <v>16</v>
      </c>
      <c r="CX4" s="80">
        <f>1/((1/CX21)+(1/CX22))</f>
        <v>2.9060732360684736E-6</v>
      </c>
      <c r="CY4" s="81" t="s">
        <v>289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224">
        <f>(HE6*HE14)*10^-3*(HE13+(HE10/HE11))*((HE12*HE7)/(HE8))</f>
        <v>9.5862295011742762E-6</v>
      </c>
      <c r="HF4" s="221" t="s">
        <v>596</v>
      </c>
    </row>
    <row r="5" spans="1:214" ht="14.25" thickTop="1" thickBot="1" x14ac:dyDescent="0.25">
      <c r="A5" s="681" t="s">
        <v>241</v>
      </c>
      <c r="B5" s="682"/>
      <c r="C5" s="683"/>
      <c r="D5" s="52" t="s">
        <v>267</v>
      </c>
      <c r="E5" s="136">
        <f>B17</f>
        <v>1</v>
      </c>
      <c r="F5" s="52" t="s">
        <v>344</v>
      </c>
      <c r="G5" s="83" t="s">
        <v>267</v>
      </c>
      <c r="H5" s="136">
        <f>B17</f>
        <v>1</v>
      </c>
      <c r="I5" s="52" t="s">
        <v>344</v>
      </c>
      <c r="J5" s="83" t="s">
        <v>267</v>
      </c>
      <c r="K5" s="136">
        <f>B17</f>
        <v>1</v>
      </c>
      <c r="L5" s="52" t="s">
        <v>344</v>
      </c>
      <c r="M5" s="52" t="s">
        <v>267</v>
      </c>
      <c r="N5" s="136">
        <f>B17</f>
        <v>1</v>
      </c>
      <c r="O5" s="52" t="s">
        <v>344</v>
      </c>
      <c r="P5" s="52" t="s">
        <v>267</v>
      </c>
      <c r="Q5" s="136">
        <f>B17</f>
        <v>1</v>
      </c>
      <c r="R5" s="52" t="s">
        <v>344</v>
      </c>
      <c r="S5" s="52" t="s">
        <v>267</v>
      </c>
      <c r="T5" s="136">
        <f>B17</f>
        <v>1</v>
      </c>
      <c r="U5" s="52" t="s">
        <v>344</v>
      </c>
      <c r="V5" s="52" t="s">
        <v>267</v>
      </c>
      <c r="W5" s="136">
        <f>B17</f>
        <v>1</v>
      </c>
      <c r="X5" s="52" t="s">
        <v>344</v>
      </c>
      <c r="Y5" s="52" t="s">
        <v>267</v>
      </c>
      <c r="Z5" s="136">
        <f>B17</f>
        <v>1</v>
      </c>
      <c r="AA5" s="52" t="s">
        <v>344</v>
      </c>
      <c r="AB5" s="83" t="s">
        <v>267</v>
      </c>
      <c r="AC5" s="136">
        <f>B17</f>
        <v>1</v>
      </c>
      <c r="AD5" s="136">
        <f>B17</f>
        <v>1</v>
      </c>
      <c r="AE5" s="136">
        <f>B17</f>
        <v>1</v>
      </c>
      <c r="AF5" s="136">
        <f>B17</f>
        <v>1</v>
      </c>
      <c r="AG5" s="136">
        <f>B17</f>
        <v>1</v>
      </c>
      <c r="AH5" s="52" t="s">
        <v>344</v>
      </c>
      <c r="AI5" s="52" t="s">
        <v>267</v>
      </c>
      <c r="AJ5" s="136">
        <f>B17</f>
        <v>1</v>
      </c>
      <c r="AK5" s="52" t="s">
        <v>344</v>
      </c>
      <c r="AL5" s="52" t="s">
        <v>267</v>
      </c>
      <c r="AM5" s="136">
        <f>B17</f>
        <v>1</v>
      </c>
      <c r="AN5" s="52" t="s">
        <v>344</v>
      </c>
      <c r="AO5" s="52" t="s">
        <v>267</v>
      </c>
      <c r="AP5" s="136">
        <f>B17</f>
        <v>1</v>
      </c>
      <c r="AQ5" s="52" t="s">
        <v>344</v>
      </c>
      <c r="AR5" s="52" t="s">
        <v>267</v>
      </c>
      <c r="AS5" s="136">
        <f>B17</f>
        <v>1</v>
      </c>
      <c r="AT5" s="52" t="s">
        <v>344</v>
      </c>
      <c r="AU5" s="52" t="s">
        <v>267</v>
      </c>
      <c r="AV5" s="136">
        <f>B17</f>
        <v>1</v>
      </c>
      <c r="AW5" s="52" t="s">
        <v>344</v>
      </c>
      <c r="AX5" s="52" t="s">
        <v>267</v>
      </c>
      <c r="AY5" s="136">
        <f>B17</f>
        <v>1</v>
      </c>
      <c r="AZ5" s="52" t="s">
        <v>344</v>
      </c>
      <c r="BA5" s="52" t="s">
        <v>267</v>
      </c>
      <c r="BB5" s="136">
        <f>B17</f>
        <v>1</v>
      </c>
      <c r="BC5" s="52" t="s">
        <v>344</v>
      </c>
      <c r="BD5" s="52" t="s">
        <v>267</v>
      </c>
      <c r="BE5" s="136">
        <f>B17</f>
        <v>1</v>
      </c>
      <c r="BF5" s="52" t="s">
        <v>344</v>
      </c>
      <c r="BG5" s="52" t="s">
        <v>267</v>
      </c>
      <c r="BH5" s="136">
        <f>B17</f>
        <v>1</v>
      </c>
      <c r="BI5" s="52" t="s">
        <v>344</v>
      </c>
      <c r="BJ5" s="52" t="s">
        <v>267</v>
      </c>
      <c r="BK5" s="136">
        <f>B17</f>
        <v>1</v>
      </c>
      <c r="BL5" s="52" t="s">
        <v>344</v>
      </c>
      <c r="BM5" s="52" t="s">
        <v>267</v>
      </c>
      <c r="BN5" s="136">
        <f>B17</f>
        <v>1</v>
      </c>
      <c r="BO5" s="52" t="s">
        <v>344</v>
      </c>
      <c r="BP5" s="52" t="s">
        <v>267</v>
      </c>
      <c r="BQ5" s="136">
        <f>B17</f>
        <v>1</v>
      </c>
      <c r="BR5" s="52" t="s">
        <v>344</v>
      </c>
      <c r="BS5" s="52" t="s">
        <v>267</v>
      </c>
      <c r="BT5" s="136">
        <f>B17</f>
        <v>1</v>
      </c>
      <c r="BU5" s="52" t="s">
        <v>344</v>
      </c>
      <c r="BV5" s="83" t="s">
        <v>267</v>
      </c>
      <c r="BW5" s="136">
        <f>B17</f>
        <v>1</v>
      </c>
      <c r="BX5" s="52" t="s">
        <v>344</v>
      </c>
      <c r="BY5" s="83" t="s">
        <v>267</v>
      </c>
      <c r="BZ5" s="136">
        <f>B17</f>
        <v>1</v>
      </c>
      <c r="CA5" s="52" t="s">
        <v>344</v>
      </c>
      <c r="CB5" s="52" t="s">
        <v>267</v>
      </c>
      <c r="CC5" s="136">
        <f>B17</f>
        <v>1</v>
      </c>
      <c r="CD5" s="52" t="s">
        <v>344</v>
      </c>
      <c r="CE5" s="52" t="s">
        <v>267</v>
      </c>
      <c r="CF5" s="136">
        <f>B17</f>
        <v>1</v>
      </c>
      <c r="CG5" s="52" t="s">
        <v>344</v>
      </c>
      <c r="CH5" s="52" t="s">
        <v>267</v>
      </c>
      <c r="CI5" s="136">
        <f>B17</f>
        <v>1</v>
      </c>
      <c r="CJ5" s="52" t="s">
        <v>344</v>
      </c>
      <c r="CK5" s="52" t="s">
        <v>267</v>
      </c>
      <c r="CL5" s="136">
        <f>B17</f>
        <v>1</v>
      </c>
      <c r="CM5" s="52" t="s">
        <v>344</v>
      </c>
      <c r="CN5" s="83" t="s">
        <v>228</v>
      </c>
      <c r="CO5" s="136">
        <f>B42</f>
        <v>0</v>
      </c>
      <c r="CP5" s="52" t="s">
        <v>268</v>
      </c>
      <c r="CQ5" s="83" t="s">
        <v>228</v>
      </c>
      <c r="CR5" s="136">
        <f>CO5</f>
        <v>0</v>
      </c>
      <c r="CS5" s="52" t="s">
        <v>268</v>
      </c>
      <c r="CT5" s="83" t="s">
        <v>267</v>
      </c>
      <c r="CU5" s="136">
        <f>B17</f>
        <v>1</v>
      </c>
      <c r="CV5" s="52" t="s">
        <v>344</v>
      </c>
      <c r="CW5" s="52" t="s">
        <v>267</v>
      </c>
      <c r="CX5" s="136">
        <f>B17</f>
        <v>1</v>
      </c>
      <c r="CY5" s="52" t="s">
        <v>344</v>
      </c>
      <c r="CZ5" s="83" t="s">
        <v>267</v>
      </c>
      <c r="DA5" s="136">
        <f>B17</f>
        <v>1</v>
      </c>
      <c r="DB5" s="52" t="s">
        <v>344</v>
      </c>
      <c r="DC5" s="83" t="s">
        <v>267</v>
      </c>
      <c r="DD5" s="136">
        <f>B17</f>
        <v>1</v>
      </c>
      <c r="DE5" s="52" t="s">
        <v>344</v>
      </c>
      <c r="DF5" s="52" t="s">
        <v>17</v>
      </c>
      <c r="DG5" s="137">
        <f>(DG8*DG9*DG10*((1-EXP(-DG11*DG12))))/(DG13*DG11)</f>
        <v>0.52579260245651049</v>
      </c>
      <c r="DH5" s="52" t="s">
        <v>18</v>
      </c>
      <c r="DI5" s="83" t="s">
        <v>19</v>
      </c>
      <c r="DJ5" s="161">
        <f>DJ7</f>
        <v>1.4800000000000001E-2</v>
      </c>
      <c r="DK5" s="83"/>
      <c r="DL5" s="83" t="s">
        <v>19</v>
      </c>
      <c r="DM5" s="161">
        <f>DM7</f>
        <v>1.4800000000000001E-2</v>
      </c>
      <c r="DO5" s="52" t="s">
        <v>17</v>
      </c>
      <c r="DP5" s="137">
        <f>(DP8*DP9*DP10*((1-EXP(-DP11*DP12))))/(DP13*DP11)</f>
        <v>0.52904687928279526</v>
      </c>
      <c r="DQ5" s="52" t="s">
        <v>18</v>
      </c>
      <c r="DR5" s="83" t="s">
        <v>267</v>
      </c>
      <c r="DS5" s="136">
        <f>B17</f>
        <v>1</v>
      </c>
      <c r="DT5" s="52" t="s">
        <v>344</v>
      </c>
      <c r="DU5" s="83" t="s">
        <v>239</v>
      </c>
      <c r="DV5" s="169">
        <f>B36</f>
        <v>3.8000000000000002E-4</v>
      </c>
      <c r="DW5" s="52" t="s">
        <v>601</v>
      </c>
      <c r="DX5" s="83" t="s">
        <v>20</v>
      </c>
      <c r="DY5" s="161">
        <f>DY7</f>
        <v>1.7000000000000001E-2</v>
      </c>
      <c r="DZ5" s="83"/>
      <c r="EA5" s="83" t="s">
        <v>20</v>
      </c>
      <c r="EB5" s="161">
        <f>EB7</f>
        <v>1.7000000000000001E-2</v>
      </c>
      <c r="EC5" s="84"/>
      <c r="ED5" s="83" t="s">
        <v>20</v>
      </c>
      <c r="EE5" s="161">
        <f>EE7</f>
        <v>1.7000000000000001E-2</v>
      </c>
      <c r="EF5" s="84"/>
      <c r="EG5" s="83" t="s">
        <v>267</v>
      </c>
      <c r="EH5" s="136">
        <f>B17</f>
        <v>1</v>
      </c>
      <c r="EI5" s="52" t="s">
        <v>344</v>
      </c>
      <c r="EJ5" s="83" t="s">
        <v>236</v>
      </c>
      <c r="EK5" s="169">
        <f>B37</f>
        <v>1.6999999999999999E-3</v>
      </c>
      <c r="EL5" s="52" t="s">
        <v>388</v>
      </c>
      <c r="EM5" s="83" t="s">
        <v>20</v>
      </c>
      <c r="EN5" s="161">
        <f>EN7</f>
        <v>1.7000000000000001E-2</v>
      </c>
      <c r="EO5" s="83"/>
      <c r="EP5" s="83" t="s">
        <v>20</v>
      </c>
      <c r="EQ5" s="161">
        <f>EQ7</f>
        <v>1.7000000000000001E-2</v>
      </c>
      <c r="ER5" s="84"/>
      <c r="ES5" s="83" t="s">
        <v>20</v>
      </c>
      <c r="ET5" s="161">
        <f>ET7</f>
        <v>1.7000000000000001E-2</v>
      </c>
      <c r="EU5" s="84"/>
      <c r="EV5" s="83" t="s">
        <v>267</v>
      </c>
      <c r="EW5" s="136">
        <f>B17</f>
        <v>1</v>
      </c>
      <c r="EX5" s="52" t="s">
        <v>344</v>
      </c>
      <c r="EY5" s="83" t="s">
        <v>171</v>
      </c>
      <c r="EZ5" s="169">
        <f>B39</f>
        <v>0</v>
      </c>
      <c r="FA5" s="52" t="s">
        <v>388</v>
      </c>
      <c r="FB5" s="83" t="s">
        <v>20</v>
      </c>
      <c r="FC5" s="161">
        <f>FC7</f>
        <v>1.7000000000000001E-2</v>
      </c>
      <c r="FD5" s="83"/>
      <c r="FE5" s="83" t="s">
        <v>20</v>
      </c>
      <c r="FF5" s="161">
        <f>FF7</f>
        <v>1.7000000000000001E-2</v>
      </c>
      <c r="FG5" s="83"/>
      <c r="FH5" s="83" t="s">
        <v>20</v>
      </c>
      <c r="FI5" s="161">
        <f>FI7</f>
        <v>1.7000000000000001E-2</v>
      </c>
      <c r="FJ5" s="84"/>
      <c r="FK5" s="83" t="s">
        <v>267</v>
      </c>
      <c r="FL5" s="136">
        <f>B17</f>
        <v>1</v>
      </c>
      <c r="FM5" s="52" t="s">
        <v>344</v>
      </c>
      <c r="FN5" s="83" t="s">
        <v>105</v>
      </c>
      <c r="FO5" s="161">
        <f>B35</f>
        <v>4</v>
      </c>
      <c r="FP5" s="83" t="s">
        <v>18</v>
      </c>
      <c r="FQ5" s="83" t="s">
        <v>105</v>
      </c>
      <c r="FR5" s="161">
        <f>B35</f>
        <v>4</v>
      </c>
      <c r="FS5" s="83" t="s">
        <v>18</v>
      </c>
      <c r="FT5" s="83" t="s">
        <v>105</v>
      </c>
      <c r="FU5" s="161">
        <f>B35</f>
        <v>4</v>
      </c>
      <c r="FV5" s="83" t="s">
        <v>18</v>
      </c>
      <c r="FW5" s="83" t="s">
        <v>156</v>
      </c>
      <c r="FX5" s="161">
        <f>B45</f>
        <v>1</v>
      </c>
      <c r="FY5" s="88" t="s">
        <v>18</v>
      </c>
      <c r="FZ5" s="83" t="s">
        <v>267</v>
      </c>
      <c r="GA5" s="136">
        <f>B17</f>
        <v>1</v>
      </c>
      <c r="GB5" s="52" t="s">
        <v>344</v>
      </c>
      <c r="GC5" s="83" t="s">
        <v>237</v>
      </c>
      <c r="GD5" s="169">
        <f>B38</f>
        <v>0</v>
      </c>
      <c r="GE5" s="52" t="s">
        <v>388</v>
      </c>
      <c r="GF5" s="83" t="s">
        <v>20</v>
      </c>
      <c r="GG5" s="161">
        <f>GG7</f>
        <v>1.7000000000000001E-2</v>
      </c>
      <c r="GH5" s="83"/>
      <c r="GI5" s="83" t="s">
        <v>20</v>
      </c>
      <c r="GJ5" s="161">
        <f>GJ7</f>
        <v>1.7000000000000001E-2</v>
      </c>
      <c r="GK5" s="83"/>
      <c r="GL5" s="83" t="s">
        <v>20</v>
      </c>
      <c r="GM5" s="161">
        <f>GM7</f>
        <v>1.7000000000000001E-2</v>
      </c>
      <c r="GN5" s="84"/>
      <c r="GO5" s="83" t="s">
        <v>267</v>
      </c>
      <c r="GP5" s="136">
        <f>B17</f>
        <v>1</v>
      </c>
      <c r="GQ5" s="52" t="s">
        <v>344</v>
      </c>
      <c r="GR5" s="83" t="s">
        <v>238</v>
      </c>
      <c r="GS5" s="169">
        <f>B40</f>
        <v>0</v>
      </c>
      <c r="GT5" s="52" t="s">
        <v>388</v>
      </c>
      <c r="GU5" s="83" t="s">
        <v>20</v>
      </c>
      <c r="GV5" s="161">
        <f>GV7</f>
        <v>1.7000000000000001E-2</v>
      </c>
      <c r="GW5" s="83"/>
      <c r="GX5" s="83" t="s">
        <v>20</v>
      </c>
      <c r="GY5" s="161">
        <f>GY7</f>
        <v>1.7000000000000001E-2</v>
      </c>
      <c r="GZ5" s="83"/>
      <c r="HA5" s="83" t="s">
        <v>20</v>
      </c>
      <c r="HB5" s="161">
        <f>HB7</f>
        <v>1.7000000000000001E-2</v>
      </c>
      <c r="HC5" s="84"/>
      <c r="HD5" s="89" t="s">
        <v>21</v>
      </c>
      <c r="HE5" s="175">
        <f>B46</f>
        <v>0.185000185000185</v>
      </c>
      <c r="HF5" s="83" t="s">
        <v>291</v>
      </c>
    </row>
    <row r="6" spans="1:214" ht="13.5" thickTop="1" x14ac:dyDescent="0.2">
      <c r="A6" s="114" t="s">
        <v>339</v>
      </c>
      <c r="B6" s="228">
        <v>5.8099999999999999E-2</v>
      </c>
      <c r="C6" s="231"/>
      <c r="D6" s="83" t="s">
        <v>22</v>
      </c>
      <c r="E6" s="137">
        <f>0.693/E7</f>
        <v>4.3312499999999997E-4</v>
      </c>
      <c r="G6" s="83" t="s">
        <v>248</v>
      </c>
      <c r="H6" s="136">
        <f>B19</f>
        <v>1.67911012348351E-3</v>
      </c>
      <c r="I6" s="83" t="s">
        <v>259</v>
      </c>
      <c r="J6" s="83" t="s">
        <v>249</v>
      </c>
      <c r="K6" s="136">
        <f>B20</f>
        <v>1.67911012348351E-3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4.3312499999999997E-4</v>
      </c>
      <c r="BV6" s="83" t="s">
        <v>248</v>
      </c>
      <c r="BW6" s="136">
        <f>B19</f>
        <v>1.67911012348351E-3</v>
      </c>
      <c r="BX6" s="83" t="s">
        <v>259</v>
      </c>
      <c r="BY6" s="83" t="s">
        <v>249</v>
      </c>
      <c r="BZ6" s="136">
        <f>B20</f>
        <v>1.67911012348351E-3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B29</f>
        <v>1.67911012348351E-3</v>
      </c>
      <c r="CM6" s="91" t="s">
        <v>10</v>
      </c>
      <c r="CN6" s="84" t="s">
        <v>20</v>
      </c>
      <c r="CO6" s="139">
        <f>CO8</f>
        <v>1.7000000000000001E-2</v>
      </c>
      <c r="CQ6" s="84" t="s">
        <v>169</v>
      </c>
      <c r="CR6" s="162">
        <f>B133</f>
        <v>2</v>
      </c>
      <c r="CS6" s="52" t="s">
        <v>28</v>
      </c>
      <c r="CT6" s="83" t="s">
        <v>249</v>
      </c>
      <c r="CU6" s="136">
        <f>B20</f>
        <v>1.67911012348351E-3</v>
      </c>
      <c r="CV6" s="83" t="s">
        <v>259</v>
      </c>
      <c r="CW6" s="83" t="s">
        <v>22</v>
      </c>
      <c r="CX6" s="137">
        <f>0.693/CX7</f>
        <v>4.3312499999999997E-4</v>
      </c>
      <c r="CZ6" s="83" t="s">
        <v>248</v>
      </c>
      <c r="DA6" s="136">
        <f>B19</f>
        <v>1.67911012348351E-3</v>
      </c>
      <c r="DB6" s="83" t="s">
        <v>259</v>
      </c>
      <c r="DC6" s="83" t="s">
        <v>258</v>
      </c>
      <c r="DD6" s="136">
        <f>B29</f>
        <v>1.67911012348351E-3</v>
      </c>
      <c r="DE6" s="92" t="s">
        <v>259</v>
      </c>
      <c r="DF6" s="52" t="s">
        <v>25</v>
      </c>
      <c r="DG6" s="137">
        <f>(DG8*DG9*DG14*((1-EXP(-DG11*DG12))))/(DG13*DG11)</f>
        <v>9.2368970701819411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B29</f>
        <v>1.67911012348351E-3</v>
      </c>
      <c r="DT6" s="83" t="s">
        <v>259</v>
      </c>
      <c r="DU6" s="83" t="s">
        <v>27</v>
      </c>
      <c r="DV6" s="142">
        <f>B199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B29</f>
        <v>1.67911012348351E-3</v>
      </c>
      <c r="EI6" s="83" t="s">
        <v>259</v>
      </c>
      <c r="EJ6" s="83" t="s">
        <v>29</v>
      </c>
      <c r="EK6" s="142">
        <f>B205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B29</f>
        <v>1.67911012348351E-3</v>
      </c>
      <c r="EX6" s="83" t="s">
        <v>259</v>
      </c>
      <c r="EY6" s="83" t="s">
        <v>148</v>
      </c>
      <c r="EZ6" s="164">
        <f>B210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B29</f>
        <v>1.67911012348351E-3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B45</f>
        <v>1</v>
      </c>
      <c r="FS6" s="83" t="s">
        <v>18</v>
      </c>
      <c r="FT6" s="83" t="s">
        <v>156</v>
      </c>
      <c r="FU6" s="161">
        <f>B45</f>
        <v>1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B29</f>
        <v>1.67911012348351E-3</v>
      </c>
      <c r="GB6" s="83" t="s">
        <v>259</v>
      </c>
      <c r="GC6" s="83" t="s">
        <v>485</v>
      </c>
      <c r="GD6" s="164">
        <f>B215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B29</f>
        <v>1.67911012348351E-3</v>
      </c>
      <c r="GQ6" s="83" t="s">
        <v>259</v>
      </c>
      <c r="GR6" s="83" t="s">
        <v>150</v>
      </c>
      <c r="GS6" s="142">
        <f>B220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7.9867948192004316E-3</v>
      </c>
      <c r="HF6" s="83" t="s">
        <v>291</v>
      </c>
    </row>
    <row r="7" spans="1:214" x14ac:dyDescent="0.2">
      <c r="A7" s="116" t="s">
        <v>242</v>
      </c>
      <c r="B7" s="229">
        <v>0.624</v>
      </c>
      <c r="C7" s="232"/>
      <c r="D7" s="91" t="s">
        <v>231</v>
      </c>
      <c r="E7" s="136">
        <f>B30</f>
        <v>1600</v>
      </c>
      <c r="F7" s="52" t="s">
        <v>60</v>
      </c>
      <c r="G7" s="83" t="s">
        <v>247</v>
      </c>
      <c r="H7" s="139">
        <f>B18</f>
        <v>3.8043873993229303E-2</v>
      </c>
      <c r="I7" s="84" t="s">
        <v>259</v>
      </c>
      <c r="J7" s="83" t="s">
        <v>247</v>
      </c>
      <c r="K7" s="136">
        <f>B18</f>
        <v>3.8043873993229303E-2</v>
      </c>
      <c r="L7" s="84" t="s">
        <v>259</v>
      </c>
      <c r="M7" s="83" t="s">
        <v>22</v>
      </c>
      <c r="N7" s="137">
        <f>0.693/N8</f>
        <v>4.3312499999999997E-4</v>
      </c>
      <c r="P7" s="83" t="s">
        <v>22</v>
      </c>
      <c r="Q7" s="137">
        <f>0.693/Q8</f>
        <v>4.3312499999999997E-4</v>
      </c>
      <c r="S7" s="83" t="s">
        <v>22</v>
      </c>
      <c r="T7" s="137">
        <f>0.693/T8</f>
        <v>4.3312499999999997E-4</v>
      </c>
      <c r="V7" s="83" t="s">
        <v>22</v>
      </c>
      <c r="W7" s="137">
        <f>0.693/W8</f>
        <v>4.3312499999999997E-4</v>
      </c>
      <c r="Y7" s="83" t="s">
        <v>22</v>
      </c>
      <c r="Z7" s="137">
        <f>0.693/Z8</f>
        <v>4.3312499999999997E-4</v>
      </c>
      <c r="AB7" s="83" t="s">
        <v>425</v>
      </c>
      <c r="AC7" s="150">
        <f>B227</f>
        <v>125</v>
      </c>
      <c r="AD7" s="150">
        <f>B237</f>
        <v>125</v>
      </c>
      <c r="AE7" s="150">
        <f>B247</f>
        <v>125</v>
      </c>
      <c r="AF7" s="150">
        <f>B257</f>
        <v>125</v>
      </c>
      <c r="AG7" s="150">
        <f>B269</f>
        <v>125</v>
      </c>
      <c r="AH7" s="83" t="s">
        <v>24</v>
      </c>
      <c r="AI7" s="83" t="s">
        <v>22</v>
      </c>
      <c r="AJ7" s="137">
        <f>0.693/AJ8</f>
        <v>4.3312499999999997E-4</v>
      </c>
      <c r="AL7" s="83" t="s">
        <v>22</v>
      </c>
      <c r="AM7" s="137">
        <f>0.693/AM8</f>
        <v>4.3312499999999997E-4</v>
      </c>
      <c r="AO7" s="83" t="s">
        <v>22</v>
      </c>
      <c r="AP7" s="137">
        <f>0.693/AP8</f>
        <v>4.3312499999999997E-4</v>
      </c>
      <c r="AR7" s="83" t="s">
        <v>22</v>
      </c>
      <c r="AS7" s="137">
        <f>0.693/AS8</f>
        <v>4.3312499999999997E-4</v>
      </c>
      <c r="AU7" s="83" t="s">
        <v>22</v>
      </c>
      <c r="AV7" s="137">
        <f>0.693/AV8</f>
        <v>4.3312499999999997E-4</v>
      </c>
      <c r="AX7" s="83" t="s">
        <v>22</v>
      </c>
      <c r="AY7" s="137">
        <f>0.693/AY8</f>
        <v>4.3312499999999997E-4</v>
      </c>
      <c r="BA7" s="83" t="s">
        <v>22</v>
      </c>
      <c r="BB7" s="137">
        <f>0.693/BB8</f>
        <v>4.3312499999999997E-4</v>
      </c>
      <c r="BD7" s="83" t="s">
        <v>22</v>
      </c>
      <c r="BE7" s="137">
        <f>0.693/BE8</f>
        <v>4.3312499999999997E-4</v>
      </c>
      <c r="BG7" s="83" t="s">
        <v>22</v>
      </c>
      <c r="BH7" s="137">
        <f>0.693/BH8</f>
        <v>4.3312499999999997E-4</v>
      </c>
      <c r="BJ7" s="83" t="s">
        <v>22</v>
      </c>
      <c r="BK7" s="137">
        <f>0.693/BK8</f>
        <v>4.3312499999999997E-4</v>
      </c>
      <c r="BM7" s="83" t="s">
        <v>22</v>
      </c>
      <c r="BN7" s="137">
        <f>0.693/BN8</f>
        <v>4.3312499999999997E-4</v>
      </c>
      <c r="BP7" s="83" t="s">
        <v>22</v>
      </c>
      <c r="BQ7" s="137">
        <f>0.693/BQ8</f>
        <v>4.3312499999999997E-4</v>
      </c>
      <c r="BS7" s="91" t="s">
        <v>231</v>
      </c>
      <c r="BT7" s="136">
        <f>B30</f>
        <v>1600</v>
      </c>
      <c r="BU7" s="52" t="s">
        <v>60</v>
      </c>
      <c r="BV7" s="83" t="s">
        <v>247</v>
      </c>
      <c r="BW7" s="139">
        <f>B18</f>
        <v>3.8043873993229303E-2</v>
      </c>
      <c r="BX7" s="84" t="s">
        <v>259</v>
      </c>
      <c r="BY7" s="83" t="s">
        <v>247</v>
      </c>
      <c r="BZ7" s="139">
        <f>B18</f>
        <v>3.8043873993229303E-2</v>
      </c>
      <c r="CA7" s="84" t="s">
        <v>259</v>
      </c>
      <c r="CB7" s="83" t="s">
        <v>22</v>
      </c>
      <c r="CC7" s="137">
        <f>0.693/CC8</f>
        <v>4.3312499999999997E-4</v>
      </c>
      <c r="CE7" s="83" t="s">
        <v>22</v>
      </c>
      <c r="CF7" s="137">
        <f>0.693/CF8</f>
        <v>4.3312499999999997E-4</v>
      </c>
      <c r="CH7" s="83" t="s">
        <v>22</v>
      </c>
      <c r="CI7" s="137">
        <f>0.693/CI8</f>
        <v>4.3312499999999997E-4</v>
      </c>
      <c r="CK7" s="52" t="s">
        <v>140</v>
      </c>
      <c r="CL7" s="138">
        <f>B113</f>
        <v>55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B18</f>
        <v>3.8043873993229303E-2</v>
      </c>
      <c r="CV7" s="84" t="s">
        <v>259</v>
      </c>
      <c r="CW7" s="91" t="s">
        <v>231</v>
      </c>
      <c r="CX7" s="136">
        <f>B30</f>
        <v>1600</v>
      </c>
      <c r="CY7" s="52" t="s">
        <v>60</v>
      </c>
      <c r="CZ7" s="84" t="s">
        <v>247</v>
      </c>
      <c r="DA7" s="139">
        <f>B18</f>
        <v>3.8043873993229303E-2</v>
      </c>
      <c r="DB7" s="84" t="s">
        <v>259</v>
      </c>
      <c r="DC7" s="83" t="s">
        <v>260</v>
      </c>
      <c r="DD7" s="166">
        <f>((DD5)/(DD6*(DD8+DD11)*DD19))/DD22</f>
        <v>1.3354837250174358E-3</v>
      </c>
      <c r="DE7" s="92" t="s">
        <v>290</v>
      </c>
      <c r="DF7" s="52" t="s">
        <v>31</v>
      </c>
      <c r="DG7" s="137">
        <f>(DG8*DG9*DG15*DG21*((1-EXP(-DG16*DG17))))/(DG18*DG16)</f>
        <v>3.6423470278489711</v>
      </c>
      <c r="DH7" s="52" t="s">
        <v>18</v>
      </c>
      <c r="DI7" s="83" t="s">
        <v>32</v>
      </c>
      <c r="DJ7" s="136">
        <f>B43</f>
        <v>1.4800000000000001E-2</v>
      </c>
      <c r="DL7" s="83" t="s">
        <v>32</v>
      </c>
      <c r="DM7" s="136">
        <f>B43</f>
        <v>1.4800000000000001E-2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(DS5/(DS6*DS8*DS15))/DS19</f>
        <v>2.6709674500348716E-3</v>
      </c>
      <c r="DT7" s="52" t="s">
        <v>290</v>
      </c>
      <c r="DV7" s="138"/>
      <c r="DX7" s="83" t="s">
        <v>33</v>
      </c>
      <c r="DY7" s="136">
        <f>B44</f>
        <v>1.7000000000000001E-2</v>
      </c>
      <c r="EA7" s="83" t="s">
        <v>33</v>
      </c>
      <c r="EB7" s="136">
        <f>B44</f>
        <v>1.7000000000000001E-2</v>
      </c>
      <c r="EC7" s="84"/>
      <c r="ED7" s="83" t="s">
        <v>33</v>
      </c>
      <c r="EE7" s="136">
        <f>B44</f>
        <v>1.7000000000000001E-2</v>
      </c>
      <c r="EF7" s="84"/>
      <c r="EG7" s="83" t="s">
        <v>260</v>
      </c>
      <c r="EH7" s="168">
        <f>(EH5/(EH6*EH8*EH15))/EH19</f>
        <v>2.6709674500348716E-3</v>
      </c>
      <c r="EI7" s="52" t="s">
        <v>290</v>
      </c>
      <c r="EM7" s="83" t="s">
        <v>33</v>
      </c>
      <c r="EN7" s="136">
        <f>B44</f>
        <v>1.7000000000000001E-2</v>
      </c>
      <c r="EP7" s="83" t="s">
        <v>33</v>
      </c>
      <c r="EQ7" s="136">
        <f>B44</f>
        <v>1.7000000000000001E-2</v>
      </c>
      <c r="ER7" s="84"/>
      <c r="ES7" s="83" t="s">
        <v>33</v>
      </c>
      <c r="ET7" s="136">
        <f>B44</f>
        <v>1.7000000000000001E-2</v>
      </c>
      <c r="EU7" s="84"/>
      <c r="EV7" s="83" t="s">
        <v>260</v>
      </c>
      <c r="EW7" s="168">
        <f>(EW5/(EW6*EW8*EW15))/EW19</f>
        <v>2.6709674500348716E-3</v>
      </c>
      <c r="EX7" s="52" t="s">
        <v>290</v>
      </c>
      <c r="EY7" s="83"/>
      <c r="EZ7" s="142">
        <v>1000</v>
      </c>
      <c r="FA7" s="83" t="s">
        <v>132</v>
      </c>
      <c r="FB7" s="83" t="s">
        <v>33</v>
      </c>
      <c r="FC7" s="161">
        <f>B44</f>
        <v>1.7000000000000001E-2</v>
      </c>
      <c r="FD7" s="83"/>
      <c r="FE7" s="83" t="s">
        <v>33</v>
      </c>
      <c r="FF7" s="161">
        <f>B44</f>
        <v>1.7000000000000001E-2</v>
      </c>
      <c r="FG7" s="83"/>
      <c r="FH7" s="83" t="s">
        <v>33</v>
      </c>
      <c r="FI7" s="161">
        <f>B44</f>
        <v>1.7000000000000001E-2</v>
      </c>
      <c r="FJ7" s="84"/>
      <c r="FK7" s="83" t="s">
        <v>260</v>
      </c>
      <c r="FL7" s="168">
        <f>(FL5/(FL6*FL8*FL15))/FL19</f>
        <v>2.6709674500348716E-3</v>
      </c>
      <c r="FM7" s="52" t="s">
        <v>290</v>
      </c>
      <c r="FN7" s="83"/>
      <c r="FO7" s="138"/>
      <c r="FQ7" s="52" t="s">
        <v>350</v>
      </c>
      <c r="FR7" s="164">
        <f>B168</f>
        <v>1</v>
      </c>
      <c r="FT7" s="83"/>
      <c r="FU7" s="142"/>
      <c r="FV7" s="83"/>
      <c r="FX7" s="138"/>
      <c r="FZ7" s="83" t="s">
        <v>260</v>
      </c>
      <c r="GA7" s="168">
        <f>(GA5/(GA6*GA8*GA15))/GA19</f>
        <v>2.6709674500348716E-3</v>
      </c>
      <c r="GB7" s="52" t="s">
        <v>290</v>
      </c>
      <c r="GC7" s="83"/>
      <c r="GD7" s="142">
        <v>1000</v>
      </c>
      <c r="GE7" s="83" t="s">
        <v>132</v>
      </c>
      <c r="GF7" s="83" t="s">
        <v>33</v>
      </c>
      <c r="GG7" s="161">
        <f>B44</f>
        <v>1.7000000000000001E-2</v>
      </c>
      <c r="GH7" s="83"/>
      <c r="GI7" s="83" t="s">
        <v>33</v>
      </c>
      <c r="GJ7" s="161">
        <f>B44</f>
        <v>1.7000000000000001E-2</v>
      </c>
      <c r="GK7" s="83"/>
      <c r="GL7" s="83" t="s">
        <v>33</v>
      </c>
      <c r="GM7" s="161">
        <f>B44</f>
        <v>1.7000000000000001E-2</v>
      </c>
      <c r="GN7" s="84"/>
      <c r="GO7" s="83" t="s">
        <v>260</v>
      </c>
      <c r="GP7" s="168">
        <f>(GP5/(GP6*GP8*GP14))/GP18</f>
        <v>2.6709674500348716E-3</v>
      </c>
      <c r="GQ7" s="52" t="s">
        <v>290</v>
      </c>
      <c r="GR7" s="88"/>
      <c r="GS7" s="142">
        <v>1000</v>
      </c>
      <c r="GT7" s="83" t="s">
        <v>132</v>
      </c>
      <c r="GU7" s="83" t="s">
        <v>33</v>
      </c>
      <c r="GV7" s="161">
        <f>B44</f>
        <v>1.7000000000000001E-2</v>
      </c>
      <c r="GW7" s="83"/>
      <c r="GX7" s="83" t="s">
        <v>33</v>
      </c>
      <c r="GY7" s="161">
        <f>B44</f>
        <v>1.7000000000000001E-2</v>
      </c>
      <c r="GZ7" s="83"/>
      <c r="HA7" s="83" t="s">
        <v>33</v>
      </c>
      <c r="HB7" s="161">
        <f>B44</f>
        <v>1.7000000000000001E-2</v>
      </c>
      <c r="HC7" s="84"/>
      <c r="HD7" s="83" t="s">
        <v>22</v>
      </c>
      <c r="HE7" s="137">
        <f>0.693/HE9</f>
        <v>4.3312499999999997E-4</v>
      </c>
    </row>
    <row r="8" spans="1:214" x14ac:dyDescent="0.2">
      <c r="A8" s="116" t="s">
        <v>340</v>
      </c>
      <c r="B8" s="229">
        <v>6.8599999999999994E-2</v>
      </c>
      <c r="C8" s="232"/>
      <c r="D8" s="52" t="s">
        <v>382</v>
      </c>
      <c r="E8" s="138">
        <f>B68</f>
        <v>150</v>
      </c>
      <c r="F8" s="52" t="s">
        <v>24</v>
      </c>
      <c r="G8" s="91" t="s">
        <v>257</v>
      </c>
      <c r="H8" s="136">
        <f>B28</f>
        <v>33.437199999999997</v>
      </c>
      <c r="I8" s="84" t="s">
        <v>259</v>
      </c>
      <c r="J8" s="83" t="s">
        <v>269</v>
      </c>
      <c r="K8" s="136">
        <f>B22</f>
        <v>10.423439999999999</v>
      </c>
      <c r="L8" s="83" t="s">
        <v>351</v>
      </c>
      <c r="M8" s="91" t="s">
        <v>231</v>
      </c>
      <c r="N8" s="136">
        <f>B30</f>
        <v>1600</v>
      </c>
      <c r="O8" s="52" t="s">
        <v>60</v>
      </c>
      <c r="P8" s="91" t="s">
        <v>231</v>
      </c>
      <c r="Q8" s="136">
        <f>B30</f>
        <v>1600</v>
      </c>
      <c r="R8" s="52" t="s">
        <v>60</v>
      </c>
      <c r="S8" s="91" t="s">
        <v>231</v>
      </c>
      <c r="T8" s="136">
        <f>B30</f>
        <v>1600</v>
      </c>
      <c r="U8" s="52" t="s">
        <v>60</v>
      </c>
      <c r="V8" s="91" t="s">
        <v>231</v>
      </c>
      <c r="W8" s="136">
        <f>B30</f>
        <v>1600</v>
      </c>
      <c r="X8" s="52" t="s">
        <v>60</v>
      </c>
      <c r="Y8" s="91" t="s">
        <v>231</v>
      </c>
      <c r="Z8" s="136">
        <f>B30</f>
        <v>1600</v>
      </c>
      <c r="AA8" s="52" t="s">
        <v>60</v>
      </c>
      <c r="AB8" s="83" t="s">
        <v>249</v>
      </c>
      <c r="AC8" s="136">
        <f>B21</f>
        <v>1.036E-3</v>
      </c>
      <c r="AD8" s="136">
        <f>B21</f>
        <v>1.036E-3</v>
      </c>
      <c r="AE8" s="136">
        <f>B21</f>
        <v>1.036E-3</v>
      </c>
      <c r="AF8" s="136">
        <f>B21</f>
        <v>1.036E-3</v>
      </c>
      <c r="AG8" s="136">
        <f>B21</f>
        <v>1.036E-3</v>
      </c>
      <c r="AH8" s="83" t="s">
        <v>259</v>
      </c>
      <c r="AI8" s="91" t="s">
        <v>231</v>
      </c>
      <c r="AJ8" s="136">
        <f>B30</f>
        <v>1600</v>
      </c>
      <c r="AK8" s="52" t="s">
        <v>60</v>
      </c>
      <c r="AL8" s="91" t="s">
        <v>231</v>
      </c>
      <c r="AM8" s="136">
        <f>B30</f>
        <v>1600</v>
      </c>
      <c r="AN8" s="52" t="s">
        <v>60</v>
      </c>
      <c r="AO8" s="91" t="s">
        <v>231</v>
      </c>
      <c r="AP8" s="136">
        <f>B30</f>
        <v>1600</v>
      </c>
      <c r="AQ8" s="52" t="s">
        <v>60</v>
      </c>
      <c r="AR8" s="91" t="s">
        <v>231</v>
      </c>
      <c r="AS8" s="136">
        <f>B30</f>
        <v>1600</v>
      </c>
      <c r="AT8" s="52" t="s">
        <v>60</v>
      </c>
      <c r="AU8" s="91" t="s">
        <v>231</v>
      </c>
      <c r="AV8" s="136">
        <f>B30</f>
        <v>1600</v>
      </c>
      <c r="AW8" s="52" t="s">
        <v>60</v>
      </c>
      <c r="AX8" s="91" t="s">
        <v>231</v>
      </c>
      <c r="AY8" s="136">
        <f>B30</f>
        <v>1600</v>
      </c>
      <c r="AZ8" s="52" t="s">
        <v>60</v>
      </c>
      <c r="BA8" s="91" t="s">
        <v>231</v>
      </c>
      <c r="BB8" s="136">
        <f>B30</f>
        <v>1600</v>
      </c>
      <c r="BC8" s="52" t="s">
        <v>60</v>
      </c>
      <c r="BD8" s="91" t="s">
        <v>231</v>
      </c>
      <c r="BE8" s="136">
        <f>B30</f>
        <v>1600</v>
      </c>
      <c r="BF8" s="52" t="s">
        <v>60</v>
      </c>
      <c r="BG8" s="91" t="s">
        <v>231</v>
      </c>
      <c r="BH8" s="136">
        <f>B30</f>
        <v>1600</v>
      </c>
      <c r="BI8" s="52" t="s">
        <v>60</v>
      </c>
      <c r="BJ8" s="91" t="s">
        <v>231</v>
      </c>
      <c r="BK8" s="136">
        <f>B30</f>
        <v>1600</v>
      </c>
      <c r="BL8" s="52" t="s">
        <v>60</v>
      </c>
      <c r="BM8" s="91" t="s">
        <v>231</v>
      </c>
      <c r="BN8" s="136">
        <f>B30</f>
        <v>1600</v>
      </c>
      <c r="BO8" s="52" t="s">
        <v>60</v>
      </c>
      <c r="BP8" s="91" t="s">
        <v>231</v>
      </c>
      <c r="BQ8" s="136">
        <f>B30</f>
        <v>1600</v>
      </c>
      <c r="BR8" s="52" t="s">
        <v>60</v>
      </c>
      <c r="BS8" s="52" t="s">
        <v>140</v>
      </c>
      <c r="BT8" s="138">
        <f>B113</f>
        <v>55</v>
      </c>
      <c r="BU8" s="52" t="s">
        <v>24</v>
      </c>
      <c r="BV8" s="91" t="s">
        <v>257</v>
      </c>
      <c r="BW8" s="136">
        <f>B28</f>
        <v>33.437199999999997</v>
      </c>
      <c r="BX8" s="84" t="s">
        <v>259</v>
      </c>
      <c r="BY8" s="83" t="s">
        <v>269</v>
      </c>
      <c r="BZ8" s="136">
        <f>B22</f>
        <v>10.423439999999999</v>
      </c>
      <c r="CA8" s="83" t="s">
        <v>351</v>
      </c>
      <c r="CB8" s="91" t="s">
        <v>231</v>
      </c>
      <c r="CC8" s="136">
        <f>B30</f>
        <v>1600</v>
      </c>
      <c r="CD8" s="52" t="s">
        <v>60</v>
      </c>
      <c r="CE8" s="91" t="s">
        <v>231</v>
      </c>
      <c r="CF8" s="136">
        <f>B30</f>
        <v>1600</v>
      </c>
      <c r="CG8" s="52" t="s">
        <v>60</v>
      </c>
      <c r="CH8" s="91" t="s">
        <v>231</v>
      </c>
      <c r="CI8" s="136">
        <f>B30</f>
        <v>1600</v>
      </c>
      <c r="CJ8" s="52" t="s">
        <v>60</v>
      </c>
      <c r="CK8" s="52" t="s">
        <v>159</v>
      </c>
      <c r="CL8" s="162">
        <f>B128</f>
        <v>3</v>
      </c>
      <c r="CM8" s="52" t="s">
        <v>221</v>
      </c>
      <c r="CN8" s="84" t="s">
        <v>33</v>
      </c>
      <c r="CO8" s="136">
        <f>B44</f>
        <v>1.7000000000000001E-2</v>
      </c>
      <c r="CT8" s="83" t="s">
        <v>269</v>
      </c>
      <c r="CU8" s="136">
        <f>B22</f>
        <v>10.423439999999999</v>
      </c>
      <c r="CV8" s="83" t="s">
        <v>351</v>
      </c>
      <c r="CW8" s="52" t="s">
        <v>362</v>
      </c>
      <c r="CX8" s="138">
        <f>B167</f>
        <v>150</v>
      </c>
      <c r="CY8" s="52" t="s">
        <v>24</v>
      </c>
      <c r="CZ8" s="83" t="s">
        <v>270</v>
      </c>
      <c r="DA8" s="165">
        <f>B28</f>
        <v>33.437199999999997</v>
      </c>
      <c r="DB8" s="83" t="s">
        <v>259</v>
      </c>
      <c r="DC8" s="83" t="s">
        <v>516</v>
      </c>
      <c r="DD8" s="149">
        <f>(DD9*DD15*DD20)+(DD10*DD14*DD21)</f>
        <v>8250</v>
      </c>
      <c r="DE8" s="92" t="s">
        <v>347</v>
      </c>
      <c r="DF8" s="83" t="s">
        <v>36</v>
      </c>
      <c r="DG8" s="138">
        <f>B189</f>
        <v>3.62</v>
      </c>
      <c r="DH8" s="52" t="s">
        <v>37</v>
      </c>
      <c r="DI8" s="83" t="s">
        <v>393</v>
      </c>
      <c r="DJ8" s="138">
        <f>B47</f>
        <v>0.26</v>
      </c>
      <c r="DL8" s="83" t="s">
        <v>393</v>
      </c>
      <c r="DM8" s="138">
        <f>B47</f>
        <v>0.26</v>
      </c>
      <c r="DO8" s="83" t="s">
        <v>36</v>
      </c>
      <c r="DP8" s="138">
        <f>B189</f>
        <v>3.62</v>
      </c>
      <c r="DQ8" s="52" t="s">
        <v>37</v>
      </c>
      <c r="DR8" s="83" t="s">
        <v>147</v>
      </c>
      <c r="DS8" s="149">
        <f>(DS11*DS9*DS17)+(DS12*DS10*DS18)</f>
        <v>8250</v>
      </c>
      <c r="DT8" s="92" t="s">
        <v>347</v>
      </c>
      <c r="DU8" s="52" t="s">
        <v>518</v>
      </c>
      <c r="DV8" s="146">
        <f>B200</f>
        <v>1.03</v>
      </c>
      <c r="DW8" s="52" t="s">
        <v>286</v>
      </c>
      <c r="DX8" s="83" t="s">
        <v>392</v>
      </c>
      <c r="DY8" s="138">
        <f>B48</f>
        <v>0.25</v>
      </c>
      <c r="EA8" s="83" t="s">
        <v>392</v>
      </c>
      <c r="EB8" s="138">
        <f>B48</f>
        <v>0.25</v>
      </c>
      <c r="EC8" s="84"/>
      <c r="ED8" s="83" t="s">
        <v>392</v>
      </c>
      <c r="EE8" s="138">
        <f>B48</f>
        <v>0.25</v>
      </c>
      <c r="EF8" s="84"/>
      <c r="EG8" s="83" t="s">
        <v>519</v>
      </c>
      <c r="EH8" s="149">
        <f>(EH11*EH9*EH17)+(EH12*EH10*EH18)</f>
        <v>8250</v>
      </c>
      <c r="EI8" s="92" t="s">
        <v>347</v>
      </c>
      <c r="EJ8" s="83"/>
      <c r="EM8" s="83" t="s">
        <v>392</v>
      </c>
      <c r="EN8" s="138">
        <f>B48</f>
        <v>0.25</v>
      </c>
      <c r="EP8" s="83" t="s">
        <v>392</v>
      </c>
      <c r="EQ8" s="138">
        <f>B48</f>
        <v>0.25</v>
      </c>
      <c r="ER8" s="84"/>
      <c r="ES8" s="83" t="s">
        <v>392</v>
      </c>
      <c r="ET8" s="138">
        <f>B48</f>
        <v>0.25</v>
      </c>
      <c r="EU8" s="84"/>
      <c r="EV8" s="83" t="s">
        <v>520</v>
      </c>
      <c r="EW8" s="149">
        <f>(EW11*EW9*EW17)+(EW12*EW10*EW18)</f>
        <v>8250</v>
      </c>
      <c r="EX8" s="92" t="s">
        <v>347</v>
      </c>
      <c r="EY8" s="83"/>
      <c r="EZ8" s="142"/>
      <c r="FA8" s="83"/>
      <c r="FB8" s="83" t="s">
        <v>392</v>
      </c>
      <c r="FC8" s="142">
        <f>B48</f>
        <v>0.25</v>
      </c>
      <c r="FD8" s="83"/>
      <c r="FE8" s="83" t="s">
        <v>392</v>
      </c>
      <c r="FF8" s="142">
        <f>B48</f>
        <v>0.25</v>
      </c>
      <c r="FG8" s="83"/>
      <c r="FH8" s="83" t="s">
        <v>392</v>
      </c>
      <c r="FI8" s="142">
        <f>B48</f>
        <v>0.25</v>
      </c>
      <c r="FJ8" s="84"/>
      <c r="FK8" s="83" t="s">
        <v>521</v>
      </c>
      <c r="FL8" s="173">
        <f>(FL9*FL11*FL17)+(FL10*FL12*FL18)</f>
        <v>8250</v>
      </c>
      <c r="FM8" s="92" t="s">
        <v>347</v>
      </c>
      <c r="FN8" s="83"/>
      <c r="FO8" s="142"/>
      <c r="FP8" s="83"/>
      <c r="FQ8" s="83" t="s">
        <v>22</v>
      </c>
      <c r="FR8" s="137">
        <f>0.693/FR9</f>
        <v>4.3312499999999997E-4</v>
      </c>
      <c r="FT8" s="83"/>
      <c r="FU8" s="142"/>
      <c r="FV8" s="83"/>
      <c r="FZ8" s="83" t="s">
        <v>522</v>
      </c>
      <c r="GA8" s="173">
        <f>(GA11*GA9*GA17)+(GA10*GA12*GA18)</f>
        <v>8250</v>
      </c>
      <c r="GB8" s="92" t="s">
        <v>347</v>
      </c>
      <c r="GC8" s="83"/>
      <c r="GD8" s="142"/>
      <c r="GE8" s="83"/>
      <c r="GF8" s="83" t="s">
        <v>392</v>
      </c>
      <c r="GG8" s="142">
        <f>B48</f>
        <v>0.25</v>
      </c>
      <c r="GH8" s="83"/>
      <c r="GI8" s="83" t="s">
        <v>392</v>
      </c>
      <c r="GJ8" s="142">
        <f>B48</f>
        <v>0.25</v>
      </c>
      <c r="GK8" s="83"/>
      <c r="GL8" s="83" t="s">
        <v>392</v>
      </c>
      <c r="GM8" s="142">
        <f>B48</f>
        <v>0.25</v>
      </c>
      <c r="GN8" s="84"/>
      <c r="GO8" s="83" t="s">
        <v>523</v>
      </c>
      <c r="GP8" s="149">
        <f>(GP9*GP11*GP16)+(GP10*GP12*GP17)</f>
        <v>8250</v>
      </c>
      <c r="GQ8" s="92" t="s">
        <v>347</v>
      </c>
      <c r="GR8" s="83"/>
      <c r="GS8" s="142"/>
      <c r="GT8" s="83"/>
      <c r="GU8" s="83" t="s">
        <v>392</v>
      </c>
      <c r="GV8" s="142">
        <f>B48</f>
        <v>0.25</v>
      </c>
      <c r="GW8" s="83"/>
      <c r="GX8" s="83" t="s">
        <v>392</v>
      </c>
      <c r="GY8" s="142">
        <f>B48</f>
        <v>0.25</v>
      </c>
      <c r="GZ8" s="83"/>
      <c r="HA8" s="83" t="s">
        <v>392</v>
      </c>
      <c r="HB8" s="142">
        <f>B48</f>
        <v>0.25</v>
      </c>
      <c r="HC8" s="84"/>
      <c r="HD8" s="52" t="s">
        <v>16</v>
      </c>
      <c r="HE8" s="137">
        <f>1-EXP(-HE7*HE12)</f>
        <v>4.3303121490789742E-4</v>
      </c>
    </row>
    <row r="9" spans="1:214" x14ac:dyDescent="0.2">
      <c r="A9" s="116" t="s">
        <v>243</v>
      </c>
      <c r="B9" s="229">
        <v>0.73699999999999999</v>
      </c>
      <c r="C9" s="232"/>
      <c r="D9" s="52" t="s">
        <v>379</v>
      </c>
      <c r="E9" s="138">
        <f>B65</f>
        <v>1</v>
      </c>
      <c r="F9" s="52" t="s">
        <v>146</v>
      </c>
      <c r="G9" s="83" t="s">
        <v>258</v>
      </c>
      <c r="H9" s="136">
        <f>B29</f>
        <v>1.67911012348351E-3</v>
      </c>
      <c r="I9" s="92" t="s">
        <v>259</v>
      </c>
      <c r="J9" s="83" t="s">
        <v>258</v>
      </c>
      <c r="K9" s="136">
        <f>B29</f>
        <v>1.67911012348351E-3</v>
      </c>
      <c r="L9" s="92" t="s">
        <v>259</v>
      </c>
      <c r="M9" s="52" t="s">
        <v>382</v>
      </c>
      <c r="N9" s="138">
        <f>B68</f>
        <v>150</v>
      </c>
      <c r="O9" s="52" t="s">
        <v>24</v>
      </c>
      <c r="P9" s="52" t="s">
        <v>382</v>
      </c>
      <c r="Q9" s="138">
        <f>B68</f>
        <v>150</v>
      </c>
      <c r="R9" s="52" t="s">
        <v>24</v>
      </c>
      <c r="S9" s="52" t="s">
        <v>382</v>
      </c>
      <c r="T9" s="138">
        <f>B68</f>
        <v>150</v>
      </c>
      <c r="U9" s="52" t="s">
        <v>24</v>
      </c>
      <c r="V9" s="52" t="s">
        <v>423</v>
      </c>
      <c r="W9" s="138">
        <f>B247</f>
        <v>125</v>
      </c>
      <c r="X9" s="52" t="s">
        <v>24</v>
      </c>
      <c r="Y9" s="52" t="s">
        <v>316</v>
      </c>
      <c r="Z9" s="138">
        <f>B227</f>
        <v>125</v>
      </c>
      <c r="AA9" s="52" t="s">
        <v>24</v>
      </c>
      <c r="AB9" s="83" t="s">
        <v>34</v>
      </c>
      <c r="AC9" s="146">
        <f>B228</f>
        <v>1</v>
      </c>
      <c r="AD9" s="146">
        <f>B238</f>
        <v>1</v>
      </c>
      <c r="AE9" s="146">
        <f>B248</f>
        <v>1</v>
      </c>
      <c r="AF9" s="146">
        <f>B258</f>
        <v>1</v>
      </c>
      <c r="AG9" s="146">
        <f>B270</f>
        <v>1</v>
      </c>
      <c r="AH9" s="83" t="s">
        <v>60</v>
      </c>
      <c r="AI9" s="52" t="s">
        <v>35</v>
      </c>
      <c r="AJ9" s="138">
        <f>B237</f>
        <v>125</v>
      </c>
      <c r="AK9" s="52" t="s">
        <v>24</v>
      </c>
      <c r="AL9" s="52" t="s">
        <v>35</v>
      </c>
      <c r="AM9" s="138">
        <f>B237</f>
        <v>125</v>
      </c>
      <c r="AN9" s="52" t="s">
        <v>24</v>
      </c>
      <c r="AO9" s="52" t="s">
        <v>35</v>
      </c>
      <c r="AP9" s="138">
        <f>B237</f>
        <v>125</v>
      </c>
      <c r="AQ9" s="52" t="s">
        <v>24</v>
      </c>
      <c r="AR9" s="52" t="s">
        <v>423</v>
      </c>
      <c r="AS9" s="138">
        <f>B247</f>
        <v>125</v>
      </c>
      <c r="AT9" s="52" t="s">
        <v>24</v>
      </c>
      <c r="AU9" s="52" t="s">
        <v>423</v>
      </c>
      <c r="AV9" s="138">
        <f>B247</f>
        <v>125</v>
      </c>
      <c r="AW9" s="52" t="s">
        <v>24</v>
      </c>
      <c r="AX9" s="52" t="s">
        <v>423</v>
      </c>
      <c r="AY9" s="138">
        <f>B247</f>
        <v>125</v>
      </c>
      <c r="AZ9" s="52" t="s">
        <v>24</v>
      </c>
      <c r="BA9" s="52" t="s">
        <v>316</v>
      </c>
      <c r="BB9" s="138">
        <f>B227</f>
        <v>125</v>
      </c>
      <c r="BC9" s="52" t="s">
        <v>24</v>
      </c>
      <c r="BD9" s="52" t="s">
        <v>316</v>
      </c>
      <c r="BE9" s="138">
        <f>B227</f>
        <v>125</v>
      </c>
      <c r="BF9" s="52" t="s">
        <v>24</v>
      </c>
      <c r="BG9" s="52" t="s">
        <v>316</v>
      </c>
      <c r="BH9" s="138">
        <f>B227</f>
        <v>125</v>
      </c>
      <c r="BI9" s="52" t="s">
        <v>24</v>
      </c>
      <c r="BJ9" s="52" t="s">
        <v>191</v>
      </c>
      <c r="BK9" s="138">
        <f>BK10*BK11</f>
        <v>75</v>
      </c>
      <c r="BL9" s="52" t="s">
        <v>24</v>
      </c>
      <c r="BM9" s="52" t="s">
        <v>191</v>
      </c>
      <c r="BN9" s="138">
        <f>BN10*BN11</f>
        <v>75</v>
      </c>
      <c r="BO9" s="52" t="s">
        <v>24</v>
      </c>
      <c r="BP9" s="52" t="s">
        <v>191</v>
      </c>
      <c r="BQ9" s="138">
        <f>BQ10*BQ11</f>
        <v>75</v>
      </c>
      <c r="BR9" s="52" t="s">
        <v>24</v>
      </c>
      <c r="BS9" s="52" t="s">
        <v>247</v>
      </c>
      <c r="BT9" s="139">
        <f>E11</f>
        <v>3.8043873993229303E-2</v>
      </c>
      <c r="BU9" s="84" t="s">
        <v>259</v>
      </c>
      <c r="BV9" s="83" t="s">
        <v>258</v>
      </c>
      <c r="BW9" s="136">
        <f>B29</f>
        <v>1.67911012348351E-3</v>
      </c>
      <c r="BX9" s="92" t="s">
        <v>259</v>
      </c>
      <c r="BY9" s="83" t="s">
        <v>77</v>
      </c>
      <c r="BZ9" s="136">
        <f>B31</f>
        <v>1359344473.5814338</v>
      </c>
      <c r="CA9" s="83" t="s">
        <v>78</v>
      </c>
      <c r="CB9" s="52" t="s">
        <v>140</v>
      </c>
      <c r="CC9" s="138">
        <f>B113</f>
        <v>55</v>
      </c>
      <c r="CD9" s="52" t="s">
        <v>24</v>
      </c>
      <c r="CE9" s="52" t="s">
        <v>140</v>
      </c>
      <c r="CF9" s="138">
        <f>B113</f>
        <v>55</v>
      </c>
      <c r="CG9" s="52" t="s">
        <v>24</v>
      </c>
      <c r="CH9" s="52" t="s">
        <v>140</v>
      </c>
      <c r="CI9" s="138">
        <f>B113</f>
        <v>55</v>
      </c>
      <c r="CJ9" s="52" t="s">
        <v>24</v>
      </c>
      <c r="CK9" s="95" t="s">
        <v>287</v>
      </c>
      <c r="CL9" s="176">
        <v>27.027027027027</v>
      </c>
      <c r="CM9" s="52" t="s">
        <v>288</v>
      </c>
      <c r="CN9" s="84" t="s">
        <v>392</v>
      </c>
      <c r="CO9" s="162">
        <f>B48</f>
        <v>0.25</v>
      </c>
      <c r="CT9" s="83" t="s">
        <v>258</v>
      </c>
      <c r="CU9" s="136">
        <f>B29</f>
        <v>1.67911012348351E-3</v>
      </c>
      <c r="CV9" s="92" t="s">
        <v>259</v>
      </c>
      <c r="CW9" s="52" t="s">
        <v>363</v>
      </c>
      <c r="CX9" s="138">
        <f>B168</f>
        <v>1</v>
      </c>
      <c r="CY9" s="52" t="s">
        <v>146</v>
      </c>
      <c r="CZ9" s="83" t="s">
        <v>258</v>
      </c>
      <c r="DA9" s="136">
        <f>B29</f>
        <v>1.67911012348351E-3</v>
      </c>
      <c r="DB9" s="84" t="s">
        <v>259</v>
      </c>
      <c r="DC9" s="83" t="s">
        <v>513</v>
      </c>
      <c r="DD9" s="146">
        <f>B149</f>
        <v>55</v>
      </c>
      <c r="DE9" s="92" t="s">
        <v>221</v>
      </c>
      <c r="DF9" s="83" t="s">
        <v>40</v>
      </c>
      <c r="DG9" s="138">
        <f>B190</f>
        <v>0.25</v>
      </c>
      <c r="DH9" s="52" t="s">
        <v>41</v>
      </c>
      <c r="DI9" s="52" t="s">
        <v>350</v>
      </c>
      <c r="DJ9" s="164">
        <f>B168</f>
        <v>1</v>
      </c>
      <c r="DL9" s="83"/>
      <c r="DM9" s="138"/>
      <c r="DO9" s="83" t="s">
        <v>40</v>
      </c>
      <c r="DP9" s="138">
        <f>B190</f>
        <v>0.25</v>
      </c>
      <c r="DQ9" s="52" t="s">
        <v>41</v>
      </c>
      <c r="DR9" s="83" t="s">
        <v>452</v>
      </c>
      <c r="DS9" s="146">
        <f>B151</f>
        <v>55</v>
      </c>
      <c r="DT9" s="92" t="s">
        <v>221</v>
      </c>
      <c r="DU9" s="83"/>
      <c r="DX9" s="83" t="s">
        <v>517</v>
      </c>
      <c r="DY9" s="136">
        <f>B36</f>
        <v>3.8000000000000002E-4</v>
      </c>
      <c r="DZ9" s="52" t="s">
        <v>601</v>
      </c>
      <c r="EA9" s="83" t="s">
        <v>517</v>
      </c>
      <c r="EB9" s="136">
        <f>B36</f>
        <v>3.8000000000000002E-4</v>
      </c>
      <c r="EC9" s="52" t="s">
        <v>601</v>
      </c>
      <c r="ED9" s="83" t="s">
        <v>517</v>
      </c>
      <c r="EE9" s="136">
        <f>B36</f>
        <v>3.8000000000000002E-4</v>
      </c>
      <c r="EF9" s="52" t="s">
        <v>601</v>
      </c>
      <c r="EG9" s="83" t="s">
        <v>453</v>
      </c>
      <c r="EH9" s="170">
        <f>B153</f>
        <v>55</v>
      </c>
      <c r="EI9" s="92" t="s">
        <v>221</v>
      </c>
      <c r="EJ9" s="83"/>
      <c r="EM9" s="83" t="s">
        <v>236</v>
      </c>
      <c r="EN9" s="136">
        <f>B37</f>
        <v>1.6999999999999999E-3</v>
      </c>
      <c r="EO9" s="52" t="s">
        <v>388</v>
      </c>
      <c r="EP9" s="83" t="s">
        <v>236</v>
      </c>
      <c r="EQ9" s="169">
        <f>B37</f>
        <v>1.6999999999999999E-3</v>
      </c>
      <c r="ER9" s="52" t="s">
        <v>388</v>
      </c>
      <c r="ES9" s="83" t="s">
        <v>236</v>
      </c>
      <c r="ET9" s="169">
        <f>B37</f>
        <v>1.6999999999999999E-3</v>
      </c>
      <c r="EU9" s="52" t="s">
        <v>388</v>
      </c>
      <c r="EV9" s="83" t="s">
        <v>454</v>
      </c>
      <c r="EW9" s="171">
        <f>B155</f>
        <v>55</v>
      </c>
      <c r="EX9" s="92" t="s">
        <v>221</v>
      </c>
      <c r="EY9" s="83"/>
      <c r="EZ9" s="142"/>
      <c r="FA9" s="83"/>
      <c r="FB9" s="83" t="s">
        <v>171</v>
      </c>
      <c r="FC9" s="169">
        <f>B39</f>
        <v>0</v>
      </c>
      <c r="FD9" s="52" t="s">
        <v>388</v>
      </c>
      <c r="FE9" s="83" t="s">
        <v>171</v>
      </c>
      <c r="FF9" s="169">
        <f>B39</f>
        <v>0</v>
      </c>
      <c r="FG9" s="52" t="s">
        <v>388</v>
      </c>
      <c r="FH9" s="83" t="s">
        <v>171</v>
      </c>
      <c r="FI9" s="169">
        <f>B39</f>
        <v>0</v>
      </c>
      <c r="FJ9" s="52" t="s">
        <v>388</v>
      </c>
      <c r="FK9" s="83" t="s">
        <v>471</v>
      </c>
      <c r="FL9" s="150">
        <f>B157</f>
        <v>55</v>
      </c>
      <c r="FM9" s="92" t="s">
        <v>221</v>
      </c>
      <c r="FN9" s="83"/>
      <c r="FO9" s="83"/>
      <c r="FP9" s="83"/>
      <c r="FQ9" s="91" t="s">
        <v>231</v>
      </c>
      <c r="FR9" s="136">
        <f>B30</f>
        <v>1600</v>
      </c>
      <c r="FS9" s="52" t="s">
        <v>60</v>
      </c>
      <c r="FT9" s="83"/>
      <c r="FU9" s="164"/>
      <c r="FV9" s="83"/>
      <c r="FW9" s="83"/>
      <c r="FX9" s="93"/>
      <c r="FY9" s="83"/>
      <c r="FZ9" s="83" t="s">
        <v>473</v>
      </c>
      <c r="GA9" s="174">
        <f>B159</f>
        <v>55</v>
      </c>
      <c r="GB9" s="92" t="s">
        <v>221</v>
      </c>
      <c r="GC9" s="83"/>
      <c r="GD9" s="142"/>
      <c r="GE9" s="83"/>
      <c r="GF9" s="83" t="s">
        <v>237</v>
      </c>
      <c r="GG9" s="169">
        <f>B38</f>
        <v>0</v>
      </c>
      <c r="GH9" s="52" t="s">
        <v>388</v>
      </c>
      <c r="GI9" s="83" t="s">
        <v>237</v>
      </c>
      <c r="GJ9" s="169">
        <f>B38</f>
        <v>0</v>
      </c>
      <c r="GK9" s="52" t="s">
        <v>388</v>
      </c>
      <c r="GL9" s="83" t="s">
        <v>237</v>
      </c>
      <c r="GM9" s="169">
        <f>B38</f>
        <v>0</v>
      </c>
      <c r="GN9" s="52" t="s">
        <v>388</v>
      </c>
      <c r="GO9" s="83" t="s">
        <v>455</v>
      </c>
      <c r="GP9" s="150">
        <f>B161</f>
        <v>55</v>
      </c>
      <c r="GQ9" s="92" t="s">
        <v>221</v>
      </c>
      <c r="GR9" s="83"/>
      <c r="GS9" s="142"/>
      <c r="GT9" s="83"/>
      <c r="GU9" s="83" t="s">
        <v>238</v>
      </c>
      <c r="GV9" s="169">
        <f>B40</f>
        <v>0</v>
      </c>
      <c r="GW9" s="52" t="s">
        <v>388</v>
      </c>
      <c r="GX9" s="83" t="s">
        <v>238</v>
      </c>
      <c r="GY9" s="169">
        <f>B40</f>
        <v>0</v>
      </c>
      <c r="GZ9" s="52" t="s">
        <v>388</v>
      </c>
      <c r="HA9" s="83" t="s">
        <v>238</v>
      </c>
      <c r="HB9" s="169">
        <f>B40</f>
        <v>0</v>
      </c>
      <c r="HC9" s="52" t="s">
        <v>388</v>
      </c>
      <c r="HD9" s="91" t="s">
        <v>231</v>
      </c>
      <c r="HE9" s="136">
        <f>B30</f>
        <v>1600</v>
      </c>
      <c r="HF9" s="52" t="s">
        <v>60</v>
      </c>
    </row>
    <row r="10" spans="1:214" x14ac:dyDescent="0.2">
      <c r="A10" s="116" t="s">
        <v>341</v>
      </c>
      <c r="B10" s="229">
        <v>0.10100000000000001</v>
      </c>
      <c r="C10" s="232"/>
      <c r="D10" s="52" t="s">
        <v>92</v>
      </c>
      <c r="E10" s="138">
        <f>E9</f>
        <v>1</v>
      </c>
      <c r="G10" s="83" t="s">
        <v>260</v>
      </c>
      <c r="H10" s="143">
        <f>(H5/(H6*H15))/H70</f>
        <v>0.1211572863933344</v>
      </c>
      <c r="I10" s="92" t="s">
        <v>291</v>
      </c>
      <c r="J10" s="83" t="s">
        <v>77</v>
      </c>
      <c r="K10" s="136">
        <f>B31</f>
        <v>1359344473.5814338</v>
      </c>
      <c r="L10" s="83" t="s">
        <v>78</v>
      </c>
      <c r="M10" s="52" t="s">
        <v>379</v>
      </c>
      <c r="N10" s="138">
        <f>B65</f>
        <v>1</v>
      </c>
      <c r="O10" s="52" t="s">
        <v>146</v>
      </c>
      <c r="P10" s="52" t="s">
        <v>379</v>
      </c>
      <c r="Q10" s="138">
        <f>B65</f>
        <v>1</v>
      </c>
      <c r="R10" s="52" t="s">
        <v>146</v>
      </c>
      <c r="S10" s="52" t="s">
        <v>379</v>
      </c>
      <c r="T10" s="138">
        <f>B65</f>
        <v>1</v>
      </c>
      <c r="U10" s="52" t="s">
        <v>146</v>
      </c>
      <c r="V10" s="52" t="s">
        <v>424</v>
      </c>
      <c r="W10" s="138">
        <f>B248</f>
        <v>1</v>
      </c>
      <c r="X10" s="52" t="s">
        <v>146</v>
      </c>
      <c r="Y10" s="52" t="s">
        <v>422</v>
      </c>
      <c r="Z10" s="138">
        <f>B228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B265</f>
        <v>3</v>
      </c>
      <c r="AG10" s="146">
        <f>B276</f>
        <v>3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B238</f>
        <v>1</v>
      </c>
      <c r="AN10" s="52" t="s">
        <v>146</v>
      </c>
      <c r="AO10" s="52" t="s">
        <v>420</v>
      </c>
      <c r="AP10" s="138">
        <f>B238</f>
        <v>1</v>
      </c>
      <c r="AQ10" s="52" t="s">
        <v>146</v>
      </c>
      <c r="AR10" s="52" t="s">
        <v>424</v>
      </c>
      <c r="AS10" s="138">
        <f>B248</f>
        <v>1</v>
      </c>
      <c r="AT10" s="52" t="s">
        <v>146</v>
      </c>
      <c r="AU10" s="52" t="s">
        <v>424</v>
      </c>
      <c r="AV10" s="138">
        <f>B248</f>
        <v>1</v>
      </c>
      <c r="AW10" s="52" t="s">
        <v>146</v>
      </c>
      <c r="AX10" s="52" t="s">
        <v>424</v>
      </c>
      <c r="AY10" s="138">
        <f>B248</f>
        <v>1</v>
      </c>
      <c r="AZ10" s="52" t="s">
        <v>146</v>
      </c>
      <c r="BA10" s="52" t="s">
        <v>422</v>
      </c>
      <c r="BB10" s="138">
        <f>B228</f>
        <v>1</v>
      </c>
      <c r="BC10" s="52" t="s">
        <v>146</v>
      </c>
      <c r="BD10" s="52" t="s">
        <v>422</v>
      </c>
      <c r="BE10" s="138">
        <f>B228</f>
        <v>1</v>
      </c>
      <c r="BF10" s="52" t="s">
        <v>146</v>
      </c>
      <c r="BG10" s="52" t="s">
        <v>422</v>
      </c>
      <c r="BH10" s="138">
        <f>B228</f>
        <v>1</v>
      </c>
      <c r="BI10" s="52" t="s">
        <v>146</v>
      </c>
      <c r="BJ10" s="52" t="s">
        <v>220</v>
      </c>
      <c r="BK10" s="138">
        <f>B266</f>
        <v>25</v>
      </c>
      <c r="BL10" s="52" t="s">
        <v>113</v>
      </c>
      <c r="BM10" s="52" t="s">
        <v>220</v>
      </c>
      <c r="BN10" s="138">
        <f>B266</f>
        <v>25</v>
      </c>
      <c r="BO10" s="52" t="s">
        <v>113</v>
      </c>
      <c r="BP10" s="52" t="s">
        <v>220</v>
      </c>
      <c r="BQ10" s="138">
        <f>B266</f>
        <v>25</v>
      </c>
      <c r="BR10" s="52" t="s">
        <v>113</v>
      </c>
      <c r="BS10" s="83" t="s">
        <v>428</v>
      </c>
      <c r="BT10" s="149">
        <f>(BT22*BT13*(1/24)*BT11*BT25)+(BT23*BT14*(1/24)*BT12*BT26)</f>
        <v>101.40624999999999</v>
      </c>
      <c r="BU10" s="52" t="s">
        <v>426</v>
      </c>
      <c r="BV10" s="83" t="s">
        <v>260</v>
      </c>
      <c r="BW10" s="143">
        <f>(BW5/(BW6*BW13))/BW32</f>
        <v>8.0129023501046143E-3</v>
      </c>
      <c r="BX10" s="92" t="s">
        <v>291</v>
      </c>
      <c r="BY10" s="84" t="s">
        <v>16</v>
      </c>
      <c r="BZ10" s="137">
        <f>(BZ30*BZ11)/(1-EXP(-BZ11*BZ30))</f>
        <v>1.0002165781331087</v>
      </c>
      <c r="CB10" s="52" t="s">
        <v>51</v>
      </c>
      <c r="CC10" s="138">
        <f>B127</f>
        <v>1</v>
      </c>
      <c r="CD10" s="52" t="s">
        <v>146</v>
      </c>
      <c r="CE10" s="52" t="s">
        <v>51</v>
      </c>
      <c r="CF10" s="138">
        <f>B127</f>
        <v>1</v>
      </c>
      <c r="CG10" s="52" t="s">
        <v>146</v>
      </c>
      <c r="CH10" s="52" t="s">
        <v>51</v>
      </c>
      <c r="CI10" s="138">
        <f>B127</f>
        <v>1</v>
      </c>
      <c r="CJ10" s="52" t="s">
        <v>146</v>
      </c>
      <c r="CN10" s="84" t="s">
        <v>164</v>
      </c>
      <c r="CO10" s="162">
        <f>B129</f>
        <v>2</v>
      </c>
      <c r="CP10" s="52" t="s">
        <v>246</v>
      </c>
      <c r="CT10" s="83" t="s">
        <v>77</v>
      </c>
      <c r="CU10" s="136">
        <f>B31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1.0002165781331087</v>
      </c>
      <c r="DC10" s="83" t="s">
        <v>514</v>
      </c>
      <c r="DD10" s="146">
        <f>B150</f>
        <v>55</v>
      </c>
      <c r="DE10" s="92" t="s">
        <v>221</v>
      </c>
      <c r="DF10" s="92" t="s">
        <v>32</v>
      </c>
      <c r="DG10" s="136">
        <f>B43</f>
        <v>1.4800000000000001E-2</v>
      </c>
      <c r="DI10" s="83" t="s">
        <v>22</v>
      </c>
      <c r="DJ10" s="137">
        <f>0.693/DJ11</f>
        <v>4.3312499999999997E-4</v>
      </c>
      <c r="DL10" s="92"/>
      <c r="DO10" s="92" t="s">
        <v>32</v>
      </c>
      <c r="DP10" s="136">
        <f>B43</f>
        <v>1.4800000000000001E-2</v>
      </c>
      <c r="DR10" s="83" t="s">
        <v>461</v>
      </c>
      <c r="DS10" s="146">
        <f>B152</f>
        <v>55</v>
      </c>
      <c r="DT10" s="92" t="s">
        <v>221</v>
      </c>
      <c r="DU10" s="92"/>
      <c r="DX10" s="83" t="s">
        <v>498</v>
      </c>
      <c r="DY10" s="138">
        <f>B201</f>
        <v>20.3</v>
      </c>
      <c r="DZ10" s="52" t="s">
        <v>246</v>
      </c>
      <c r="EA10" s="83" t="s">
        <v>498</v>
      </c>
      <c r="EB10" s="138">
        <f>B201</f>
        <v>20.3</v>
      </c>
      <c r="EC10" s="52" t="s">
        <v>246</v>
      </c>
      <c r="ED10" s="83" t="s">
        <v>498</v>
      </c>
      <c r="EE10" s="138">
        <f>B201</f>
        <v>20.3</v>
      </c>
      <c r="EF10" s="52" t="s">
        <v>246</v>
      </c>
      <c r="EG10" s="83" t="s">
        <v>462</v>
      </c>
      <c r="EH10" s="170">
        <f>B154</f>
        <v>55</v>
      </c>
      <c r="EI10" s="92" t="s">
        <v>221</v>
      </c>
      <c r="EJ10" s="92"/>
      <c r="EM10" s="83" t="s">
        <v>494</v>
      </c>
      <c r="EN10" s="138">
        <f>B206</f>
        <v>11.77</v>
      </c>
      <c r="EO10" s="52" t="s">
        <v>246</v>
      </c>
      <c r="EP10" s="83" t="s">
        <v>494</v>
      </c>
      <c r="EQ10" s="138">
        <f>B206</f>
        <v>11.77</v>
      </c>
      <c r="ER10" s="52" t="s">
        <v>246</v>
      </c>
      <c r="ES10" s="83" t="s">
        <v>494</v>
      </c>
      <c r="ET10" s="138">
        <f>B206</f>
        <v>11.77</v>
      </c>
      <c r="EU10" s="52" t="s">
        <v>246</v>
      </c>
      <c r="EV10" s="83" t="s">
        <v>463</v>
      </c>
      <c r="EW10" s="170">
        <f>B156</f>
        <v>55</v>
      </c>
      <c r="EX10" s="92" t="s">
        <v>221</v>
      </c>
      <c r="EY10" s="83"/>
      <c r="EZ10" s="142"/>
      <c r="FA10" s="83"/>
      <c r="FB10" s="83" t="s">
        <v>152</v>
      </c>
      <c r="FC10" s="142">
        <f>B211</f>
        <v>0.2</v>
      </c>
      <c r="FD10" s="52" t="s">
        <v>246</v>
      </c>
      <c r="FE10" s="83" t="s">
        <v>152</v>
      </c>
      <c r="FF10" s="142">
        <f>B211</f>
        <v>0.2</v>
      </c>
      <c r="FG10" s="52" t="s">
        <v>246</v>
      </c>
      <c r="FH10" s="83" t="s">
        <v>152</v>
      </c>
      <c r="FI10" s="142">
        <f>B211</f>
        <v>0.2</v>
      </c>
      <c r="FJ10" s="52" t="s">
        <v>246</v>
      </c>
      <c r="FK10" s="83" t="s">
        <v>472</v>
      </c>
      <c r="FL10" s="150">
        <f>B158</f>
        <v>55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1.0002165781331087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B160</f>
        <v>55</v>
      </c>
      <c r="GB10" s="92" t="s">
        <v>221</v>
      </c>
      <c r="GC10" s="83"/>
      <c r="GD10" s="83"/>
      <c r="GE10" s="83"/>
      <c r="GF10" s="83" t="s">
        <v>486</v>
      </c>
      <c r="GG10" s="142">
        <f>B216</f>
        <v>0.2</v>
      </c>
      <c r="GH10" s="52" t="s">
        <v>246</v>
      </c>
      <c r="GI10" s="83" t="s">
        <v>486</v>
      </c>
      <c r="GJ10" s="142">
        <f>B216</f>
        <v>0.2</v>
      </c>
      <c r="GK10" s="52" t="s">
        <v>246</v>
      </c>
      <c r="GL10" s="83" t="s">
        <v>486</v>
      </c>
      <c r="GM10" s="142">
        <f>B216</f>
        <v>0.2</v>
      </c>
      <c r="GN10" s="52" t="s">
        <v>246</v>
      </c>
      <c r="GO10" s="83" t="s">
        <v>464</v>
      </c>
      <c r="GP10" s="150">
        <f>B162</f>
        <v>55</v>
      </c>
      <c r="GQ10" s="92" t="s">
        <v>221</v>
      </c>
      <c r="GR10" s="83"/>
      <c r="GS10" s="83"/>
      <c r="GT10" s="83"/>
      <c r="GU10" s="83" t="s">
        <v>490</v>
      </c>
      <c r="GV10" s="142">
        <f>B221</f>
        <v>4.7</v>
      </c>
      <c r="GW10" s="52" t="s">
        <v>246</v>
      </c>
      <c r="GX10" s="83" t="s">
        <v>490</v>
      </c>
      <c r="GY10" s="142">
        <f>B221</f>
        <v>4.7</v>
      </c>
      <c r="GZ10" s="52" t="s">
        <v>246</v>
      </c>
      <c r="HA10" s="83" t="s">
        <v>490</v>
      </c>
      <c r="HB10" s="142">
        <f>B221</f>
        <v>4.7</v>
      </c>
      <c r="HC10" s="52" t="s">
        <v>246</v>
      </c>
      <c r="HD10" s="84" t="s">
        <v>38</v>
      </c>
      <c r="HE10" s="163">
        <f>B93</f>
        <v>0.3</v>
      </c>
    </row>
    <row r="11" spans="1:214" x14ac:dyDescent="0.2">
      <c r="A11" s="116" t="s">
        <v>244</v>
      </c>
      <c r="B11" s="229">
        <v>0.751</v>
      </c>
      <c r="C11" s="232"/>
      <c r="D11" s="52" t="s">
        <v>247</v>
      </c>
      <c r="E11" s="139">
        <f>B18</f>
        <v>3.8043873993229303E-2</v>
      </c>
      <c r="F11" s="84" t="s">
        <v>259</v>
      </c>
      <c r="G11" s="83" t="s">
        <v>261</v>
      </c>
      <c r="H11" s="144">
        <f>(H5/(H7*H16*H28))/H70</f>
        <v>1.4652524472826788E-3</v>
      </c>
      <c r="I11" s="92" t="s">
        <v>291</v>
      </c>
      <c r="J11" s="84" t="s">
        <v>16</v>
      </c>
      <c r="K11" s="137">
        <f>(K43*K12)/(1-EXP(-K12*K43))</f>
        <v>1.0002165781331087</v>
      </c>
      <c r="M11" s="52" t="s">
        <v>299</v>
      </c>
      <c r="N11" s="138">
        <f>B73</f>
        <v>1</v>
      </c>
      <c r="P11" s="52" t="s">
        <v>299</v>
      </c>
      <c r="Q11" s="138">
        <f>B73</f>
        <v>1</v>
      </c>
      <c r="S11" s="52" t="s">
        <v>299</v>
      </c>
      <c r="T11" s="138">
        <f>B73</f>
        <v>1</v>
      </c>
      <c r="V11" s="52" t="s">
        <v>247</v>
      </c>
      <c r="W11" s="139">
        <f>B18</f>
        <v>3.8043873993229303E-2</v>
      </c>
      <c r="X11" s="84" t="s">
        <v>39</v>
      </c>
      <c r="Y11" s="52" t="s">
        <v>247</v>
      </c>
      <c r="Z11" s="139">
        <f>B18</f>
        <v>3.8043873993229303E-2</v>
      </c>
      <c r="AA11" s="84" t="s">
        <v>39</v>
      </c>
      <c r="AB11" s="83" t="s">
        <v>220</v>
      </c>
      <c r="AC11" s="146"/>
      <c r="AD11" s="146"/>
      <c r="AE11" s="146"/>
      <c r="AF11" s="146">
        <f>B266</f>
        <v>25</v>
      </c>
      <c r="AG11" s="146">
        <f>B277</f>
        <v>25</v>
      </c>
      <c r="AH11" s="83" t="s">
        <v>113</v>
      </c>
      <c r="AI11" s="52" t="s">
        <v>299</v>
      </c>
      <c r="AJ11" s="138">
        <f>B241</f>
        <v>1</v>
      </c>
      <c r="AL11" s="52" t="s">
        <v>299</v>
      </c>
      <c r="AM11" s="138">
        <f>B241</f>
        <v>1</v>
      </c>
      <c r="AO11" s="52" t="s">
        <v>299</v>
      </c>
      <c r="AP11" s="138">
        <f>B241</f>
        <v>1</v>
      </c>
      <c r="AR11" s="52" t="s">
        <v>299</v>
      </c>
      <c r="AS11" s="138">
        <f>B251</f>
        <v>1</v>
      </c>
      <c r="AU11" s="52" t="s">
        <v>299</v>
      </c>
      <c r="AV11" s="138">
        <f>B251</f>
        <v>1</v>
      </c>
      <c r="AX11" s="52" t="s">
        <v>299</v>
      </c>
      <c r="AY11" s="138">
        <f>B251</f>
        <v>1</v>
      </c>
      <c r="BA11" s="52" t="s">
        <v>299</v>
      </c>
      <c r="BB11" s="138">
        <f>B231</f>
        <v>1</v>
      </c>
      <c r="BD11" s="52" t="s">
        <v>299</v>
      </c>
      <c r="BE11" s="138">
        <f>B231</f>
        <v>1</v>
      </c>
      <c r="BG11" s="52" t="s">
        <v>299</v>
      </c>
      <c r="BH11" s="138">
        <f>B231</f>
        <v>1</v>
      </c>
      <c r="BJ11" s="52" t="s">
        <v>219</v>
      </c>
      <c r="BK11" s="138">
        <f>B265</f>
        <v>3</v>
      </c>
      <c r="BL11" s="52" t="s">
        <v>112</v>
      </c>
      <c r="BM11" s="52" t="s">
        <v>219</v>
      </c>
      <c r="BN11" s="138">
        <f>B265</f>
        <v>3</v>
      </c>
      <c r="BO11" s="52" t="s">
        <v>112</v>
      </c>
      <c r="BP11" s="52" t="s">
        <v>219</v>
      </c>
      <c r="BQ11" s="138">
        <f>B265</f>
        <v>3</v>
      </c>
      <c r="BR11" s="52" t="s">
        <v>112</v>
      </c>
      <c r="BS11" s="83" t="s">
        <v>429</v>
      </c>
      <c r="BT11" s="141">
        <f>B103</f>
        <v>5</v>
      </c>
      <c r="BU11" s="92" t="s">
        <v>407</v>
      </c>
      <c r="BV11" s="83" t="s">
        <v>261</v>
      </c>
      <c r="BW11" s="159"/>
      <c r="BX11" s="92" t="s">
        <v>291</v>
      </c>
      <c r="BY11" s="83" t="s">
        <v>22</v>
      </c>
      <c r="BZ11" s="137">
        <f>0.693/BZ12</f>
        <v>4.3312499999999997E-4</v>
      </c>
      <c r="CB11" s="52" t="s">
        <v>300</v>
      </c>
      <c r="CC11" s="136">
        <f>B3</f>
        <v>0.124</v>
      </c>
      <c r="CE11" s="52" t="s">
        <v>300</v>
      </c>
      <c r="CF11" s="136">
        <f>B6</f>
        <v>5.8099999999999999E-2</v>
      </c>
      <c r="CH11" s="52" t="s">
        <v>300</v>
      </c>
      <c r="CI11" s="136">
        <f>B10</f>
        <v>0.10100000000000001</v>
      </c>
      <c r="CN11" s="84" t="s">
        <v>161</v>
      </c>
      <c r="CO11" s="162">
        <f>B130</f>
        <v>2</v>
      </c>
      <c r="CP11" s="52" t="s">
        <v>246</v>
      </c>
      <c r="CT11" s="84" t="s">
        <v>16</v>
      </c>
      <c r="CU11" s="137">
        <f>(CU43*CU12)/(1-EXP(-CU12*CU43))</f>
        <v>1.0002165781331087</v>
      </c>
      <c r="CW11" s="52" t="s">
        <v>247</v>
      </c>
      <c r="CX11" s="139">
        <f>B18</f>
        <v>3.8043873993229303E-2</v>
      </c>
      <c r="CY11" s="84" t="s">
        <v>259</v>
      </c>
      <c r="CZ11" s="83" t="s">
        <v>22</v>
      </c>
      <c r="DA11" s="137">
        <f>0.693/DA12</f>
        <v>4.3312499999999997E-4</v>
      </c>
      <c r="DC11" s="83" t="s">
        <v>515</v>
      </c>
      <c r="DD11" s="149">
        <f>(DD12*DD15*DD20)+(DD13*DD14*DD21)</f>
        <v>8250</v>
      </c>
      <c r="DE11" s="92" t="s">
        <v>347</v>
      </c>
      <c r="DF11" s="92" t="s">
        <v>49</v>
      </c>
      <c r="DG11" s="137">
        <f>DG19+DG20</f>
        <v>2.8186643835616437E-5</v>
      </c>
      <c r="DI11" s="91" t="s">
        <v>231</v>
      </c>
      <c r="DJ11" s="136">
        <f>B30</f>
        <v>1600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B166</f>
        <v>150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B166</f>
        <v>150</v>
      </c>
      <c r="EI11" s="83" t="s">
        <v>24</v>
      </c>
      <c r="EJ11" s="92"/>
      <c r="EM11" s="83" t="s">
        <v>495</v>
      </c>
      <c r="EN11" s="138">
        <f>B207</f>
        <v>0.5</v>
      </c>
      <c r="EO11" s="52" t="s">
        <v>246</v>
      </c>
      <c r="EP11" s="83" t="s">
        <v>495</v>
      </c>
      <c r="EQ11" s="138">
        <f>B207</f>
        <v>0.5</v>
      </c>
      <c r="ER11" s="52" t="s">
        <v>246</v>
      </c>
      <c r="ES11" s="83" t="s">
        <v>495</v>
      </c>
      <c r="ET11" s="138">
        <f>B207</f>
        <v>0.5</v>
      </c>
      <c r="EU11" s="52" t="s">
        <v>246</v>
      </c>
      <c r="EV11" s="83" t="s">
        <v>456</v>
      </c>
      <c r="EW11" s="150">
        <f>B166</f>
        <v>150</v>
      </c>
      <c r="EX11" s="83" t="s">
        <v>24</v>
      </c>
      <c r="EY11" s="83"/>
      <c r="EZ11" s="83"/>
      <c r="FA11" s="83"/>
      <c r="FB11" s="83" t="s">
        <v>151</v>
      </c>
      <c r="FC11" s="142">
        <f>B212</f>
        <v>2.1999999999999999E-2</v>
      </c>
      <c r="FD11" s="52" t="s">
        <v>246</v>
      </c>
      <c r="FE11" s="83" t="s">
        <v>151</v>
      </c>
      <c r="FF11" s="142">
        <f>B212</f>
        <v>2.1999999999999999E-2</v>
      </c>
      <c r="FG11" s="52" t="s">
        <v>246</v>
      </c>
      <c r="FH11" s="83" t="s">
        <v>151</v>
      </c>
      <c r="FI11" s="142">
        <f>B212</f>
        <v>2.1999999999999999E-2</v>
      </c>
      <c r="FJ11" s="52" t="s">
        <v>246</v>
      </c>
      <c r="FK11" s="83" t="s">
        <v>456</v>
      </c>
      <c r="FL11" s="150">
        <f>B166</f>
        <v>150</v>
      </c>
      <c r="FM11" s="83" t="s">
        <v>24</v>
      </c>
      <c r="FN11" s="83"/>
      <c r="FO11" s="83"/>
      <c r="FP11" s="83"/>
      <c r="FQ11" s="88"/>
      <c r="FR11" s="169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B166</f>
        <v>150</v>
      </c>
      <c r="GB11" s="83" t="s">
        <v>24</v>
      </c>
      <c r="GC11" s="83"/>
      <c r="GD11" s="83"/>
      <c r="GE11" s="83"/>
      <c r="GF11" s="83" t="s">
        <v>487</v>
      </c>
      <c r="GG11" s="142">
        <f>B217</f>
        <v>2.1999999999999999E-2</v>
      </c>
      <c r="GH11" s="52" t="s">
        <v>246</v>
      </c>
      <c r="GI11" s="83" t="s">
        <v>487</v>
      </c>
      <c r="GJ11" s="142">
        <f>B217</f>
        <v>2.1999999999999999E-2</v>
      </c>
      <c r="GK11" s="52" t="s">
        <v>246</v>
      </c>
      <c r="GL11" s="83" t="s">
        <v>487</v>
      </c>
      <c r="GM11" s="142">
        <f>B217</f>
        <v>2.1999999999999999E-2</v>
      </c>
      <c r="GN11" s="52" t="s">
        <v>246</v>
      </c>
      <c r="GO11" s="83" t="s">
        <v>456</v>
      </c>
      <c r="GP11" s="150">
        <f>B166</f>
        <v>150</v>
      </c>
      <c r="GQ11" s="83" t="s">
        <v>24</v>
      </c>
      <c r="GR11" s="83"/>
      <c r="GS11" s="83"/>
      <c r="GT11" s="83"/>
      <c r="GU11" s="83" t="s">
        <v>491</v>
      </c>
      <c r="GV11" s="142">
        <f>B222</f>
        <v>0.37</v>
      </c>
      <c r="GW11" s="52" t="s">
        <v>246</v>
      </c>
      <c r="GX11" s="83" t="s">
        <v>491</v>
      </c>
      <c r="GY11" s="142">
        <f>B222</f>
        <v>0.37</v>
      </c>
      <c r="GZ11" s="52" t="s">
        <v>246</v>
      </c>
      <c r="HA11" s="83" t="s">
        <v>491</v>
      </c>
      <c r="HB11" s="142">
        <f>B222</f>
        <v>0.37</v>
      </c>
      <c r="HC11" s="52" t="s">
        <v>246</v>
      </c>
      <c r="HD11" s="84" t="s">
        <v>42</v>
      </c>
      <c r="HE11" s="150">
        <f>B94</f>
        <v>1.5</v>
      </c>
    </row>
    <row r="12" spans="1:214" x14ac:dyDescent="0.2">
      <c r="A12" s="116" t="s">
        <v>342</v>
      </c>
      <c r="B12" s="229">
        <v>3.44E-2</v>
      </c>
      <c r="C12" s="232"/>
      <c r="D12" s="83" t="s">
        <v>43</v>
      </c>
      <c r="E12" s="140">
        <f>((E15/E16)*E23*E13*E25)+((E15/E16)*E24*E14*E26)</f>
        <v>1327.5</v>
      </c>
      <c r="F12" s="52" t="s">
        <v>426</v>
      </c>
      <c r="G12" s="83" t="s">
        <v>266</v>
      </c>
      <c r="H12" s="144">
        <f>(H5/(H8*(1/H43)*H21))/H70</f>
        <v>2.0353586099729013E-2</v>
      </c>
      <c r="I12" s="92" t="s">
        <v>291</v>
      </c>
      <c r="J12" s="83" t="s">
        <v>22</v>
      </c>
      <c r="K12" s="137">
        <f>0.693/K13</f>
        <v>4.3312499999999997E-4</v>
      </c>
      <c r="M12" s="52" t="s">
        <v>300</v>
      </c>
      <c r="N12" s="136">
        <f>B3</f>
        <v>0.124</v>
      </c>
      <c r="P12" s="52" t="s">
        <v>300</v>
      </c>
      <c r="Q12" s="136">
        <f>B6</f>
        <v>5.8099999999999999E-2</v>
      </c>
      <c r="S12" s="52" t="s">
        <v>300</v>
      </c>
      <c r="T12" s="136">
        <f>B10</f>
        <v>0.10100000000000001</v>
      </c>
      <c r="V12" s="52" t="s">
        <v>44</v>
      </c>
      <c r="W12" s="150">
        <f>B252</f>
        <v>5</v>
      </c>
      <c r="X12" s="84" t="s">
        <v>194</v>
      </c>
      <c r="Y12" s="52" t="s">
        <v>44</v>
      </c>
      <c r="Z12" s="150">
        <f>B233</f>
        <v>5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B262</f>
        <v>5</v>
      </c>
      <c r="AG12" s="150">
        <f>B273</f>
        <v>5</v>
      </c>
      <c r="AH12" s="83" t="s">
        <v>194</v>
      </c>
      <c r="AI12" s="52" t="s">
        <v>300</v>
      </c>
      <c r="AJ12" s="136">
        <f>B3</f>
        <v>0.124</v>
      </c>
      <c r="AL12" s="52" t="s">
        <v>300</v>
      </c>
      <c r="AM12" s="136">
        <f>B6</f>
        <v>5.8099999999999999E-2</v>
      </c>
      <c r="AO12" s="52" t="s">
        <v>300</v>
      </c>
      <c r="AP12" s="136">
        <f>B10</f>
        <v>0.10100000000000001</v>
      </c>
      <c r="AR12" s="52" t="s">
        <v>300</v>
      </c>
      <c r="AS12" s="136">
        <f>B3</f>
        <v>0.124</v>
      </c>
      <c r="AU12" s="52" t="s">
        <v>300</v>
      </c>
      <c r="AV12" s="136">
        <f>B6</f>
        <v>5.8099999999999999E-2</v>
      </c>
      <c r="AX12" s="52" t="s">
        <v>300</v>
      </c>
      <c r="AY12" s="136">
        <f>B10</f>
        <v>0.10100000000000001</v>
      </c>
      <c r="BA12" s="52" t="s">
        <v>300</v>
      </c>
      <c r="BB12" s="136">
        <f>B3</f>
        <v>0.124</v>
      </c>
      <c r="BD12" s="52" t="s">
        <v>300</v>
      </c>
      <c r="BE12" s="136">
        <f>B6</f>
        <v>5.8099999999999999E-2</v>
      </c>
      <c r="BG12" s="52" t="s">
        <v>300</v>
      </c>
      <c r="BH12" s="136">
        <f>B10</f>
        <v>0.10100000000000001</v>
      </c>
      <c r="BJ12" s="52" t="s">
        <v>158</v>
      </c>
      <c r="BK12" s="138">
        <f>B258</f>
        <v>1</v>
      </c>
      <c r="BL12" s="52" t="s">
        <v>146</v>
      </c>
      <c r="BM12" s="52" t="s">
        <v>158</v>
      </c>
      <c r="BN12" s="138">
        <f>B258</f>
        <v>1</v>
      </c>
      <c r="BO12" s="52" t="s">
        <v>146</v>
      </c>
      <c r="BP12" s="52" t="s">
        <v>158</v>
      </c>
      <c r="BQ12" s="138">
        <f>B258</f>
        <v>1</v>
      </c>
      <c r="BR12" s="52" t="s">
        <v>146</v>
      </c>
      <c r="BS12" s="83" t="s">
        <v>430</v>
      </c>
      <c r="BT12" s="141">
        <f>B104</f>
        <v>10</v>
      </c>
      <c r="BU12" s="92" t="s">
        <v>407</v>
      </c>
      <c r="BV12" s="83" t="s">
        <v>266</v>
      </c>
      <c r="BW12" s="145">
        <f>(BW5/(BW8*(1/BW29)*BW16))/BW32</f>
        <v>7.0497420945425044E-3</v>
      </c>
      <c r="BX12" s="92" t="s">
        <v>291</v>
      </c>
      <c r="BY12" s="91" t="s">
        <v>231</v>
      </c>
      <c r="BZ12" s="136">
        <f>B30</f>
        <v>1600</v>
      </c>
      <c r="CA12" s="52" t="s">
        <v>60</v>
      </c>
      <c r="CB12" s="52" t="s">
        <v>413</v>
      </c>
      <c r="CC12" s="136">
        <f>B4</f>
        <v>0.79200000000000004</v>
      </c>
      <c r="CE12" s="52" t="s">
        <v>414</v>
      </c>
      <c r="CF12" s="136">
        <f>B7</f>
        <v>0.624</v>
      </c>
      <c r="CH12" s="52" t="s">
        <v>416</v>
      </c>
      <c r="CI12" s="136">
        <f>B11</f>
        <v>0.751</v>
      </c>
      <c r="CN12" s="84" t="s">
        <v>162</v>
      </c>
      <c r="CO12" s="162">
        <f>B131</f>
        <v>2</v>
      </c>
      <c r="CP12" s="52" t="s">
        <v>41</v>
      </c>
      <c r="CT12" s="83" t="s">
        <v>22</v>
      </c>
      <c r="CU12" s="137">
        <f>0.693/CU13</f>
        <v>4.3312499999999997E-4</v>
      </c>
      <c r="CW12" s="83" t="s">
        <v>506</v>
      </c>
      <c r="CX12" s="140">
        <f>((CX16/24)*CX23*CX13*CX25)+((CX15/24)*CX24*CX14*CX26)</f>
        <v>1387.5</v>
      </c>
      <c r="CY12" s="52" t="s">
        <v>426</v>
      </c>
      <c r="CZ12" s="91" t="s">
        <v>231</v>
      </c>
      <c r="DA12" s="136">
        <f>B30</f>
        <v>1600</v>
      </c>
      <c r="DB12" s="52" t="s">
        <v>60</v>
      </c>
      <c r="DC12" s="83" t="s">
        <v>467</v>
      </c>
      <c r="DD12" s="146">
        <f>B147</f>
        <v>55</v>
      </c>
      <c r="DE12" s="92" t="s">
        <v>221</v>
      </c>
      <c r="DF12" s="92" t="s">
        <v>52</v>
      </c>
      <c r="DG12" s="138">
        <f>B191</f>
        <v>10950</v>
      </c>
      <c r="DH12" s="52" t="s">
        <v>53</v>
      </c>
      <c r="DI12" s="84" t="s">
        <v>16</v>
      </c>
      <c r="DJ12" s="137">
        <f>(DJ9*DJ10)/(1-EXP(-DJ10*DJ9))</f>
        <v>1.0002165781331087</v>
      </c>
      <c r="DL12" s="92"/>
      <c r="DO12" s="92" t="s">
        <v>52</v>
      </c>
      <c r="DP12" s="138">
        <f>B191</f>
        <v>10950</v>
      </c>
      <c r="DQ12" s="52" t="s">
        <v>53</v>
      </c>
      <c r="DR12" s="83" t="s">
        <v>465</v>
      </c>
      <c r="DS12" s="150">
        <f>B166</f>
        <v>150</v>
      </c>
      <c r="DT12" s="83" t="s">
        <v>24</v>
      </c>
      <c r="DU12" s="92"/>
      <c r="DX12" s="83" t="s">
        <v>500</v>
      </c>
      <c r="DY12" s="138">
        <f>B203</f>
        <v>1</v>
      </c>
      <c r="EA12" s="83" t="s">
        <v>500</v>
      </c>
      <c r="EB12" s="138">
        <f>B203</f>
        <v>1</v>
      </c>
      <c r="EC12" s="84"/>
      <c r="ED12" s="83" t="s">
        <v>500</v>
      </c>
      <c r="EE12" s="138">
        <f>B203</f>
        <v>1</v>
      </c>
      <c r="EF12" s="84"/>
      <c r="EG12" s="83" t="s">
        <v>465</v>
      </c>
      <c r="EH12" s="150">
        <f>B166</f>
        <v>150</v>
      </c>
      <c r="EI12" s="83" t="s">
        <v>24</v>
      </c>
      <c r="EJ12" s="92"/>
      <c r="EM12" s="83" t="s">
        <v>496</v>
      </c>
      <c r="EN12" s="138">
        <f>B208</f>
        <v>1</v>
      </c>
      <c r="EP12" s="83" t="s">
        <v>496</v>
      </c>
      <c r="EQ12" s="138">
        <f>B208</f>
        <v>1</v>
      </c>
      <c r="ER12" s="84"/>
      <c r="ES12" s="83" t="s">
        <v>496</v>
      </c>
      <c r="ET12" s="138">
        <f>B208</f>
        <v>1</v>
      </c>
      <c r="EU12" s="84"/>
      <c r="EV12" s="83" t="s">
        <v>465</v>
      </c>
      <c r="EW12" s="150">
        <f>B166</f>
        <v>150</v>
      </c>
      <c r="EX12" s="83" t="s">
        <v>24</v>
      </c>
      <c r="EY12" s="83"/>
      <c r="EZ12" s="83"/>
      <c r="FA12" s="83"/>
      <c r="FB12" s="83" t="s">
        <v>153</v>
      </c>
      <c r="FC12" s="164">
        <f>B213</f>
        <v>1</v>
      </c>
      <c r="FD12" s="83"/>
      <c r="FE12" s="83" t="s">
        <v>153</v>
      </c>
      <c r="FF12" s="164">
        <f>B213</f>
        <v>1</v>
      </c>
      <c r="FG12" s="83"/>
      <c r="FH12" s="83" t="s">
        <v>153</v>
      </c>
      <c r="FI12" s="164">
        <f>B213</f>
        <v>1</v>
      </c>
      <c r="FJ12" s="84"/>
      <c r="FK12" s="83" t="s">
        <v>465</v>
      </c>
      <c r="FL12" s="150">
        <f>B166</f>
        <v>150</v>
      </c>
      <c r="FM12" s="83" t="s">
        <v>24</v>
      </c>
      <c r="FN12" s="83"/>
      <c r="FO12" s="83"/>
      <c r="FP12" s="83"/>
      <c r="FQ12" s="88"/>
      <c r="FR12" s="227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B166</f>
        <v>150</v>
      </c>
      <c r="GB12" s="83" t="s">
        <v>24</v>
      </c>
      <c r="GC12" s="83"/>
      <c r="GD12" s="83"/>
      <c r="GE12" s="83"/>
      <c r="GF12" s="83" t="s">
        <v>488</v>
      </c>
      <c r="GG12" s="142">
        <f>B218</f>
        <v>1</v>
      </c>
      <c r="GH12" s="83"/>
      <c r="GI12" s="83" t="s">
        <v>488</v>
      </c>
      <c r="GJ12" s="142">
        <f>B218</f>
        <v>1</v>
      </c>
      <c r="GK12" s="83"/>
      <c r="GL12" s="83" t="s">
        <v>488</v>
      </c>
      <c r="GM12" s="142">
        <f>B218</f>
        <v>1</v>
      </c>
      <c r="GN12" s="84"/>
      <c r="GO12" s="83" t="s">
        <v>465</v>
      </c>
      <c r="GP12" s="150">
        <f>B166</f>
        <v>150</v>
      </c>
      <c r="GQ12" s="83" t="s">
        <v>24</v>
      </c>
      <c r="GR12" s="83"/>
      <c r="GS12" s="83"/>
      <c r="GT12" s="83"/>
      <c r="GU12" s="83" t="s">
        <v>492</v>
      </c>
      <c r="GV12" s="142">
        <f>B223</f>
        <v>1</v>
      </c>
      <c r="GW12" s="83"/>
      <c r="GX12" s="83" t="s">
        <v>492</v>
      </c>
      <c r="GY12" s="142">
        <f>B223</f>
        <v>1</v>
      </c>
      <c r="GZ12" s="83"/>
      <c r="HA12" s="83" t="s">
        <v>492</v>
      </c>
      <c r="HB12" s="142">
        <f>B223</f>
        <v>1</v>
      </c>
      <c r="HC12" s="84"/>
      <c r="HD12" s="84" t="s">
        <v>47</v>
      </c>
      <c r="HE12" s="163">
        <v>1</v>
      </c>
    </row>
    <row r="13" spans="1:214" ht="13.5" customHeight="1" thickBot="1" x14ac:dyDescent="0.25">
      <c r="A13" s="118" t="s">
        <v>245</v>
      </c>
      <c r="B13" s="230">
        <v>3.44E-2</v>
      </c>
      <c r="C13" s="233"/>
      <c r="D13" s="83" t="s">
        <v>366</v>
      </c>
      <c r="E13" s="141">
        <f>B50</f>
        <v>5</v>
      </c>
      <c r="F13" s="92" t="s">
        <v>407</v>
      </c>
      <c r="G13" s="83" t="s">
        <v>263</v>
      </c>
      <c r="H13" s="144">
        <f>(H14/((1/H40)*(H48+H49+H50)))/H70</f>
        <v>1.4744576663142881E-2</v>
      </c>
      <c r="I13" s="92" t="s">
        <v>291</v>
      </c>
      <c r="J13" s="91" t="s">
        <v>231</v>
      </c>
      <c r="K13" s="136">
        <f>B30</f>
        <v>1600</v>
      </c>
      <c r="L13" s="52" t="s">
        <v>60</v>
      </c>
      <c r="M13" s="52" t="s">
        <v>54</v>
      </c>
      <c r="N13" s="136">
        <f>B4</f>
        <v>0.79200000000000004</v>
      </c>
      <c r="P13" s="52" t="s">
        <v>54</v>
      </c>
      <c r="Q13" s="136">
        <f>B7</f>
        <v>0.624</v>
      </c>
      <c r="S13" s="52" t="s">
        <v>54</v>
      </c>
      <c r="T13" s="136">
        <f>B11</f>
        <v>0.751</v>
      </c>
      <c r="V13" s="52" t="s">
        <v>50</v>
      </c>
      <c r="W13" s="146">
        <f>B246</f>
        <v>50</v>
      </c>
      <c r="X13" s="84" t="s">
        <v>407</v>
      </c>
      <c r="Y13" s="52" t="s">
        <v>50</v>
      </c>
      <c r="Z13" s="146">
        <f>B226</f>
        <v>50</v>
      </c>
      <c r="AA13" s="84" t="s">
        <v>407</v>
      </c>
      <c r="AB13" s="83" t="s">
        <v>349</v>
      </c>
      <c r="AC13" s="146">
        <f>B229</f>
        <v>50</v>
      </c>
      <c r="AD13" s="146">
        <f>B239</f>
        <v>50</v>
      </c>
      <c r="AE13" s="146">
        <f>B249</f>
        <v>50</v>
      </c>
      <c r="AF13" s="146">
        <f>B259</f>
        <v>200</v>
      </c>
      <c r="AG13" s="146">
        <f>B271</f>
        <v>200</v>
      </c>
      <c r="AH13" s="52" t="s">
        <v>48</v>
      </c>
      <c r="AI13" s="52" t="s">
        <v>54</v>
      </c>
      <c r="AJ13" s="136">
        <f>B4</f>
        <v>0.79200000000000004</v>
      </c>
      <c r="AL13" s="52" t="s">
        <v>54</v>
      </c>
      <c r="AM13" s="136">
        <f>B7</f>
        <v>0.624</v>
      </c>
      <c r="AO13" s="52" t="s">
        <v>54</v>
      </c>
      <c r="AP13" s="136">
        <f>B11</f>
        <v>0.751</v>
      </c>
      <c r="AR13" s="52" t="s">
        <v>54</v>
      </c>
      <c r="AS13" s="136">
        <f>B4</f>
        <v>0.79200000000000004</v>
      </c>
      <c r="AU13" s="52" t="s">
        <v>54</v>
      </c>
      <c r="AV13" s="136">
        <f>B7</f>
        <v>0.624</v>
      </c>
      <c r="AX13" s="52" t="s">
        <v>54</v>
      </c>
      <c r="AY13" s="136">
        <f>B11</f>
        <v>0.751</v>
      </c>
      <c r="BA13" s="52" t="s">
        <v>54</v>
      </c>
      <c r="BB13" s="136">
        <f>B4</f>
        <v>0.79200000000000004</v>
      </c>
      <c r="BD13" s="52" t="s">
        <v>54</v>
      </c>
      <c r="BE13" s="136">
        <f>B7</f>
        <v>0.624</v>
      </c>
      <c r="BG13" s="52" t="s">
        <v>54</v>
      </c>
      <c r="BH13" s="136">
        <f>B11</f>
        <v>0.751</v>
      </c>
      <c r="BJ13" s="52" t="s">
        <v>300</v>
      </c>
      <c r="BK13" s="136">
        <f>B3</f>
        <v>0.124</v>
      </c>
      <c r="BM13" s="52" t="s">
        <v>300</v>
      </c>
      <c r="BN13" s="136">
        <f>B6</f>
        <v>5.8099999999999999E-2</v>
      </c>
      <c r="BP13" s="52" t="s">
        <v>300</v>
      </c>
      <c r="BQ13" s="136">
        <f>B10</f>
        <v>0.10100000000000001</v>
      </c>
      <c r="BS13" s="52" t="s">
        <v>431</v>
      </c>
      <c r="BT13" s="141">
        <f>B116</f>
        <v>5</v>
      </c>
      <c r="BU13" s="52" t="s">
        <v>194</v>
      </c>
      <c r="BV13" s="83" t="s">
        <v>440</v>
      </c>
      <c r="BW13" s="160">
        <f>((BW18*BW20*BW23*BW14*BW30)+(BW19*BW21*BW24*BW15*BW31))</f>
        <v>2750</v>
      </c>
      <c r="BX13" s="83" t="s">
        <v>345</v>
      </c>
      <c r="BY13" s="83" t="s">
        <v>260</v>
      </c>
      <c r="BZ13" s="143">
        <f>((BZ5/(BZ6*BZ16*(1/BZ33)))*BZ10)/BZ36</f>
        <v>6.5159656662897421</v>
      </c>
      <c r="CA13" s="92" t="s">
        <v>290</v>
      </c>
      <c r="CB13" s="52" t="s">
        <v>90</v>
      </c>
      <c r="CC13" s="138">
        <f>B118</f>
        <v>5</v>
      </c>
      <c r="CD13" s="52" t="s">
        <v>194</v>
      </c>
      <c r="CE13" s="52" t="s">
        <v>90</v>
      </c>
      <c r="CF13" s="138">
        <f>B118</f>
        <v>5</v>
      </c>
      <c r="CG13" s="52" t="s">
        <v>194</v>
      </c>
      <c r="CH13" s="52" t="s">
        <v>90</v>
      </c>
      <c r="CI13" s="138">
        <f>B118</f>
        <v>5</v>
      </c>
      <c r="CJ13" s="52" t="s">
        <v>194</v>
      </c>
      <c r="CN13" s="84" t="s">
        <v>163</v>
      </c>
      <c r="CO13" s="162">
        <f>B132</f>
        <v>2</v>
      </c>
      <c r="CP13" s="52" t="s">
        <v>41</v>
      </c>
      <c r="CT13" s="91" t="s">
        <v>231</v>
      </c>
      <c r="CU13" s="136">
        <f>B30</f>
        <v>1600</v>
      </c>
      <c r="CV13" s="52" t="s">
        <v>60</v>
      </c>
      <c r="CW13" s="83" t="s">
        <v>450</v>
      </c>
      <c r="CX13" s="141">
        <f>B145</f>
        <v>5</v>
      </c>
      <c r="CY13" s="92" t="s">
        <v>407</v>
      </c>
      <c r="CZ13" s="83" t="s">
        <v>260</v>
      </c>
      <c r="DA13" s="143">
        <f>(DA5/(DA6*DA24))/DA51</f>
        <v>0.11192625504908034</v>
      </c>
      <c r="DB13" s="83" t="s">
        <v>291</v>
      </c>
      <c r="DC13" s="83" t="s">
        <v>468</v>
      </c>
      <c r="DD13" s="146">
        <f>B148</f>
        <v>55</v>
      </c>
      <c r="DE13" s="92" t="s">
        <v>221</v>
      </c>
      <c r="DF13" s="92" t="s">
        <v>55</v>
      </c>
      <c r="DG13" s="138">
        <f>B192</f>
        <v>240</v>
      </c>
      <c r="DH13" s="52" t="s">
        <v>56</v>
      </c>
      <c r="DJ13" s="138"/>
      <c r="DL13" s="92"/>
      <c r="DO13" s="92" t="s">
        <v>55</v>
      </c>
      <c r="DP13" s="138">
        <f>B192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B204</f>
        <v>1</v>
      </c>
      <c r="EA13" s="83" t="s">
        <v>501</v>
      </c>
      <c r="EB13" s="138">
        <f>B204</f>
        <v>1</v>
      </c>
      <c r="EC13" s="84"/>
      <c r="ED13" s="83" t="s">
        <v>501</v>
      </c>
      <c r="EE13" s="138">
        <f>B204</f>
        <v>1</v>
      </c>
      <c r="EF13" s="84"/>
      <c r="EG13" s="83" t="s">
        <v>363</v>
      </c>
      <c r="EH13" s="150">
        <f>B168</f>
        <v>1</v>
      </c>
      <c r="EI13" s="84" t="s">
        <v>60</v>
      </c>
      <c r="EJ13" s="92"/>
      <c r="EM13" s="83" t="s">
        <v>497</v>
      </c>
      <c r="EN13" s="138">
        <f>B209</f>
        <v>1</v>
      </c>
      <c r="EP13" s="83" t="s">
        <v>497</v>
      </c>
      <c r="EQ13" s="138">
        <f>B209</f>
        <v>1</v>
      </c>
      <c r="ER13" s="84"/>
      <c r="ES13" s="83" t="s">
        <v>497</v>
      </c>
      <c r="ET13" s="138">
        <f>B209</f>
        <v>1</v>
      </c>
      <c r="EU13" s="84"/>
      <c r="EV13" s="83" t="s">
        <v>363</v>
      </c>
      <c r="EW13" s="150">
        <f>B168</f>
        <v>1</v>
      </c>
      <c r="EX13" s="84" t="s">
        <v>60</v>
      </c>
      <c r="EY13" s="83"/>
      <c r="EZ13" s="83"/>
      <c r="FA13" s="83"/>
      <c r="FB13" s="83" t="s">
        <v>154</v>
      </c>
      <c r="FC13" s="164">
        <f>B214</f>
        <v>1</v>
      </c>
      <c r="FD13" s="83"/>
      <c r="FE13" s="83" t="s">
        <v>154</v>
      </c>
      <c r="FF13" s="164">
        <f>B214</f>
        <v>1</v>
      </c>
      <c r="FG13" s="83"/>
      <c r="FH13" s="83" t="s">
        <v>154</v>
      </c>
      <c r="FI13" s="164">
        <f>B214</f>
        <v>1</v>
      </c>
      <c r="FJ13" s="84"/>
      <c r="FK13" s="83" t="s">
        <v>363</v>
      </c>
      <c r="FL13" s="141">
        <f>B168</f>
        <v>1</v>
      </c>
      <c r="FM13" s="92" t="s">
        <v>60</v>
      </c>
      <c r="FN13" s="83"/>
      <c r="FO13" s="83"/>
      <c r="FP13" s="83"/>
      <c r="FQ13" s="88"/>
      <c r="FR13" s="227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B168</f>
        <v>1</v>
      </c>
      <c r="GB13" s="92" t="s">
        <v>60</v>
      </c>
      <c r="GC13" s="83"/>
      <c r="GD13" s="83"/>
      <c r="GE13" s="83"/>
      <c r="GF13" s="83" t="s">
        <v>489</v>
      </c>
      <c r="GG13" s="142">
        <f>B219</f>
        <v>1</v>
      </c>
      <c r="GH13" s="83"/>
      <c r="GI13" s="83" t="s">
        <v>489</v>
      </c>
      <c r="GJ13" s="142">
        <f>B219</f>
        <v>1</v>
      </c>
      <c r="GK13" s="83"/>
      <c r="GL13" s="83" t="s">
        <v>489</v>
      </c>
      <c r="GM13" s="142">
        <f>B219</f>
        <v>1</v>
      </c>
      <c r="GN13" s="84"/>
      <c r="GO13" s="83" t="s">
        <v>363</v>
      </c>
      <c r="GP13" s="141">
        <f>B168</f>
        <v>1</v>
      </c>
      <c r="GQ13" s="92" t="s">
        <v>60</v>
      </c>
      <c r="GR13" s="83"/>
      <c r="GS13" s="83"/>
      <c r="GT13" s="83"/>
      <c r="GU13" s="83" t="s">
        <v>493</v>
      </c>
      <c r="GV13" s="142">
        <f>B224</f>
        <v>1</v>
      </c>
      <c r="GW13" s="83"/>
      <c r="GX13" s="83" t="s">
        <v>493</v>
      </c>
      <c r="GY13" s="142">
        <f>B224</f>
        <v>1</v>
      </c>
      <c r="GZ13" s="83"/>
      <c r="HA13" s="83" t="s">
        <v>493</v>
      </c>
      <c r="HB13" s="142">
        <f>B224</f>
        <v>1</v>
      </c>
      <c r="HC13" s="84"/>
      <c r="HD13" s="84" t="s">
        <v>59</v>
      </c>
      <c r="HE13" s="150">
        <f>B45</f>
        <v>1</v>
      </c>
    </row>
    <row r="14" spans="1:214" ht="13.5" thickTop="1" x14ac:dyDescent="0.2">
      <c r="A14" s="375" t="s">
        <v>233</v>
      </c>
      <c r="B14" s="376"/>
      <c r="C14" s="377"/>
      <c r="D14" s="83" t="s">
        <v>367</v>
      </c>
      <c r="E14" s="141">
        <f>B51</f>
        <v>10</v>
      </c>
      <c r="F14" s="92" t="s">
        <v>407</v>
      </c>
      <c r="G14" s="83" t="s">
        <v>264</v>
      </c>
      <c r="H14" s="145">
        <f>(H5/(H9*(H22+H25)*H41))/H70</f>
        <v>5.3419349000697431E-3</v>
      </c>
      <c r="I14" s="92" t="s">
        <v>290</v>
      </c>
      <c r="J14" s="83" t="s">
        <v>260</v>
      </c>
      <c r="K14" s="143">
        <f>((K5/(K6*K19*(1/K46)))*K11)/K53</f>
        <v>2.3891874109729052</v>
      </c>
      <c r="L14" s="92" t="s">
        <v>290</v>
      </c>
      <c r="M14" s="52" t="s">
        <v>408</v>
      </c>
      <c r="N14" s="150">
        <f>B88</f>
        <v>5</v>
      </c>
      <c r="O14" s="52" t="s">
        <v>194</v>
      </c>
      <c r="P14" s="52" t="s">
        <v>408</v>
      </c>
      <c r="Q14" s="150">
        <f>B88</f>
        <v>5</v>
      </c>
      <c r="R14" s="52" t="s">
        <v>194</v>
      </c>
      <c r="S14" s="52" t="s">
        <v>408</v>
      </c>
      <c r="T14" s="150">
        <f>B88</f>
        <v>5</v>
      </c>
      <c r="U14" s="52" t="s">
        <v>194</v>
      </c>
      <c r="V14" s="83" t="s">
        <v>256</v>
      </c>
      <c r="W14" s="136">
        <f>B27</f>
        <v>15429.68</v>
      </c>
      <c r="X14" s="83" t="s">
        <v>343</v>
      </c>
      <c r="Y14" s="83" t="s">
        <v>256</v>
      </c>
      <c r="Z14" s="136">
        <f>B27</f>
        <v>15429.68</v>
      </c>
      <c r="AA14" s="83" t="s">
        <v>343</v>
      </c>
      <c r="AB14" s="83" t="s">
        <v>300</v>
      </c>
      <c r="AC14" s="161">
        <f>B3</f>
        <v>0.124</v>
      </c>
      <c r="AD14" s="161">
        <f>B3</f>
        <v>0.124</v>
      </c>
      <c r="AE14" s="161">
        <f>B3</f>
        <v>0.124</v>
      </c>
      <c r="AF14" s="161">
        <f>B3</f>
        <v>0.124</v>
      </c>
      <c r="AG14" s="161">
        <f>B3</f>
        <v>0.124</v>
      </c>
      <c r="AH14" s="92"/>
      <c r="AI14" s="52" t="s">
        <v>57</v>
      </c>
      <c r="AJ14" s="136">
        <f>B242</f>
        <v>5</v>
      </c>
      <c r="AK14" s="52" t="s">
        <v>194</v>
      </c>
      <c r="AL14" s="52" t="s">
        <v>57</v>
      </c>
      <c r="AM14" s="136">
        <f>B242</f>
        <v>5</v>
      </c>
      <c r="AN14" s="52" t="s">
        <v>194</v>
      </c>
      <c r="AO14" s="52" t="s">
        <v>57</v>
      </c>
      <c r="AP14" s="136">
        <f>B242</f>
        <v>5</v>
      </c>
      <c r="AQ14" s="52" t="s">
        <v>194</v>
      </c>
      <c r="AR14" s="52" t="s">
        <v>57</v>
      </c>
      <c r="AS14" s="136">
        <f>B252</f>
        <v>5</v>
      </c>
      <c r="AT14" s="52" t="s">
        <v>194</v>
      </c>
      <c r="AU14" s="52" t="s">
        <v>57</v>
      </c>
      <c r="AV14" s="136">
        <f>B252</f>
        <v>5</v>
      </c>
      <c r="AW14" s="52" t="s">
        <v>194</v>
      </c>
      <c r="AX14" s="52" t="s">
        <v>57</v>
      </c>
      <c r="AY14" s="136">
        <f>B252</f>
        <v>5</v>
      </c>
      <c r="AZ14" s="52" t="s">
        <v>194</v>
      </c>
      <c r="BA14" s="52" t="s">
        <v>57</v>
      </c>
      <c r="BB14" s="136">
        <f>B232</f>
        <v>5</v>
      </c>
      <c r="BC14" s="52" t="s">
        <v>194</v>
      </c>
      <c r="BD14" s="52" t="s">
        <v>57</v>
      </c>
      <c r="BE14" s="136">
        <f>B232</f>
        <v>5</v>
      </c>
      <c r="BF14" s="52" t="s">
        <v>194</v>
      </c>
      <c r="BG14" s="52" t="s">
        <v>58</v>
      </c>
      <c r="BH14" s="136">
        <f>B232</f>
        <v>5</v>
      </c>
      <c r="BI14" s="52" t="s">
        <v>194</v>
      </c>
      <c r="BJ14" s="52" t="s">
        <v>413</v>
      </c>
      <c r="BK14" s="136">
        <f>B4</f>
        <v>0.79200000000000004</v>
      </c>
      <c r="BM14" s="52" t="s">
        <v>414</v>
      </c>
      <c r="BN14" s="136">
        <f>B7</f>
        <v>0.624</v>
      </c>
      <c r="BP14" s="52" t="s">
        <v>416</v>
      </c>
      <c r="BQ14" s="136">
        <f>B11</f>
        <v>0.751</v>
      </c>
      <c r="BS14" s="52" t="s">
        <v>432</v>
      </c>
      <c r="BT14" s="141">
        <f>B117</f>
        <v>5</v>
      </c>
      <c r="BU14" s="52" t="s">
        <v>194</v>
      </c>
      <c r="BV14" s="83" t="s">
        <v>439</v>
      </c>
      <c r="BW14" s="146">
        <f>B105</f>
        <v>2</v>
      </c>
      <c r="BX14" s="83" t="s">
        <v>357</v>
      </c>
      <c r="BY14" s="83" t="s">
        <v>261</v>
      </c>
      <c r="BZ14" s="144">
        <f>((BZ5/(BZ7*BZ17*(1/BZ9)*BZ32))*BZ10)/BZ36</f>
        <v>13039.947446526727</v>
      </c>
      <c r="CA14" s="92" t="s">
        <v>290</v>
      </c>
      <c r="CB14" s="52" t="s">
        <v>412</v>
      </c>
      <c r="CC14" s="139">
        <f>B22</f>
        <v>10.423439999999999</v>
      </c>
      <c r="CD14" s="84" t="s">
        <v>353</v>
      </c>
      <c r="CE14" s="52" t="s">
        <v>415</v>
      </c>
      <c r="CF14" s="139">
        <f>B24</f>
        <v>1.92404</v>
      </c>
      <c r="CG14" s="84" t="s">
        <v>353</v>
      </c>
      <c r="CH14" s="52" t="s">
        <v>417</v>
      </c>
      <c r="CI14" s="139">
        <f>B26</f>
        <v>8.8356399999999997</v>
      </c>
      <c r="CJ14" s="84" t="s">
        <v>353</v>
      </c>
      <c r="CK14" s="84"/>
      <c r="CL14" s="84"/>
      <c r="CM14" s="84"/>
      <c r="CN14" s="52" t="s">
        <v>95</v>
      </c>
      <c r="CO14" s="164">
        <f>B127</f>
        <v>1</v>
      </c>
      <c r="CQ14" s="84"/>
      <c r="CR14" s="84"/>
      <c r="CS14" s="84"/>
      <c r="CT14" s="83" t="s">
        <v>260</v>
      </c>
      <c r="CU14" s="143">
        <f>((CU5/(CU6*CU25*(1/CU46)))*CU11)/CU49</f>
        <v>2.5553917526058036</v>
      </c>
      <c r="CV14" s="92" t="s">
        <v>290</v>
      </c>
      <c r="CW14" s="83" t="s">
        <v>459</v>
      </c>
      <c r="CX14" s="141">
        <f>B146</f>
        <v>10</v>
      </c>
      <c r="CY14" s="92" t="s">
        <v>407</v>
      </c>
      <c r="CZ14" s="83" t="s">
        <v>261</v>
      </c>
      <c r="DA14" s="144">
        <f>(DA5/(DA7*DA25*DA45))/DA51</f>
        <v>1.4018901792920764E-3</v>
      </c>
      <c r="DB14" s="83" t="s">
        <v>291</v>
      </c>
      <c r="DC14" s="83" t="s">
        <v>465</v>
      </c>
      <c r="DD14" s="146">
        <f>B166</f>
        <v>150</v>
      </c>
      <c r="DE14" s="83" t="s">
        <v>24</v>
      </c>
      <c r="DF14" s="92" t="s">
        <v>393</v>
      </c>
      <c r="DG14" s="138">
        <f>B47</f>
        <v>0.26</v>
      </c>
      <c r="DJ14" s="138"/>
      <c r="DL14" s="92"/>
      <c r="DO14" s="92" t="s">
        <v>393</v>
      </c>
      <c r="DP14" s="138">
        <f>B47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B200</f>
        <v>1.03</v>
      </c>
      <c r="DZ14" s="52" t="s">
        <v>286</v>
      </c>
      <c r="EA14" s="52" t="s">
        <v>518</v>
      </c>
      <c r="EB14" s="146">
        <f>B200</f>
        <v>1.03</v>
      </c>
      <c r="EC14" s="52" t="s">
        <v>286</v>
      </c>
      <c r="ED14" s="92" t="s">
        <v>392</v>
      </c>
      <c r="EE14" s="163">
        <f>B48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B168</f>
        <v>1</v>
      </c>
      <c r="EP14" s="92"/>
      <c r="EQ14" s="163"/>
      <c r="ER14" s="84"/>
      <c r="ES14" s="92" t="s">
        <v>392</v>
      </c>
      <c r="ET14" s="163">
        <f>B48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B168</f>
        <v>1</v>
      </c>
      <c r="FE14" s="83"/>
      <c r="FF14" s="142"/>
      <c r="FG14" s="83"/>
      <c r="FH14" s="83" t="s">
        <v>392</v>
      </c>
      <c r="FI14" s="142">
        <f>B48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227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B168</f>
        <v>1</v>
      </c>
      <c r="GI14" s="83"/>
      <c r="GJ14" s="142"/>
      <c r="GK14" s="83"/>
      <c r="GL14" s="83" t="s">
        <v>392</v>
      </c>
      <c r="GM14" s="142">
        <f>B48</f>
        <v>0.25</v>
      </c>
      <c r="GN14" s="84"/>
      <c r="GO14" s="92" t="s">
        <v>484</v>
      </c>
      <c r="GP14" s="146">
        <f>B188</f>
        <v>1</v>
      </c>
      <c r="GR14" s="83"/>
      <c r="GS14" s="83"/>
      <c r="GT14" s="83"/>
      <c r="GU14" s="52" t="s">
        <v>350</v>
      </c>
      <c r="GV14" s="164">
        <f>B168</f>
        <v>1</v>
      </c>
      <c r="GX14" s="83"/>
      <c r="GY14" s="142"/>
      <c r="GZ14" s="83"/>
      <c r="HA14" s="83" t="s">
        <v>392</v>
      </c>
      <c r="HB14" s="142">
        <f>B48</f>
        <v>0.25</v>
      </c>
      <c r="HC14" s="84"/>
      <c r="HD14" s="52" t="s">
        <v>225</v>
      </c>
      <c r="HE14" s="138">
        <v>1</v>
      </c>
    </row>
    <row r="15" spans="1:214" x14ac:dyDescent="0.2">
      <c r="A15" s="375"/>
      <c r="B15" s="376"/>
      <c r="C15" s="377"/>
      <c r="D15" s="52" t="s">
        <v>384</v>
      </c>
      <c r="E15" s="138">
        <f>B71</f>
        <v>24</v>
      </c>
      <c r="F15" s="52" t="s">
        <v>194</v>
      </c>
      <c r="G15" s="83" t="s">
        <v>395</v>
      </c>
      <c r="H15" s="147">
        <f>(H29*H17*H68)+(H30*H18*H69)</f>
        <v>181.875</v>
      </c>
      <c r="I15" s="83" t="s">
        <v>345</v>
      </c>
      <c r="J15" s="83" t="s">
        <v>261</v>
      </c>
      <c r="K15" s="144">
        <f>((K5/(K7*K20*(1/K10)*K45))*K11)/K53</f>
        <v>996.10709660968041</v>
      </c>
      <c r="L15" s="92" t="s">
        <v>290</v>
      </c>
      <c r="M15" s="52" t="s">
        <v>412</v>
      </c>
      <c r="N15" s="139">
        <f>B22</f>
        <v>10.423439999999999</v>
      </c>
      <c r="O15" s="84" t="s">
        <v>353</v>
      </c>
      <c r="P15" s="52" t="s">
        <v>415</v>
      </c>
      <c r="Q15" s="139">
        <f>B24</f>
        <v>1.92404</v>
      </c>
      <c r="R15" s="84" t="s">
        <v>353</v>
      </c>
      <c r="S15" s="52" t="s">
        <v>417</v>
      </c>
      <c r="T15" s="139">
        <f>B26</f>
        <v>8.8356399999999997</v>
      </c>
      <c r="U15" s="84" t="s">
        <v>353</v>
      </c>
      <c r="V15" s="83" t="s">
        <v>301</v>
      </c>
      <c r="W15" s="142">
        <f>B250</f>
        <v>2</v>
      </c>
      <c r="Y15" s="83" t="s">
        <v>301</v>
      </c>
      <c r="Z15" s="142">
        <f>B230</f>
        <v>2</v>
      </c>
      <c r="AB15" s="83" t="s">
        <v>232</v>
      </c>
      <c r="AC15" s="141">
        <f>B226</f>
        <v>50</v>
      </c>
      <c r="AD15" s="141">
        <f>B236</f>
        <v>50</v>
      </c>
      <c r="AE15" s="141">
        <f>B246</f>
        <v>50</v>
      </c>
      <c r="AF15" s="141">
        <f>B256</f>
        <v>50</v>
      </c>
      <c r="AG15" s="141">
        <f>B268</f>
        <v>50</v>
      </c>
      <c r="AH15" s="92" t="s">
        <v>407</v>
      </c>
      <c r="AI15" s="52" t="s">
        <v>412</v>
      </c>
      <c r="AJ15" s="139">
        <f>B22</f>
        <v>10.423439999999999</v>
      </c>
      <c r="AK15" s="84" t="s">
        <v>353</v>
      </c>
      <c r="AL15" s="52" t="s">
        <v>415</v>
      </c>
      <c r="AM15" s="139">
        <f>B24</f>
        <v>1.92404</v>
      </c>
      <c r="AN15" s="84" t="s">
        <v>353</v>
      </c>
      <c r="AO15" s="52" t="s">
        <v>417</v>
      </c>
      <c r="AP15" s="139">
        <f>B26</f>
        <v>8.8356399999999997</v>
      </c>
      <c r="AQ15" s="84" t="s">
        <v>353</v>
      </c>
      <c r="AR15" s="52" t="s">
        <v>412</v>
      </c>
      <c r="AS15" s="139">
        <f>B22</f>
        <v>10.423439999999999</v>
      </c>
      <c r="AT15" s="84" t="s">
        <v>353</v>
      </c>
      <c r="AU15" s="52" t="s">
        <v>415</v>
      </c>
      <c r="AV15" s="139">
        <f>B24</f>
        <v>1.92404</v>
      </c>
      <c r="AW15" s="84" t="s">
        <v>353</v>
      </c>
      <c r="AX15" s="52" t="s">
        <v>417</v>
      </c>
      <c r="AY15" s="139">
        <f>B26</f>
        <v>8.8356399999999997</v>
      </c>
      <c r="AZ15" s="84" t="s">
        <v>353</v>
      </c>
      <c r="BA15" s="52" t="s">
        <v>412</v>
      </c>
      <c r="BB15" s="139">
        <f>B22</f>
        <v>10.423439999999999</v>
      </c>
      <c r="BC15" s="84" t="s">
        <v>353</v>
      </c>
      <c r="BD15" s="52" t="s">
        <v>415</v>
      </c>
      <c r="BE15" s="139">
        <f>B24</f>
        <v>1.92404</v>
      </c>
      <c r="BF15" s="84" t="s">
        <v>353</v>
      </c>
      <c r="BG15" s="52" t="s">
        <v>417</v>
      </c>
      <c r="BH15" s="139">
        <f>B26</f>
        <v>8.8356399999999997</v>
      </c>
      <c r="BI15" s="84" t="s">
        <v>353</v>
      </c>
      <c r="BJ15" s="52" t="s">
        <v>57</v>
      </c>
      <c r="BK15" s="136">
        <f>B262</f>
        <v>5</v>
      </c>
      <c r="BL15" s="52" t="s">
        <v>194</v>
      </c>
      <c r="BM15" s="52" t="s">
        <v>57</v>
      </c>
      <c r="BN15" s="136">
        <f>B262</f>
        <v>5</v>
      </c>
      <c r="BO15" s="52" t="s">
        <v>194</v>
      </c>
      <c r="BP15" s="52" t="s">
        <v>57</v>
      </c>
      <c r="BQ15" s="136">
        <f>B262</f>
        <v>5</v>
      </c>
      <c r="BR15" s="52" t="s">
        <v>194</v>
      </c>
      <c r="BS15" s="52" t="s">
        <v>90</v>
      </c>
      <c r="BT15" s="138">
        <f>B118</f>
        <v>5</v>
      </c>
      <c r="BU15" s="52" t="s">
        <v>194</v>
      </c>
      <c r="BV15" s="83" t="s">
        <v>438</v>
      </c>
      <c r="BW15" s="146">
        <f>B106</f>
        <v>2</v>
      </c>
      <c r="BX15" s="83" t="s">
        <v>357</v>
      </c>
      <c r="BY15" s="83" t="s">
        <v>262</v>
      </c>
      <c r="BZ15" s="145">
        <f>(((BZ5)/(BZ8*BZ22*(1/BZ31)*BZ25*(1/24)*BZ28*BZ29))*BZ10)/BZ36</f>
        <v>1.1516201292208699</v>
      </c>
      <c r="CA15" s="92" t="s">
        <v>290</v>
      </c>
      <c r="CB15" s="95" t="s">
        <v>287</v>
      </c>
      <c r="CC15" s="176">
        <v>27.027027027027</v>
      </c>
      <c r="CD15" s="52" t="s">
        <v>288</v>
      </c>
      <c r="CE15" s="95" t="s">
        <v>287</v>
      </c>
      <c r="CF15" s="176">
        <v>27.027027027027</v>
      </c>
      <c r="CG15" s="52" t="s">
        <v>288</v>
      </c>
      <c r="CH15" s="95" t="s">
        <v>287</v>
      </c>
      <c r="CI15" s="176">
        <v>27.027027027027</v>
      </c>
      <c r="CJ15" s="52" t="s">
        <v>288</v>
      </c>
      <c r="CN15" s="83" t="s">
        <v>22</v>
      </c>
      <c r="CO15" s="137">
        <f>0.693/CO16</f>
        <v>4.3312499999999997E-4</v>
      </c>
      <c r="CT15" s="83" t="s">
        <v>261</v>
      </c>
      <c r="CU15" s="144">
        <f>((CU5/(CU7*CU26*(1/CU10)*CU45))*CU11)/CU49</f>
        <v>953.03219513466706</v>
      </c>
      <c r="CV15" s="92" t="s">
        <v>290</v>
      </c>
      <c r="CW15" s="52" t="s">
        <v>365</v>
      </c>
      <c r="CX15" s="138">
        <f>B170</f>
        <v>24</v>
      </c>
      <c r="CY15" s="52" t="s">
        <v>194</v>
      </c>
      <c r="CZ15" s="83" t="s">
        <v>266</v>
      </c>
      <c r="DA15" s="153">
        <f>(DA5/(DA8*DA26*(DA46/DA47)))/DA51</f>
        <v>1.7005956807010426E-2</v>
      </c>
      <c r="DB15" s="83" t="s">
        <v>291</v>
      </c>
      <c r="DC15" s="83" t="s">
        <v>456</v>
      </c>
      <c r="DD15" s="146">
        <f>B165</f>
        <v>150</v>
      </c>
      <c r="DE15" s="83" t="s">
        <v>24</v>
      </c>
      <c r="DF15" s="92" t="s">
        <v>61</v>
      </c>
      <c r="DG15" s="138">
        <f>B193</f>
        <v>0.42</v>
      </c>
      <c r="DH15" s="52" t="s">
        <v>41</v>
      </c>
      <c r="DL15" s="92"/>
      <c r="DO15" s="92" t="s">
        <v>61</v>
      </c>
      <c r="DP15" s="138">
        <f>B193</f>
        <v>0.42</v>
      </c>
      <c r="DQ15" s="52" t="s">
        <v>41</v>
      </c>
      <c r="DR15" s="92" t="s">
        <v>479</v>
      </c>
      <c r="DS15" s="146">
        <f>B183</f>
        <v>1</v>
      </c>
      <c r="DU15" s="92"/>
      <c r="DX15" s="52" t="s">
        <v>350</v>
      </c>
      <c r="DY15" s="164">
        <f>B168</f>
        <v>1</v>
      </c>
      <c r="EA15" s="92"/>
      <c r="EB15" s="84"/>
      <c r="EC15" s="84"/>
      <c r="ED15" s="83" t="s">
        <v>27</v>
      </c>
      <c r="EE15" s="142">
        <f>B199</f>
        <v>92</v>
      </c>
      <c r="EF15" s="83" t="s">
        <v>28</v>
      </c>
      <c r="EG15" s="92" t="s">
        <v>480</v>
      </c>
      <c r="EH15" s="146">
        <f>B184</f>
        <v>1</v>
      </c>
      <c r="EJ15" s="92"/>
      <c r="EM15" s="83" t="s">
        <v>22</v>
      </c>
      <c r="EN15" s="137">
        <f>0.693/EN16</f>
        <v>4.3312499999999997E-4</v>
      </c>
      <c r="EP15" s="92"/>
      <c r="EQ15" s="84"/>
      <c r="ER15" s="84"/>
      <c r="ES15" s="83" t="s">
        <v>29</v>
      </c>
      <c r="ET15" s="142">
        <f>B205</f>
        <v>53</v>
      </c>
      <c r="EU15" s="83" t="s">
        <v>28</v>
      </c>
      <c r="EV15" s="92" t="s">
        <v>481</v>
      </c>
      <c r="EW15" s="146">
        <f>B185</f>
        <v>1</v>
      </c>
      <c r="EY15" s="83"/>
      <c r="EZ15" s="83"/>
      <c r="FA15" s="83"/>
      <c r="FB15" s="83" t="s">
        <v>22</v>
      </c>
      <c r="FC15" s="137">
        <f>0.693/FC16</f>
        <v>4.3312499999999997E-4</v>
      </c>
      <c r="FE15" s="83"/>
      <c r="FF15" s="83"/>
      <c r="FG15" s="83"/>
      <c r="FH15" s="83" t="s">
        <v>148</v>
      </c>
      <c r="FI15" s="164">
        <f>B210</f>
        <v>0.4</v>
      </c>
      <c r="FJ15" s="83" t="s">
        <v>28</v>
      </c>
      <c r="FK15" s="92" t="s">
        <v>482</v>
      </c>
      <c r="FL15" s="146">
        <f>B186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B187</f>
        <v>1</v>
      </c>
      <c r="GC15" s="83"/>
      <c r="GD15" s="83"/>
      <c r="GE15" s="83"/>
      <c r="GF15" s="83" t="s">
        <v>22</v>
      </c>
      <c r="GG15" s="137">
        <f>0.693/GG16</f>
        <v>4.3312499999999997E-4</v>
      </c>
      <c r="GI15" s="83"/>
      <c r="GJ15" s="83"/>
      <c r="GK15" s="83"/>
      <c r="GL15" s="83" t="s">
        <v>149</v>
      </c>
      <c r="GM15" s="164">
        <f>B215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4.3312499999999997E-4</v>
      </c>
      <c r="GX15" s="83"/>
      <c r="GY15" s="83"/>
      <c r="GZ15" s="83"/>
      <c r="HA15" s="83" t="s">
        <v>150</v>
      </c>
      <c r="HB15" s="142">
        <f>B220</f>
        <v>11.4</v>
      </c>
      <c r="HC15" s="83" t="s">
        <v>28</v>
      </c>
      <c r="HD15" s="84"/>
      <c r="HE15" s="138"/>
    </row>
    <row r="16" spans="1:214" s="83" customFormat="1" ht="13.5" thickBot="1" x14ac:dyDescent="0.25">
      <c r="A16" s="378"/>
      <c r="B16" s="379"/>
      <c r="C16" s="380"/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1327.5</v>
      </c>
      <c r="I16" s="83" t="s">
        <v>426</v>
      </c>
      <c r="J16" s="83" t="s">
        <v>262</v>
      </c>
      <c r="K16" s="144">
        <f>((K5/(K8*K42*((K37*K41*(1/K35))+(K38*K40*(1/K35)))*K32*(1/K44)*K33))*K11)/K53</f>
        <v>2.4651755434043732E-2</v>
      </c>
      <c r="L16" s="92" t="s">
        <v>290</v>
      </c>
      <c r="M16" s="52" t="s">
        <v>409</v>
      </c>
      <c r="N16" s="150">
        <f>B89</f>
        <v>25</v>
      </c>
      <c r="O16" s="52" t="s">
        <v>194</v>
      </c>
      <c r="P16" s="52" t="s">
        <v>409</v>
      </c>
      <c r="Q16" s="150">
        <f>B89</f>
        <v>25</v>
      </c>
      <c r="R16" s="52" t="s">
        <v>194</v>
      </c>
      <c r="S16" s="52" t="s">
        <v>409</v>
      </c>
      <c r="T16" s="150">
        <f>B89</f>
        <v>25</v>
      </c>
      <c r="U16" s="52" t="s">
        <v>194</v>
      </c>
      <c r="V16" s="52" t="s">
        <v>261</v>
      </c>
      <c r="W16" s="143">
        <f>((W5)/((W12/24)*W9*W10*W11*W13))/W20</f>
        <v>7.4692708752681824E-4</v>
      </c>
      <c r="X16" s="52" t="s">
        <v>15</v>
      </c>
      <c r="Y16" s="52" t="s">
        <v>261</v>
      </c>
      <c r="Z16" s="143">
        <f>((Z5)/((Z12/24)*Z9*Z10*Z11*Z13))/Z20</f>
        <v>7.4692708752681824E-4</v>
      </c>
      <c r="AA16" s="52" t="s">
        <v>15</v>
      </c>
      <c r="AB16" s="83" t="s">
        <v>299</v>
      </c>
      <c r="AC16" s="141">
        <f>B231</f>
        <v>1</v>
      </c>
      <c r="AD16" s="141">
        <f>B241</f>
        <v>1</v>
      </c>
      <c r="AE16" s="141">
        <f>B251</f>
        <v>1</v>
      </c>
      <c r="AF16" s="141">
        <f>B261</f>
        <v>1</v>
      </c>
      <c r="AG16" s="141">
        <f>B272</f>
        <v>1</v>
      </c>
      <c r="AH16" s="92"/>
      <c r="AI16" s="52" t="s">
        <v>69</v>
      </c>
      <c r="AJ16" s="136">
        <f>B243</f>
        <v>5</v>
      </c>
      <c r="AK16" s="52" t="s">
        <v>194</v>
      </c>
      <c r="AL16" s="52" t="s">
        <v>69</v>
      </c>
      <c r="AM16" s="136">
        <f>B243</f>
        <v>5</v>
      </c>
      <c r="AN16" s="52" t="s">
        <v>194</v>
      </c>
      <c r="AO16" s="52" t="s">
        <v>69</v>
      </c>
      <c r="AP16" s="136">
        <f>B243</f>
        <v>5</v>
      </c>
      <c r="AQ16" s="52" t="s">
        <v>194</v>
      </c>
      <c r="AR16" s="52" t="s">
        <v>69</v>
      </c>
      <c r="AS16" s="136">
        <f>B253</f>
        <v>5</v>
      </c>
      <c r="AT16" s="52" t="s">
        <v>194</v>
      </c>
      <c r="AU16" s="52" t="s">
        <v>69</v>
      </c>
      <c r="AV16" s="136">
        <f>B253</f>
        <v>5</v>
      </c>
      <c r="AW16" s="52" t="s">
        <v>194</v>
      </c>
      <c r="AX16" s="52" t="s">
        <v>69</v>
      </c>
      <c r="AY16" s="136">
        <f>B253</f>
        <v>5</v>
      </c>
      <c r="AZ16" s="52" t="s">
        <v>194</v>
      </c>
      <c r="BA16" s="52" t="s">
        <v>69</v>
      </c>
      <c r="BB16" s="136">
        <f>B233</f>
        <v>5</v>
      </c>
      <c r="BC16" s="52" t="s">
        <v>194</v>
      </c>
      <c r="BD16" s="52" t="s">
        <v>69</v>
      </c>
      <c r="BE16" s="136">
        <f>B233</f>
        <v>5</v>
      </c>
      <c r="BF16" s="52" t="s">
        <v>194</v>
      </c>
      <c r="BG16" s="52" t="s">
        <v>69</v>
      </c>
      <c r="BH16" s="136">
        <f>B233</f>
        <v>5</v>
      </c>
      <c r="BI16" s="52" t="s">
        <v>194</v>
      </c>
      <c r="BJ16" s="52" t="s">
        <v>412</v>
      </c>
      <c r="BK16" s="139">
        <f>B22</f>
        <v>10.423439999999999</v>
      </c>
      <c r="BL16" s="84" t="s">
        <v>353</v>
      </c>
      <c r="BM16" s="52" t="s">
        <v>415</v>
      </c>
      <c r="BN16" s="139">
        <f>B24</f>
        <v>1.92404</v>
      </c>
      <c r="BO16" s="84" t="s">
        <v>353</v>
      </c>
      <c r="BP16" s="52" t="s">
        <v>417</v>
      </c>
      <c r="BQ16" s="139">
        <f>B26</f>
        <v>8.8356399999999997</v>
      </c>
      <c r="BR16" s="84" t="s">
        <v>353</v>
      </c>
      <c r="BS16" s="83" t="s">
        <v>256</v>
      </c>
      <c r="BT16" s="136">
        <f>E17</f>
        <v>15429.68</v>
      </c>
      <c r="BU16" s="83" t="s">
        <v>343</v>
      </c>
      <c r="BV16" s="83" t="s">
        <v>437</v>
      </c>
      <c r="BW16" s="140">
        <f>((BW18*BW20*BW23*BW30)+(BW19*BW21*BW24*BW31))</f>
        <v>1375</v>
      </c>
      <c r="BX16" s="83" t="s">
        <v>356</v>
      </c>
      <c r="BY16" s="83" t="s">
        <v>46</v>
      </c>
      <c r="BZ16" s="149">
        <f>(BZ18*BZ22*BZ34)+(BZ19*BZ23*BZ35)</f>
        <v>3382.5</v>
      </c>
      <c r="CA16" s="83" t="s">
        <v>346</v>
      </c>
      <c r="CN16" s="91" t="s">
        <v>231</v>
      </c>
      <c r="CO16" s="136">
        <f>B30</f>
        <v>1600</v>
      </c>
      <c r="CP16" s="52" t="s">
        <v>60</v>
      </c>
      <c r="CT16" s="83" t="s">
        <v>262</v>
      </c>
      <c r="CU16" s="144">
        <f>((CU5/(CU8*CU42*((CU37*CU41*(1/24))+(CU38*CU40*(1/24)))*CU32*(1/CU44)))*CU11)/CU49</f>
        <v>3.8163504768155172E-2</v>
      </c>
      <c r="CV16" s="92" t="s">
        <v>290</v>
      </c>
      <c r="CW16" s="52" t="s">
        <v>364</v>
      </c>
      <c r="CX16" s="138">
        <f>B169</f>
        <v>24</v>
      </c>
      <c r="CY16" s="52" t="s">
        <v>194</v>
      </c>
      <c r="CZ16" s="83" t="s">
        <v>512</v>
      </c>
      <c r="DA16" s="153">
        <f>DG2</f>
        <v>9.9625517994208559E-2</v>
      </c>
      <c r="DB16" s="83" t="s">
        <v>291</v>
      </c>
      <c r="DC16" s="83" t="s">
        <v>363</v>
      </c>
      <c r="DD16" s="146">
        <f>B168</f>
        <v>1</v>
      </c>
      <c r="DE16" s="83" t="s">
        <v>60</v>
      </c>
      <c r="DF16" s="92" t="s">
        <v>63</v>
      </c>
      <c r="DG16" s="151">
        <f>DG20+(0.693/DG22)</f>
        <v>4.9501186643835612E-2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4.3312499999999997E-4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B30</f>
        <v>1600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B30</f>
        <v>1600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B30</f>
        <v>1600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B163</f>
        <v>0.15</v>
      </c>
      <c r="GQ16" s="52"/>
      <c r="GU16" s="91" t="s">
        <v>231</v>
      </c>
      <c r="GV16" s="136">
        <f>B30</f>
        <v>1600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  <c r="HE16" s="142"/>
    </row>
    <row r="17" spans="1:214" ht="14.25" thickTop="1" thickBot="1" x14ac:dyDescent="0.25">
      <c r="A17" s="52" t="s">
        <v>267</v>
      </c>
      <c r="B17" s="129">
        <v>1</v>
      </c>
      <c r="C17" s="52" t="s">
        <v>344</v>
      </c>
      <c r="D17" s="83" t="s">
        <v>256</v>
      </c>
      <c r="E17" s="136">
        <f>B27</f>
        <v>15429.68</v>
      </c>
      <c r="F17" s="83" t="s">
        <v>343</v>
      </c>
      <c r="G17" s="83" t="s">
        <v>370</v>
      </c>
      <c r="H17" s="146">
        <f>B54</f>
        <v>0.25</v>
      </c>
      <c r="I17" s="52" t="s">
        <v>28</v>
      </c>
      <c r="J17" s="83" t="s">
        <v>263</v>
      </c>
      <c r="K17" s="153">
        <f>((K18/(K47+K48))*K11)/K53</f>
        <v>7.1941192982252918E-4</v>
      </c>
      <c r="L17" s="92" t="s">
        <v>290</v>
      </c>
      <c r="M17" s="95" t="s">
        <v>287</v>
      </c>
      <c r="N17" s="176">
        <v>27.027027027027</v>
      </c>
      <c r="O17" s="52" t="s">
        <v>288</v>
      </c>
      <c r="P17" s="95" t="s">
        <v>287</v>
      </c>
      <c r="Q17" s="176">
        <v>27.027027027027</v>
      </c>
      <c r="R17" s="52" t="s">
        <v>288</v>
      </c>
      <c r="S17" s="95" t="s">
        <v>287</v>
      </c>
      <c r="T17" s="176">
        <v>27.027027027027</v>
      </c>
      <c r="U17" s="52" t="s">
        <v>288</v>
      </c>
      <c r="V17" s="52" t="s">
        <v>271</v>
      </c>
      <c r="W17" s="144">
        <f>((W5)/((W12/24)*W9*W14*(1/365)))/W20</f>
        <v>3.3610029501583988E-5</v>
      </c>
      <c r="X17" s="52" t="s">
        <v>15</v>
      </c>
      <c r="Y17" s="52" t="s">
        <v>271</v>
      </c>
      <c r="Z17" s="144">
        <f>((Z5)/((Z12/24)*Z9*Z14*(1/365)))/Z20</f>
        <v>3.3610029501583988E-5</v>
      </c>
      <c r="AA17" s="52" t="s">
        <v>15</v>
      </c>
      <c r="AB17" s="83" t="s">
        <v>413</v>
      </c>
      <c r="AC17" s="161">
        <f>B4</f>
        <v>0.79200000000000004</v>
      </c>
      <c r="AD17" s="161">
        <f>B4</f>
        <v>0.79200000000000004</v>
      </c>
      <c r="AE17" s="161">
        <f>B4</f>
        <v>0.79200000000000004</v>
      </c>
      <c r="AF17" s="161">
        <f>B4</f>
        <v>0.79200000000000004</v>
      </c>
      <c r="AG17" s="161">
        <f>B4</f>
        <v>0.79200000000000004</v>
      </c>
      <c r="AH17" s="92"/>
      <c r="AI17" s="95" t="s">
        <v>287</v>
      </c>
      <c r="AJ17" s="176">
        <v>27.027027027027</v>
      </c>
      <c r="AK17" s="52" t="s">
        <v>288</v>
      </c>
      <c r="AL17" s="95" t="s">
        <v>287</v>
      </c>
      <c r="AM17" s="176">
        <v>27.027027027027</v>
      </c>
      <c r="AN17" s="52" t="s">
        <v>288</v>
      </c>
      <c r="AO17" s="95" t="s">
        <v>287</v>
      </c>
      <c r="AP17" s="176">
        <v>27.027027027027</v>
      </c>
      <c r="AQ17" s="52" t="s">
        <v>288</v>
      </c>
      <c r="AR17" s="95" t="s">
        <v>287</v>
      </c>
      <c r="AS17" s="176">
        <v>27.027027027027</v>
      </c>
      <c r="AT17" s="52" t="s">
        <v>288</v>
      </c>
      <c r="AU17" s="95" t="s">
        <v>287</v>
      </c>
      <c r="AV17" s="176">
        <v>27.027027027027</v>
      </c>
      <c r="AW17" s="52" t="s">
        <v>288</v>
      </c>
      <c r="AX17" s="95" t="s">
        <v>287</v>
      </c>
      <c r="AY17" s="176">
        <v>27.027027027027</v>
      </c>
      <c r="AZ17" s="52" t="s">
        <v>288</v>
      </c>
      <c r="BA17" s="95" t="s">
        <v>287</v>
      </c>
      <c r="BB17" s="176">
        <v>27.027027027027</v>
      </c>
      <c r="BC17" s="52" t="s">
        <v>288</v>
      </c>
      <c r="BD17" s="95" t="s">
        <v>287</v>
      </c>
      <c r="BE17" s="176">
        <v>27.027027027027</v>
      </c>
      <c r="BF17" s="52" t="s">
        <v>288</v>
      </c>
      <c r="BG17" s="95" t="s">
        <v>287</v>
      </c>
      <c r="BH17" s="176">
        <v>27.027027027027</v>
      </c>
      <c r="BI17" s="52" t="s">
        <v>288</v>
      </c>
      <c r="BJ17" s="95" t="s">
        <v>287</v>
      </c>
      <c r="BK17" s="176">
        <v>27.027027027027</v>
      </c>
      <c r="BL17" s="52" t="s">
        <v>288</v>
      </c>
      <c r="BM17" s="95" t="s">
        <v>287</v>
      </c>
      <c r="BN17" s="176">
        <v>27.027027027027</v>
      </c>
      <c r="BO17" s="52" t="s">
        <v>288</v>
      </c>
      <c r="BP17" s="95" t="s">
        <v>287</v>
      </c>
      <c r="BQ17" s="176">
        <v>27.027027027027</v>
      </c>
      <c r="BR17" s="52" t="s">
        <v>288</v>
      </c>
      <c r="BS17" s="83" t="s">
        <v>301</v>
      </c>
      <c r="BT17" s="142">
        <f>B121</f>
        <v>2</v>
      </c>
      <c r="BV17" s="83" t="s">
        <v>65</v>
      </c>
      <c r="BW17" s="141">
        <f>B126</f>
        <v>0.5</v>
      </c>
      <c r="BX17" s="52" t="s">
        <v>66</v>
      </c>
      <c r="BY17" s="83" t="s">
        <v>43</v>
      </c>
      <c r="BZ17" s="149">
        <f>(BZ24*BZ20*(BZ26/24)*BZ34)+(BZ23*BZ21*(BZ27/24)*BZ35)</f>
        <v>101.40625</v>
      </c>
      <c r="CA17" s="52" t="s">
        <v>426</v>
      </c>
      <c r="CN17" s="84" t="s">
        <v>16</v>
      </c>
      <c r="CO17" s="137">
        <f>(CO14*CO15)/(1-EXP(-CO15*CO14))</f>
        <v>1.0002165781331087</v>
      </c>
      <c r="CT17" s="83" t="s">
        <v>263</v>
      </c>
      <c r="CU17" s="153">
        <f>DJ2</f>
        <v>4.8608914177197867E-3</v>
      </c>
      <c r="CV17" s="92" t="s">
        <v>290</v>
      </c>
      <c r="CW17" s="83" t="s">
        <v>256</v>
      </c>
      <c r="CX17" s="136">
        <f>B27</f>
        <v>15429.68</v>
      </c>
      <c r="CY17" s="83" t="s">
        <v>343</v>
      </c>
      <c r="CZ17" s="83" t="s">
        <v>511</v>
      </c>
      <c r="DA17" s="153">
        <f>DD2</f>
        <v>1.3354837250174358E-3</v>
      </c>
      <c r="DB17" s="83" t="s">
        <v>290</v>
      </c>
      <c r="DC17" s="93"/>
      <c r="DD17" s="136">
        <v>9.9999999999999995E-7</v>
      </c>
      <c r="DE17" s="88"/>
      <c r="DF17" s="92" t="s">
        <v>67</v>
      </c>
      <c r="DG17" s="142">
        <f>B194</f>
        <v>60</v>
      </c>
      <c r="DH17" s="83" t="s">
        <v>53</v>
      </c>
      <c r="DL17" s="92"/>
      <c r="DM17" s="83"/>
      <c r="DN17" s="83"/>
      <c r="DO17" s="92" t="s">
        <v>67</v>
      </c>
      <c r="DP17" s="142">
        <f>B194</f>
        <v>60</v>
      </c>
      <c r="DQ17" s="83" t="s">
        <v>53</v>
      </c>
      <c r="DR17" s="83" t="s">
        <v>475</v>
      </c>
      <c r="DS17" s="146">
        <f>B163</f>
        <v>0.15</v>
      </c>
      <c r="DU17" s="92"/>
      <c r="DV17" s="87"/>
      <c r="DW17" s="83"/>
      <c r="DX17" s="91" t="s">
        <v>231</v>
      </c>
      <c r="DY17" s="136">
        <f>B30</f>
        <v>1600</v>
      </c>
      <c r="DZ17" s="52" t="s">
        <v>60</v>
      </c>
      <c r="EA17" s="92"/>
      <c r="EB17" s="83"/>
      <c r="EC17" s="83"/>
      <c r="ED17" s="92" t="s">
        <v>67</v>
      </c>
      <c r="EE17" s="142">
        <f>B194</f>
        <v>60</v>
      </c>
      <c r="EF17" s="83" t="s">
        <v>53</v>
      </c>
      <c r="EG17" s="83" t="s">
        <v>475</v>
      </c>
      <c r="EH17" s="146">
        <f>B163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1.0002165781331087</v>
      </c>
      <c r="EP17" s="92"/>
      <c r="EQ17" s="83"/>
      <c r="ER17" s="83"/>
      <c r="ES17" s="92" t="s">
        <v>67</v>
      </c>
      <c r="ET17" s="142">
        <f>B194</f>
        <v>60</v>
      </c>
      <c r="EU17" s="83" t="s">
        <v>53</v>
      </c>
      <c r="EV17" s="83" t="s">
        <v>475</v>
      </c>
      <c r="EW17" s="141">
        <f>B163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1.0002165781331087</v>
      </c>
      <c r="FE17" s="83"/>
      <c r="FF17" s="83"/>
      <c r="FG17" s="83"/>
      <c r="FH17" s="83" t="s">
        <v>67</v>
      </c>
      <c r="FI17" s="142">
        <f>B194</f>
        <v>60</v>
      </c>
      <c r="FJ17" s="83" t="s">
        <v>53</v>
      </c>
      <c r="FK17" s="83" t="s">
        <v>475</v>
      </c>
      <c r="FL17" s="141">
        <f>B163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B163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1.0002165781331087</v>
      </c>
      <c r="GI17" s="83"/>
      <c r="GJ17" s="83"/>
      <c r="GK17" s="83"/>
      <c r="GL17" s="83" t="s">
        <v>67</v>
      </c>
      <c r="GM17" s="142">
        <f>B194</f>
        <v>60</v>
      </c>
      <c r="GN17" s="83" t="s">
        <v>53</v>
      </c>
      <c r="GO17" s="83" t="s">
        <v>476</v>
      </c>
      <c r="GP17" s="141">
        <f>B164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1.0002165781331087</v>
      </c>
      <c r="GX17" s="83"/>
      <c r="GY17" s="83"/>
      <c r="GZ17" s="83"/>
      <c r="HA17" s="83" t="s">
        <v>67</v>
      </c>
      <c r="HB17" s="142">
        <f>B194</f>
        <v>60</v>
      </c>
      <c r="HC17" s="83" t="s">
        <v>53</v>
      </c>
      <c r="HD17" s="84"/>
      <c r="HE17" s="163"/>
    </row>
    <row r="18" spans="1:214" ht="19.5" thickTop="1" thickBot="1" x14ac:dyDescent="0.25">
      <c r="A18" s="83" t="s">
        <v>247</v>
      </c>
      <c r="B18" s="184">
        <v>3.8043873993229303E-2</v>
      </c>
      <c r="C18" s="84" t="s">
        <v>259</v>
      </c>
      <c r="D18" s="83" t="s">
        <v>301</v>
      </c>
      <c r="E18" s="142">
        <f>B72</f>
        <v>2</v>
      </c>
      <c r="G18" s="83" t="s">
        <v>371</v>
      </c>
      <c r="H18" s="146">
        <f>B55</f>
        <v>1.5</v>
      </c>
      <c r="I18" s="52" t="s">
        <v>28</v>
      </c>
      <c r="J18" s="83" t="s">
        <v>264</v>
      </c>
      <c r="K18" s="154">
        <f>(K5/(K9*(K25+K28)*K36))/K53</f>
        <v>5.3419349000697431E-3</v>
      </c>
      <c r="L18" s="92" t="s">
        <v>290</v>
      </c>
      <c r="V18" s="52" t="s">
        <v>261</v>
      </c>
      <c r="W18" s="144">
        <f>((W5*W7*W6)/((W12/24)*(1-EXP(-W7*W10))*W11*W13*W9*W10))/W20</f>
        <v>7.4708885560100327E-4</v>
      </c>
      <c r="X18" s="52" t="s">
        <v>16</v>
      </c>
      <c r="Y18" s="52" t="s">
        <v>261</v>
      </c>
      <c r="Z18" s="144">
        <f>((Z5*Z7*Z6)/((Z12/24)*(1-EXP(-Z7*Z10))*Z11*Z13*Z9*Z10))/Z20</f>
        <v>7.4708885560100327E-4</v>
      </c>
      <c r="AA18" s="52" t="s">
        <v>16</v>
      </c>
      <c r="AB18" s="83" t="s">
        <v>412</v>
      </c>
      <c r="AC18" s="136">
        <f>B22</f>
        <v>10.423439999999999</v>
      </c>
      <c r="AD18" s="136">
        <f>B22</f>
        <v>10.423439999999999</v>
      </c>
      <c r="AE18" s="136">
        <f>B22</f>
        <v>10.423439999999999</v>
      </c>
      <c r="AF18" s="136">
        <f>B22</f>
        <v>10.423439999999999</v>
      </c>
      <c r="AG18" s="136">
        <f>B22</f>
        <v>10.423439999999999</v>
      </c>
      <c r="AH18" s="83" t="s">
        <v>351</v>
      </c>
      <c r="BS18" s="52" t="s">
        <v>261</v>
      </c>
      <c r="BT18" s="143">
        <f>((BT5)/(BT9*BT10))/BT27</f>
        <v>9.5907432913048072E-3</v>
      </c>
      <c r="BU18" s="52" t="s">
        <v>15</v>
      </c>
      <c r="BV18" s="83" t="s">
        <v>433</v>
      </c>
      <c r="BW18" s="150">
        <f>B122</f>
        <v>55</v>
      </c>
      <c r="BX18" s="83" t="s">
        <v>24</v>
      </c>
      <c r="BY18" s="83" t="s">
        <v>441</v>
      </c>
      <c r="BZ18" s="146">
        <f>B107</f>
        <v>100</v>
      </c>
      <c r="CA18" s="84" t="s">
        <v>48</v>
      </c>
      <c r="CB18" s="274" t="s">
        <v>572</v>
      </c>
      <c r="CC18" s="270"/>
      <c r="CD18" s="270"/>
      <c r="CE18" s="271" t="s">
        <v>573</v>
      </c>
      <c r="CF18" s="270"/>
      <c r="CG18" s="273"/>
      <c r="CH18" s="83"/>
      <c r="CI18" s="83"/>
      <c r="CJ18" s="83"/>
      <c r="CT18" s="83" t="s">
        <v>264</v>
      </c>
      <c r="CU18" s="153">
        <f>DD2</f>
        <v>1.3354837250174358E-3</v>
      </c>
      <c r="CV18" s="92" t="s">
        <v>290</v>
      </c>
      <c r="CW18" s="83" t="s">
        <v>301</v>
      </c>
      <c r="CX18" s="142">
        <f>B176</f>
        <v>2</v>
      </c>
      <c r="CZ18" s="91" t="s">
        <v>272</v>
      </c>
      <c r="DA18" s="144" t="e">
        <f>EZ2</f>
        <v>#DIV/0!</v>
      </c>
      <c r="DB18" s="83" t="s">
        <v>290</v>
      </c>
      <c r="DC18" s="88"/>
      <c r="DD18" s="136">
        <v>1000</v>
      </c>
      <c r="DE18" s="92" t="s">
        <v>99</v>
      </c>
      <c r="DF18" s="92" t="s">
        <v>68</v>
      </c>
      <c r="DG18" s="142">
        <f>B195</f>
        <v>2</v>
      </c>
      <c r="DH18" s="83" t="s">
        <v>56</v>
      </c>
      <c r="DL18" s="92"/>
      <c r="DM18" s="83"/>
      <c r="DN18" s="83"/>
      <c r="DO18" s="92" t="s">
        <v>68</v>
      </c>
      <c r="DP18" s="142">
        <f>B195</f>
        <v>2</v>
      </c>
      <c r="DQ18" s="83" t="s">
        <v>56</v>
      </c>
      <c r="DR18" s="83" t="s">
        <v>476</v>
      </c>
      <c r="DS18" s="146">
        <f>B164</f>
        <v>0.85</v>
      </c>
      <c r="DU18" s="92"/>
      <c r="DV18" s="83"/>
      <c r="DW18" s="83"/>
      <c r="DX18" s="84" t="s">
        <v>16</v>
      </c>
      <c r="DY18" s="137">
        <f>(DY15*DY16)/(1-EXP(-DY16*DY15))</f>
        <v>1.0002165781331087</v>
      </c>
      <c r="EA18" s="92"/>
      <c r="EB18" s="83"/>
      <c r="EC18" s="83"/>
      <c r="ED18" s="92" t="s">
        <v>68</v>
      </c>
      <c r="EE18" s="142">
        <f>B195</f>
        <v>2</v>
      </c>
      <c r="EF18" s="83" t="s">
        <v>56</v>
      </c>
      <c r="EG18" s="83" t="s">
        <v>476</v>
      </c>
      <c r="EH18" s="146">
        <f>B164</f>
        <v>0.85</v>
      </c>
      <c r="EJ18" s="92"/>
      <c r="EK18" s="83"/>
      <c r="EL18" s="83"/>
      <c r="EN18" s="138"/>
      <c r="EP18" s="92"/>
      <c r="EQ18" s="83"/>
      <c r="ER18" s="83"/>
      <c r="ES18" s="92" t="s">
        <v>68</v>
      </c>
      <c r="ET18" s="142">
        <f>B195</f>
        <v>2</v>
      </c>
      <c r="EU18" s="83" t="s">
        <v>56</v>
      </c>
      <c r="EV18" s="83" t="s">
        <v>476</v>
      </c>
      <c r="EW18" s="141">
        <f>B164</f>
        <v>0.85</v>
      </c>
      <c r="EX18" s="92"/>
      <c r="EY18" s="83"/>
      <c r="EZ18" s="83"/>
      <c r="FA18" s="83"/>
      <c r="FB18" s="83"/>
      <c r="FC18" s="142"/>
      <c r="FD18" s="83"/>
      <c r="FE18" s="83"/>
      <c r="FF18" s="83"/>
      <c r="FG18" s="83"/>
      <c r="FH18" s="83" t="s">
        <v>68</v>
      </c>
      <c r="FI18" s="142">
        <f>B195</f>
        <v>2</v>
      </c>
      <c r="FJ18" s="83" t="s">
        <v>56</v>
      </c>
      <c r="FK18" s="83" t="s">
        <v>476</v>
      </c>
      <c r="FL18" s="141">
        <f>B164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B164</f>
        <v>0.85</v>
      </c>
      <c r="GB18" s="92"/>
      <c r="GC18" s="83"/>
      <c r="GD18" s="83"/>
      <c r="GE18" s="83"/>
      <c r="GF18" s="83"/>
      <c r="GG18" s="142"/>
      <c r="GH18" s="83"/>
      <c r="GI18" s="83"/>
      <c r="GJ18" s="83"/>
      <c r="GK18" s="83"/>
      <c r="GL18" s="83" t="s">
        <v>68</v>
      </c>
      <c r="GM18" s="142">
        <f>B195</f>
        <v>2</v>
      </c>
      <c r="GN18" s="83" t="s">
        <v>56</v>
      </c>
      <c r="GO18" s="95" t="s">
        <v>287</v>
      </c>
      <c r="GP18" s="176">
        <v>27.027027027027</v>
      </c>
      <c r="GQ18" s="52" t="s">
        <v>288</v>
      </c>
      <c r="GR18" s="83"/>
      <c r="GS18" s="83"/>
      <c r="GT18" s="83"/>
      <c r="GU18" s="83"/>
      <c r="GV18" s="142"/>
      <c r="GW18" s="83"/>
      <c r="GX18" s="83"/>
      <c r="GY18" s="83"/>
      <c r="GZ18" s="83"/>
      <c r="HA18" s="83" t="s">
        <v>68</v>
      </c>
      <c r="HB18" s="142">
        <f>B195</f>
        <v>2</v>
      </c>
      <c r="HC18" s="83" t="s">
        <v>56</v>
      </c>
    </row>
    <row r="19" spans="1:214" ht="19.5" thickTop="1" thickBot="1" x14ac:dyDescent="0.25">
      <c r="A19" s="83" t="s">
        <v>248</v>
      </c>
      <c r="B19" s="183">
        <v>1.67911012348351E-3</v>
      </c>
      <c r="C19" s="84" t="s">
        <v>259</v>
      </c>
      <c r="D19" s="52" t="s">
        <v>261</v>
      </c>
      <c r="E19" s="143">
        <f>((E5)/((E15/E16)*E11*E12))/E27</f>
        <v>7.3262622364133939E-4</v>
      </c>
      <c r="F19" s="52" t="s">
        <v>15</v>
      </c>
      <c r="G19" s="83" t="s">
        <v>366</v>
      </c>
      <c r="H19" s="146">
        <f>B50</f>
        <v>5</v>
      </c>
      <c r="I19" s="52" t="s">
        <v>407</v>
      </c>
      <c r="J19" s="83" t="s">
        <v>445</v>
      </c>
      <c r="K19" s="155">
        <f>K21*K31*K51+K22*K32*K52</f>
        <v>9225</v>
      </c>
      <c r="L19" s="83" t="s">
        <v>346</v>
      </c>
      <c r="V19" s="52" t="s">
        <v>271</v>
      </c>
      <c r="W19" s="145">
        <f>((W5*W7*W6)/((W12/24)*(1-EXP(-W7*W6))*W14*W9*(1/365)))/W20</f>
        <v>3.361730869902717E-5</v>
      </c>
      <c r="X19" s="52" t="s">
        <v>16</v>
      </c>
      <c r="Y19" s="52" t="s">
        <v>271</v>
      </c>
      <c r="Z19" s="145">
        <f>((Z5*Z7*Z6)/((Z12/24)*(1-EXP(-Z7*Z6))*Z14*Z9*(1/365)))/Z20</f>
        <v>3.361730869902717E-5</v>
      </c>
      <c r="AA19" s="52" t="s">
        <v>16</v>
      </c>
      <c r="AB19" s="83" t="s">
        <v>247</v>
      </c>
      <c r="AC19" s="139">
        <f>B18</f>
        <v>3.8043873993229303E-2</v>
      </c>
      <c r="AD19" s="139">
        <f>B18</f>
        <v>3.8043873993229303E-2</v>
      </c>
      <c r="AE19" s="139">
        <f>B18</f>
        <v>3.8043873993229303E-2</v>
      </c>
      <c r="AF19" s="139">
        <f>B18</f>
        <v>3.8043873993229303E-2</v>
      </c>
      <c r="AG19" s="139">
        <f>B18</f>
        <v>3.8043873993229303E-2</v>
      </c>
      <c r="AH19" s="84" t="s">
        <v>259</v>
      </c>
      <c r="BS19" s="52" t="s">
        <v>271</v>
      </c>
      <c r="BT19" s="144">
        <f>((BT5)/(BT16*BT8*(1/365)*BT15*(1/24)*BT17))/BT27</f>
        <v>3.8193215342709083E-5</v>
      </c>
      <c r="BU19" s="52" t="s">
        <v>15</v>
      </c>
      <c r="BV19" s="83" t="s">
        <v>434</v>
      </c>
      <c r="BW19" s="150">
        <f>B123</f>
        <v>55</v>
      </c>
      <c r="BX19" s="83" t="s">
        <v>24</v>
      </c>
      <c r="BY19" s="83" t="s">
        <v>442</v>
      </c>
      <c r="BZ19" s="146">
        <f>B108</f>
        <v>50</v>
      </c>
      <c r="CA19" s="84" t="s">
        <v>48</v>
      </c>
      <c r="CB19" s="267" t="s">
        <v>537</v>
      </c>
      <c r="CC19" s="261">
        <f>((CC22*CC23*CC24)/((1-EXP(-CC24*CC23))*CC31*(CC26/365)*CC29*(CC30/24)*CC28))/CC32</f>
        <v>510.29265521639627</v>
      </c>
      <c r="CD19" s="278" t="s">
        <v>290</v>
      </c>
      <c r="CE19" s="258" t="s">
        <v>537</v>
      </c>
      <c r="CF19" s="261">
        <f>((CF22*CF23*CF24)/((1-EXP(-CF24*CF23))*CF31*(CF26/365)*CF29*(CF30/24)*CF28))/CF32</f>
        <v>4.2170329886466371</v>
      </c>
      <c r="CG19" s="264" t="s">
        <v>290</v>
      </c>
      <c r="CK19" s="274" t="s">
        <v>576</v>
      </c>
      <c r="CL19" s="270"/>
      <c r="CM19" s="270"/>
      <c r="CN19" s="271" t="s">
        <v>576</v>
      </c>
      <c r="CO19" s="270"/>
      <c r="CP19" s="270"/>
      <c r="CQ19" s="271" t="s">
        <v>576</v>
      </c>
      <c r="CR19" s="270"/>
      <c r="CS19" s="273"/>
      <c r="CT19" s="91" t="s">
        <v>272</v>
      </c>
      <c r="CU19" s="144" t="e">
        <f>FC2</f>
        <v>#DIV/0!</v>
      </c>
      <c r="CV19" s="92" t="s">
        <v>290</v>
      </c>
      <c r="CW19" s="52" t="s">
        <v>261</v>
      </c>
      <c r="CX19" s="143">
        <f>((CX5)/((CX15/CX16)*CX11*CX12))/CX27</f>
        <v>7.0094508964603822E-4</v>
      </c>
      <c r="CY19" s="52" t="s">
        <v>15</v>
      </c>
      <c r="CZ19" s="91" t="s">
        <v>273</v>
      </c>
      <c r="DA19" s="144" t="e">
        <f>GS2</f>
        <v>#DIV/0!</v>
      </c>
      <c r="DB19" s="83" t="s">
        <v>290</v>
      </c>
      <c r="DC19" s="92" t="s">
        <v>72</v>
      </c>
      <c r="DD19" s="146">
        <f>B182</f>
        <v>1</v>
      </c>
      <c r="DE19" s="93"/>
      <c r="DF19" s="92" t="s">
        <v>70</v>
      </c>
      <c r="DG19" s="138">
        <f>B196</f>
        <v>2.6999999999999999E-5</v>
      </c>
      <c r="DH19" s="52" t="s">
        <v>64</v>
      </c>
      <c r="DL19" s="92"/>
      <c r="DO19" s="92" t="s">
        <v>70</v>
      </c>
      <c r="DP19" s="138">
        <f>B196</f>
        <v>2.6999999999999999E-5</v>
      </c>
      <c r="DQ19" s="52" t="s">
        <v>64</v>
      </c>
      <c r="DR19" s="95" t="s">
        <v>287</v>
      </c>
      <c r="DS19" s="176">
        <v>27.027027027027</v>
      </c>
      <c r="DT19" s="52" t="s">
        <v>288</v>
      </c>
      <c r="DU19" s="92"/>
      <c r="EA19" s="92"/>
      <c r="EB19" s="84"/>
      <c r="EC19" s="84"/>
      <c r="ED19" s="92" t="s">
        <v>70</v>
      </c>
      <c r="EE19" s="163">
        <f>B196</f>
        <v>2.6999999999999999E-5</v>
      </c>
      <c r="EF19" s="84" t="s">
        <v>64</v>
      </c>
      <c r="EG19" s="95" t="s">
        <v>287</v>
      </c>
      <c r="EH19" s="176">
        <v>27.027027027027</v>
      </c>
      <c r="EI19" s="52" t="s">
        <v>288</v>
      </c>
      <c r="EJ19" s="92"/>
      <c r="EP19" s="92"/>
      <c r="EQ19" s="84"/>
      <c r="ER19" s="84"/>
      <c r="ES19" s="92" t="s">
        <v>70</v>
      </c>
      <c r="ET19" s="163">
        <f>B196</f>
        <v>2.6999999999999999E-5</v>
      </c>
      <c r="EU19" s="84" t="s">
        <v>64</v>
      </c>
      <c r="EV19" s="95" t="s">
        <v>287</v>
      </c>
      <c r="EW19" s="176">
        <v>27.027027027027</v>
      </c>
      <c r="EX19" s="52" t="s">
        <v>288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B196</f>
        <v>2.6999999999999999E-5</v>
      </c>
      <c r="FJ19" s="84" t="s">
        <v>64</v>
      </c>
      <c r="FK19" s="95" t="s">
        <v>287</v>
      </c>
      <c r="FL19" s="176">
        <v>27.027027027027</v>
      </c>
      <c r="FM19" s="52" t="s">
        <v>288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95" t="s">
        <v>287</v>
      </c>
      <c r="GA19" s="176">
        <v>27.027027027027</v>
      </c>
      <c r="GB19" s="52" t="s">
        <v>288</v>
      </c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B196</f>
        <v>2.6999999999999999E-5</v>
      </c>
      <c r="GN19" s="84" t="s">
        <v>64</v>
      </c>
      <c r="GP19" s="138"/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B196</f>
        <v>2.6999999999999999E-5</v>
      </c>
      <c r="HC19" s="84" t="s">
        <v>64</v>
      </c>
    </row>
    <row r="20" spans="1:214" ht="19.5" thickTop="1" thickBot="1" x14ac:dyDescent="0.25">
      <c r="A20" s="83" t="s">
        <v>249</v>
      </c>
      <c r="B20" s="183">
        <v>1.67911012348351E-3</v>
      </c>
      <c r="C20" s="83" t="s">
        <v>259</v>
      </c>
      <c r="D20" s="52" t="s">
        <v>271</v>
      </c>
      <c r="E20" s="144">
        <f>((E5)/((E15/E16)*E8*E17*(1/365)*E18))/E27</f>
        <v>2.9175372831236107E-6</v>
      </c>
      <c r="F20" s="52" t="s">
        <v>15</v>
      </c>
      <c r="G20" s="83" t="s">
        <v>367</v>
      </c>
      <c r="H20" s="146">
        <f>B51</f>
        <v>10</v>
      </c>
      <c r="I20" s="52" t="s">
        <v>407</v>
      </c>
      <c r="J20" s="83" t="s">
        <v>396</v>
      </c>
      <c r="K20" s="155">
        <f>(K31*K23*(K34/24)*K51)+(K32*K24*(K35/24)*K52)</f>
        <v>1327.5</v>
      </c>
      <c r="L20" s="52" t="s">
        <v>407</v>
      </c>
      <c r="M20" s="325" t="s">
        <v>566</v>
      </c>
      <c r="N20" s="326"/>
      <c r="O20" s="326"/>
      <c r="P20" s="327" t="s">
        <v>536</v>
      </c>
      <c r="Q20" s="326"/>
      <c r="R20" s="329"/>
      <c r="V20" s="95" t="s">
        <v>287</v>
      </c>
      <c r="W20" s="176">
        <v>27.027027027027</v>
      </c>
      <c r="X20" s="52" t="s">
        <v>288</v>
      </c>
      <c r="Y20" s="95" t="s">
        <v>287</v>
      </c>
      <c r="Z20" s="176">
        <v>27.027027027027</v>
      </c>
      <c r="AA20" s="52" t="s">
        <v>288</v>
      </c>
      <c r="AB20" s="83" t="s">
        <v>83</v>
      </c>
      <c r="AC20" s="139">
        <f>B232</f>
        <v>5</v>
      </c>
      <c r="AD20" s="139">
        <f>B242</f>
        <v>5</v>
      </c>
      <c r="AE20" s="139">
        <f>B252</f>
        <v>5</v>
      </c>
      <c r="AF20" s="139">
        <f>B262</f>
        <v>5</v>
      </c>
      <c r="AG20" s="139">
        <f>B273</f>
        <v>5</v>
      </c>
      <c r="AH20" s="84" t="s">
        <v>194</v>
      </c>
      <c r="AI20" s="296" t="s">
        <v>558</v>
      </c>
      <c r="AJ20" s="294"/>
      <c r="AK20" s="297"/>
      <c r="AL20" s="293" t="s">
        <v>545</v>
      </c>
      <c r="AM20" s="294"/>
      <c r="AN20" s="295"/>
      <c r="AR20" s="296" t="s">
        <v>560</v>
      </c>
      <c r="AS20" s="294"/>
      <c r="AT20" s="297"/>
      <c r="AU20" s="293" t="s">
        <v>550</v>
      </c>
      <c r="AV20" s="294"/>
      <c r="AW20" s="295"/>
      <c r="BA20" s="296" t="s">
        <v>562</v>
      </c>
      <c r="BB20" s="294"/>
      <c r="BC20" s="297"/>
      <c r="BD20" s="293" t="s">
        <v>553</v>
      </c>
      <c r="BE20" s="294"/>
      <c r="BF20" s="295"/>
      <c r="BJ20" s="296" t="s">
        <v>563</v>
      </c>
      <c r="BK20" s="294"/>
      <c r="BL20" s="297"/>
      <c r="BM20" s="293" t="s">
        <v>556</v>
      </c>
      <c r="BN20" s="294"/>
      <c r="BO20" s="295"/>
      <c r="BS20" s="52" t="s">
        <v>261</v>
      </c>
      <c r="BT20" s="144">
        <f>((BT5*BT24*BT6)/((1-EXP(-BT6*BT24))*BT9*BT10))/BT27</f>
        <v>9.5928204365819617E-3</v>
      </c>
      <c r="BU20" s="52" t="s">
        <v>16</v>
      </c>
      <c r="BV20" s="52" t="s">
        <v>443</v>
      </c>
      <c r="BW20" s="138">
        <f>B119</f>
        <v>5</v>
      </c>
      <c r="BX20" s="52" t="s">
        <v>89</v>
      </c>
      <c r="BY20" s="83" t="s">
        <v>429</v>
      </c>
      <c r="BZ20" s="141">
        <f>B103</f>
        <v>5</v>
      </c>
      <c r="CA20" s="92" t="s">
        <v>407</v>
      </c>
      <c r="CB20" s="268"/>
      <c r="CC20" s="262"/>
      <c r="CD20" s="279"/>
      <c r="CE20" s="259"/>
      <c r="CF20" s="262"/>
      <c r="CG20" s="265"/>
      <c r="CK20" s="267" t="s">
        <v>530</v>
      </c>
      <c r="CL20" s="261">
        <f>(CL23/(CL24*CL25*CL26))/CL27</f>
        <v>0.13354837250174359</v>
      </c>
      <c r="CM20" s="255" t="s">
        <v>290</v>
      </c>
      <c r="CN20" s="258" t="s">
        <v>7</v>
      </c>
      <c r="CO20" s="261">
        <f>(CL20/(CO23*((CO28*CO30*CO31*(CO24+CO25))+(CO29*CO30))))*CO34</f>
        <v>12.808327324917476</v>
      </c>
      <c r="CP20" s="255" t="s">
        <v>290</v>
      </c>
      <c r="CQ20" s="258" t="s">
        <v>6</v>
      </c>
      <c r="CR20" s="261">
        <f>CL20/(CR23*CR24*(1/CR25))</f>
        <v>39278.933088748112</v>
      </c>
      <c r="CS20" s="264" t="s">
        <v>290</v>
      </c>
      <c r="CT20" s="91" t="s">
        <v>273</v>
      </c>
      <c r="CU20" s="144" t="e">
        <f>GV2</f>
        <v>#DIV/0!</v>
      </c>
      <c r="CV20" s="92" t="s">
        <v>290</v>
      </c>
      <c r="CW20" s="52" t="s">
        <v>271</v>
      </c>
      <c r="CX20" s="144">
        <f>((CX5)/((CX15/CX16)*CX8*CX17*(1/365)*CX18))/CX27</f>
        <v>2.9175372831236107E-6</v>
      </c>
      <c r="CY20" s="52" t="s">
        <v>15</v>
      </c>
      <c r="CZ20" s="91" t="s">
        <v>274</v>
      </c>
      <c r="DA20" s="144">
        <f>EK2</f>
        <v>2.9644477802828764E-2</v>
      </c>
      <c r="DB20" s="83" t="s">
        <v>290</v>
      </c>
      <c r="DC20" s="83" t="s">
        <v>475</v>
      </c>
      <c r="DD20" s="146">
        <f>B163</f>
        <v>0.15</v>
      </c>
      <c r="DF20" s="92" t="s">
        <v>71</v>
      </c>
      <c r="DG20" s="137">
        <f>0.693/DG23</f>
        <v>1.1866438356164383E-6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H20" s="138"/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GA20" s="138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83" t="s">
        <v>250</v>
      </c>
      <c r="B21" s="183">
        <v>1.036E-3</v>
      </c>
      <c r="C21" s="83" t="s">
        <v>259</v>
      </c>
      <c r="D21" s="52" t="s">
        <v>261</v>
      </c>
      <c r="E21" s="144">
        <f>((E5*E10*E6)/((1-EXP(-E6*E10))*E11*E12))/E27</f>
        <v>7.3278489446112203E-4</v>
      </c>
      <c r="F21" s="52" t="s">
        <v>16</v>
      </c>
      <c r="G21" s="83" t="s">
        <v>397</v>
      </c>
      <c r="H21" s="148">
        <f>(H29*H36*H32*H68)+(H30*H37*H33*H69)</f>
        <v>476.25</v>
      </c>
      <c r="I21" s="83" t="s">
        <v>356</v>
      </c>
      <c r="J21" s="83" t="s">
        <v>368</v>
      </c>
      <c r="K21" s="146">
        <f>B52</f>
        <v>100</v>
      </c>
      <c r="L21" s="84" t="s">
        <v>48</v>
      </c>
      <c r="M21" s="330" t="s">
        <v>537</v>
      </c>
      <c r="N21" s="333">
        <f>((N24*N25*N26)/((1-EXP(-N26*N25))*N34*N32*(N28/365)*(((N33/24)*N31)+((N35/24)*N30))))/N36</f>
        <v>1.2785021765843287</v>
      </c>
      <c r="O21" s="336" t="s">
        <v>292</v>
      </c>
      <c r="P21" s="339" t="s">
        <v>537</v>
      </c>
      <c r="Q21" s="333">
        <f>((Q24*Q25*Q26)/((1-EXP(-Q26*Q25))*Q34*Q32*(Q28/365)*(((Q33/24)*Q31)+((Q35/24)*Q30))))/Q36</f>
        <v>2.092736385611248E-2</v>
      </c>
      <c r="R21" s="342" t="s">
        <v>290</v>
      </c>
      <c r="AB21" s="83" t="s">
        <v>85</v>
      </c>
      <c r="AC21" s="139">
        <f>B233</f>
        <v>5</v>
      </c>
      <c r="AD21" s="139">
        <f>B243</f>
        <v>5</v>
      </c>
      <c r="AE21" s="139">
        <f>B253</f>
        <v>5</v>
      </c>
      <c r="AF21" s="139">
        <f>B263</f>
        <v>5</v>
      </c>
      <c r="AG21" s="139">
        <f>B274</f>
        <v>5</v>
      </c>
      <c r="AH21" s="84" t="s">
        <v>194</v>
      </c>
      <c r="AI21" s="306" t="s">
        <v>537</v>
      </c>
      <c r="AJ21" s="303">
        <f>((AJ24*AJ25*AJ26)/((1-EXP(-AJ26*AJ25))*AJ34*(AJ28/365)*AJ29*(AJ35/24)*AJ30*AJ32))/AJ36</f>
        <v>7.7237896293553741</v>
      </c>
      <c r="AK21" s="290" t="s">
        <v>292</v>
      </c>
      <c r="AL21" s="287" t="s">
        <v>537</v>
      </c>
      <c r="AM21" s="303">
        <f>((AM24*AM25*AM26)/((1-EXP(-AM26*AM25))*AM34*(AM28/365)*AM29*(AM35/24)*AM30*AM32))/AM36</f>
        <v>0.12728692372931005</v>
      </c>
      <c r="AN21" s="281" t="s">
        <v>290</v>
      </c>
      <c r="AR21" s="306" t="s">
        <v>537</v>
      </c>
      <c r="AS21" s="303">
        <f>((AS24*AS25*AS26)/((1-EXP(-AS26*AS25))*AS34*(AS28/365)*AS29*(AS33/24)*AS31*AS32))/AS36</f>
        <v>224.52876829521435</v>
      </c>
      <c r="AT21" s="290" t="s">
        <v>292</v>
      </c>
      <c r="AU21" s="287" t="s">
        <v>537</v>
      </c>
      <c r="AV21" s="303">
        <f>((AV24*AV25*AV26)/((1-EXP(-AV26*AV25))*AV34*(AV28/365)*AV29*(AV33/24)*AV31*AV32))/AV36</f>
        <v>1.8554945150045199</v>
      </c>
      <c r="AW21" s="281" t="s">
        <v>290</v>
      </c>
      <c r="BA21" s="306" t="s">
        <v>537</v>
      </c>
      <c r="BB21" s="303">
        <f>((BB24*BB25*BB26)/((1-EXP(-BB26*BB25))*BB34*(BB28/365)*(BB33/24)*BB31*BB32))/BB36</f>
        <v>224.52876829521435</v>
      </c>
      <c r="BC21" s="290" t="s">
        <v>292</v>
      </c>
      <c r="BD21" s="287" t="s">
        <v>537</v>
      </c>
      <c r="BE21" s="303">
        <f>((BE24*BE25*BE26)/((1-EXP(-BE26*BE25))*BE34*(BE28/365)*(BE33/24)*BE31*BE32))/BE36</f>
        <v>1.8554945150045199</v>
      </c>
      <c r="BF21" s="281" t="s">
        <v>290</v>
      </c>
      <c r="BJ21" s="306" t="s">
        <v>537</v>
      </c>
      <c r="BK21" s="284">
        <f>((BK24*BK25*BK26)/((1-EXP(-BK26*BK25))*BK35*(BK28/365)*(BK34/24)*BK32*BK33))/BK36</f>
        <v>374.21461382535739</v>
      </c>
      <c r="BL21" s="290" t="s">
        <v>292</v>
      </c>
      <c r="BM21" s="287" t="s">
        <v>537</v>
      </c>
      <c r="BN21" s="284">
        <f>((BN24*BN25*BN26)/((1-EXP(-BN26*BN25))*BN35*(BN28/365)*(BN34/24)*BN32*BN33))/BN36</f>
        <v>3.0924908583408666</v>
      </c>
      <c r="BO21" s="281" t="s">
        <v>290</v>
      </c>
      <c r="BS21" s="52" t="s">
        <v>271</v>
      </c>
      <c r="BT21" s="145">
        <f>((BT5*BT24*BT6)/((1-EXP(-BT6*BT24))*BT16*BT8*(1/365)*BT15*(1/24)*BT17))/BT27</f>
        <v>3.8201487157985429E-5</v>
      </c>
      <c r="BU21" s="52" t="s">
        <v>16</v>
      </c>
      <c r="BV21" s="52" t="s">
        <v>444</v>
      </c>
      <c r="BW21" s="138">
        <f>B120</f>
        <v>5</v>
      </c>
      <c r="BX21" s="52" t="s">
        <v>89</v>
      </c>
      <c r="BY21" s="83" t="s">
        <v>430</v>
      </c>
      <c r="BZ21" s="141">
        <f>B104</f>
        <v>10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56"/>
      <c r="CN21" s="259"/>
      <c r="CO21" s="262"/>
      <c r="CP21" s="256"/>
      <c r="CQ21" s="259"/>
      <c r="CR21" s="262"/>
      <c r="CS21" s="265"/>
      <c r="CT21" s="91" t="s">
        <v>274</v>
      </c>
      <c r="CU21" s="144">
        <f>EN2</f>
        <v>0.43142313624917411</v>
      </c>
      <c r="CV21" s="92" t="s">
        <v>290</v>
      </c>
      <c r="CW21" s="52" t="s">
        <v>261</v>
      </c>
      <c r="CX21" s="144">
        <f>((CX5*CX10*CX6)/((CX15/CX16)*(1-EXP(-CX6*CX9))*CX11*CX12))/CX27</f>
        <v>7.0109689902496538E-4</v>
      </c>
      <c r="CY21" s="52" t="s">
        <v>16</v>
      </c>
      <c r="CZ21" s="91" t="s">
        <v>509</v>
      </c>
      <c r="DA21" s="144">
        <f>DV2</f>
        <v>78.692690890615481</v>
      </c>
      <c r="DB21" s="83" t="s">
        <v>290</v>
      </c>
      <c r="DC21" s="83" t="s">
        <v>476</v>
      </c>
      <c r="DD21" s="146">
        <f>B164</f>
        <v>0.85</v>
      </c>
      <c r="DF21" s="92" t="s">
        <v>73</v>
      </c>
      <c r="DG21" s="138">
        <f>B197</f>
        <v>1</v>
      </c>
      <c r="DH21" s="52" t="s">
        <v>41</v>
      </c>
      <c r="DL21" s="92"/>
      <c r="DO21" s="92" t="s">
        <v>73</v>
      </c>
      <c r="DP21" s="138">
        <f>B197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B197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B197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B197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B197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B197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83" t="s">
        <v>251</v>
      </c>
      <c r="B22" s="183">
        <v>10.423439999999999</v>
      </c>
      <c r="C22" s="83" t="s">
        <v>351</v>
      </c>
      <c r="D22" s="52" t="s">
        <v>271</v>
      </c>
      <c r="E22" s="145">
        <f>((E5*E10*E6)/((E15/E16)*E8*(1-EXP(-E6*E10))*E17*(1/365)*E18))/E27</f>
        <v>2.9181691579016646E-6</v>
      </c>
      <c r="F22" s="52" t="s">
        <v>16</v>
      </c>
      <c r="G22" s="83" t="s">
        <v>398</v>
      </c>
      <c r="H22" s="149">
        <f>(H29*H23*H68)+(H30*H24*H69)</f>
        <v>8250</v>
      </c>
      <c r="I22" s="92" t="s">
        <v>347</v>
      </c>
      <c r="J22" s="83" t="s">
        <v>369</v>
      </c>
      <c r="K22" s="146">
        <f>B53</f>
        <v>50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B234</f>
        <v>0.4</v>
      </c>
      <c r="AD22" s="150">
        <f>B244</f>
        <v>0.4</v>
      </c>
      <c r="AE22" s="150">
        <f>B254</f>
        <v>0.4</v>
      </c>
      <c r="AF22" s="150">
        <f>B264</f>
        <v>0.4</v>
      </c>
      <c r="AG22" s="150">
        <f>B275</f>
        <v>0.4</v>
      </c>
      <c r="AI22" s="307"/>
      <c r="AJ22" s="304"/>
      <c r="AK22" s="291"/>
      <c r="AL22" s="288"/>
      <c r="AM22" s="304"/>
      <c r="AN22" s="282"/>
      <c r="AR22" s="307"/>
      <c r="AS22" s="304"/>
      <c r="AT22" s="291"/>
      <c r="AU22" s="288"/>
      <c r="AV22" s="304"/>
      <c r="AW22" s="282"/>
      <c r="BA22" s="307"/>
      <c r="BB22" s="304"/>
      <c r="BC22" s="291"/>
      <c r="BD22" s="288"/>
      <c r="BE22" s="304"/>
      <c r="BF22" s="282"/>
      <c r="BJ22" s="307"/>
      <c r="BK22" s="285"/>
      <c r="BL22" s="291"/>
      <c r="BM22" s="288"/>
      <c r="BN22" s="285"/>
      <c r="BO22" s="282"/>
      <c r="BS22" s="52" t="s">
        <v>433</v>
      </c>
      <c r="BT22" s="138">
        <f>B114</f>
        <v>55</v>
      </c>
      <c r="BU22" s="52" t="s">
        <v>24</v>
      </c>
      <c r="BV22" s="83" t="s">
        <v>90</v>
      </c>
      <c r="BW22" s="150">
        <f>B118</f>
        <v>5</v>
      </c>
      <c r="BX22" s="52" t="s">
        <v>194</v>
      </c>
      <c r="BY22" s="83" t="s">
        <v>140</v>
      </c>
      <c r="BZ22" s="150">
        <f>B113</f>
        <v>55</v>
      </c>
      <c r="CA22" s="83" t="s">
        <v>24</v>
      </c>
      <c r="CB22" s="52" t="s">
        <v>267</v>
      </c>
      <c r="CC22" s="136">
        <f>B17</f>
        <v>1</v>
      </c>
      <c r="CD22" s="52" t="s">
        <v>344</v>
      </c>
      <c r="CE22" s="52" t="s">
        <v>267</v>
      </c>
      <c r="CF22" s="136">
        <f>B17</f>
        <v>1</v>
      </c>
      <c r="CG22" s="52" t="s">
        <v>344</v>
      </c>
      <c r="CK22" s="269"/>
      <c r="CL22" s="263"/>
      <c r="CM22" s="257"/>
      <c r="CN22" s="260"/>
      <c r="CO22" s="263"/>
      <c r="CP22" s="257"/>
      <c r="CQ22" s="260"/>
      <c r="CR22" s="263"/>
      <c r="CS22" s="266"/>
      <c r="CT22" s="91" t="s">
        <v>275</v>
      </c>
      <c r="CU22" s="144">
        <f>DY2</f>
        <v>1.2441874759224418</v>
      </c>
      <c r="CV22" s="92" t="s">
        <v>290</v>
      </c>
      <c r="CW22" s="52" t="s">
        <v>271</v>
      </c>
      <c r="CX22" s="145">
        <f>((CX5*CX10*CX6)/((CX15/CX16)*CX8*(1-EXP(-CX6*CX10))*CX17*(1/365)*CX18))/CX27</f>
        <v>2.9181691579016646E-6</v>
      </c>
      <c r="CY22" s="52" t="s">
        <v>16</v>
      </c>
      <c r="CZ22" s="91" t="s">
        <v>510</v>
      </c>
      <c r="DA22" s="144" t="e">
        <f>GD2</f>
        <v>#DIV/0!</v>
      </c>
      <c r="DB22" s="83" t="s">
        <v>290</v>
      </c>
      <c r="DC22" s="95" t="s">
        <v>287</v>
      </c>
      <c r="DD22" s="176">
        <v>27.027027027027</v>
      </c>
      <c r="DE22" s="52" t="s">
        <v>288</v>
      </c>
      <c r="DF22" s="92" t="s">
        <v>74</v>
      </c>
      <c r="DG22" s="138">
        <f>B198</f>
        <v>14</v>
      </c>
      <c r="DH22" s="52" t="s">
        <v>75</v>
      </c>
      <c r="DL22" s="92"/>
      <c r="DO22" s="92" t="s">
        <v>74</v>
      </c>
      <c r="DP22" s="138">
        <f>B198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B198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B198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B198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B198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B198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252</v>
      </c>
      <c r="B23" s="183">
        <v>1.9522299999999999</v>
      </c>
      <c r="C23" s="83" t="s">
        <v>352</v>
      </c>
      <c r="D23" s="52" t="s">
        <v>380</v>
      </c>
      <c r="E23" s="138">
        <f>B66</f>
        <v>150</v>
      </c>
      <c r="F23" s="52" t="s">
        <v>24</v>
      </c>
      <c r="G23" s="83" t="s">
        <v>399</v>
      </c>
      <c r="H23" s="146">
        <f>B147</f>
        <v>55</v>
      </c>
      <c r="I23" s="92" t="s">
        <v>221</v>
      </c>
      <c r="J23" s="83" t="s">
        <v>366</v>
      </c>
      <c r="K23" s="141">
        <f>B50</f>
        <v>5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308"/>
      <c r="AS23" s="305"/>
      <c r="AT23" s="292"/>
      <c r="AU23" s="289"/>
      <c r="AV23" s="305"/>
      <c r="AW23" s="283"/>
      <c r="BA23" s="308"/>
      <c r="BB23" s="305"/>
      <c r="BC23" s="292"/>
      <c r="BD23" s="289"/>
      <c r="BE23" s="305"/>
      <c r="BF23" s="283"/>
      <c r="BJ23" s="308"/>
      <c r="BK23" s="286"/>
      <c r="BL23" s="292"/>
      <c r="BM23" s="289"/>
      <c r="BN23" s="286"/>
      <c r="BO23" s="283"/>
      <c r="BS23" s="52" t="s">
        <v>434</v>
      </c>
      <c r="BT23" s="138">
        <f>B115</f>
        <v>55</v>
      </c>
      <c r="BU23" s="52" t="s">
        <v>24</v>
      </c>
      <c r="BV23" s="83" t="s">
        <v>435</v>
      </c>
      <c r="BW23" s="138">
        <f>B124</f>
        <v>5</v>
      </c>
      <c r="BX23" s="52" t="s">
        <v>80</v>
      </c>
      <c r="BY23" s="83" t="s">
        <v>434</v>
      </c>
      <c r="BZ23" s="150">
        <f>B115</f>
        <v>55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B17</f>
        <v>1</v>
      </c>
      <c r="CM23" s="52" t="s">
        <v>344</v>
      </c>
      <c r="CN23" s="52" t="s">
        <v>229</v>
      </c>
      <c r="CO23" s="136">
        <f>B41</f>
        <v>1.6999999999999999E-3</v>
      </c>
      <c r="CP23" s="52" t="s">
        <v>268</v>
      </c>
      <c r="CQ23" s="83" t="s">
        <v>229</v>
      </c>
      <c r="CR23" s="136">
        <f>CO23</f>
        <v>1.6999999999999999E-3</v>
      </c>
      <c r="CS23" s="52" t="s">
        <v>268</v>
      </c>
      <c r="CT23" s="91" t="s">
        <v>276</v>
      </c>
      <c r="CU23" s="144" t="e">
        <f>GG2</f>
        <v>#DIV/0!</v>
      </c>
      <c r="CV23" s="92" t="s">
        <v>290</v>
      </c>
      <c r="CW23" s="52" t="s">
        <v>456</v>
      </c>
      <c r="CX23" s="138">
        <f>B165</f>
        <v>150</v>
      </c>
      <c r="CY23" s="52" t="s">
        <v>24</v>
      </c>
      <c r="CZ23" s="91" t="s">
        <v>277</v>
      </c>
      <c r="DA23" s="145">
        <f>FO2</f>
        <v>0.66774186250871792</v>
      </c>
      <c r="DB23" s="83" t="s">
        <v>290</v>
      </c>
      <c r="DD23" s="138"/>
      <c r="DF23" s="83" t="s">
        <v>267</v>
      </c>
      <c r="DG23" s="136">
        <f>B34</f>
        <v>584000</v>
      </c>
      <c r="DH23" s="52" t="s">
        <v>222</v>
      </c>
      <c r="DO23" s="83" t="s">
        <v>19</v>
      </c>
      <c r="DP23" s="161">
        <f>DP25</f>
        <v>1.4800000000000001E-2</v>
      </c>
      <c r="EA23" s="83"/>
      <c r="EB23" s="83"/>
      <c r="EC23" s="84"/>
      <c r="ED23" s="83" t="s">
        <v>19</v>
      </c>
      <c r="EE23" s="161">
        <f>EE25</f>
        <v>1.7000000000000001E-2</v>
      </c>
      <c r="EF23" s="84"/>
      <c r="EP23" s="83"/>
      <c r="EQ23" s="83"/>
      <c r="ER23" s="84"/>
      <c r="ES23" s="83" t="s">
        <v>19</v>
      </c>
      <c r="ET23" s="161">
        <f>ET25</f>
        <v>1.7000000000000001E-2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1.7000000000000001E-2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1.7000000000000001E-2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1.7000000000000001E-2</v>
      </c>
      <c r="HC23" s="84"/>
      <c r="HD23" s="67" t="s">
        <v>14</v>
      </c>
      <c r="HE23" s="222">
        <f>((HE25*HE42)*HE38*HE33*10^-3*HE32*HE27)/(HE31*HE41*(1-EXP(-HE27*HE32)))</f>
        <v>9.8252717574509856E-4</v>
      </c>
      <c r="HF23" s="220" t="s">
        <v>595</v>
      </c>
    </row>
    <row r="24" spans="1:214" ht="14.25" thickTop="1" thickBot="1" x14ac:dyDescent="0.25">
      <c r="A24" s="83" t="s">
        <v>253</v>
      </c>
      <c r="B24" s="183">
        <v>1.92404</v>
      </c>
      <c r="C24" s="83" t="s">
        <v>351</v>
      </c>
      <c r="D24" s="52" t="s">
        <v>381</v>
      </c>
      <c r="E24" s="138">
        <f>B67</f>
        <v>150</v>
      </c>
      <c r="F24" s="52" t="s">
        <v>24</v>
      </c>
      <c r="G24" s="83" t="s">
        <v>310</v>
      </c>
      <c r="H24" s="146">
        <f>B58</f>
        <v>55</v>
      </c>
      <c r="I24" s="92" t="s">
        <v>221</v>
      </c>
      <c r="J24" s="83" t="s">
        <v>367</v>
      </c>
      <c r="K24" s="141">
        <f>B51</f>
        <v>10</v>
      </c>
      <c r="L24" s="52" t="s">
        <v>407</v>
      </c>
      <c r="M24" s="52" t="s">
        <v>267</v>
      </c>
      <c r="N24" s="136">
        <f>B17</f>
        <v>1</v>
      </c>
      <c r="O24" s="52" t="s">
        <v>344</v>
      </c>
      <c r="P24" s="52" t="s">
        <v>267</v>
      </c>
      <c r="Q24" s="136">
        <f>B17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4.3312499999999997E-4</v>
      </c>
      <c r="AD24" s="137">
        <f>0.693/AD25</f>
        <v>4.3312499999999997E-4</v>
      </c>
      <c r="AE24" s="137">
        <f>0.693/AE25</f>
        <v>4.3312499999999997E-4</v>
      </c>
      <c r="AF24" s="137">
        <f>0.693/AF25</f>
        <v>4.3312499999999997E-4</v>
      </c>
      <c r="AG24" s="137">
        <f>0.693/AG25</f>
        <v>4.3312499999999997E-4</v>
      </c>
      <c r="AI24" s="52" t="s">
        <v>267</v>
      </c>
      <c r="AJ24" s="136">
        <f>B17</f>
        <v>1</v>
      </c>
      <c r="AK24" s="52" t="s">
        <v>344</v>
      </c>
      <c r="AL24" s="52" t="s">
        <v>267</v>
      </c>
      <c r="AM24" s="136">
        <f>B17</f>
        <v>1</v>
      </c>
      <c r="AN24" s="52" t="s">
        <v>344</v>
      </c>
      <c r="AR24" s="52" t="s">
        <v>267</v>
      </c>
      <c r="AS24" s="136">
        <f>B17</f>
        <v>1</v>
      </c>
      <c r="AT24" s="52" t="s">
        <v>344</v>
      </c>
      <c r="AU24" s="52" t="s">
        <v>267</v>
      </c>
      <c r="AV24" s="136">
        <f>B17</f>
        <v>1</v>
      </c>
      <c r="AW24" s="52" t="s">
        <v>344</v>
      </c>
      <c r="BA24" s="52" t="s">
        <v>267</v>
      </c>
      <c r="BB24" s="136">
        <f>B17</f>
        <v>1</v>
      </c>
      <c r="BC24" s="52" t="s">
        <v>344</v>
      </c>
      <c r="BD24" s="52" t="s">
        <v>267</v>
      </c>
      <c r="BE24" s="136">
        <f>B17</f>
        <v>1</v>
      </c>
      <c r="BF24" s="52" t="s">
        <v>344</v>
      </c>
      <c r="BJ24" s="52" t="s">
        <v>267</v>
      </c>
      <c r="BK24" s="136">
        <f>B17</f>
        <v>1</v>
      </c>
      <c r="BL24" s="52" t="s">
        <v>344</v>
      </c>
      <c r="BM24" s="52" t="s">
        <v>267</v>
      </c>
      <c r="BN24" s="136">
        <f>B17</f>
        <v>1</v>
      </c>
      <c r="BO24" s="52" t="s">
        <v>344</v>
      </c>
      <c r="BS24" s="91" t="s">
        <v>95</v>
      </c>
      <c r="BT24" s="158">
        <f>B127</f>
        <v>1</v>
      </c>
      <c r="BU24" s="91" t="s">
        <v>60</v>
      </c>
      <c r="BV24" s="83" t="s">
        <v>436</v>
      </c>
      <c r="BW24" s="138">
        <f>B125</f>
        <v>5</v>
      </c>
      <c r="BX24" s="52" t="s">
        <v>80</v>
      </c>
      <c r="BY24" s="83" t="s">
        <v>433</v>
      </c>
      <c r="BZ24" s="150">
        <f>B114</f>
        <v>55</v>
      </c>
      <c r="CA24" s="83" t="s">
        <v>24</v>
      </c>
      <c r="CB24" s="83" t="s">
        <v>22</v>
      </c>
      <c r="CC24" s="137">
        <f>0.693/CC25</f>
        <v>4.3312499999999997E-4</v>
      </c>
      <c r="CE24" s="83" t="s">
        <v>22</v>
      </c>
      <c r="CF24" s="137">
        <f>0.693/CF25</f>
        <v>4.3312499999999997E-4</v>
      </c>
      <c r="CK24" s="52" t="s">
        <v>258</v>
      </c>
      <c r="CL24" s="136">
        <f>B29</f>
        <v>1.67911012348351E-3</v>
      </c>
      <c r="CM24" s="91" t="s">
        <v>10</v>
      </c>
      <c r="CN24" s="52" t="s">
        <v>20</v>
      </c>
      <c r="CO24" s="139">
        <f>CO26</f>
        <v>1.7000000000000001E-2</v>
      </c>
      <c r="CQ24" s="84" t="s">
        <v>170</v>
      </c>
      <c r="CR24" s="162">
        <f>B139</f>
        <v>2</v>
      </c>
      <c r="CS24" s="52" t="s">
        <v>28</v>
      </c>
      <c r="CT24" s="91" t="s">
        <v>277</v>
      </c>
      <c r="CU24" s="145">
        <f>FR2</f>
        <v>6.6788648079469856E-4</v>
      </c>
      <c r="CV24" s="92" t="s">
        <v>290</v>
      </c>
      <c r="CW24" s="52" t="s">
        <v>465</v>
      </c>
      <c r="CX24" s="138">
        <f>B166</f>
        <v>150</v>
      </c>
      <c r="CY24" s="52" t="s">
        <v>24</v>
      </c>
      <c r="CZ24" s="83" t="s">
        <v>45</v>
      </c>
      <c r="DA24" s="149">
        <f>(DA35*DA27*DA49)+(DA36*DA28*DA50)</f>
        <v>196.875</v>
      </c>
      <c r="DB24" s="52" t="s">
        <v>345</v>
      </c>
      <c r="DD24" s="138"/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223">
        <f>((HE26*HE42)*HE38*HE33*10^-3*HE32*HE27)/(HE31*HE41*(1-EXP(-HE27*HE32)))</f>
        <v>4.2417487079576377E-5</v>
      </c>
      <c r="HF24" s="221" t="s">
        <v>596</v>
      </c>
    </row>
    <row r="25" spans="1:214" ht="15" thickTop="1" x14ac:dyDescent="0.2">
      <c r="A25" s="83" t="s">
        <v>254</v>
      </c>
      <c r="B25" s="183">
        <v>5.52928</v>
      </c>
      <c r="C25" s="83" t="s">
        <v>351</v>
      </c>
      <c r="D25" s="83" t="s">
        <v>376</v>
      </c>
      <c r="E25" s="146">
        <f>B61</f>
        <v>0.23</v>
      </c>
      <c r="G25" s="83" t="s">
        <v>400</v>
      </c>
      <c r="H25" s="149">
        <f>(H29*H26*H68)+(H30*H27*H69)</f>
        <v>8250</v>
      </c>
      <c r="I25" s="92" t="s">
        <v>347</v>
      </c>
      <c r="J25" s="83" t="s">
        <v>446</v>
      </c>
      <c r="K25" s="149">
        <f>(K31*K26*K51)+(K32*K27*K52)</f>
        <v>8250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3.2169743025994549E-5</v>
      </c>
      <c r="X25" s="62" t="s">
        <v>289</v>
      </c>
      <c r="Y25" s="202" t="s">
        <v>16</v>
      </c>
      <c r="Z25" s="187">
        <f>1/((1/Z41)+(1/Z40))</f>
        <v>3.2169743025994549E-5</v>
      </c>
      <c r="AA25" s="63" t="s">
        <v>289</v>
      </c>
      <c r="AB25" s="91" t="s">
        <v>231</v>
      </c>
      <c r="AC25" s="136">
        <f>B30</f>
        <v>1600</v>
      </c>
      <c r="AD25" s="136">
        <f>B30</f>
        <v>1600</v>
      </c>
      <c r="AE25" s="136">
        <f>B30</f>
        <v>1600</v>
      </c>
      <c r="AF25" s="136">
        <f>B30</f>
        <v>1600</v>
      </c>
      <c r="AG25" s="136">
        <f>B30</f>
        <v>1600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B111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B118</f>
        <v>5</v>
      </c>
      <c r="CA25" s="94" t="s">
        <v>194</v>
      </c>
      <c r="CB25" s="91" t="s">
        <v>231</v>
      </c>
      <c r="CC25" s="136">
        <f>B30</f>
        <v>1600</v>
      </c>
      <c r="CD25" s="52" t="s">
        <v>60</v>
      </c>
      <c r="CE25" s="91" t="s">
        <v>231</v>
      </c>
      <c r="CF25" s="136">
        <f>B30</f>
        <v>1600</v>
      </c>
      <c r="CG25" s="52" t="s">
        <v>60</v>
      </c>
      <c r="CK25" s="52" t="s">
        <v>140</v>
      </c>
      <c r="CL25" s="138">
        <f>B113</f>
        <v>55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8625</v>
      </c>
      <c r="CV25" s="83" t="s">
        <v>346</v>
      </c>
      <c r="CW25" s="83" t="s">
        <v>475</v>
      </c>
      <c r="CX25" s="146">
        <f>B163</f>
        <v>0.15</v>
      </c>
      <c r="CZ25" s="83" t="s">
        <v>43</v>
      </c>
      <c r="DA25" s="140">
        <f>(DA35*DA29*(DA38/24)*DA49)+(DA36*DA30*(DA39/24)*DA50)</f>
        <v>1387.5</v>
      </c>
      <c r="DB25" s="83" t="s">
        <v>426</v>
      </c>
      <c r="DF25" s="52" t="s">
        <v>33</v>
      </c>
      <c r="DG25" s="136">
        <f>B44</f>
        <v>1.7000000000000001E-2</v>
      </c>
      <c r="DO25" s="83" t="s">
        <v>32</v>
      </c>
      <c r="DP25" s="136">
        <f>B43</f>
        <v>1.4800000000000001E-2</v>
      </c>
      <c r="EA25" s="83"/>
      <c r="EC25" s="84"/>
      <c r="ED25" s="83" t="s">
        <v>33</v>
      </c>
      <c r="EE25" s="136">
        <f>B44</f>
        <v>1.7000000000000001E-2</v>
      </c>
      <c r="EF25" s="84"/>
      <c r="EP25" s="83"/>
      <c r="ER25" s="84"/>
      <c r="ES25" s="83" t="s">
        <v>33</v>
      </c>
      <c r="ET25" s="136">
        <f>B44</f>
        <v>1.7000000000000001E-2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B44</f>
        <v>1.7000000000000001E-2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B44</f>
        <v>1.7000000000000001E-2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B44</f>
        <v>1.7000000000000001E-2</v>
      </c>
      <c r="HC25" s="84"/>
      <c r="HD25" s="89" t="s">
        <v>21</v>
      </c>
      <c r="HE25" s="150">
        <f>B46</f>
        <v>0.185000185000185</v>
      </c>
      <c r="HF25" s="83" t="s">
        <v>291</v>
      </c>
    </row>
    <row r="26" spans="1:214" ht="13.5" thickBot="1" x14ac:dyDescent="0.25">
      <c r="A26" s="83" t="s">
        <v>255</v>
      </c>
      <c r="B26" s="183">
        <v>8.8356399999999997</v>
      </c>
      <c r="C26" s="83" t="s">
        <v>351</v>
      </c>
      <c r="D26" s="83" t="s">
        <v>377</v>
      </c>
      <c r="E26" s="146">
        <f>B62</f>
        <v>0.77</v>
      </c>
      <c r="G26" s="83" t="s">
        <v>401</v>
      </c>
      <c r="H26" s="146">
        <f>B149</f>
        <v>55</v>
      </c>
      <c r="I26" s="92" t="s">
        <v>221</v>
      </c>
      <c r="J26" s="83" t="s">
        <v>399</v>
      </c>
      <c r="K26" s="146">
        <f>B57</f>
        <v>55</v>
      </c>
      <c r="L26" s="92" t="s">
        <v>221</v>
      </c>
      <c r="M26" s="83" t="s">
        <v>22</v>
      </c>
      <c r="N26" s="137">
        <f>0.693/N27</f>
        <v>4.3312499999999997E-4</v>
      </c>
      <c r="P26" s="83" t="s">
        <v>22</v>
      </c>
      <c r="Q26" s="137">
        <f>0.693/Q27</f>
        <v>4.3312499999999997E-4</v>
      </c>
      <c r="V26" s="201" t="s">
        <v>15</v>
      </c>
      <c r="W26" s="75">
        <f>1/((1/W38)+(1/W39))</f>
        <v>3.2162777271737446E-5</v>
      </c>
      <c r="X26" s="76" t="s">
        <v>289</v>
      </c>
      <c r="Y26" s="203" t="s">
        <v>15</v>
      </c>
      <c r="Z26" s="185">
        <f>1/((1/Z38)+(1/Z39))</f>
        <v>3.2162777271737446E-5</v>
      </c>
      <c r="AA26" s="77" t="s">
        <v>289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4.3312499999999997E-4</v>
      </c>
      <c r="AL26" s="83" t="s">
        <v>22</v>
      </c>
      <c r="AM26" s="137">
        <f>0.693/AM27</f>
        <v>4.3312499999999997E-4</v>
      </c>
      <c r="AR26" s="83" t="s">
        <v>22</v>
      </c>
      <c r="AS26" s="137">
        <f>0.693/AS27</f>
        <v>4.3312499999999997E-4</v>
      </c>
      <c r="AU26" s="83" t="s">
        <v>22</v>
      </c>
      <c r="AV26" s="137">
        <f>0.693/AV27</f>
        <v>4.3312499999999997E-4</v>
      </c>
      <c r="BA26" s="83" t="s">
        <v>22</v>
      </c>
      <c r="BB26" s="137">
        <f>0.693/BB27</f>
        <v>4.3312499999999997E-4</v>
      </c>
      <c r="BD26" s="83" t="s">
        <v>22</v>
      </c>
      <c r="BE26" s="137">
        <f>0.693/BE27</f>
        <v>4.3312499999999997E-4</v>
      </c>
      <c r="BJ26" s="83" t="s">
        <v>22</v>
      </c>
      <c r="BK26" s="137">
        <f>0.693/BK27</f>
        <v>4.3312499999999997E-4</v>
      </c>
      <c r="BM26" s="83" t="s">
        <v>22</v>
      </c>
      <c r="BN26" s="137">
        <f>0.693/BN27</f>
        <v>4.3312499999999997E-4</v>
      </c>
      <c r="BS26" s="91" t="s">
        <v>309</v>
      </c>
      <c r="BT26" s="177">
        <f>B112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B116</f>
        <v>5</v>
      </c>
      <c r="CA26" s="94" t="s">
        <v>194</v>
      </c>
      <c r="CB26" s="52" t="s">
        <v>140</v>
      </c>
      <c r="CC26" s="138">
        <f>B113</f>
        <v>55</v>
      </c>
      <c r="CD26" s="52" t="s">
        <v>24</v>
      </c>
      <c r="CE26" s="52" t="s">
        <v>140</v>
      </c>
      <c r="CF26" s="138">
        <f>B113</f>
        <v>55</v>
      </c>
      <c r="CG26" s="52" t="s">
        <v>24</v>
      </c>
      <c r="CK26" s="52" t="s">
        <v>160</v>
      </c>
      <c r="CL26" s="162">
        <f>B134</f>
        <v>3</v>
      </c>
      <c r="CM26" s="52" t="s">
        <v>221</v>
      </c>
      <c r="CN26" s="52" t="s">
        <v>33</v>
      </c>
      <c r="CO26" s="136">
        <f>B44</f>
        <v>1.7000000000000001E-2</v>
      </c>
      <c r="CT26" s="83" t="s">
        <v>506</v>
      </c>
      <c r="CU26" s="155">
        <f>((CU31*CU29*CU47)+(CU32*CU30*CU48))</f>
        <v>1387.5</v>
      </c>
      <c r="CV26" s="52" t="s">
        <v>426</v>
      </c>
      <c r="CW26" s="83" t="s">
        <v>476</v>
      </c>
      <c r="CX26" s="141">
        <f>B164</f>
        <v>0.85</v>
      </c>
      <c r="CY26" s="83"/>
      <c r="CZ26" s="83" t="s">
        <v>142</v>
      </c>
      <c r="DA26" s="149">
        <f>(DA35*DA40*DA42*DA49)+(DA36*DA41*DA43*DA50)</f>
        <v>570</v>
      </c>
      <c r="DB26" s="52" t="s">
        <v>356</v>
      </c>
      <c r="DG26" s="138"/>
      <c r="DO26" s="83" t="s">
        <v>393</v>
      </c>
      <c r="DP26" s="138">
        <f>B47</f>
        <v>0.26</v>
      </c>
      <c r="EA26" s="83"/>
      <c r="EB26" s="84"/>
      <c r="EC26" s="84"/>
      <c r="ED26" s="83" t="s">
        <v>392</v>
      </c>
      <c r="EE26" s="163">
        <f>B48</f>
        <v>0.25</v>
      </c>
      <c r="EF26" s="84"/>
      <c r="EP26" s="83"/>
      <c r="EQ26" s="84"/>
      <c r="ER26" s="84"/>
      <c r="ES26" s="83" t="s">
        <v>392</v>
      </c>
      <c r="ET26" s="163">
        <f>B48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B48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B48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B48</f>
        <v>0.25</v>
      </c>
      <c r="HC26" s="84"/>
      <c r="HD26" s="84" t="s">
        <v>265</v>
      </c>
      <c r="HE26" s="139">
        <f>H2</f>
        <v>7.9867948192004316E-3</v>
      </c>
      <c r="HF26" s="83" t="s">
        <v>291</v>
      </c>
    </row>
    <row r="27" spans="1:214" ht="12.75" customHeight="1" thickTop="1" x14ac:dyDescent="0.2">
      <c r="A27" s="83" t="s">
        <v>256</v>
      </c>
      <c r="B27" s="183">
        <v>15429.68</v>
      </c>
      <c r="C27" s="83" t="s">
        <v>351</v>
      </c>
      <c r="D27" s="95" t="s">
        <v>287</v>
      </c>
      <c r="E27" s="176">
        <v>27.027027027027</v>
      </c>
      <c r="F27" s="52" t="s">
        <v>288</v>
      </c>
      <c r="G27" s="83" t="s">
        <v>402</v>
      </c>
      <c r="H27" s="146">
        <f>B60</f>
        <v>55</v>
      </c>
      <c r="I27" s="92" t="s">
        <v>221</v>
      </c>
      <c r="J27" s="83" t="s">
        <v>310</v>
      </c>
      <c r="K27" s="146">
        <f>B58</f>
        <v>55</v>
      </c>
      <c r="L27" s="92" t="s">
        <v>221</v>
      </c>
      <c r="M27" s="91" t="s">
        <v>231</v>
      </c>
      <c r="N27" s="136">
        <f>B30</f>
        <v>1600</v>
      </c>
      <c r="O27" s="52" t="s">
        <v>60</v>
      </c>
      <c r="P27" s="91" t="s">
        <v>231</v>
      </c>
      <c r="Q27" s="136">
        <f>B30</f>
        <v>1600</v>
      </c>
      <c r="R27" s="52" t="s">
        <v>60</v>
      </c>
      <c r="V27" s="52" t="s">
        <v>267</v>
      </c>
      <c r="W27" s="136">
        <f>B17</f>
        <v>1</v>
      </c>
      <c r="X27" s="52" t="s">
        <v>344</v>
      </c>
      <c r="Y27" s="52" t="s">
        <v>267</v>
      </c>
      <c r="Z27" s="136">
        <f>B17</f>
        <v>1</v>
      </c>
      <c r="AA27" s="52" t="s">
        <v>344</v>
      </c>
      <c r="AB27" s="84" t="s">
        <v>16</v>
      </c>
      <c r="AC27" s="156">
        <f>(AC23*AC24)/(1-EXP(-AC24*AC23))</f>
        <v>1.0002165781331087</v>
      </c>
      <c r="AD27" s="156">
        <f>(AD23*AD24)/(1-EXP(-AD24*AD23))</f>
        <v>1.0002165781331087</v>
      </c>
      <c r="AE27" s="156">
        <f>(AE23*AE24)/(1-EXP(-AE24*AE23))</f>
        <v>1.0002165781331087</v>
      </c>
      <c r="AF27" s="156">
        <f>(AF23*AF24)/(1-EXP(-AF24*AF23))</f>
        <v>1.0002165781331087</v>
      </c>
      <c r="AG27" s="156">
        <f>(AG23*AG24)/(1-EXP(-AG24*AG23))</f>
        <v>1.0002165781331087</v>
      </c>
      <c r="AI27" s="91" t="s">
        <v>231</v>
      </c>
      <c r="AJ27" s="136">
        <f>B30</f>
        <v>1600</v>
      </c>
      <c r="AK27" s="52" t="s">
        <v>60</v>
      </c>
      <c r="AL27" s="91" t="s">
        <v>231</v>
      </c>
      <c r="AM27" s="136">
        <f>B30</f>
        <v>1600</v>
      </c>
      <c r="AN27" s="52" t="s">
        <v>60</v>
      </c>
      <c r="AR27" s="91" t="s">
        <v>231</v>
      </c>
      <c r="AS27" s="136">
        <f>B30</f>
        <v>1600</v>
      </c>
      <c r="AT27" s="52" t="s">
        <v>60</v>
      </c>
      <c r="AU27" s="91" t="s">
        <v>231</v>
      </c>
      <c r="AV27" s="136">
        <f>B30</f>
        <v>1600</v>
      </c>
      <c r="AW27" s="52" t="s">
        <v>60</v>
      </c>
      <c r="BA27" s="91" t="s">
        <v>231</v>
      </c>
      <c r="BB27" s="136">
        <f>B30</f>
        <v>1600</v>
      </c>
      <c r="BC27" s="52" t="s">
        <v>60</v>
      </c>
      <c r="BD27" s="91" t="s">
        <v>231</v>
      </c>
      <c r="BE27" s="136">
        <f>B30</f>
        <v>1600</v>
      </c>
      <c r="BF27" s="52" t="s">
        <v>60</v>
      </c>
      <c r="BJ27" s="91" t="s">
        <v>231</v>
      </c>
      <c r="BK27" s="136">
        <f>B30</f>
        <v>1600</v>
      </c>
      <c r="BL27" s="52" t="s">
        <v>60</v>
      </c>
      <c r="BM27" s="91" t="s">
        <v>231</v>
      </c>
      <c r="BN27" s="136">
        <f>B30</f>
        <v>1600</v>
      </c>
      <c r="BO27" s="52" t="s">
        <v>60</v>
      </c>
      <c r="BS27" s="95" t="s">
        <v>287</v>
      </c>
      <c r="BT27" s="176">
        <v>27.027027027027</v>
      </c>
      <c r="BU27" s="52" t="s">
        <v>288</v>
      </c>
      <c r="BW27" s="138">
        <v>1000</v>
      </c>
      <c r="BX27" s="52" t="s">
        <v>218</v>
      </c>
      <c r="BY27" s="83" t="s">
        <v>90</v>
      </c>
      <c r="BZ27" s="150">
        <f>B117</f>
        <v>5</v>
      </c>
      <c r="CA27" s="52" t="s">
        <v>194</v>
      </c>
      <c r="CB27" s="52" t="s">
        <v>51</v>
      </c>
      <c r="CC27" s="138">
        <f>B127</f>
        <v>1</v>
      </c>
      <c r="CD27" s="52" t="s">
        <v>146</v>
      </c>
      <c r="CE27" s="52" t="s">
        <v>51</v>
      </c>
      <c r="CF27" s="138">
        <f>B127</f>
        <v>1</v>
      </c>
      <c r="CG27" s="52" t="s">
        <v>146</v>
      </c>
      <c r="CK27" s="95" t="s">
        <v>287</v>
      </c>
      <c r="CL27" s="176">
        <v>27.027027027027</v>
      </c>
      <c r="CM27" s="52" t="s">
        <v>288</v>
      </c>
      <c r="CN27" s="52" t="s">
        <v>392</v>
      </c>
      <c r="CO27" s="162">
        <f>B48</f>
        <v>0.25</v>
      </c>
      <c r="CT27" s="83" t="s">
        <v>449</v>
      </c>
      <c r="CU27" s="146">
        <f>B141</f>
        <v>100</v>
      </c>
      <c r="CV27" s="84" t="s">
        <v>48</v>
      </c>
      <c r="CW27" s="95" t="s">
        <v>287</v>
      </c>
      <c r="CX27" s="176">
        <v>27.027027027027</v>
      </c>
      <c r="CY27" s="52" t="s">
        <v>288</v>
      </c>
      <c r="CZ27" s="92" t="s">
        <v>451</v>
      </c>
      <c r="DA27" s="142">
        <f t="shared" ref="DA27:DA34" si="0">B143</f>
        <v>0.25</v>
      </c>
      <c r="DB27" s="83" t="s">
        <v>28</v>
      </c>
      <c r="DG27" s="138"/>
      <c r="DW27" s="88"/>
      <c r="DX27" s="88"/>
      <c r="DY27" s="88"/>
      <c r="DZ27" s="88"/>
      <c r="EA27" s="83"/>
      <c r="EB27" s="85"/>
      <c r="ED27" s="83" t="s">
        <v>517</v>
      </c>
      <c r="EE27" s="136">
        <f>B36</f>
        <v>3.8000000000000002E-4</v>
      </c>
      <c r="EF27" s="52" t="s">
        <v>601</v>
      </c>
      <c r="EP27" s="83"/>
      <c r="EQ27" s="86"/>
      <c r="ES27" s="83" t="s">
        <v>236</v>
      </c>
      <c r="ET27" s="169">
        <f>B37</f>
        <v>1.6999999999999999E-3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B39</f>
        <v>0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B38</f>
        <v>0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B40</f>
        <v>0</v>
      </c>
      <c r="HC27" s="52" t="s">
        <v>388</v>
      </c>
      <c r="HD27" s="83" t="s">
        <v>22</v>
      </c>
      <c r="HE27" s="137">
        <f>0.693/HE29</f>
        <v>4.3312499999999997E-4</v>
      </c>
    </row>
    <row r="28" spans="1:214" x14ac:dyDescent="0.2">
      <c r="A28" s="91" t="s">
        <v>257</v>
      </c>
      <c r="B28" s="183">
        <v>33.437199999999997</v>
      </c>
      <c r="C28" s="84" t="s">
        <v>259</v>
      </c>
      <c r="G28" s="83" t="s">
        <v>65</v>
      </c>
      <c r="H28" s="141">
        <f>B75</f>
        <v>0.5</v>
      </c>
      <c r="I28" s="52" t="s">
        <v>66</v>
      </c>
      <c r="J28" s="83" t="s">
        <v>447</v>
      </c>
      <c r="K28" s="149">
        <f>(K31*K29*K51)+(K32*K30*K52)</f>
        <v>8250</v>
      </c>
      <c r="L28" s="92" t="s">
        <v>347</v>
      </c>
      <c r="M28" s="52" t="s">
        <v>382</v>
      </c>
      <c r="N28" s="138">
        <f>B68</f>
        <v>150</v>
      </c>
      <c r="O28" s="52" t="s">
        <v>24</v>
      </c>
      <c r="P28" s="52" t="s">
        <v>382</v>
      </c>
      <c r="Q28" s="138">
        <f>B68</f>
        <v>150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B237</f>
        <v>125</v>
      </c>
      <c r="AK28" s="52" t="s">
        <v>24</v>
      </c>
      <c r="AL28" s="52" t="s">
        <v>35</v>
      </c>
      <c r="AM28" s="138">
        <f>B237</f>
        <v>125</v>
      </c>
      <c r="AN28" s="52" t="s">
        <v>24</v>
      </c>
      <c r="AR28" s="52" t="s">
        <v>423</v>
      </c>
      <c r="AS28" s="138">
        <f>B247</f>
        <v>125</v>
      </c>
      <c r="AT28" s="52" t="s">
        <v>24</v>
      </c>
      <c r="AU28" s="52" t="s">
        <v>423</v>
      </c>
      <c r="AV28" s="138">
        <f>B247</f>
        <v>125</v>
      </c>
      <c r="AW28" s="52" t="s">
        <v>24</v>
      </c>
      <c r="BA28" s="52" t="s">
        <v>316</v>
      </c>
      <c r="BB28" s="138">
        <f>B227</f>
        <v>125</v>
      </c>
      <c r="BC28" s="52" t="s">
        <v>24</v>
      </c>
      <c r="BD28" s="52" t="s">
        <v>316</v>
      </c>
      <c r="BE28" s="138">
        <f>B227</f>
        <v>125</v>
      </c>
      <c r="BF28" s="52" t="s">
        <v>24</v>
      </c>
      <c r="BJ28" s="52" t="s">
        <v>191</v>
      </c>
      <c r="BK28" s="138">
        <f>BK29*BK30</f>
        <v>75</v>
      </c>
      <c r="BL28" s="52" t="s">
        <v>24</v>
      </c>
      <c r="BM28" s="52" t="s">
        <v>191</v>
      </c>
      <c r="BN28" s="138">
        <f>BN29*BN30</f>
        <v>75</v>
      </c>
      <c r="BO28" s="52" t="s">
        <v>24</v>
      </c>
      <c r="BS28" s="96"/>
      <c r="BV28" s="83"/>
      <c r="BW28" s="146">
        <v>365</v>
      </c>
      <c r="BX28" s="84" t="s">
        <v>24</v>
      </c>
      <c r="BY28" s="83" t="s">
        <v>302</v>
      </c>
      <c r="BZ28" s="161">
        <f>B3</f>
        <v>0.124</v>
      </c>
      <c r="CB28" s="52" t="s">
        <v>300</v>
      </c>
      <c r="CC28" s="136">
        <f>B12</f>
        <v>3.44E-2</v>
      </c>
      <c r="CE28" s="52" t="s">
        <v>300</v>
      </c>
      <c r="CF28" s="136">
        <f>B8</f>
        <v>6.8599999999999994E-2</v>
      </c>
      <c r="CN28" s="52" t="s">
        <v>165</v>
      </c>
      <c r="CO28" s="162">
        <f>B135</f>
        <v>2</v>
      </c>
      <c r="CP28" s="52" t="s">
        <v>246</v>
      </c>
      <c r="CT28" s="83" t="s">
        <v>458</v>
      </c>
      <c r="CU28" s="146">
        <f>B142</f>
        <v>50</v>
      </c>
      <c r="CV28" s="84" t="s">
        <v>48</v>
      </c>
      <c r="CZ28" s="92" t="s">
        <v>460</v>
      </c>
      <c r="DA28" s="142">
        <f t="shared" si="0"/>
        <v>1.5</v>
      </c>
      <c r="DB28" s="83" t="s">
        <v>28</v>
      </c>
      <c r="DW28" s="88"/>
      <c r="DX28" s="88"/>
      <c r="DY28" s="88"/>
      <c r="DZ28" s="88"/>
      <c r="ET28" s="138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227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D28" s="52" t="s">
        <v>16</v>
      </c>
      <c r="HE28" s="137">
        <f>1-EXP(-HE27*HE32)</f>
        <v>4.3303121490789742E-4</v>
      </c>
    </row>
    <row r="29" spans="1:214" ht="15.75" thickBot="1" x14ac:dyDescent="0.25">
      <c r="A29" s="83" t="s">
        <v>258</v>
      </c>
      <c r="B29" s="183">
        <v>1.67911012348351E-3</v>
      </c>
      <c r="C29" s="92" t="s">
        <v>259</v>
      </c>
      <c r="G29" s="83" t="s">
        <v>380</v>
      </c>
      <c r="H29" s="150">
        <f>B66</f>
        <v>150</v>
      </c>
      <c r="I29" s="83" t="s">
        <v>24</v>
      </c>
      <c r="J29" s="83" t="s">
        <v>401</v>
      </c>
      <c r="K29" s="146">
        <f>B59</f>
        <v>55</v>
      </c>
      <c r="L29" s="92" t="s">
        <v>221</v>
      </c>
      <c r="M29" s="52" t="s">
        <v>379</v>
      </c>
      <c r="N29" s="138">
        <f>B65</f>
        <v>1</v>
      </c>
      <c r="O29" s="52" t="s">
        <v>146</v>
      </c>
      <c r="P29" s="52" t="s">
        <v>379</v>
      </c>
      <c r="Q29" s="138">
        <f>B65</f>
        <v>1</v>
      </c>
      <c r="R29" s="52" t="s">
        <v>146</v>
      </c>
      <c r="V29" s="83" t="s">
        <v>22</v>
      </c>
      <c r="W29" s="137">
        <f>0.693/W30</f>
        <v>4.3312499999999997E-4</v>
      </c>
      <c r="Y29" s="83" t="s">
        <v>22</v>
      </c>
      <c r="Z29" s="137">
        <f>0.693/Z30</f>
        <v>4.3312499999999997E-4</v>
      </c>
      <c r="AB29" s="83" t="s">
        <v>260</v>
      </c>
      <c r="AC29" s="143">
        <f>((AC5/(AC8*AC13*AC7*AC9*(1/AC6)))*AC27)/AC35</f>
        <v>5.7155233036177702</v>
      </c>
      <c r="AD29" s="143">
        <f>((AD5/(AD8*AD13*AD7*AD9*(1/AD6)))*AD27)/AD35</f>
        <v>5.7155233036177702</v>
      </c>
      <c r="AE29" s="143">
        <f>((AE5/(AE8*AE13*AE7*AE9*(1/AE6)))*AE27)/AE35</f>
        <v>5.7155233036177702</v>
      </c>
      <c r="AF29" s="143">
        <f>((AF5*AF23*AF24)/((1-EXP(-AF24*AF23))*AF8*AF7*AF9*AF13*(1/AF28)))/AF35</f>
        <v>1.4288808259044425</v>
      </c>
      <c r="AG29" s="143">
        <f>((AG5*AG23*AG24)/((1-EXP(-AG24*AG23))*AG8*AG7*AG9*AG13*(1/AG28)))/AG35</f>
        <v>1.4288808259044425</v>
      </c>
      <c r="AH29" s="83" t="s">
        <v>290</v>
      </c>
      <c r="AI29" s="52" t="s">
        <v>420</v>
      </c>
      <c r="AJ29" s="138">
        <f>B238</f>
        <v>1</v>
      </c>
      <c r="AK29" s="52" t="s">
        <v>146</v>
      </c>
      <c r="AL29" s="52" t="s">
        <v>420</v>
      </c>
      <c r="AM29" s="138">
        <f>B238</f>
        <v>1</v>
      </c>
      <c r="AN29" s="52" t="s">
        <v>146</v>
      </c>
      <c r="AR29" s="52" t="s">
        <v>424</v>
      </c>
      <c r="AS29" s="138">
        <f>B248</f>
        <v>1</v>
      </c>
      <c r="AT29" s="52" t="s">
        <v>146</v>
      </c>
      <c r="AU29" s="52" t="s">
        <v>424</v>
      </c>
      <c r="AV29" s="138">
        <f>B248</f>
        <v>1</v>
      </c>
      <c r="AW29" s="52" t="s">
        <v>146</v>
      </c>
      <c r="BA29" s="52" t="s">
        <v>422</v>
      </c>
      <c r="BB29" s="138">
        <f>B228</f>
        <v>1</v>
      </c>
      <c r="BC29" s="52" t="s">
        <v>146</v>
      </c>
      <c r="BD29" s="52" t="s">
        <v>422</v>
      </c>
      <c r="BE29" s="138">
        <f>B228</f>
        <v>1</v>
      </c>
      <c r="BF29" s="52" t="s">
        <v>146</v>
      </c>
      <c r="BJ29" s="52" t="s">
        <v>220</v>
      </c>
      <c r="BK29" s="138">
        <f>B266</f>
        <v>25</v>
      </c>
      <c r="BL29" s="52" t="s">
        <v>113</v>
      </c>
      <c r="BM29" s="52" t="s">
        <v>220</v>
      </c>
      <c r="BN29" s="138">
        <f>B266</f>
        <v>25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61">
        <f>B4</f>
        <v>0.79200000000000004</v>
      </c>
      <c r="CB29" s="52" t="s">
        <v>411</v>
      </c>
      <c r="CC29" s="136">
        <f>B13</f>
        <v>3.44E-2</v>
      </c>
      <c r="CE29" s="52" t="s">
        <v>418</v>
      </c>
      <c r="CF29" s="136">
        <f>B9</f>
        <v>0.73699999999999999</v>
      </c>
      <c r="CN29" s="52" t="s">
        <v>166</v>
      </c>
      <c r="CO29" s="162">
        <f>B136</f>
        <v>2</v>
      </c>
      <c r="CP29" s="52" t="s">
        <v>246</v>
      </c>
      <c r="CT29" s="83" t="s">
        <v>450</v>
      </c>
      <c r="CU29" s="141">
        <f>B145</f>
        <v>5</v>
      </c>
      <c r="CV29" s="92" t="s">
        <v>407</v>
      </c>
      <c r="CZ29" s="92" t="s">
        <v>450</v>
      </c>
      <c r="DA29" s="142">
        <f t="shared" si="0"/>
        <v>5</v>
      </c>
      <c r="DB29" s="83" t="s">
        <v>143</v>
      </c>
      <c r="DW29" s="88"/>
      <c r="DX29" s="88"/>
      <c r="DY29" s="88"/>
      <c r="DZ29" s="88"/>
      <c r="ET29" s="13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B30</f>
        <v>1600</v>
      </c>
      <c r="HF29" s="52" t="s">
        <v>60</v>
      </c>
    </row>
    <row r="30" spans="1:214" ht="19.5" thickTop="1" thickBot="1" x14ac:dyDescent="0.25">
      <c r="A30" s="91" t="s">
        <v>231</v>
      </c>
      <c r="B30" s="183">
        <v>1600</v>
      </c>
      <c r="C30" s="52" t="s">
        <v>235</v>
      </c>
      <c r="D30" s="353" t="s">
        <v>528</v>
      </c>
      <c r="E30" s="354"/>
      <c r="F30" s="355"/>
      <c r="G30" s="83" t="s">
        <v>381</v>
      </c>
      <c r="H30" s="150">
        <f>B67</f>
        <v>150</v>
      </c>
      <c r="I30" s="83" t="s">
        <v>24</v>
      </c>
      <c r="J30" s="83" t="s">
        <v>402</v>
      </c>
      <c r="K30" s="146">
        <f>B60</f>
        <v>55</v>
      </c>
      <c r="L30" s="92" t="s">
        <v>221</v>
      </c>
      <c r="M30" s="52" t="s">
        <v>299</v>
      </c>
      <c r="N30" s="138">
        <f>B73</f>
        <v>1</v>
      </c>
      <c r="P30" s="52" t="s">
        <v>299</v>
      </c>
      <c r="Q30" s="138">
        <f>B73</f>
        <v>1</v>
      </c>
      <c r="V30" s="91" t="s">
        <v>231</v>
      </c>
      <c r="W30" s="136">
        <f>B30</f>
        <v>1600</v>
      </c>
      <c r="X30" s="52" t="s">
        <v>60</v>
      </c>
      <c r="Y30" s="91" t="s">
        <v>231</v>
      </c>
      <c r="Z30" s="136">
        <f>B30</f>
        <v>1600</v>
      </c>
      <c r="AA30" s="52" t="s">
        <v>60</v>
      </c>
      <c r="AB30" s="83" t="s">
        <v>261</v>
      </c>
      <c r="AC30" s="144">
        <f>((AC5/(AC19*AC15*AC7*AC9*(1/AC32)*((8/1)/(24/1))*AC28))*AC27)/AC35</f>
        <v>634.71944195968831</v>
      </c>
      <c r="AD30" s="144">
        <f>((AD5/(AD19*AD15*AD7*((8/1)/(24/1))*AD9*(1/AD32)*AD28))*AD27)/AD35</f>
        <v>634.71944195968831</v>
      </c>
      <c r="AE30" s="144">
        <f>((AE5/(AE19*AE15*AE7*((8/1)/(24/1))*AE9*(1/AE32)*AE28))*AE27)/AE35</f>
        <v>634.71944195968831</v>
      </c>
      <c r="AF30" s="144">
        <f>((AF5*AF23*AF24)/((1-EXP(-AF24*AF23))*AF19*AF7*AF9*(AF12/24)*AF15*(1/AF33)*AF28))/AF35</f>
        <v>0.57983763107423147</v>
      </c>
      <c r="AG30" s="144">
        <f>((AG5*AG23*AG24)/((1-EXP(-AG24*AG23))*AG19*AG7*AG9*(AG12/24)*AG15*(1/AG34)*AG28))/AG35</f>
        <v>51.965682237814519</v>
      </c>
      <c r="AH30" s="83" t="s">
        <v>290</v>
      </c>
      <c r="AI30" s="52" t="s">
        <v>299</v>
      </c>
      <c r="AJ30" s="138">
        <f>B241</f>
        <v>1</v>
      </c>
      <c r="AL30" s="52" t="s">
        <v>299</v>
      </c>
      <c r="AM30" s="138">
        <f>B241</f>
        <v>1</v>
      </c>
      <c r="AR30" s="52" t="s">
        <v>299</v>
      </c>
      <c r="AS30" s="138">
        <f>B251</f>
        <v>1</v>
      </c>
      <c r="AV30" s="138"/>
      <c r="BA30" s="52" t="s">
        <v>299</v>
      </c>
      <c r="BB30" s="138">
        <f>B231</f>
        <v>1</v>
      </c>
      <c r="BD30" s="52" t="s">
        <v>299</v>
      </c>
      <c r="BE30" s="138">
        <f>B231</f>
        <v>1</v>
      </c>
      <c r="BJ30" s="52" t="s">
        <v>219</v>
      </c>
      <c r="BK30" s="138">
        <f>B265</f>
        <v>3</v>
      </c>
      <c r="BL30" s="52" t="s">
        <v>112</v>
      </c>
      <c r="BM30" s="52" t="s">
        <v>219</v>
      </c>
      <c r="BN30" s="138">
        <f>B265</f>
        <v>3</v>
      </c>
      <c r="BO30" s="52" t="s">
        <v>112</v>
      </c>
      <c r="BS30" s="91"/>
      <c r="BT30" s="97"/>
      <c r="BU30" s="91"/>
      <c r="BV30" s="91" t="s">
        <v>308</v>
      </c>
      <c r="BW30" s="146">
        <f>B111</f>
        <v>0.23</v>
      </c>
      <c r="BY30" s="94" t="s">
        <v>95</v>
      </c>
      <c r="BZ30" s="150">
        <f>B127</f>
        <v>1</v>
      </c>
      <c r="CA30" s="94" t="s">
        <v>60</v>
      </c>
      <c r="CB30" s="52" t="s">
        <v>90</v>
      </c>
      <c r="CC30" s="138">
        <f>B118</f>
        <v>5</v>
      </c>
      <c r="CD30" s="52" t="s">
        <v>194</v>
      </c>
      <c r="CE30" s="52" t="s">
        <v>90</v>
      </c>
      <c r="CF30" s="138">
        <f>B118</f>
        <v>5</v>
      </c>
      <c r="CG30" s="52" t="s">
        <v>194</v>
      </c>
      <c r="CM30" s="83"/>
      <c r="CN30" s="93" t="s">
        <v>167</v>
      </c>
      <c r="CO30" s="162">
        <f>B137</f>
        <v>2</v>
      </c>
      <c r="CP30" s="52" t="s">
        <v>41</v>
      </c>
      <c r="CQ30" s="88"/>
      <c r="CR30" s="83"/>
      <c r="CS30" s="83"/>
      <c r="CT30" s="83" t="s">
        <v>459</v>
      </c>
      <c r="CU30" s="141">
        <f>B146</f>
        <v>10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10</v>
      </c>
      <c r="DB30" s="83" t="s">
        <v>143</v>
      </c>
      <c r="DW30" s="88"/>
      <c r="DX30" s="88"/>
      <c r="DY30" s="88"/>
      <c r="DZ30" s="88"/>
      <c r="ET30" s="13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B93</f>
        <v>0.3</v>
      </c>
    </row>
    <row r="31" spans="1:214" x14ac:dyDescent="0.2">
      <c r="A31" s="91" t="s">
        <v>77</v>
      </c>
      <c r="B31" s="183">
        <f>PEF!D3</f>
        <v>1359344473.5814338</v>
      </c>
      <c r="C31" s="52" t="s">
        <v>524</v>
      </c>
      <c r="D31" s="323" t="s">
        <v>530</v>
      </c>
      <c r="E31" s="347">
        <f>E38</f>
        <v>4.197234564340512E-3</v>
      </c>
      <c r="F31" s="345" t="s">
        <v>290</v>
      </c>
      <c r="G31" s="83" t="s">
        <v>379</v>
      </c>
      <c r="H31" s="150">
        <f>B65</f>
        <v>1</v>
      </c>
      <c r="I31" s="84" t="s">
        <v>60</v>
      </c>
      <c r="J31" s="83" t="s">
        <v>380</v>
      </c>
      <c r="K31" s="150">
        <f>B66</f>
        <v>150</v>
      </c>
      <c r="L31" s="83" t="s">
        <v>24</v>
      </c>
      <c r="M31" s="52" t="s">
        <v>300</v>
      </c>
      <c r="N31" s="136">
        <f>B12</f>
        <v>3.44E-2</v>
      </c>
      <c r="P31" s="52" t="s">
        <v>300</v>
      </c>
      <c r="Q31" s="136">
        <f>B8</f>
        <v>6.8599999999999994E-2</v>
      </c>
      <c r="V31" s="52" t="s">
        <v>35</v>
      </c>
      <c r="W31" s="138">
        <f>B237</f>
        <v>125</v>
      </c>
      <c r="X31" s="52" t="s">
        <v>24</v>
      </c>
      <c r="Y31" s="52" t="s">
        <v>191</v>
      </c>
      <c r="Z31" s="138">
        <f>B257</f>
        <v>125</v>
      </c>
      <c r="AA31" s="52" t="s">
        <v>24</v>
      </c>
      <c r="AB31" s="83" t="s">
        <v>262</v>
      </c>
      <c r="AC31" s="145">
        <f>((AC5*AC23*AC24)/((1-EXP(-AC24*AC23))*AC18*AC7*(1/365)*AC12*(1/24)*AC14*AC17))/AC35</f>
        <v>0.3166955355357392</v>
      </c>
      <c r="AD31" s="145">
        <f>((AD5*AD23*AD24)/((1-EXP(-AD24*AD23))*AD18*AD7*(1/365)*AD12*(1/24)*AD16*AD17))/AD35</f>
        <v>3.9270246406431661E-2</v>
      </c>
      <c r="AE31" s="145">
        <f>((AE5*AE23*AE24)/((1-EXP(-AE24*AE23))*AE18*AE7*(1/365)*AE12*(1/24)*AE14*AE17))/AE35</f>
        <v>0.3166955355357392</v>
      </c>
      <c r="AF31" s="145">
        <f>((AF5*AF23*AF24)/((1-EXP(-AF24*AF23))*AF18*(AF11*AF10)*(1/365)*AF12*(1/24)*AF14*AF17))/AF35</f>
        <v>0.8445214280953045</v>
      </c>
      <c r="AG31" s="145">
        <f>((AG5*AG23*AG24)/((1-EXP(-AG24*AG23))*AG18*AG7*(1/365)*AG9*(AG12/24)*AG14*AG17))/AG35</f>
        <v>0.5067128568571827</v>
      </c>
      <c r="AH31" s="83" t="s">
        <v>290</v>
      </c>
      <c r="AI31" s="52" t="s">
        <v>300</v>
      </c>
      <c r="AJ31" s="136">
        <f>B12</f>
        <v>3.44E-2</v>
      </c>
      <c r="AL31" s="52" t="s">
        <v>300</v>
      </c>
      <c r="AM31" s="136">
        <f>B8</f>
        <v>6.8599999999999994E-2</v>
      </c>
      <c r="AR31" s="52" t="s">
        <v>300</v>
      </c>
      <c r="AS31" s="136">
        <f>B12</f>
        <v>3.44E-2</v>
      </c>
      <c r="AU31" s="52" t="s">
        <v>300</v>
      </c>
      <c r="AV31" s="136">
        <f>B8</f>
        <v>6.8599999999999994E-2</v>
      </c>
      <c r="BA31" s="52" t="s">
        <v>300</v>
      </c>
      <c r="BB31" s="136">
        <f>B12</f>
        <v>3.44E-2</v>
      </c>
      <c r="BD31" s="52" t="s">
        <v>300</v>
      </c>
      <c r="BE31" s="136">
        <f>B8</f>
        <v>6.8599999999999994E-2</v>
      </c>
      <c r="BJ31" s="52" t="s">
        <v>158</v>
      </c>
      <c r="BK31" s="138">
        <f>B258</f>
        <v>1</v>
      </c>
      <c r="BL31" s="52" t="s">
        <v>146</v>
      </c>
      <c r="BM31" s="52" t="s">
        <v>158</v>
      </c>
      <c r="BN31" s="138">
        <f>B258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B112</f>
        <v>0.77</v>
      </c>
      <c r="BZ31" s="150">
        <v>365</v>
      </c>
      <c r="CA31" s="52" t="s">
        <v>24</v>
      </c>
      <c r="CB31" s="52" t="s">
        <v>410</v>
      </c>
      <c r="CC31" s="139">
        <f>B23</f>
        <v>1.9522299999999999</v>
      </c>
      <c r="CD31" s="84" t="s">
        <v>353</v>
      </c>
      <c r="CE31" s="52" t="s">
        <v>419</v>
      </c>
      <c r="CF31" s="139">
        <f>B25</f>
        <v>5.52928</v>
      </c>
      <c r="CG31" s="84" t="s">
        <v>353</v>
      </c>
      <c r="CM31" s="83"/>
      <c r="CN31" s="83" t="s">
        <v>168</v>
      </c>
      <c r="CO31" s="162">
        <f>B138</f>
        <v>2</v>
      </c>
      <c r="CP31" s="52" t="s">
        <v>41</v>
      </c>
      <c r="CQ31" s="83"/>
      <c r="CR31" s="83"/>
      <c r="CS31" s="83"/>
      <c r="CT31" s="83" t="s">
        <v>456</v>
      </c>
      <c r="CU31" s="150">
        <f>B165</f>
        <v>150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55</v>
      </c>
      <c r="DB31" s="83" t="s">
        <v>221</v>
      </c>
      <c r="DW31" s="88"/>
      <c r="DX31" s="88"/>
      <c r="DY31" s="88"/>
      <c r="DZ31" s="88"/>
      <c r="ET31" s="13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B94</f>
        <v>1.5</v>
      </c>
    </row>
    <row r="32" spans="1:214" ht="13.5" thickBot="1" x14ac:dyDescent="0.25">
      <c r="A32" s="91" t="s">
        <v>103</v>
      </c>
      <c r="B32" s="183">
        <f>PEF!G3</f>
        <v>776129.4078035407</v>
      </c>
      <c r="C32" s="52" t="s">
        <v>524</v>
      </c>
      <c r="D32" s="324"/>
      <c r="E32" s="348"/>
      <c r="F32" s="346"/>
      <c r="G32" s="52" t="s">
        <v>403</v>
      </c>
      <c r="H32" s="138">
        <f>B69</f>
        <v>0.25</v>
      </c>
      <c r="I32" s="52" t="s">
        <v>89</v>
      </c>
      <c r="J32" s="83" t="s">
        <v>381</v>
      </c>
      <c r="K32" s="150">
        <f>B67</f>
        <v>150</v>
      </c>
      <c r="L32" s="83" t="s">
        <v>24</v>
      </c>
      <c r="M32" s="52" t="s">
        <v>54</v>
      </c>
      <c r="N32" s="136">
        <f>B13</f>
        <v>3.44E-2</v>
      </c>
      <c r="P32" s="52" t="s">
        <v>54</v>
      </c>
      <c r="Q32" s="136">
        <f>B9</f>
        <v>0.73699999999999999</v>
      </c>
      <c r="V32" s="52" t="s">
        <v>420</v>
      </c>
      <c r="W32" s="138">
        <f>B238</f>
        <v>1</v>
      </c>
      <c r="X32" s="52" t="s">
        <v>146</v>
      </c>
      <c r="Y32" s="52" t="s">
        <v>158</v>
      </c>
      <c r="Z32" s="138">
        <f>B258</f>
        <v>1</v>
      </c>
      <c r="AA32" s="52" t="s">
        <v>146</v>
      </c>
      <c r="AB32" s="83" t="s">
        <v>77</v>
      </c>
      <c r="AC32" s="136">
        <f>B31</f>
        <v>1359344473.5814338</v>
      </c>
      <c r="AD32" s="136">
        <f>B31</f>
        <v>1359344473.5814338</v>
      </c>
      <c r="AE32" s="136">
        <f>B31</f>
        <v>1359344473.5814338</v>
      </c>
      <c r="AF32" s="136"/>
      <c r="AG32" s="136"/>
      <c r="AH32" s="104" t="s">
        <v>78</v>
      </c>
      <c r="AI32" s="52" t="s">
        <v>54</v>
      </c>
      <c r="AJ32" s="136">
        <f>B13</f>
        <v>3.44E-2</v>
      </c>
      <c r="AL32" s="52" t="s">
        <v>54</v>
      </c>
      <c r="AM32" s="136">
        <f>B9</f>
        <v>0.73699999999999999</v>
      </c>
      <c r="AR32" s="52" t="s">
        <v>54</v>
      </c>
      <c r="AS32" s="136">
        <f>B13</f>
        <v>3.44E-2</v>
      </c>
      <c r="AU32" s="52" t="s">
        <v>54</v>
      </c>
      <c r="AV32" s="136">
        <f>B9</f>
        <v>0.73699999999999999</v>
      </c>
      <c r="BA32" s="52" t="s">
        <v>54</v>
      </c>
      <c r="BB32" s="136">
        <f>B13</f>
        <v>3.44E-2</v>
      </c>
      <c r="BD32" s="52" t="s">
        <v>54</v>
      </c>
      <c r="BE32" s="136">
        <f>B9</f>
        <v>0.73699999999999999</v>
      </c>
      <c r="BJ32" s="52" t="s">
        <v>300</v>
      </c>
      <c r="BK32" s="136">
        <f>B12</f>
        <v>3.44E-2</v>
      </c>
      <c r="BM32" s="52" t="s">
        <v>300</v>
      </c>
      <c r="BN32" s="136">
        <f>B8</f>
        <v>6.8599999999999994E-2</v>
      </c>
      <c r="BS32" s="91"/>
      <c r="BT32" s="99"/>
      <c r="BU32" s="100"/>
      <c r="BV32" s="95" t="s">
        <v>287</v>
      </c>
      <c r="BW32" s="176">
        <v>27.027027027027</v>
      </c>
      <c r="BX32" s="52" t="s">
        <v>288</v>
      </c>
      <c r="BZ32" s="138">
        <v>1000</v>
      </c>
      <c r="CA32" s="52" t="s">
        <v>99</v>
      </c>
      <c r="CB32" s="95" t="s">
        <v>287</v>
      </c>
      <c r="CC32" s="176">
        <v>27.027027027027</v>
      </c>
      <c r="CD32" s="52" t="s">
        <v>288</v>
      </c>
      <c r="CE32" s="95" t="s">
        <v>287</v>
      </c>
      <c r="CF32" s="176">
        <v>27.027027027027</v>
      </c>
      <c r="CG32" s="52" t="s">
        <v>288</v>
      </c>
      <c r="CM32" s="83"/>
      <c r="CN32" s="83" t="s">
        <v>22</v>
      </c>
      <c r="CO32" s="137">
        <f>0.693/CO33</f>
        <v>4.3312499999999997E-4</v>
      </c>
      <c r="CR32" s="83"/>
      <c r="CS32" s="83"/>
      <c r="CT32" s="83" t="s">
        <v>465</v>
      </c>
      <c r="CU32" s="150">
        <f>B166</f>
        <v>150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55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15" customHeight="1" thickTop="1" x14ac:dyDescent="0.2">
      <c r="A33" s="91" t="s">
        <v>104</v>
      </c>
      <c r="B33" s="183">
        <f>PEF!J3</f>
        <v>69557565.807898715</v>
      </c>
      <c r="C33" s="52" t="s">
        <v>524</v>
      </c>
      <c r="D33" s="83" t="s">
        <v>267</v>
      </c>
      <c r="E33" s="136">
        <f>B17</f>
        <v>1</v>
      </c>
      <c r="F33" s="52" t="s">
        <v>344</v>
      </c>
      <c r="G33" s="52" t="s">
        <v>404</v>
      </c>
      <c r="H33" s="138">
        <f>B70</f>
        <v>0.75</v>
      </c>
      <c r="I33" s="52" t="s">
        <v>89</v>
      </c>
      <c r="J33" s="83" t="s">
        <v>379</v>
      </c>
      <c r="K33" s="141">
        <f>B65</f>
        <v>1</v>
      </c>
      <c r="L33" s="92" t="s">
        <v>60</v>
      </c>
      <c r="M33" s="52" t="s">
        <v>408</v>
      </c>
      <c r="N33" s="150">
        <f>B88</f>
        <v>5</v>
      </c>
      <c r="O33" s="52" t="s">
        <v>194</v>
      </c>
      <c r="P33" s="52" t="s">
        <v>408</v>
      </c>
      <c r="Q33" s="150">
        <f>B88</f>
        <v>5</v>
      </c>
      <c r="R33" s="52" t="s">
        <v>194</v>
      </c>
      <c r="V33" s="52" t="s">
        <v>247</v>
      </c>
      <c r="W33" s="139">
        <f>B18</f>
        <v>3.8043873993229303E-2</v>
      </c>
      <c r="X33" s="84" t="s">
        <v>39</v>
      </c>
      <c r="Y33" s="52" t="s">
        <v>247</v>
      </c>
      <c r="Z33" s="139">
        <f>B18</f>
        <v>3.8043873993229303E-2</v>
      </c>
      <c r="AA33" s="84" t="s">
        <v>39</v>
      </c>
      <c r="AB33" s="104" t="s">
        <v>103</v>
      </c>
      <c r="AC33" s="136"/>
      <c r="AD33" s="136"/>
      <c r="AE33" s="136"/>
      <c r="AF33" s="157">
        <f>B32</f>
        <v>776129.4078035407</v>
      </c>
      <c r="AG33" s="136"/>
      <c r="AH33" s="104" t="s">
        <v>78</v>
      </c>
      <c r="AI33" s="52" t="s">
        <v>57</v>
      </c>
      <c r="AJ33" s="136">
        <f>B242</f>
        <v>5</v>
      </c>
      <c r="AK33" s="52" t="s">
        <v>194</v>
      </c>
      <c r="AL33" s="52" t="s">
        <v>57</v>
      </c>
      <c r="AM33" s="136">
        <f>B242</f>
        <v>5</v>
      </c>
      <c r="AN33" s="52" t="s">
        <v>194</v>
      </c>
      <c r="AR33" s="52" t="s">
        <v>57</v>
      </c>
      <c r="AS33" s="136">
        <f>B252</f>
        <v>5</v>
      </c>
      <c r="AT33" s="52" t="s">
        <v>194</v>
      </c>
      <c r="AU33" s="52" t="s">
        <v>57</v>
      </c>
      <c r="AV33" s="136">
        <f>B252</f>
        <v>5</v>
      </c>
      <c r="AW33" s="52" t="s">
        <v>194</v>
      </c>
      <c r="BA33" s="52" t="s">
        <v>58</v>
      </c>
      <c r="BB33" s="136">
        <f>B232</f>
        <v>5</v>
      </c>
      <c r="BC33" s="52" t="s">
        <v>194</v>
      </c>
      <c r="BD33" s="52" t="s">
        <v>57</v>
      </c>
      <c r="BE33" s="136">
        <f>B232</f>
        <v>5</v>
      </c>
      <c r="BF33" s="52" t="s">
        <v>194</v>
      </c>
      <c r="BJ33" s="52" t="s">
        <v>411</v>
      </c>
      <c r="BK33" s="136">
        <f>B13</f>
        <v>3.44E-2</v>
      </c>
      <c r="BM33" s="52" t="s">
        <v>418</v>
      </c>
      <c r="BN33" s="136">
        <f>B9</f>
        <v>0.73699999999999999</v>
      </c>
      <c r="BS33" s="91"/>
      <c r="BT33" s="99"/>
      <c r="BU33" s="100"/>
      <c r="BW33" s="90"/>
      <c r="BZ33" s="146">
        <v>1000</v>
      </c>
      <c r="CA33" s="52" t="s">
        <v>23</v>
      </c>
      <c r="CM33" s="83"/>
      <c r="CN33" s="91" t="s">
        <v>231</v>
      </c>
      <c r="CO33" s="136">
        <f>B30</f>
        <v>1600</v>
      </c>
      <c r="CP33" s="52" t="s">
        <v>60</v>
      </c>
      <c r="CR33" s="83"/>
      <c r="CS33" s="83"/>
      <c r="CT33" s="83" t="s">
        <v>363</v>
      </c>
      <c r="CU33" s="141">
        <f t="shared" ref="CU33:CU40" si="1">B168</f>
        <v>1</v>
      </c>
      <c r="CV33" s="92" t="s">
        <v>60</v>
      </c>
      <c r="CZ33" s="92" t="s">
        <v>513</v>
      </c>
      <c r="DA33" s="141">
        <f t="shared" si="0"/>
        <v>55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B92</f>
        <v>70</v>
      </c>
    </row>
    <row r="34" spans="1:214" ht="13.5" customHeight="1" x14ac:dyDescent="0.2">
      <c r="A34" s="91" t="s">
        <v>231</v>
      </c>
      <c r="B34" s="183">
        <f>B30*365</f>
        <v>584000</v>
      </c>
      <c r="C34" s="52" t="s">
        <v>222</v>
      </c>
      <c r="D34" s="83" t="s">
        <v>382</v>
      </c>
      <c r="E34" s="150">
        <f>B68</f>
        <v>150</v>
      </c>
      <c r="F34" s="83" t="s">
        <v>24</v>
      </c>
      <c r="G34" s="83" t="s">
        <v>383</v>
      </c>
      <c r="H34" s="150">
        <f>B71</f>
        <v>24</v>
      </c>
      <c r="I34" s="94" t="s">
        <v>194</v>
      </c>
      <c r="J34" s="83" t="s">
        <v>383</v>
      </c>
      <c r="K34" s="150">
        <f>B71</f>
        <v>24</v>
      </c>
      <c r="L34" s="94" t="s">
        <v>194</v>
      </c>
      <c r="M34" s="52" t="s">
        <v>410</v>
      </c>
      <c r="N34" s="139">
        <f>B23</f>
        <v>1.9522299999999999</v>
      </c>
      <c r="O34" s="84" t="s">
        <v>354</v>
      </c>
      <c r="P34" s="52" t="s">
        <v>419</v>
      </c>
      <c r="Q34" s="139">
        <f>B25</f>
        <v>5.52928</v>
      </c>
      <c r="R34" s="84" t="s">
        <v>353</v>
      </c>
      <c r="V34" s="52" t="s">
        <v>421</v>
      </c>
      <c r="W34" s="150">
        <f>B243</f>
        <v>5</v>
      </c>
      <c r="X34" s="84" t="s">
        <v>194</v>
      </c>
      <c r="Y34" s="52" t="s">
        <v>192</v>
      </c>
      <c r="Z34" s="150">
        <f>B262</f>
        <v>5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B33</f>
        <v>69557565.807898715</v>
      </c>
      <c r="AH34" s="104" t="s">
        <v>78</v>
      </c>
      <c r="AI34" s="52" t="s">
        <v>410</v>
      </c>
      <c r="AJ34" s="139">
        <f>B23</f>
        <v>1.9522299999999999</v>
      </c>
      <c r="AK34" s="84" t="s">
        <v>353</v>
      </c>
      <c r="AL34" s="52" t="s">
        <v>419</v>
      </c>
      <c r="AM34" s="139">
        <f>B25</f>
        <v>5.52928</v>
      </c>
      <c r="AN34" s="84" t="s">
        <v>353</v>
      </c>
      <c r="AR34" s="52" t="s">
        <v>410</v>
      </c>
      <c r="AS34" s="139">
        <f>B23</f>
        <v>1.9522299999999999</v>
      </c>
      <c r="AT34" s="84" t="s">
        <v>353</v>
      </c>
      <c r="AU34" s="52" t="s">
        <v>419</v>
      </c>
      <c r="AV34" s="139">
        <f>B25</f>
        <v>5.52928</v>
      </c>
      <c r="AW34" s="84" t="s">
        <v>353</v>
      </c>
      <c r="BA34" s="52" t="s">
        <v>410</v>
      </c>
      <c r="BB34" s="139">
        <f>B23</f>
        <v>1.9522299999999999</v>
      </c>
      <c r="BC34" s="84" t="s">
        <v>353</v>
      </c>
      <c r="BD34" s="52" t="s">
        <v>419</v>
      </c>
      <c r="BE34" s="139">
        <f>B25</f>
        <v>5.52928</v>
      </c>
      <c r="BF34" s="84" t="s">
        <v>353</v>
      </c>
      <c r="BJ34" s="52" t="s">
        <v>57</v>
      </c>
      <c r="BK34" s="136">
        <f>B262</f>
        <v>5</v>
      </c>
      <c r="BL34" s="52" t="s">
        <v>194</v>
      </c>
      <c r="BM34" s="52" t="s">
        <v>57</v>
      </c>
      <c r="BN34" s="136">
        <f>B262</f>
        <v>5</v>
      </c>
      <c r="BO34" s="52" t="s">
        <v>194</v>
      </c>
      <c r="BT34" s="102"/>
      <c r="BU34" s="91"/>
      <c r="BY34" s="91" t="s">
        <v>308</v>
      </c>
      <c r="BZ34" s="146">
        <f>B111</f>
        <v>0.23</v>
      </c>
      <c r="CM34" s="83"/>
      <c r="CN34" s="84" t="s">
        <v>16</v>
      </c>
      <c r="CO34" s="137">
        <f>(CO31*CO32)/(1-EXP(-CO32*CO31))</f>
        <v>1.0004331875323664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55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B45</f>
        <v>1</v>
      </c>
    </row>
    <row r="35" spans="1:214" ht="13.15" customHeight="1" x14ac:dyDescent="0.2">
      <c r="A35" s="83" t="s">
        <v>105</v>
      </c>
      <c r="B35" s="182">
        <v>4</v>
      </c>
      <c r="C35" s="84" t="s">
        <v>18</v>
      </c>
      <c r="D35" s="83" t="s">
        <v>258</v>
      </c>
      <c r="E35" s="136">
        <f>B29</f>
        <v>1.67911012348351E-3</v>
      </c>
      <c r="F35" s="83" t="s">
        <v>87</v>
      </c>
      <c r="G35" s="83" t="s">
        <v>384</v>
      </c>
      <c r="H35" s="150">
        <f>B71</f>
        <v>24</v>
      </c>
      <c r="I35" s="52" t="s">
        <v>194</v>
      </c>
      <c r="J35" s="83" t="s">
        <v>384</v>
      </c>
      <c r="K35" s="150">
        <f>B71</f>
        <v>24</v>
      </c>
      <c r="L35" s="52" t="s">
        <v>194</v>
      </c>
      <c r="M35" s="52" t="s">
        <v>409</v>
      </c>
      <c r="N35" s="150">
        <f>B89</f>
        <v>25</v>
      </c>
      <c r="O35" s="52" t="s">
        <v>194</v>
      </c>
      <c r="P35" s="52" t="s">
        <v>409</v>
      </c>
      <c r="Q35" s="150">
        <f>B89</f>
        <v>25</v>
      </c>
      <c r="R35" s="52" t="s">
        <v>194</v>
      </c>
      <c r="V35" s="52" t="s">
        <v>304</v>
      </c>
      <c r="W35" s="146">
        <f>B236</f>
        <v>50</v>
      </c>
      <c r="X35" s="84" t="s">
        <v>407</v>
      </c>
      <c r="Y35" s="52" t="s">
        <v>348</v>
      </c>
      <c r="Z35" s="146">
        <f>B256</f>
        <v>50</v>
      </c>
      <c r="AA35" s="84" t="s">
        <v>407</v>
      </c>
      <c r="AB35" s="95" t="s">
        <v>287</v>
      </c>
      <c r="AC35" s="176">
        <v>27.027027027027</v>
      </c>
      <c r="AD35" s="176">
        <v>27.027027027027</v>
      </c>
      <c r="AE35" s="176">
        <v>27.027027027027</v>
      </c>
      <c r="AF35" s="176">
        <v>27.027027027027</v>
      </c>
      <c r="AG35" s="176">
        <v>27.027027027027</v>
      </c>
      <c r="AH35" s="52" t="s">
        <v>288</v>
      </c>
      <c r="AI35" s="52" t="s">
        <v>69</v>
      </c>
      <c r="AJ35" s="136">
        <f>B243</f>
        <v>5</v>
      </c>
      <c r="AK35" s="52" t="s">
        <v>194</v>
      </c>
      <c r="AL35" s="52" t="s">
        <v>69</v>
      </c>
      <c r="AM35" s="136">
        <f>B243</f>
        <v>5</v>
      </c>
      <c r="AN35" s="52" t="s">
        <v>194</v>
      </c>
      <c r="AR35" s="52" t="s">
        <v>69</v>
      </c>
      <c r="AS35" s="136">
        <f>B253</f>
        <v>5</v>
      </c>
      <c r="AT35" s="52" t="s">
        <v>194</v>
      </c>
      <c r="AU35" s="52" t="s">
        <v>69</v>
      </c>
      <c r="AV35" s="136">
        <f>B253</f>
        <v>5</v>
      </c>
      <c r="AW35" s="52" t="s">
        <v>194</v>
      </c>
      <c r="BA35" s="52" t="s">
        <v>69</v>
      </c>
      <c r="BB35" s="136">
        <f>B233</f>
        <v>5</v>
      </c>
      <c r="BC35" s="52" t="s">
        <v>194</v>
      </c>
      <c r="BD35" s="52" t="s">
        <v>69</v>
      </c>
      <c r="BE35" s="136">
        <f>B233</f>
        <v>5</v>
      </c>
      <c r="BF35" s="52" t="s">
        <v>194</v>
      </c>
      <c r="BJ35" s="52" t="s">
        <v>410</v>
      </c>
      <c r="BK35" s="139">
        <f>B23</f>
        <v>1.9522299999999999</v>
      </c>
      <c r="BL35" s="84" t="s">
        <v>353</v>
      </c>
      <c r="BM35" s="52" t="s">
        <v>419</v>
      </c>
      <c r="BN35" s="139">
        <f>B25</f>
        <v>5.52928</v>
      </c>
      <c r="BO35" s="84" t="s">
        <v>353</v>
      </c>
      <c r="BY35" s="91" t="s">
        <v>309</v>
      </c>
      <c r="BZ35" s="146">
        <f>B112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B165</f>
        <v>150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B75</f>
        <v>0.5</v>
      </c>
      <c r="HF35" s="52" t="s">
        <v>355</v>
      </c>
    </row>
    <row r="36" spans="1:214" x14ac:dyDescent="0.2">
      <c r="A36" s="83" t="s">
        <v>239</v>
      </c>
      <c r="B36" s="183">
        <v>3.8000000000000002E-4</v>
      </c>
      <c r="C36" s="52" t="s">
        <v>601</v>
      </c>
      <c r="D36" s="83" t="s">
        <v>389</v>
      </c>
      <c r="E36" s="146">
        <f>B90</f>
        <v>1</v>
      </c>
      <c r="G36" s="83" t="s">
        <v>405</v>
      </c>
      <c r="H36" s="138">
        <f>B76</f>
        <v>5</v>
      </c>
      <c r="I36" s="52" t="s">
        <v>80</v>
      </c>
      <c r="J36" s="83" t="s">
        <v>390</v>
      </c>
      <c r="K36" s="141">
        <f>B78</f>
        <v>0.25</v>
      </c>
      <c r="M36" s="95" t="s">
        <v>287</v>
      </c>
      <c r="N36" s="176">
        <v>27.027027027027</v>
      </c>
      <c r="O36" s="52" t="s">
        <v>288</v>
      </c>
      <c r="P36" s="95" t="s">
        <v>287</v>
      </c>
      <c r="Q36" s="176">
        <v>27.027027027027</v>
      </c>
      <c r="R36" s="52" t="s">
        <v>288</v>
      </c>
      <c r="V36" s="83" t="s">
        <v>256</v>
      </c>
      <c r="W36" s="136">
        <f>B27</f>
        <v>15429.68</v>
      </c>
      <c r="X36" s="83" t="s">
        <v>343</v>
      </c>
      <c r="Y36" s="83" t="s">
        <v>256</v>
      </c>
      <c r="Z36" s="136">
        <f>B27</f>
        <v>15429.68</v>
      </c>
      <c r="AA36" s="83" t="s">
        <v>343</v>
      </c>
      <c r="AI36" s="95" t="s">
        <v>287</v>
      </c>
      <c r="AJ36" s="176">
        <v>27.027027027027</v>
      </c>
      <c r="AK36" s="52" t="s">
        <v>288</v>
      </c>
      <c r="AL36" s="95" t="s">
        <v>287</v>
      </c>
      <c r="AM36" s="176">
        <v>27.027027027027</v>
      </c>
      <c r="AN36" s="52" t="s">
        <v>288</v>
      </c>
      <c r="AR36" s="95" t="s">
        <v>287</v>
      </c>
      <c r="AS36" s="176">
        <v>27.027027027027</v>
      </c>
      <c r="AT36" s="52" t="s">
        <v>288</v>
      </c>
      <c r="AU36" s="95" t="s">
        <v>287</v>
      </c>
      <c r="AV36" s="176">
        <v>27.027027027027</v>
      </c>
      <c r="AW36" s="52" t="s">
        <v>288</v>
      </c>
      <c r="BA36" s="95" t="s">
        <v>287</v>
      </c>
      <c r="BB36" s="176">
        <v>27.027027027027</v>
      </c>
      <c r="BC36" s="52" t="s">
        <v>288</v>
      </c>
      <c r="BD36" s="95" t="s">
        <v>287</v>
      </c>
      <c r="BE36" s="176">
        <v>27.027027027027</v>
      </c>
      <c r="BF36" s="52" t="s">
        <v>288</v>
      </c>
      <c r="BJ36" s="95" t="s">
        <v>287</v>
      </c>
      <c r="BK36" s="176">
        <v>27.027027027027</v>
      </c>
      <c r="BL36" s="52" t="s">
        <v>288</v>
      </c>
      <c r="BM36" s="95" t="s">
        <v>287</v>
      </c>
      <c r="BN36" s="176">
        <v>27.027027027027</v>
      </c>
      <c r="BO36" s="52" t="s">
        <v>288</v>
      </c>
      <c r="BS36" s="100"/>
      <c r="BT36" s="100"/>
      <c r="BU36" s="91"/>
      <c r="BY36" s="95" t="s">
        <v>287</v>
      </c>
      <c r="BZ36" s="176">
        <v>27.027027027027</v>
      </c>
      <c r="CA36" s="52" t="s">
        <v>288</v>
      </c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B166</f>
        <v>150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B97</f>
        <v>5</v>
      </c>
      <c r="HF36" s="52" t="s">
        <v>94</v>
      </c>
    </row>
    <row r="37" spans="1:214" ht="12.75" customHeight="1" x14ac:dyDescent="0.2">
      <c r="A37" s="83" t="s">
        <v>236</v>
      </c>
      <c r="B37" s="183">
        <v>1.6999999999999999E-3</v>
      </c>
      <c r="C37" s="52" t="s">
        <v>388</v>
      </c>
      <c r="D37" s="83" t="s">
        <v>394</v>
      </c>
      <c r="E37" s="146">
        <f>B56</f>
        <v>35</v>
      </c>
      <c r="F37" s="52" t="s">
        <v>48</v>
      </c>
      <c r="G37" s="83" t="s">
        <v>406</v>
      </c>
      <c r="H37" s="138">
        <f>B77</f>
        <v>5</v>
      </c>
      <c r="I37" s="52" t="s">
        <v>80</v>
      </c>
      <c r="J37" s="83" t="s">
        <v>408</v>
      </c>
      <c r="K37" s="150">
        <f>B88</f>
        <v>5</v>
      </c>
      <c r="L37" s="84" t="s">
        <v>194</v>
      </c>
      <c r="V37" s="83" t="s">
        <v>301</v>
      </c>
      <c r="W37" s="142">
        <f>B240</f>
        <v>2</v>
      </c>
      <c r="Y37" s="83" t="s">
        <v>301</v>
      </c>
      <c r="Z37" s="142">
        <f>B260</f>
        <v>2</v>
      </c>
      <c r="BS37" s="91"/>
      <c r="BT37" s="91"/>
      <c r="BU37" s="91"/>
      <c r="BZ37" s="90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15</v>
      </c>
      <c r="CV37" s="84" t="s">
        <v>194</v>
      </c>
      <c r="CZ37" s="92" t="s">
        <v>363</v>
      </c>
      <c r="DA37" s="141">
        <f>B168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2.75" customHeight="1" x14ac:dyDescent="0.2">
      <c r="A38" s="83" t="s">
        <v>237</v>
      </c>
      <c r="B38" s="183">
        <v>0</v>
      </c>
      <c r="C38" s="52" t="s">
        <v>388</v>
      </c>
      <c r="D38" s="83" t="s">
        <v>260</v>
      </c>
      <c r="E38" s="152">
        <f>(E33/(E35*E34*E37*E36))/E39</f>
        <v>4.197234564340512E-3</v>
      </c>
      <c r="F38" s="84" t="s">
        <v>290</v>
      </c>
      <c r="H38" s="138">
        <f>1/1000</f>
        <v>1E-3</v>
      </c>
      <c r="I38" s="52" t="s">
        <v>82</v>
      </c>
      <c r="J38" s="83" t="s">
        <v>409</v>
      </c>
      <c r="K38" s="150">
        <f>B89</f>
        <v>25</v>
      </c>
      <c r="L38" s="84" t="s">
        <v>194</v>
      </c>
      <c r="V38" s="52" t="s">
        <v>261</v>
      </c>
      <c r="W38" s="143">
        <f>((W27)/((W34/24)*W31*W32*W33*W35))/W42</f>
        <v>7.4692708752681824E-4</v>
      </c>
      <c r="X38" s="52" t="s">
        <v>15</v>
      </c>
      <c r="Y38" s="52" t="s">
        <v>261</v>
      </c>
      <c r="Z38" s="143">
        <f>((Z27)/((Z34/24)*Z31*Z32*Z33*Z35))/Z45</f>
        <v>7.4692708752681824E-4</v>
      </c>
      <c r="AA38" s="52" t="s">
        <v>15</v>
      </c>
      <c r="AE38" s="352" t="s">
        <v>226</v>
      </c>
      <c r="AF38" s="352"/>
      <c r="AG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5</v>
      </c>
      <c r="CV38" s="84" t="s">
        <v>194</v>
      </c>
      <c r="CZ38" s="92" t="s">
        <v>364</v>
      </c>
      <c r="DA38" s="141">
        <f>B169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B98</f>
        <v>0.18</v>
      </c>
      <c r="HF38" s="52" t="s">
        <v>355</v>
      </c>
    </row>
    <row r="39" spans="1:214" x14ac:dyDescent="0.2">
      <c r="A39" s="83" t="s">
        <v>171</v>
      </c>
      <c r="B39" s="183">
        <v>0</v>
      </c>
      <c r="C39" s="52" t="s">
        <v>388</v>
      </c>
      <c r="D39" s="95" t="s">
        <v>287</v>
      </c>
      <c r="E39" s="176">
        <v>27.027027027027</v>
      </c>
      <c r="F39" s="52" t="s">
        <v>288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((W27)/((W34/24)*W31*W36*(1/365)))/W42</f>
        <v>3.3610029501583988E-5</v>
      </c>
      <c r="X39" s="52" t="s">
        <v>15</v>
      </c>
      <c r="Y39" s="52" t="s">
        <v>271</v>
      </c>
      <c r="Z39" s="144">
        <f>((Z27)/((Z34/24)*Z31*Z36*(1/365)))/Z45</f>
        <v>3.3610029501583988E-5</v>
      </c>
      <c r="AA39" s="52" t="s">
        <v>15</v>
      </c>
      <c r="AE39" s="352"/>
      <c r="AF39" s="352"/>
      <c r="AG39" s="352"/>
      <c r="BK39" s="352" t="s">
        <v>230</v>
      </c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B170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B99</f>
        <v>55</v>
      </c>
      <c r="HF39" s="52" t="s">
        <v>97</v>
      </c>
    </row>
    <row r="40" spans="1:214" ht="15" customHeight="1" x14ac:dyDescent="0.2">
      <c r="A40" s="83" t="s">
        <v>238</v>
      </c>
      <c r="B40" s="183">
        <v>0</v>
      </c>
      <c r="C40" s="52" t="s">
        <v>388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((W27*W29*W28)/((W34/24)*(1-EXP(-W29*W32))*W33*W35*W31*W32))/W42</f>
        <v>7.4708885560100327E-4</v>
      </c>
      <c r="X40" s="52" t="s">
        <v>16</v>
      </c>
      <c r="Y40" s="52" t="s">
        <v>261</v>
      </c>
      <c r="Z40" s="144">
        <f>((Z27*Z29*Z28)/((Z34/24)*(1-EXP(-Z29*Z32))*Z33*Z35*Z31*Z32))/Z45</f>
        <v>7.4708885560100327E-4</v>
      </c>
      <c r="AA40" s="52" t="s">
        <v>16</v>
      </c>
      <c r="AE40" s="352"/>
      <c r="AF40" s="352"/>
      <c r="AG40" s="352"/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1</v>
      </c>
      <c r="CZ40" s="92" t="s">
        <v>457</v>
      </c>
      <c r="DA40" s="141">
        <f>B177</f>
        <v>5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B100</f>
        <v>5</v>
      </c>
      <c r="HF40" s="52" t="s">
        <v>97</v>
      </c>
    </row>
    <row r="41" spans="1:214" ht="13.5" thickBot="1" x14ac:dyDescent="0.25">
      <c r="A41" s="52" t="s">
        <v>229</v>
      </c>
      <c r="B41" s="183">
        <f>B37</f>
        <v>1.6999999999999999E-3</v>
      </c>
      <c r="C41" s="52" t="s">
        <v>388</v>
      </c>
      <c r="G41" s="83" t="s">
        <v>390</v>
      </c>
      <c r="H41" s="141">
        <f>B78</f>
        <v>0.25</v>
      </c>
      <c r="I41" s="84"/>
      <c r="J41" s="83" t="s">
        <v>302</v>
      </c>
      <c r="K41" s="161">
        <f>B3</f>
        <v>0.124</v>
      </c>
      <c r="V41" s="52" t="s">
        <v>271</v>
      </c>
      <c r="W41" s="145">
        <f>((W27*W29*W28)/((W34/24)*(1-EXP(-W29*W28))*W36*W31*(1/365)))/W42</f>
        <v>3.361730869902717E-5</v>
      </c>
      <c r="X41" s="52" t="s">
        <v>16</v>
      </c>
      <c r="Y41" s="52" t="s">
        <v>271</v>
      </c>
      <c r="Z41" s="145">
        <f>((Z27*Z29*Z28)/((Z34/24)*(1-EXP(-Z29*Z28))*Z36*Z31*(1/365)))/Z45</f>
        <v>3.361730869902717E-5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61">
        <f>B3</f>
        <v>0.124</v>
      </c>
      <c r="CZ41" s="92" t="s">
        <v>466</v>
      </c>
      <c r="DA41" s="141">
        <f>B178</f>
        <v>5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B101</f>
        <v>5</v>
      </c>
      <c r="HF41" s="52" t="s">
        <v>97</v>
      </c>
    </row>
    <row r="42" spans="1:214" ht="13.9" customHeight="1" thickTop="1" thickBot="1" x14ac:dyDescent="0.25">
      <c r="A42" s="83" t="s">
        <v>228</v>
      </c>
      <c r="B42" s="183">
        <f>B38</f>
        <v>0</v>
      </c>
      <c r="C42" s="52" t="s">
        <v>388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61">
        <f>B4</f>
        <v>0.79200000000000004</v>
      </c>
      <c r="V42" s="95" t="s">
        <v>287</v>
      </c>
      <c r="W42" s="176">
        <v>27.027027027027</v>
      </c>
      <c r="X42" s="52" t="s">
        <v>288</v>
      </c>
      <c r="Y42" s="52" t="s">
        <v>220</v>
      </c>
      <c r="Z42" s="138">
        <f>B266</f>
        <v>25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61">
        <f>B4</f>
        <v>0.79200000000000004</v>
      </c>
      <c r="CW42" s="84"/>
      <c r="CX42" s="84"/>
      <c r="CY42" s="84"/>
      <c r="CZ42" s="52" t="s">
        <v>477</v>
      </c>
      <c r="DA42" s="141">
        <f>B179</f>
        <v>0.25</v>
      </c>
      <c r="DB42" s="92" t="s">
        <v>358</v>
      </c>
      <c r="DW42" s="88"/>
      <c r="DX42" s="88"/>
      <c r="DY42" s="88"/>
      <c r="DZ42" s="88"/>
      <c r="HD42" s="52" t="s">
        <v>225</v>
      </c>
      <c r="HE42" s="138">
        <f>1+((HE35*HE36*HE37)/(HE38*HE39))</f>
        <v>3.1605966718331597</v>
      </c>
    </row>
    <row r="43" spans="1:214" ht="13.15" customHeight="1" x14ac:dyDescent="0.2">
      <c r="A43" s="84" t="s">
        <v>32</v>
      </c>
      <c r="B43" s="183">
        <f>0.0148</f>
        <v>1.4800000000000001E-2</v>
      </c>
      <c r="D43" s="323" t="s">
        <v>530</v>
      </c>
      <c r="E43" s="347">
        <f>E53</f>
        <v>1.0493086410851282</v>
      </c>
      <c r="F43" s="345" t="s">
        <v>291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Y43" s="52" t="s">
        <v>219</v>
      </c>
      <c r="Z43" s="138">
        <f>B265</f>
        <v>3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B180</f>
        <v>0.85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52" t="s">
        <v>33</v>
      </c>
      <c r="B44" s="183">
        <v>1.7000000000000001E-2</v>
      </c>
      <c r="D44" s="324"/>
      <c r="E44" s="348"/>
      <c r="F44" s="346"/>
      <c r="G44" s="52" t="s">
        <v>19</v>
      </c>
      <c r="H44" s="136">
        <f>H46</f>
        <v>1.4800000000000001E-2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2.75" customHeight="1" thickTop="1" x14ac:dyDescent="0.2">
      <c r="A45" s="83" t="s">
        <v>156</v>
      </c>
      <c r="B45" s="182">
        <v>1</v>
      </c>
      <c r="C45" s="83" t="s">
        <v>18</v>
      </c>
      <c r="D45" s="83" t="s">
        <v>267</v>
      </c>
      <c r="E45" s="136">
        <f>B17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Y45" s="95" t="s">
        <v>287</v>
      </c>
      <c r="Z45" s="176">
        <v>27.027027027027</v>
      </c>
      <c r="AA45" s="52" t="s">
        <v>288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B181</f>
        <v>0.5</v>
      </c>
      <c r="DB45" s="92" t="s">
        <v>145</v>
      </c>
      <c r="DW45" s="88"/>
      <c r="DX45" s="88"/>
      <c r="DY45" s="88"/>
      <c r="DZ45" s="88"/>
    </row>
    <row r="46" spans="1:214" ht="13.5" customHeight="1" x14ac:dyDescent="0.2">
      <c r="A46" s="84" t="s">
        <v>21</v>
      </c>
      <c r="B46" s="188">
        <f>5/27.027</f>
        <v>0.185000185000185</v>
      </c>
      <c r="C46" s="52" t="s">
        <v>291</v>
      </c>
      <c r="D46" s="83" t="s">
        <v>382</v>
      </c>
      <c r="E46" s="150">
        <f>B68</f>
        <v>150</v>
      </c>
      <c r="F46" s="83" t="s">
        <v>24</v>
      </c>
      <c r="G46" s="84" t="s">
        <v>32</v>
      </c>
      <c r="H46" s="139">
        <f>B43</f>
        <v>1.4800000000000001E-2</v>
      </c>
      <c r="K46" s="146">
        <v>1000</v>
      </c>
      <c r="L46" s="52" t="s">
        <v>23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52" t="s">
        <v>393</v>
      </c>
      <c r="B47" s="131">
        <v>0.26</v>
      </c>
      <c r="D47" s="83" t="s">
        <v>258</v>
      </c>
      <c r="E47" s="136">
        <f>B29</f>
        <v>1.67911012348351E-3</v>
      </c>
      <c r="F47" s="83" t="s">
        <v>87</v>
      </c>
      <c r="G47" s="83" t="s">
        <v>393</v>
      </c>
      <c r="H47" s="142">
        <f>B47</f>
        <v>0.26</v>
      </c>
      <c r="J47" s="52" t="s">
        <v>19</v>
      </c>
      <c r="K47" s="136">
        <f>K49</f>
        <v>1.4800000000000001E-2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B163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52" t="s">
        <v>392</v>
      </c>
      <c r="B48" s="131">
        <v>0.25</v>
      </c>
      <c r="D48" s="83" t="s">
        <v>379</v>
      </c>
      <c r="E48" s="146">
        <f>B65</f>
        <v>1</v>
      </c>
      <c r="F48" s="52" t="s">
        <v>60</v>
      </c>
      <c r="G48" s="52" t="s">
        <v>17</v>
      </c>
      <c r="H48" s="137">
        <f>((H51*H52*H53)*((1-EXP(-H54*H55))))/(H56*H54)</f>
        <v>0.52579260245651049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B164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381" t="s">
        <v>2</v>
      </c>
      <c r="B49" s="382"/>
      <c r="C49" s="383"/>
      <c r="D49" s="83" t="s">
        <v>394</v>
      </c>
      <c r="E49" s="146">
        <f>B56</f>
        <v>35</v>
      </c>
      <c r="F49" s="52" t="s">
        <v>48</v>
      </c>
      <c r="G49" s="52" t="s">
        <v>25</v>
      </c>
      <c r="H49" s="137">
        <f>(H51*H52*H57*((1-EXP(-H54*H55))))/(H56*H54)</f>
        <v>9.2368970701819411</v>
      </c>
      <c r="I49" s="52" t="s">
        <v>18</v>
      </c>
      <c r="J49" s="84" t="s">
        <v>32</v>
      </c>
      <c r="K49" s="139">
        <f>B43</f>
        <v>1.4800000000000001E-2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T49" s="95" t="s">
        <v>287</v>
      </c>
      <c r="CU49" s="176">
        <v>27.027027027027</v>
      </c>
      <c r="CV49" s="52" t="s">
        <v>288</v>
      </c>
      <c r="CZ49" s="83" t="s">
        <v>475</v>
      </c>
      <c r="DA49" s="146">
        <f>B163</f>
        <v>0.15</v>
      </c>
      <c r="DW49" s="88"/>
      <c r="DX49" s="88"/>
      <c r="DY49" s="88"/>
      <c r="DZ49" s="88"/>
    </row>
    <row r="50" spans="1:130" x14ac:dyDescent="0.2">
      <c r="A50" s="83" t="s">
        <v>366</v>
      </c>
      <c r="B50" s="130">
        <v>5</v>
      </c>
      <c r="C50" s="92" t="s">
        <v>407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3.6423470278489711</v>
      </c>
      <c r="I50" s="52" t="s">
        <v>18</v>
      </c>
      <c r="J50" s="83" t="s">
        <v>393</v>
      </c>
      <c r="K50" s="142">
        <f>B47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Z50" s="83" t="s">
        <v>476</v>
      </c>
      <c r="DA50" s="146">
        <f>B164</f>
        <v>0.85</v>
      </c>
      <c r="DW50" s="88"/>
      <c r="DX50" s="88"/>
      <c r="DY50" s="88"/>
      <c r="DZ50" s="88"/>
    </row>
    <row r="51" spans="1:130" x14ac:dyDescent="0.2">
      <c r="A51" s="83" t="s">
        <v>367</v>
      </c>
      <c r="B51" s="130">
        <v>10</v>
      </c>
      <c r="C51" s="92" t="s">
        <v>407</v>
      </c>
      <c r="D51" s="83" t="s">
        <v>105</v>
      </c>
      <c r="E51" s="150">
        <f>B35</f>
        <v>4</v>
      </c>
      <c r="F51" s="84" t="s">
        <v>18</v>
      </c>
      <c r="G51" s="83" t="s">
        <v>36</v>
      </c>
      <c r="H51" s="138">
        <f>B79</f>
        <v>3.62</v>
      </c>
      <c r="I51" s="52" t="s">
        <v>37</v>
      </c>
      <c r="J51" s="83" t="s">
        <v>376</v>
      </c>
      <c r="K51" s="146">
        <f>B61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CZ51" s="95" t="s">
        <v>287</v>
      </c>
      <c r="DA51" s="176">
        <v>27.027027027027</v>
      </c>
      <c r="DB51" s="52" t="s">
        <v>288</v>
      </c>
      <c r="DW51" s="88"/>
      <c r="DX51" s="88"/>
      <c r="DY51" s="88"/>
      <c r="DZ51" s="88"/>
    </row>
    <row r="52" spans="1:130" x14ac:dyDescent="0.2">
      <c r="A52" s="83" t="s">
        <v>368</v>
      </c>
      <c r="B52" s="130">
        <v>100</v>
      </c>
      <c r="C52" s="84" t="s">
        <v>48</v>
      </c>
      <c r="D52" s="83" t="s">
        <v>107</v>
      </c>
      <c r="E52" s="138">
        <f>B74</f>
        <v>1</v>
      </c>
      <c r="F52" s="84" t="s">
        <v>108</v>
      </c>
      <c r="G52" s="83" t="s">
        <v>40</v>
      </c>
      <c r="H52" s="138">
        <f>B80</f>
        <v>0.25</v>
      </c>
      <c r="I52" s="52" t="s">
        <v>41</v>
      </c>
      <c r="J52" s="83" t="s">
        <v>377</v>
      </c>
      <c r="K52" s="146">
        <f>B62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DW52" s="88"/>
      <c r="DX52" s="88"/>
      <c r="DY52" s="88"/>
      <c r="DZ52" s="88"/>
    </row>
    <row r="53" spans="1:130" x14ac:dyDescent="0.2">
      <c r="A53" s="83" t="s">
        <v>369</v>
      </c>
      <c r="B53" s="130">
        <v>50</v>
      </c>
      <c r="C53" s="84" t="s">
        <v>48</v>
      </c>
      <c r="D53" s="83" t="s">
        <v>260</v>
      </c>
      <c r="E53" s="152">
        <f>(E45/(E47*E46*E48*E49*E51*E52*(1/E50)))/E54</f>
        <v>1.0493086410851282</v>
      </c>
      <c r="F53" s="52" t="s">
        <v>291</v>
      </c>
      <c r="G53" s="92" t="s">
        <v>32</v>
      </c>
      <c r="H53" s="136">
        <f>B43</f>
        <v>1.4800000000000001E-2</v>
      </c>
      <c r="J53" s="95" t="s">
        <v>287</v>
      </c>
      <c r="K53" s="176">
        <v>27.027027027027</v>
      </c>
      <c r="L53" s="52" t="s">
        <v>288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83" t="s">
        <v>370</v>
      </c>
      <c r="B54" s="130">
        <v>0.25</v>
      </c>
      <c r="C54" s="83" t="s">
        <v>28</v>
      </c>
      <c r="D54" s="95" t="s">
        <v>287</v>
      </c>
      <c r="E54" s="176">
        <v>27.027027027027</v>
      </c>
      <c r="F54" s="52" t="s">
        <v>288</v>
      </c>
      <c r="G54" s="92" t="s">
        <v>49</v>
      </c>
      <c r="H54" s="137">
        <f>H62+H63</f>
        <v>2.8186643835616437E-5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83" t="s">
        <v>371</v>
      </c>
      <c r="B55" s="130">
        <v>1.5</v>
      </c>
      <c r="C55" s="52" t="s">
        <v>28</v>
      </c>
      <c r="G55" s="92" t="s">
        <v>52</v>
      </c>
      <c r="H55" s="138">
        <f>B81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83" t="s">
        <v>310</v>
      </c>
      <c r="B56" s="130">
        <v>35</v>
      </c>
      <c r="C56" s="52" t="s">
        <v>48</v>
      </c>
      <c r="G56" s="92" t="s">
        <v>55</v>
      </c>
      <c r="H56" s="138">
        <f>B82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83" t="s">
        <v>372</v>
      </c>
      <c r="B57" s="130">
        <v>55</v>
      </c>
      <c r="C57" s="92" t="s">
        <v>221</v>
      </c>
      <c r="G57" s="92" t="s">
        <v>393</v>
      </c>
      <c r="H57" s="138">
        <f>B47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83" t="s">
        <v>373</v>
      </c>
      <c r="B58" s="130">
        <v>55</v>
      </c>
      <c r="C58" s="92" t="s">
        <v>221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83" t="s">
        <v>374</v>
      </c>
      <c r="B59" s="130">
        <v>55</v>
      </c>
      <c r="C59" s="92" t="s">
        <v>221</v>
      </c>
      <c r="G59" s="92" t="s">
        <v>63</v>
      </c>
      <c r="H59" s="151">
        <f>H63+(0.693/H65)</f>
        <v>4.9501186643835612E-2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83" t="s">
        <v>375</v>
      </c>
      <c r="B60" s="130">
        <v>55</v>
      </c>
      <c r="C60" s="92" t="s">
        <v>221</v>
      </c>
      <c r="G60" s="92" t="s">
        <v>67</v>
      </c>
      <c r="H60" s="142">
        <f>B83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83" t="s">
        <v>376</v>
      </c>
      <c r="B61" s="130">
        <v>0.23</v>
      </c>
      <c r="G61" s="92" t="s">
        <v>68</v>
      </c>
      <c r="H61" s="142">
        <f>B84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83" t="s">
        <v>377</v>
      </c>
      <c r="B62" s="130">
        <v>0.77</v>
      </c>
      <c r="G62" s="92" t="s">
        <v>70</v>
      </c>
      <c r="H62" s="138">
        <f>B85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378</v>
      </c>
      <c r="B63" s="131">
        <v>1</v>
      </c>
      <c r="C63" s="52" t="s">
        <v>60</v>
      </c>
      <c r="G63" s="92" t="s">
        <v>71</v>
      </c>
      <c r="H63" s="137">
        <f>0.693/H67</f>
        <v>1.1866438356164383E-6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52" t="s">
        <v>448</v>
      </c>
      <c r="B64" s="131">
        <v>1</v>
      </c>
      <c r="C64" s="52" t="s">
        <v>60</v>
      </c>
      <c r="G64" s="92" t="s">
        <v>73</v>
      </c>
      <c r="H64" s="138">
        <f>B86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379</v>
      </c>
      <c r="B65" s="131">
        <v>1</v>
      </c>
      <c r="C65" s="52" t="s">
        <v>60</v>
      </c>
      <c r="G65" s="92" t="s">
        <v>74</v>
      </c>
      <c r="H65" s="138">
        <f>B87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380</v>
      </c>
      <c r="B66" s="131">
        <v>150</v>
      </c>
      <c r="C66" s="83" t="s">
        <v>24</v>
      </c>
      <c r="G66" s="52" t="s">
        <v>33</v>
      </c>
      <c r="H66" s="136">
        <f>B44</f>
        <v>1.7000000000000001E-2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381</v>
      </c>
      <c r="B67" s="131">
        <v>150</v>
      </c>
      <c r="C67" s="83" t="s">
        <v>24</v>
      </c>
      <c r="G67" s="83" t="s">
        <v>234</v>
      </c>
      <c r="H67" s="136">
        <f>B34</f>
        <v>584000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382</v>
      </c>
      <c r="B68" s="131">
        <v>150</v>
      </c>
      <c r="C68" s="83" t="s">
        <v>24</v>
      </c>
      <c r="G68" s="83" t="s">
        <v>376</v>
      </c>
      <c r="H68" s="146">
        <f>B61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52" t="s">
        <v>403</v>
      </c>
      <c r="B69" s="131">
        <v>0.25</v>
      </c>
      <c r="C69" s="52" t="s">
        <v>89</v>
      </c>
      <c r="G69" s="83" t="s">
        <v>377</v>
      </c>
      <c r="H69" s="146">
        <f>B62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52" t="s">
        <v>404</v>
      </c>
      <c r="B70" s="131">
        <v>0.75</v>
      </c>
      <c r="C70" s="52" t="s">
        <v>89</v>
      </c>
      <c r="G70" s="95" t="s">
        <v>287</v>
      </c>
      <c r="H70" s="176">
        <v>27.027027027027</v>
      </c>
      <c r="I70" s="52" t="s">
        <v>288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52" t="s">
        <v>385</v>
      </c>
      <c r="B71" s="131">
        <v>24</v>
      </c>
      <c r="C71" s="52" t="s">
        <v>194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52" t="s">
        <v>318</v>
      </c>
      <c r="B72" s="131">
        <v>2</v>
      </c>
      <c r="AF72" s="109"/>
      <c r="AG72" s="106"/>
      <c r="AH72" s="106"/>
      <c r="AI72" s="106"/>
      <c r="AJ72" s="106"/>
      <c r="AK72" s="106"/>
    </row>
    <row r="73" spans="1:105" x14ac:dyDescent="0.2">
      <c r="A73" s="52" t="s">
        <v>303</v>
      </c>
      <c r="B73" s="131">
        <v>1</v>
      </c>
      <c r="AF73" s="109"/>
      <c r="AG73" s="106"/>
      <c r="AH73" s="106"/>
      <c r="AI73" s="106"/>
      <c r="AJ73" s="106"/>
      <c r="AK73" s="106"/>
    </row>
    <row r="74" spans="1:105" x14ac:dyDescent="0.2">
      <c r="A74" s="83" t="s">
        <v>107</v>
      </c>
      <c r="B74" s="131">
        <v>1</v>
      </c>
      <c r="C74" s="84" t="s">
        <v>108</v>
      </c>
      <c r="AF74" s="109"/>
      <c r="AG74" s="106"/>
      <c r="AH74" s="106"/>
      <c r="AI74" s="106"/>
      <c r="AJ74" s="106"/>
      <c r="AK74" s="106"/>
    </row>
    <row r="75" spans="1:105" x14ac:dyDescent="0.2">
      <c r="A75" s="52" t="s">
        <v>65</v>
      </c>
      <c r="B75" s="131">
        <v>0.5</v>
      </c>
      <c r="C75" s="52" t="s">
        <v>66</v>
      </c>
      <c r="AF75" s="108"/>
      <c r="AG75" s="106"/>
      <c r="AH75" s="106"/>
      <c r="AI75" s="106"/>
      <c r="AJ75" s="106"/>
      <c r="AK75" s="106"/>
    </row>
    <row r="76" spans="1:105" x14ac:dyDescent="0.2">
      <c r="A76" s="52" t="s">
        <v>79</v>
      </c>
      <c r="B76" s="131">
        <v>5</v>
      </c>
      <c r="C76" s="52" t="s">
        <v>80</v>
      </c>
      <c r="AF76" s="109"/>
      <c r="AG76" s="106"/>
      <c r="AH76" s="106"/>
      <c r="AI76" s="106"/>
      <c r="AJ76" s="106"/>
      <c r="AK76" s="106"/>
    </row>
    <row r="77" spans="1:105" x14ac:dyDescent="0.2">
      <c r="A77" s="52" t="s">
        <v>81</v>
      </c>
      <c r="B77" s="131">
        <v>5</v>
      </c>
      <c r="C77" s="52" t="s">
        <v>80</v>
      </c>
      <c r="AF77" s="109"/>
      <c r="AG77" s="106"/>
      <c r="AH77" s="106"/>
      <c r="AI77" s="106"/>
      <c r="AJ77" s="106"/>
      <c r="AK77" s="106"/>
    </row>
    <row r="78" spans="1:105" ht="12.75" customHeight="1" x14ac:dyDescent="0.2">
      <c r="A78" s="52" t="s">
        <v>390</v>
      </c>
      <c r="B78" s="131">
        <v>0.25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36</v>
      </c>
      <c r="B79" s="131">
        <v>3.62</v>
      </c>
      <c r="C79" s="52" t="s">
        <v>37</v>
      </c>
      <c r="AF79" s="109"/>
      <c r="AG79" s="106"/>
    </row>
    <row r="80" spans="1:105" x14ac:dyDescent="0.2">
      <c r="A80" s="83" t="s">
        <v>40</v>
      </c>
      <c r="B80" s="131">
        <v>0.25</v>
      </c>
      <c r="C80" s="52" t="s">
        <v>41</v>
      </c>
      <c r="AF80" s="109"/>
      <c r="AG80" s="106"/>
      <c r="AH80" s="106"/>
      <c r="AI80" s="106"/>
      <c r="AJ80" s="106"/>
      <c r="AK80" s="106"/>
    </row>
    <row r="81" spans="1:37" x14ac:dyDescent="0.2">
      <c r="A81" s="92" t="s">
        <v>52</v>
      </c>
      <c r="B81" s="131">
        <v>10950</v>
      </c>
      <c r="C81" s="52" t="s">
        <v>53</v>
      </c>
      <c r="AF81" s="109"/>
      <c r="AG81" s="106"/>
      <c r="AH81" s="106"/>
      <c r="AI81" s="106"/>
      <c r="AJ81" s="106"/>
      <c r="AK81" s="106"/>
    </row>
    <row r="82" spans="1:37" x14ac:dyDescent="0.2">
      <c r="A82" s="92" t="s">
        <v>55</v>
      </c>
      <c r="B82" s="131">
        <v>240</v>
      </c>
      <c r="C82" s="52" t="s">
        <v>56</v>
      </c>
      <c r="AF82" s="109"/>
      <c r="AG82" s="106"/>
      <c r="AH82" s="106"/>
      <c r="AI82" s="106"/>
      <c r="AJ82" s="106"/>
      <c r="AK82" s="106"/>
    </row>
    <row r="83" spans="1:37" x14ac:dyDescent="0.2">
      <c r="A83" s="92" t="s">
        <v>67</v>
      </c>
      <c r="B83" s="131">
        <v>60</v>
      </c>
      <c r="C83" s="83" t="s">
        <v>53</v>
      </c>
      <c r="AF83" s="109"/>
      <c r="AG83" s="106"/>
      <c r="AH83" s="106"/>
      <c r="AI83" s="106"/>
      <c r="AJ83" s="106"/>
      <c r="AK83" s="106"/>
    </row>
    <row r="84" spans="1:37" x14ac:dyDescent="0.2">
      <c r="A84" s="92" t="s">
        <v>68</v>
      </c>
      <c r="B84" s="131">
        <v>2</v>
      </c>
      <c r="C84" s="83" t="s">
        <v>56</v>
      </c>
      <c r="AF84" s="108"/>
      <c r="AG84" s="106"/>
    </row>
    <row r="85" spans="1:37" x14ac:dyDescent="0.2">
      <c r="A85" s="92" t="s">
        <v>70</v>
      </c>
      <c r="B85" s="131">
        <v>2.6999999999999999E-5</v>
      </c>
      <c r="C85" s="52" t="s">
        <v>64</v>
      </c>
      <c r="AF85" s="108"/>
      <c r="AG85" s="106"/>
      <c r="AH85" s="106"/>
      <c r="AI85" s="106"/>
      <c r="AJ85" s="106"/>
      <c r="AK85" s="106"/>
    </row>
    <row r="86" spans="1:37" x14ac:dyDescent="0.2">
      <c r="A86" s="92" t="s">
        <v>73</v>
      </c>
      <c r="B86" s="131">
        <v>1</v>
      </c>
      <c r="C86" s="52" t="s">
        <v>41</v>
      </c>
      <c r="AF86" s="108"/>
      <c r="AG86" s="106"/>
    </row>
    <row r="87" spans="1:37" x14ac:dyDescent="0.2">
      <c r="A87" s="92" t="s">
        <v>74</v>
      </c>
      <c r="B87" s="131">
        <v>14</v>
      </c>
      <c r="C87" s="52" t="s">
        <v>75</v>
      </c>
      <c r="AH87" s="108"/>
      <c r="AI87" s="108"/>
      <c r="AJ87" s="108"/>
      <c r="AK87" s="108"/>
    </row>
    <row r="88" spans="1:37" x14ac:dyDescent="0.2">
      <c r="A88" s="83" t="s">
        <v>408</v>
      </c>
      <c r="B88" s="130">
        <v>5</v>
      </c>
      <c r="C88" s="84" t="s">
        <v>194</v>
      </c>
    </row>
    <row r="89" spans="1:37" x14ac:dyDescent="0.2">
      <c r="A89" s="83" t="s">
        <v>409</v>
      </c>
      <c r="B89" s="130">
        <v>25</v>
      </c>
      <c r="C89" s="84" t="s">
        <v>194</v>
      </c>
    </row>
    <row r="90" spans="1:37" x14ac:dyDescent="0.2">
      <c r="A90" s="83" t="s">
        <v>389</v>
      </c>
      <c r="B90" s="130">
        <v>1</v>
      </c>
      <c r="C90" s="84"/>
    </row>
    <row r="91" spans="1:37" x14ac:dyDescent="0.2">
      <c r="A91" s="385" t="s">
        <v>387</v>
      </c>
      <c r="B91" s="385"/>
      <c r="C91" s="385"/>
    </row>
    <row r="92" spans="1:37" x14ac:dyDescent="0.2">
      <c r="A92" s="52" t="s">
        <v>34</v>
      </c>
      <c r="B92" s="131">
        <v>70</v>
      </c>
      <c r="C92" s="52" t="s">
        <v>60</v>
      </c>
    </row>
    <row r="93" spans="1:37" x14ac:dyDescent="0.2">
      <c r="A93" s="84" t="s">
        <v>38</v>
      </c>
      <c r="B93" s="131">
        <v>0.3</v>
      </c>
      <c r="C93" s="52" t="s">
        <v>391</v>
      </c>
    </row>
    <row r="94" spans="1:37" x14ac:dyDescent="0.2">
      <c r="A94" s="84" t="s">
        <v>42</v>
      </c>
      <c r="B94" s="130">
        <v>1.5</v>
      </c>
      <c r="C94" s="52" t="s">
        <v>286</v>
      </c>
    </row>
    <row r="95" spans="1:37" x14ac:dyDescent="0.2">
      <c r="A95" s="84" t="s">
        <v>47</v>
      </c>
      <c r="B95" s="131">
        <v>1</v>
      </c>
      <c r="C95" s="52" t="s">
        <v>60</v>
      </c>
    </row>
    <row r="96" spans="1:37" x14ac:dyDescent="0.2">
      <c r="A96" s="84" t="s">
        <v>225</v>
      </c>
      <c r="B96" s="130">
        <v>1</v>
      </c>
    </row>
    <row r="97" spans="1:3" x14ac:dyDescent="0.2">
      <c r="A97" s="52" t="s">
        <v>93</v>
      </c>
      <c r="B97" s="130">
        <v>5</v>
      </c>
      <c r="C97" s="52" t="s">
        <v>94</v>
      </c>
    </row>
    <row r="98" spans="1:3" x14ac:dyDescent="0.2">
      <c r="A98" s="52" t="s">
        <v>98</v>
      </c>
      <c r="B98" s="130">
        <v>0.18</v>
      </c>
      <c r="C98" s="52" t="s">
        <v>355</v>
      </c>
    </row>
    <row r="99" spans="1:3" x14ac:dyDescent="0.2">
      <c r="A99" s="52" t="s">
        <v>100</v>
      </c>
      <c r="B99" s="130">
        <v>55</v>
      </c>
      <c r="C99" s="52" t="s">
        <v>97</v>
      </c>
    </row>
    <row r="100" spans="1:3" x14ac:dyDescent="0.2">
      <c r="A100" s="52" t="s">
        <v>101</v>
      </c>
      <c r="B100" s="130">
        <v>5</v>
      </c>
      <c r="C100" s="52" t="s">
        <v>97</v>
      </c>
    </row>
    <row r="101" spans="1:3" x14ac:dyDescent="0.2">
      <c r="A101" s="52" t="s">
        <v>102</v>
      </c>
      <c r="B101" s="130">
        <v>5</v>
      </c>
      <c r="C101" s="52" t="s">
        <v>97</v>
      </c>
    </row>
    <row r="102" spans="1:3" x14ac:dyDescent="0.2">
      <c r="A102" s="384" t="s">
        <v>5</v>
      </c>
      <c r="B102" s="384"/>
      <c r="C102" s="384"/>
    </row>
    <row r="103" spans="1:3" x14ac:dyDescent="0.2">
      <c r="A103" s="83" t="s">
        <v>429</v>
      </c>
      <c r="B103" s="131">
        <v>5</v>
      </c>
      <c r="C103" s="92" t="s">
        <v>407</v>
      </c>
    </row>
    <row r="104" spans="1:3" x14ac:dyDescent="0.2">
      <c r="A104" s="83" t="s">
        <v>430</v>
      </c>
      <c r="B104" s="131">
        <v>10</v>
      </c>
      <c r="C104" s="92" t="s">
        <v>407</v>
      </c>
    </row>
    <row r="105" spans="1:3" x14ac:dyDescent="0.2">
      <c r="A105" s="83" t="s">
        <v>439</v>
      </c>
      <c r="B105" s="130">
        <v>2</v>
      </c>
      <c r="C105" s="83" t="s">
        <v>357</v>
      </c>
    </row>
    <row r="106" spans="1:3" x14ac:dyDescent="0.2">
      <c r="A106" s="83" t="s">
        <v>438</v>
      </c>
      <c r="B106" s="130">
        <v>2</v>
      </c>
      <c r="C106" s="83" t="s">
        <v>357</v>
      </c>
    </row>
    <row r="107" spans="1:3" x14ac:dyDescent="0.2">
      <c r="A107" s="83" t="s">
        <v>441</v>
      </c>
      <c r="B107" s="131">
        <v>100</v>
      </c>
      <c r="C107" s="84" t="s">
        <v>48</v>
      </c>
    </row>
    <row r="108" spans="1:3" x14ac:dyDescent="0.2">
      <c r="A108" s="83" t="s">
        <v>442</v>
      </c>
      <c r="B108" s="131">
        <v>50</v>
      </c>
      <c r="C108" s="84" t="s">
        <v>48</v>
      </c>
    </row>
    <row r="109" spans="1:3" x14ac:dyDescent="0.2">
      <c r="A109" s="52" t="s">
        <v>159</v>
      </c>
      <c r="B109" s="131">
        <v>3</v>
      </c>
      <c r="C109" s="52" t="s">
        <v>221</v>
      </c>
    </row>
    <row r="110" spans="1:3" x14ac:dyDescent="0.2">
      <c r="A110" s="52" t="s">
        <v>160</v>
      </c>
      <c r="B110" s="131">
        <v>3</v>
      </c>
      <c r="C110" s="52" t="s">
        <v>221</v>
      </c>
    </row>
    <row r="111" spans="1:3" x14ac:dyDescent="0.2">
      <c r="A111" s="83" t="s">
        <v>308</v>
      </c>
      <c r="B111" s="130">
        <v>0.23</v>
      </c>
    </row>
    <row r="112" spans="1:3" x14ac:dyDescent="0.2">
      <c r="A112" s="83" t="s">
        <v>309</v>
      </c>
      <c r="B112" s="130">
        <v>0.77</v>
      </c>
    </row>
    <row r="113" spans="1:3" x14ac:dyDescent="0.2">
      <c r="A113" s="52" t="s">
        <v>140</v>
      </c>
      <c r="B113" s="131">
        <v>55</v>
      </c>
      <c r="C113" s="52" t="s">
        <v>24</v>
      </c>
    </row>
    <row r="114" spans="1:3" x14ac:dyDescent="0.2">
      <c r="A114" s="52" t="s">
        <v>433</v>
      </c>
      <c r="B114" s="131">
        <v>55</v>
      </c>
      <c r="C114" s="52" t="s">
        <v>24</v>
      </c>
    </row>
    <row r="115" spans="1:3" x14ac:dyDescent="0.2">
      <c r="A115" s="52" t="s">
        <v>434</v>
      </c>
      <c r="B115" s="131">
        <v>55</v>
      </c>
      <c r="C115" s="52" t="s">
        <v>24</v>
      </c>
    </row>
    <row r="116" spans="1:3" x14ac:dyDescent="0.2">
      <c r="A116" s="52" t="s">
        <v>431</v>
      </c>
      <c r="B116" s="130">
        <v>5</v>
      </c>
      <c r="C116" s="52" t="s">
        <v>194</v>
      </c>
    </row>
    <row r="117" spans="1:3" x14ac:dyDescent="0.2">
      <c r="A117" s="52" t="s">
        <v>432</v>
      </c>
      <c r="B117" s="130">
        <v>5</v>
      </c>
      <c r="C117" s="52" t="s">
        <v>194</v>
      </c>
    </row>
    <row r="118" spans="1:3" x14ac:dyDescent="0.2">
      <c r="A118" s="52" t="s">
        <v>90</v>
      </c>
      <c r="B118" s="131">
        <v>5</v>
      </c>
      <c r="C118" s="52" t="s">
        <v>194</v>
      </c>
    </row>
    <row r="119" spans="1:3" x14ac:dyDescent="0.2">
      <c r="A119" s="52" t="s">
        <v>443</v>
      </c>
      <c r="B119" s="131">
        <v>5</v>
      </c>
      <c r="C119" s="52" t="s">
        <v>89</v>
      </c>
    </row>
    <row r="120" spans="1:3" x14ac:dyDescent="0.2">
      <c r="A120" s="52" t="s">
        <v>444</v>
      </c>
      <c r="B120" s="131">
        <v>5</v>
      </c>
      <c r="C120" s="52" t="s">
        <v>89</v>
      </c>
    </row>
    <row r="121" spans="1:3" x14ac:dyDescent="0.2">
      <c r="A121" s="83" t="s">
        <v>301</v>
      </c>
      <c r="B121" s="131">
        <v>2</v>
      </c>
    </row>
    <row r="122" spans="1:3" x14ac:dyDescent="0.2">
      <c r="A122" s="83" t="s">
        <v>433</v>
      </c>
      <c r="B122" s="130">
        <v>55</v>
      </c>
      <c r="C122" s="83" t="s">
        <v>24</v>
      </c>
    </row>
    <row r="123" spans="1:3" x14ac:dyDescent="0.2">
      <c r="A123" s="83" t="s">
        <v>434</v>
      </c>
      <c r="B123" s="130">
        <v>55</v>
      </c>
      <c r="C123" s="83" t="s">
        <v>24</v>
      </c>
    </row>
    <row r="124" spans="1:3" x14ac:dyDescent="0.2">
      <c r="A124" s="83" t="s">
        <v>435</v>
      </c>
      <c r="B124" s="131">
        <v>5</v>
      </c>
      <c r="C124" s="52" t="s">
        <v>80</v>
      </c>
    </row>
    <row r="125" spans="1:3" x14ac:dyDescent="0.2">
      <c r="A125" s="83" t="s">
        <v>436</v>
      </c>
      <c r="B125" s="131">
        <v>5</v>
      </c>
      <c r="C125" s="52" t="s">
        <v>80</v>
      </c>
    </row>
    <row r="126" spans="1:3" x14ac:dyDescent="0.2">
      <c r="A126" s="83" t="s">
        <v>65</v>
      </c>
      <c r="B126" s="130">
        <v>0.5</v>
      </c>
      <c r="C126" s="52" t="s">
        <v>66</v>
      </c>
    </row>
    <row r="127" spans="1:3" x14ac:dyDescent="0.2">
      <c r="A127" s="52" t="s">
        <v>51</v>
      </c>
      <c r="B127" s="131">
        <v>1</v>
      </c>
      <c r="C127" s="52" t="s">
        <v>60</v>
      </c>
    </row>
    <row r="128" spans="1:3" x14ac:dyDescent="0.2">
      <c r="A128" s="52" t="s">
        <v>159</v>
      </c>
      <c r="B128" s="130">
        <v>3</v>
      </c>
      <c r="C128" s="52" t="s">
        <v>221</v>
      </c>
    </row>
    <row r="129" spans="1:3" x14ac:dyDescent="0.2">
      <c r="A129" s="84" t="s">
        <v>164</v>
      </c>
      <c r="B129" s="130">
        <v>2</v>
      </c>
      <c r="C129" s="52" t="s">
        <v>246</v>
      </c>
    </row>
    <row r="130" spans="1:3" x14ac:dyDescent="0.2">
      <c r="A130" s="84" t="s">
        <v>161</v>
      </c>
      <c r="B130" s="130">
        <v>2</v>
      </c>
      <c r="C130" s="52" t="s">
        <v>246</v>
      </c>
    </row>
    <row r="131" spans="1:3" x14ac:dyDescent="0.2">
      <c r="A131" s="84" t="s">
        <v>162</v>
      </c>
      <c r="B131" s="130">
        <v>2</v>
      </c>
      <c r="C131" s="52" t="s">
        <v>41</v>
      </c>
    </row>
    <row r="132" spans="1:3" x14ac:dyDescent="0.2">
      <c r="A132" s="84" t="s">
        <v>163</v>
      </c>
      <c r="B132" s="130">
        <v>2</v>
      </c>
      <c r="C132" s="52" t="s">
        <v>41</v>
      </c>
    </row>
    <row r="133" spans="1:3" x14ac:dyDescent="0.2">
      <c r="A133" s="84" t="s">
        <v>169</v>
      </c>
      <c r="B133" s="130">
        <v>2</v>
      </c>
      <c r="C133" s="52" t="s">
        <v>28</v>
      </c>
    </row>
    <row r="134" spans="1:3" x14ac:dyDescent="0.2">
      <c r="A134" s="52" t="s">
        <v>160</v>
      </c>
      <c r="B134" s="130">
        <v>3</v>
      </c>
      <c r="C134" s="52" t="s">
        <v>221</v>
      </c>
    </row>
    <row r="135" spans="1:3" x14ac:dyDescent="0.2">
      <c r="A135" s="52" t="s">
        <v>165</v>
      </c>
      <c r="B135" s="130">
        <v>2</v>
      </c>
      <c r="C135" s="52" t="s">
        <v>246</v>
      </c>
    </row>
    <row r="136" spans="1:3" x14ac:dyDescent="0.2">
      <c r="A136" s="52" t="s">
        <v>166</v>
      </c>
      <c r="B136" s="130">
        <v>2</v>
      </c>
      <c r="C136" s="52" t="s">
        <v>246</v>
      </c>
    </row>
    <row r="137" spans="1:3" x14ac:dyDescent="0.2">
      <c r="A137" s="93" t="s">
        <v>167</v>
      </c>
      <c r="B137" s="130">
        <v>2</v>
      </c>
      <c r="C137" s="52" t="s">
        <v>41</v>
      </c>
    </row>
    <row r="138" spans="1:3" x14ac:dyDescent="0.2">
      <c r="A138" s="83" t="s">
        <v>168</v>
      </c>
      <c r="B138" s="130">
        <v>2</v>
      </c>
      <c r="C138" s="52" t="s">
        <v>41</v>
      </c>
    </row>
    <row r="139" spans="1:3" x14ac:dyDescent="0.2">
      <c r="A139" s="84" t="s">
        <v>170</v>
      </c>
      <c r="B139" s="130">
        <v>2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100</v>
      </c>
      <c r="C141" s="84" t="s">
        <v>48</v>
      </c>
    </row>
    <row r="142" spans="1:3" x14ac:dyDescent="0.2">
      <c r="A142" s="83" t="s">
        <v>458</v>
      </c>
      <c r="B142" s="130">
        <v>50</v>
      </c>
      <c r="C142" s="84" t="s">
        <v>48</v>
      </c>
    </row>
    <row r="143" spans="1:3" x14ac:dyDescent="0.2">
      <c r="A143" s="92" t="s">
        <v>451</v>
      </c>
      <c r="B143" s="131">
        <v>0.25</v>
      </c>
      <c r="C143" s="83" t="s">
        <v>28</v>
      </c>
    </row>
    <row r="144" spans="1:3" x14ac:dyDescent="0.2">
      <c r="A144" s="92" t="s">
        <v>460</v>
      </c>
      <c r="B144" s="131">
        <v>1.5</v>
      </c>
      <c r="C144" s="83" t="s">
        <v>28</v>
      </c>
    </row>
    <row r="145" spans="1:3" ht="15" x14ac:dyDescent="0.2">
      <c r="A145" s="92" t="s">
        <v>450</v>
      </c>
      <c r="B145" s="131">
        <v>5</v>
      </c>
      <c r="C145" s="83" t="s">
        <v>143</v>
      </c>
    </row>
    <row r="146" spans="1:3" ht="15" x14ac:dyDescent="0.2">
      <c r="A146" s="92" t="s">
        <v>459</v>
      </c>
      <c r="B146" s="131">
        <v>10</v>
      </c>
      <c r="C146" s="83" t="s">
        <v>143</v>
      </c>
    </row>
    <row r="147" spans="1:3" x14ac:dyDescent="0.2">
      <c r="A147" s="83" t="s">
        <v>467</v>
      </c>
      <c r="B147" s="130">
        <v>55</v>
      </c>
      <c r="C147" s="92" t="s">
        <v>221</v>
      </c>
    </row>
    <row r="148" spans="1:3" x14ac:dyDescent="0.2">
      <c r="A148" s="83" t="s">
        <v>468</v>
      </c>
      <c r="B148" s="130">
        <v>55</v>
      </c>
      <c r="C148" s="92" t="s">
        <v>221</v>
      </c>
    </row>
    <row r="149" spans="1:3" x14ac:dyDescent="0.2">
      <c r="A149" s="83" t="s">
        <v>469</v>
      </c>
      <c r="B149" s="130">
        <v>55</v>
      </c>
      <c r="C149" s="92" t="s">
        <v>221</v>
      </c>
    </row>
    <row r="150" spans="1:3" x14ac:dyDescent="0.2">
      <c r="A150" s="83" t="s">
        <v>470</v>
      </c>
      <c r="B150" s="130">
        <v>55</v>
      </c>
      <c r="C150" s="92" t="s">
        <v>221</v>
      </c>
    </row>
    <row r="151" spans="1:3" x14ac:dyDescent="0.2">
      <c r="A151" s="83" t="s">
        <v>452</v>
      </c>
      <c r="B151" s="130">
        <v>55</v>
      </c>
      <c r="C151" s="92" t="s">
        <v>221</v>
      </c>
    </row>
    <row r="152" spans="1:3" x14ac:dyDescent="0.2">
      <c r="A152" s="83" t="s">
        <v>461</v>
      </c>
      <c r="B152" s="130">
        <v>55</v>
      </c>
      <c r="C152" s="92" t="s">
        <v>221</v>
      </c>
    </row>
    <row r="153" spans="1:3" x14ac:dyDescent="0.2">
      <c r="A153" s="83" t="s">
        <v>453</v>
      </c>
      <c r="B153" s="130">
        <v>55</v>
      </c>
      <c r="C153" s="92" t="s">
        <v>221</v>
      </c>
    </row>
    <row r="154" spans="1:3" x14ac:dyDescent="0.2">
      <c r="A154" s="83" t="s">
        <v>462</v>
      </c>
      <c r="B154" s="130">
        <v>55</v>
      </c>
      <c r="C154" s="92" t="s">
        <v>221</v>
      </c>
    </row>
    <row r="155" spans="1:3" x14ac:dyDescent="0.2">
      <c r="A155" s="83" t="s">
        <v>454</v>
      </c>
      <c r="B155" s="130">
        <v>55</v>
      </c>
      <c r="C155" s="92" t="s">
        <v>221</v>
      </c>
    </row>
    <row r="156" spans="1:3" x14ac:dyDescent="0.2">
      <c r="A156" s="83" t="s">
        <v>463</v>
      </c>
      <c r="B156" s="130">
        <v>55</v>
      </c>
      <c r="C156" s="92" t="s">
        <v>221</v>
      </c>
    </row>
    <row r="157" spans="1:3" x14ac:dyDescent="0.2">
      <c r="A157" s="83" t="s">
        <v>471</v>
      </c>
      <c r="B157" s="130">
        <v>55</v>
      </c>
      <c r="C157" s="92" t="s">
        <v>221</v>
      </c>
    </row>
    <row r="158" spans="1:3" x14ac:dyDescent="0.2">
      <c r="A158" s="83" t="s">
        <v>472</v>
      </c>
      <c r="B158" s="130">
        <v>55</v>
      </c>
      <c r="C158" s="92" t="s">
        <v>221</v>
      </c>
    </row>
    <row r="159" spans="1:3" x14ac:dyDescent="0.2">
      <c r="A159" s="83" t="s">
        <v>473</v>
      </c>
      <c r="B159" s="130">
        <v>55</v>
      </c>
      <c r="C159" s="92" t="s">
        <v>221</v>
      </c>
    </row>
    <row r="160" spans="1:3" x14ac:dyDescent="0.2">
      <c r="A160" s="83" t="s">
        <v>474</v>
      </c>
      <c r="B160" s="130">
        <v>55</v>
      </c>
      <c r="C160" s="92" t="s">
        <v>221</v>
      </c>
    </row>
    <row r="161" spans="1:3" x14ac:dyDescent="0.2">
      <c r="A161" s="83" t="s">
        <v>455</v>
      </c>
      <c r="B161" s="130">
        <v>55</v>
      </c>
      <c r="C161" s="92" t="s">
        <v>221</v>
      </c>
    </row>
    <row r="162" spans="1:3" x14ac:dyDescent="0.2">
      <c r="A162" s="83" t="s">
        <v>464</v>
      </c>
      <c r="B162" s="130">
        <v>55</v>
      </c>
      <c r="C162" s="92" t="s">
        <v>221</v>
      </c>
    </row>
    <row r="163" spans="1:3" x14ac:dyDescent="0.2">
      <c r="A163" s="83" t="s">
        <v>475</v>
      </c>
      <c r="B163" s="130">
        <v>0.15</v>
      </c>
      <c r="C163" s="88"/>
    </row>
    <row r="164" spans="1:3" x14ac:dyDescent="0.2">
      <c r="A164" s="83" t="s">
        <v>476</v>
      </c>
      <c r="B164" s="130">
        <v>0.85</v>
      </c>
      <c r="C164" s="88"/>
    </row>
    <row r="165" spans="1:3" x14ac:dyDescent="0.2">
      <c r="A165" s="83" t="s">
        <v>456</v>
      </c>
      <c r="B165" s="130">
        <v>150</v>
      </c>
      <c r="C165" s="83" t="s">
        <v>24</v>
      </c>
    </row>
    <row r="166" spans="1:3" x14ac:dyDescent="0.2">
      <c r="A166" s="83" t="s">
        <v>465</v>
      </c>
      <c r="B166" s="130">
        <v>150</v>
      </c>
      <c r="C166" s="83" t="s">
        <v>24</v>
      </c>
    </row>
    <row r="167" spans="1:3" x14ac:dyDescent="0.2">
      <c r="A167" s="52" t="s">
        <v>362</v>
      </c>
      <c r="B167" s="131">
        <v>150</v>
      </c>
      <c r="C167" s="83" t="s">
        <v>24</v>
      </c>
    </row>
    <row r="168" spans="1:3" x14ac:dyDescent="0.2">
      <c r="A168" s="83" t="s">
        <v>363</v>
      </c>
      <c r="B168" s="130">
        <v>1</v>
      </c>
      <c r="C168" s="92" t="s">
        <v>60</v>
      </c>
    </row>
    <row r="169" spans="1:3" x14ac:dyDescent="0.2">
      <c r="A169" s="83" t="s">
        <v>364</v>
      </c>
      <c r="B169" s="130">
        <v>24</v>
      </c>
      <c r="C169" s="94" t="s">
        <v>194</v>
      </c>
    </row>
    <row r="170" spans="1:3" x14ac:dyDescent="0.2">
      <c r="A170" s="83" t="s">
        <v>365</v>
      </c>
      <c r="B170" s="130">
        <v>24</v>
      </c>
      <c r="C170" s="52" t="s">
        <v>194</v>
      </c>
    </row>
    <row r="171" spans="1:3" x14ac:dyDescent="0.2">
      <c r="A171" s="83" t="s">
        <v>361</v>
      </c>
      <c r="B171" s="130">
        <v>1</v>
      </c>
    </row>
    <row r="172" spans="1:3" x14ac:dyDescent="0.2">
      <c r="A172" s="83" t="s">
        <v>507</v>
      </c>
      <c r="B172" s="130">
        <v>15</v>
      </c>
      <c r="C172" s="84" t="s">
        <v>194</v>
      </c>
    </row>
    <row r="173" spans="1:3" x14ac:dyDescent="0.2">
      <c r="A173" s="83" t="s">
        <v>508</v>
      </c>
      <c r="B173" s="130">
        <v>5</v>
      </c>
      <c r="C173" s="84" t="s">
        <v>194</v>
      </c>
    </row>
    <row r="174" spans="1:3" x14ac:dyDescent="0.2">
      <c r="A174" s="83" t="s">
        <v>88</v>
      </c>
      <c r="B174" s="130">
        <v>0.4</v>
      </c>
    </row>
    <row r="175" spans="1:3" x14ac:dyDescent="0.2">
      <c r="A175" s="83" t="s">
        <v>303</v>
      </c>
      <c r="B175" s="130">
        <v>1</v>
      </c>
    </row>
    <row r="176" spans="1:3" x14ac:dyDescent="0.2">
      <c r="A176" s="83" t="s">
        <v>301</v>
      </c>
      <c r="B176" s="131">
        <v>2</v>
      </c>
    </row>
    <row r="177" spans="1:3" x14ac:dyDescent="0.2">
      <c r="A177" s="92" t="s">
        <v>457</v>
      </c>
      <c r="B177" s="130">
        <v>5</v>
      </c>
      <c r="C177" s="92" t="s">
        <v>144</v>
      </c>
    </row>
    <row r="178" spans="1:3" x14ac:dyDescent="0.2">
      <c r="A178" s="92" t="s">
        <v>466</v>
      </c>
      <c r="B178" s="130">
        <v>5</v>
      </c>
      <c r="C178" s="92" t="s">
        <v>144</v>
      </c>
    </row>
    <row r="179" spans="1:3" x14ac:dyDescent="0.2">
      <c r="A179" s="52" t="s">
        <v>477</v>
      </c>
      <c r="B179" s="130">
        <v>0.25</v>
      </c>
      <c r="C179" s="92" t="s">
        <v>358</v>
      </c>
    </row>
    <row r="180" spans="1:3" x14ac:dyDescent="0.2">
      <c r="A180" s="52" t="s">
        <v>478</v>
      </c>
      <c r="B180" s="130">
        <v>0.85</v>
      </c>
      <c r="C180" s="92" t="s">
        <v>358</v>
      </c>
    </row>
    <row r="181" spans="1:3" x14ac:dyDescent="0.2">
      <c r="A181" s="84" t="s">
        <v>65</v>
      </c>
      <c r="B181" s="130">
        <v>0.5</v>
      </c>
      <c r="C181" s="92" t="s">
        <v>600</v>
      </c>
    </row>
    <row r="182" spans="1:3" x14ac:dyDescent="0.2">
      <c r="A182" s="92" t="s">
        <v>361</v>
      </c>
      <c r="B182" s="130">
        <v>1</v>
      </c>
    </row>
    <row r="183" spans="1:3" x14ac:dyDescent="0.2">
      <c r="A183" s="92" t="s">
        <v>479</v>
      </c>
      <c r="B183" s="130">
        <v>1</v>
      </c>
    </row>
    <row r="184" spans="1:3" x14ac:dyDescent="0.2">
      <c r="A184" s="92" t="s">
        <v>480</v>
      </c>
      <c r="B184" s="130">
        <v>1</v>
      </c>
    </row>
    <row r="185" spans="1:3" x14ac:dyDescent="0.2">
      <c r="A185" s="92" t="s">
        <v>481</v>
      </c>
      <c r="B185" s="130">
        <v>1</v>
      </c>
    </row>
    <row r="186" spans="1:3" x14ac:dyDescent="0.2">
      <c r="A186" s="92" t="s">
        <v>482</v>
      </c>
      <c r="B186" s="130">
        <v>1</v>
      </c>
    </row>
    <row r="187" spans="1:3" x14ac:dyDescent="0.2">
      <c r="A187" s="92" t="s">
        <v>483</v>
      </c>
      <c r="B187" s="130">
        <v>1</v>
      </c>
    </row>
    <row r="188" spans="1:3" x14ac:dyDescent="0.2">
      <c r="A188" s="92" t="s">
        <v>484</v>
      </c>
      <c r="B188" s="131">
        <v>1</v>
      </c>
    </row>
    <row r="189" spans="1:3" x14ac:dyDescent="0.2">
      <c r="A189" s="83" t="s">
        <v>36</v>
      </c>
      <c r="B189" s="131">
        <v>3.62</v>
      </c>
      <c r="C189" s="52" t="s">
        <v>37</v>
      </c>
    </row>
    <row r="190" spans="1:3" x14ac:dyDescent="0.2">
      <c r="A190" s="83" t="s">
        <v>40</v>
      </c>
      <c r="B190" s="131">
        <v>0.25</v>
      </c>
      <c r="C190" s="52" t="s">
        <v>41</v>
      </c>
    </row>
    <row r="191" spans="1:3" x14ac:dyDescent="0.2">
      <c r="A191" s="92" t="s">
        <v>52</v>
      </c>
      <c r="B191" s="131">
        <v>10950</v>
      </c>
      <c r="C191" s="52" t="s">
        <v>53</v>
      </c>
    </row>
    <row r="192" spans="1:3" x14ac:dyDescent="0.2">
      <c r="A192" s="92" t="s">
        <v>55</v>
      </c>
      <c r="B192" s="131">
        <v>240</v>
      </c>
      <c r="C192" s="52" t="s">
        <v>56</v>
      </c>
    </row>
    <row r="193" spans="1:3" x14ac:dyDescent="0.2">
      <c r="A193" s="92" t="s">
        <v>61</v>
      </c>
      <c r="B193" s="131">
        <v>0.42</v>
      </c>
      <c r="C193" s="52" t="s">
        <v>41</v>
      </c>
    </row>
    <row r="194" spans="1:3" x14ac:dyDescent="0.2">
      <c r="A194" s="92" t="s">
        <v>67</v>
      </c>
      <c r="B194" s="131">
        <v>60</v>
      </c>
      <c r="C194" s="83" t="s">
        <v>53</v>
      </c>
    </row>
    <row r="195" spans="1:3" x14ac:dyDescent="0.2">
      <c r="A195" s="92" t="s">
        <v>68</v>
      </c>
      <c r="B195" s="131">
        <v>2</v>
      </c>
      <c r="C195" s="83" t="s">
        <v>56</v>
      </c>
    </row>
    <row r="196" spans="1:3" x14ac:dyDescent="0.2">
      <c r="A196" s="92" t="s">
        <v>70</v>
      </c>
      <c r="B196" s="131">
        <v>2.6999999999999999E-5</v>
      </c>
      <c r="C196" s="52" t="s">
        <v>64</v>
      </c>
    </row>
    <row r="197" spans="1:3" x14ac:dyDescent="0.2">
      <c r="A197" s="92" t="s">
        <v>73</v>
      </c>
      <c r="B197" s="131">
        <v>1</v>
      </c>
      <c r="C197" s="52" t="s">
        <v>41</v>
      </c>
    </row>
    <row r="198" spans="1:3" x14ac:dyDescent="0.2">
      <c r="A198" s="92" t="s">
        <v>74</v>
      </c>
      <c r="B198" s="131">
        <v>14</v>
      </c>
      <c r="C198" s="52" t="s">
        <v>75</v>
      </c>
    </row>
    <row r="199" spans="1:3" x14ac:dyDescent="0.2">
      <c r="A199" s="83" t="s">
        <v>27</v>
      </c>
      <c r="B199" s="131">
        <v>92</v>
      </c>
      <c r="C199" s="83" t="s">
        <v>28</v>
      </c>
    </row>
    <row r="200" spans="1:3" x14ac:dyDescent="0.2">
      <c r="A200" s="52" t="s">
        <v>285</v>
      </c>
      <c r="B200" s="130">
        <v>1.03</v>
      </c>
      <c r="C200" s="52" t="s">
        <v>286</v>
      </c>
    </row>
    <row r="201" spans="1:3" x14ac:dyDescent="0.2">
      <c r="A201" s="83" t="s">
        <v>498</v>
      </c>
      <c r="B201" s="131">
        <v>20.3</v>
      </c>
      <c r="C201" s="52" t="s">
        <v>246</v>
      </c>
    </row>
    <row r="202" spans="1:3" x14ac:dyDescent="0.2">
      <c r="A202" s="83" t="s">
        <v>499</v>
      </c>
      <c r="B202" s="131">
        <v>0.04</v>
      </c>
      <c r="C202" s="52" t="s">
        <v>246</v>
      </c>
    </row>
    <row r="203" spans="1:3" x14ac:dyDescent="0.2">
      <c r="A203" s="83" t="s">
        <v>500</v>
      </c>
      <c r="B203" s="131">
        <v>1</v>
      </c>
    </row>
    <row r="204" spans="1:3" x14ac:dyDescent="0.2">
      <c r="A204" s="83" t="s">
        <v>501</v>
      </c>
      <c r="B204" s="131">
        <v>1</v>
      </c>
    </row>
    <row r="205" spans="1:3" x14ac:dyDescent="0.2">
      <c r="A205" s="83" t="s">
        <v>29</v>
      </c>
      <c r="B205" s="131">
        <v>53</v>
      </c>
      <c r="C205" s="83" t="s">
        <v>28</v>
      </c>
    </row>
    <row r="206" spans="1:3" x14ac:dyDescent="0.2">
      <c r="A206" s="83" t="s">
        <v>494</v>
      </c>
      <c r="B206" s="131">
        <v>11.77</v>
      </c>
      <c r="C206" s="52" t="s">
        <v>246</v>
      </c>
    </row>
    <row r="207" spans="1:3" x14ac:dyDescent="0.2">
      <c r="A207" s="83" t="s">
        <v>495</v>
      </c>
      <c r="B207" s="131">
        <v>0.5</v>
      </c>
      <c r="C207" s="52" t="s">
        <v>246</v>
      </c>
    </row>
    <row r="208" spans="1:3" x14ac:dyDescent="0.2">
      <c r="A208" s="83" t="s">
        <v>496</v>
      </c>
      <c r="B208" s="131">
        <v>1</v>
      </c>
    </row>
    <row r="209" spans="1:3" x14ac:dyDescent="0.2">
      <c r="A209" s="83" t="s">
        <v>497</v>
      </c>
      <c r="B209" s="131">
        <v>1</v>
      </c>
    </row>
    <row r="210" spans="1:3" x14ac:dyDescent="0.2">
      <c r="A210" s="83" t="s">
        <v>148</v>
      </c>
      <c r="B210" s="130">
        <v>0.4</v>
      </c>
      <c r="C210" s="83" t="s">
        <v>28</v>
      </c>
    </row>
    <row r="211" spans="1:3" x14ac:dyDescent="0.2">
      <c r="A211" s="83" t="s">
        <v>152</v>
      </c>
      <c r="B211" s="131">
        <v>0.2</v>
      </c>
      <c r="C211" s="52" t="s">
        <v>246</v>
      </c>
    </row>
    <row r="212" spans="1:3" x14ac:dyDescent="0.2">
      <c r="A212" s="83" t="s">
        <v>151</v>
      </c>
      <c r="B212" s="131">
        <v>2.1999999999999999E-2</v>
      </c>
      <c r="C212" s="52" t="s">
        <v>246</v>
      </c>
    </row>
    <row r="213" spans="1:3" x14ac:dyDescent="0.2">
      <c r="A213" s="83" t="s">
        <v>153</v>
      </c>
      <c r="B213" s="130">
        <v>1</v>
      </c>
    </row>
    <row r="214" spans="1:3" x14ac:dyDescent="0.2">
      <c r="A214" s="83" t="s">
        <v>154</v>
      </c>
      <c r="B214" s="130">
        <v>1</v>
      </c>
    </row>
    <row r="215" spans="1:3" x14ac:dyDescent="0.2">
      <c r="A215" s="83" t="s">
        <v>485</v>
      </c>
      <c r="B215" s="130">
        <v>0.4</v>
      </c>
      <c r="C215" s="83" t="s">
        <v>28</v>
      </c>
    </row>
    <row r="216" spans="1:3" x14ac:dyDescent="0.2">
      <c r="A216" s="83" t="s">
        <v>486</v>
      </c>
      <c r="B216" s="131">
        <v>0.2</v>
      </c>
      <c r="C216" s="52" t="s">
        <v>246</v>
      </c>
    </row>
    <row r="217" spans="1:3" x14ac:dyDescent="0.2">
      <c r="A217" s="83" t="s">
        <v>487</v>
      </c>
      <c r="B217" s="131">
        <v>2.1999999999999999E-2</v>
      </c>
      <c r="C217" s="52" t="s">
        <v>246</v>
      </c>
    </row>
    <row r="218" spans="1:3" x14ac:dyDescent="0.2">
      <c r="A218" s="83" t="s">
        <v>488</v>
      </c>
      <c r="B218" s="131">
        <v>1</v>
      </c>
    </row>
    <row r="219" spans="1:3" x14ac:dyDescent="0.2">
      <c r="A219" s="83" t="s">
        <v>489</v>
      </c>
      <c r="B219" s="131">
        <v>1</v>
      </c>
    </row>
    <row r="220" spans="1:3" x14ac:dyDescent="0.2">
      <c r="A220" s="83" t="s">
        <v>150</v>
      </c>
      <c r="B220" s="131">
        <v>11.4</v>
      </c>
      <c r="C220" s="83" t="s">
        <v>28</v>
      </c>
    </row>
    <row r="221" spans="1:3" x14ac:dyDescent="0.2">
      <c r="A221" s="83" t="s">
        <v>490</v>
      </c>
      <c r="B221" s="131">
        <v>4.7</v>
      </c>
      <c r="C221" s="52" t="s">
        <v>246</v>
      </c>
    </row>
    <row r="222" spans="1:3" x14ac:dyDescent="0.2">
      <c r="A222" s="83" t="s">
        <v>491</v>
      </c>
      <c r="B222" s="131">
        <v>0.37</v>
      </c>
      <c r="C222" s="52" t="s">
        <v>246</v>
      </c>
    </row>
    <row r="223" spans="1:3" x14ac:dyDescent="0.2">
      <c r="A223" s="83" t="s">
        <v>492</v>
      </c>
      <c r="B223" s="131">
        <v>1</v>
      </c>
    </row>
    <row r="224" spans="1:3" x14ac:dyDescent="0.2">
      <c r="A224" s="83" t="s">
        <v>493</v>
      </c>
      <c r="B224" s="131">
        <v>1</v>
      </c>
    </row>
    <row r="225" spans="1:3" x14ac:dyDescent="0.2">
      <c r="A225" s="370" t="s">
        <v>311</v>
      </c>
      <c r="B225" s="370"/>
      <c r="C225" s="370"/>
    </row>
    <row r="226" spans="1:3" x14ac:dyDescent="0.2">
      <c r="A226" s="52" t="s">
        <v>504</v>
      </c>
      <c r="B226" s="130">
        <v>50</v>
      </c>
      <c r="C226" s="84" t="s">
        <v>407</v>
      </c>
    </row>
    <row r="227" spans="1:3" x14ac:dyDescent="0.2">
      <c r="A227" s="83" t="s">
        <v>316</v>
      </c>
      <c r="B227" s="130">
        <v>125</v>
      </c>
      <c r="C227" s="52" t="s">
        <v>24</v>
      </c>
    </row>
    <row r="228" spans="1:3" x14ac:dyDescent="0.2">
      <c r="A228" s="83" t="s">
        <v>422</v>
      </c>
      <c r="B228" s="131">
        <v>1</v>
      </c>
      <c r="C228" s="52" t="s">
        <v>60</v>
      </c>
    </row>
    <row r="229" spans="1:3" x14ac:dyDescent="0.2">
      <c r="A229" s="83" t="s">
        <v>317</v>
      </c>
      <c r="B229" s="130">
        <v>50</v>
      </c>
      <c r="C229" s="84" t="s">
        <v>48</v>
      </c>
    </row>
    <row r="230" spans="1:3" x14ac:dyDescent="0.2">
      <c r="A230" s="52" t="s">
        <v>318</v>
      </c>
      <c r="B230" s="131">
        <v>2</v>
      </c>
    </row>
    <row r="231" spans="1:3" x14ac:dyDescent="0.2">
      <c r="A231" s="83" t="s">
        <v>299</v>
      </c>
      <c r="B231" s="131">
        <v>1</v>
      </c>
    </row>
    <row r="232" spans="1:3" x14ac:dyDescent="0.2">
      <c r="A232" s="83" t="s">
        <v>83</v>
      </c>
      <c r="B232" s="130">
        <v>5</v>
      </c>
      <c r="C232" s="52" t="s">
        <v>194</v>
      </c>
    </row>
    <row r="233" spans="1:3" x14ac:dyDescent="0.2">
      <c r="A233" s="83" t="s">
        <v>85</v>
      </c>
      <c r="B233" s="130">
        <v>5</v>
      </c>
      <c r="C233" s="52" t="s">
        <v>194</v>
      </c>
    </row>
    <row r="234" spans="1:3" x14ac:dyDescent="0.2">
      <c r="A234" s="83" t="s">
        <v>88</v>
      </c>
      <c r="B234" s="130">
        <v>0.4</v>
      </c>
    </row>
    <row r="235" spans="1:3" x14ac:dyDescent="0.2">
      <c r="A235" s="370" t="s">
        <v>312</v>
      </c>
      <c r="B235" s="370"/>
      <c r="C235" s="370"/>
    </row>
    <row r="236" spans="1:3" x14ac:dyDescent="0.2">
      <c r="A236" s="52" t="s">
        <v>304</v>
      </c>
      <c r="B236" s="130">
        <v>50</v>
      </c>
      <c r="C236" s="84" t="s">
        <v>407</v>
      </c>
    </row>
    <row r="237" spans="1:3" x14ac:dyDescent="0.2">
      <c r="A237" s="83" t="s">
        <v>35</v>
      </c>
      <c r="B237" s="130">
        <v>125</v>
      </c>
      <c r="C237" s="52" t="s">
        <v>24</v>
      </c>
    </row>
    <row r="238" spans="1:3" x14ac:dyDescent="0.2">
      <c r="A238" s="83" t="s">
        <v>420</v>
      </c>
      <c r="B238" s="131">
        <v>1</v>
      </c>
      <c r="C238" s="52" t="s">
        <v>60</v>
      </c>
    </row>
    <row r="239" spans="1:3" x14ac:dyDescent="0.2">
      <c r="A239" s="83" t="s">
        <v>62</v>
      </c>
      <c r="B239" s="130">
        <v>50</v>
      </c>
      <c r="C239" s="84" t="s">
        <v>48</v>
      </c>
    </row>
    <row r="240" spans="1:3" x14ac:dyDescent="0.2">
      <c r="A240" s="52" t="s">
        <v>318</v>
      </c>
      <c r="B240" s="131">
        <v>2</v>
      </c>
    </row>
    <row r="241" spans="1:3" x14ac:dyDescent="0.2">
      <c r="A241" s="83" t="s">
        <v>299</v>
      </c>
      <c r="B241" s="131">
        <v>1</v>
      </c>
    </row>
    <row r="242" spans="1:3" x14ac:dyDescent="0.2">
      <c r="A242" s="83" t="s">
        <v>83</v>
      </c>
      <c r="B242" s="130">
        <v>5</v>
      </c>
      <c r="C242" s="52" t="s">
        <v>194</v>
      </c>
    </row>
    <row r="243" spans="1:3" x14ac:dyDescent="0.2">
      <c r="A243" s="83" t="s">
        <v>85</v>
      </c>
      <c r="B243" s="130">
        <v>5</v>
      </c>
      <c r="C243" s="52" t="s">
        <v>194</v>
      </c>
    </row>
    <row r="244" spans="1:3" x14ac:dyDescent="0.2">
      <c r="A244" s="83" t="s">
        <v>88</v>
      </c>
      <c r="B244" s="130">
        <v>0.4</v>
      </c>
    </row>
    <row r="245" spans="1:3" x14ac:dyDescent="0.2">
      <c r="A245" s="370" t="s">
        <v>313</v>
      </c>
      <c r="B245" s="370"/>
      <c r="C245" s="370"/>
    </row>
    <row r="246" spans="1:3" x14ac:dyDescent="0.2">
      <c r="A246" s="52" t="s">
        <v>50</v>
      </c>
      <c r="B246" s="130">
        <v>50</v>
      </c>
      <c r="C246" s="84" t="s">
        <v>407</v>
      </c>
    </row>
    <row r="247" spans="1:3" x14ac:dyDescent="0.2">
      <c r="A247" s="83" t="s">
        <v>423</v>
      </c>
      <c r="B247" s="130">
        <v>125</v>
      </c>
      <c r="C247" s="52" t="s">
        <v>24</v>
      </c>
    </row>
    <row r="248" spans="1:3" x14ac:dyDescent="0.2">
      <c r="A248" s="83" t="s">
        <v>424</v>
      </c>
      <c r="B248" s="131">
        <v>1</v>
      </c>
      <c r="C248" s="52" t="s">
        <v>60</v>
      </c>
    </row>
    <row r="249" spans="1:3" x14ac:dyDescent="0.2">
      <c r="A249" s="83" t="s">
        <v>503</v>
      </c>
      <c r="B249" s="130">
        <v>50</v>
      </c>
      <c r="C249" s="84" t="s">
        <v>48</v>
      </c>
    </row>
    <row r="250" spans="1:3" x14ac:dyDescent="0.2">
      <c r="A250" s="52" t="s">
        <v>318</v>
      </c>
      <c r="B250" s="131">
        <v>2</v>
      </c>
    </row>
    <row r="251" spans="1:3" x14ac:dyDescent="0.2">
      <c r="A251" s="83" t="s">
        <v>299</v>
      </c>
      <c r="B251" s="131">
        <v>1</v>
      </c>
    </row>
    <row r="252" spans="1:3" x14ac:dyDescent="0.2">
      <c r="A252" s="83" t="s">
        <v>83</v>
      </c>
      <c r="B252" s="130">
        <v>5</v>
      </c>
      <c r="C252" s="52" t="s">
        <v>194</v>
      </c>
    </row>
    <row r="253" spans="1:3" x14ac:dyDescent="0.2">
      <c r="A253" s="83" t="s">
        <v>85</v>
      </c>
      <c r="B253" s="130">
        <v>5</v>
      </c>
      <c r="C253" s="52" t="s">
        <v>194</v>
      </c>
    </row>
    <row r="254" spans="1:3" x14ac:dyDescent="0.2">
      <c r="A254" s="83" t="s">
        <v>88</v>
      </c>
      <c r="B254" s="130">
        <v>0.4</v>
      </c>
    </row>
    <row r="255" spans="1:3" x14ac:dyDescent="0.2">
      <c r="A255" s="370" t="s">
        <v>314</v>
      </c>
      <c r="B255" s="370"/>
      <c r="C255" s="370"/>
    </row>
    <row r="256" spans="1:3" x14ac:dyDescent="0.2">
      <c r="A256" s="52" t="s">
        <v>348</v>
      </c>
      <c r="B256" s="130">
        <v>50</v>
      </c>
      <c r="C256" s="84" t="s">
        <v>407</v>
      </c>
    </row>
    <row r="257" spans="1:3" x14ac:dyDescent="0.2">
      <c r="A257" s="83" t="s">
        <v>191</v>
      </c>
      <c r="B257" s="130">
        <v>125</v>
      </c>
      <c r="C257" s="52" t="s">
        <v>24</v>
      </c>
    </row>
    <row r="258" spans="1:3" x14ac:dyDescent="0.2">
      <c r="A258" s="83" t="s">
        <v>158</v>
      </c>
      <c r="B258" s="131">
        <v>1</v>
      </c>
      <c r="C258" s="52" t="s">
        <v>60</v>
      </c>
    </row>
    <row r="259" spans="1:3" x14ac:dyDescent="0.2">
      <c r="A259" s="83" t="s">
        <v>502</v>
      </c>
      <c r="B259" s="130">
        <v>200</v>
      </c>
      <c r="C259" s="84" t="s">
        <v>48</v>
      </c>
    </row>
    <row r="260" spans="1:3" x14ac:dyDescent="0.2">
      <c r="A260" s="52" t="s">
        <v>318</v>
      </c>
      <c r="B260" s="131">
        <v>2</v>
      </c>
    </row>
    <row r="261" spans="1:3" x14ac:dyDescent="0.2">
      <c r="A261" s="83" t="s">
        <v>299</v>
      </c>
      <c r="B261" s="131">
        <v>1</v>
      </c>
    </row>
    <row r="262" spans="1:3" x14ac:dyDescent="0.2">
      <c r="A262" s="83" t="s">
        <v>83</v>
      </c>
      <c r="B262" s="130">
        <v>5</v>
      </c>
      <c r="C262" s="52" t="s">
        <v>194</v>
      </c>
    </row>
    <row r="263" spans="1:3" x14ac:dyDescent="0.2">
      <c r="A263" s="83" t="s">
        <v>85</v>
      </c>
      <c r="B263" s="130">
        <v>5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83" t="s">
        <v>219</v>
      </c>
      <c r="B265" s="130">
        <v>3</v>
      </c>
      <c r="C265" s="52" t="s">
        <v>112</v>
      </c>
    </row>
    <row r="266" spans="1:3" x14ac:dyDescent="0.2">
      <c r="A266" s="83" t="s">
        <v>220</v>
      </c>
      <c r="B266" s="130">
        <v>25</v>
      </c>
      <c r="C266" s="52" t="s">
        <v>113</v>
      </c>
    </row>
    <row r="267" spans="1:3" x14ac:dyDescent="0.2">
      <c r="A267" s="370" t="s">
        <v>315</v>
      </c>
      <c r="B267" s="370"/>
      <c r="C267" s="370"/>
    </row>
    <row r="268" spans="1:3" x14ac:dyDescent="0.2">
      <c r="A268" s="52" t="s">
        <v>348</v>
      </c>
      <c r="B268" s="130">
        <v>50</v>
      </c>
      <c r="C268" s="84" t="s">
        <v>407</v>
      </c>
    </row>
    <row r="269" spans="1:3" x14ac:dyDescent="0.2">
      <c r="A269" s="83" t="s">
        <v>191</v>
      </c>
      <c r="B269" s="130">
        <v>125</v>
      </c>
      <c r="C269" s="52" t="s">
        <v>24</v>
      </c>
    </row>
    <row r="270" spans="1:3" x14ac:dyDescent="0.2">
      <c r="A270" s="83" t="s">
        <v>158</v>
      </c>
      <c r="B270" s="131">
        <v>1</v>
      </c>
      <c r="C270" s="52" t="s">
        <v>60</v>
      </c>
    </row>
    <row r="271" spans="1:3" x14ac:dyDescent="0.2">
      <c r="A271" s="83" t="s">
        <v>502</v>
      </c>
      <c r="B271" s="130">
        <v>200</v>
      </c>
      <c r="C271" s="84" t="s">
        <v>48</v>
      </c>
    </row>
    <row r="272" spans="1:3" x14ac:dyDescent="0.2">
      <c r="A272" s="83" t="s">
        <v>299</v>
      </c>
      <c r="B272" s="131">
        <v>1</v>
      </c>
    </row>
    <row r="273" spans="1:3" x14ac:dyDescent="0.2">
      <c r="A273" s="83" t="s">
        <v>83</v>
      </c>
      <c r="B273" s="130">
        <v>5</v>
      </c>
      <c r="C273" s="52" t="s">
        <v>194</v>
      </c>
    </row>
    <row r="274" spans="1:3" x14ac:dyDescent="0.2">
      <c r="A274" s="83" t="s">
        <v>85</v>
      </c>
      <c r="B274" s="130">
        <v>5</v>
      </c>
      <c r="C274" s="52" t="s">
        <v>194</v>
      </c>
    </row>
    <row r="275" spans="1:3" x14ac:dyDescent="0.2">
      <c r="A275" s="83" t="s">
        <v>88</v>
      </c>
      <c r="B275" s="130">
        <v>0.4</v>
      </c>
    </row>
    <row r="276" spans="1:3" x14ac:dyDescent="0.2">
      <c r="A276" s="83" t="s">
        <v>219</v>
      </c>
      <c r="B276" s="130">
        <v>3</v>
      </c>
      <c r="C276" s="52" t="s">
        <v>112</v>
      </c>
    </row>
    <row r="277" spans="1:3" x14ac:dyDescent="0.2">
      <c r="A277" s="83" t="s">
        <v>220</v>
      </c>
      <c r="B277" s="130">
        <v>25</v>
      </c>
      <c r="C277" s="52" t="s">
        <v>113</v>
      </c>
    </row>
  </sheetData>
  <mergeCells count="348">
    <mergeCell ref="CC35:CG38"/>
    <mergeCell ref="AE38:AG40"/>
    <mergeCell ref="BK39:BO42"/>
    <mergeCell ref="D42:F42"/>
    <mergeCell ref="D43:D44"/>
    <mergeCell ref="E43:E44"/>
    <mergeCell ref="F43:F44"/>
    <mergeCell ref="BO21:BO23"/>
    <mergeCell ref="HD21:HF21"/>
    <mergeCell ref="V23:X23"/>
    <mergeCell ref="Y23:AA23"/>
    <mergeCell ref="D30:F30"/>
    <mergeCell ref="BJ21:BJ23"/>
    <mergeCell ref="BK21:BK23"/>
    <mergeCell ref="BL21:BL23"/>
    <mergeCell ref="BM21:BM23"/>
    <mergeCell ref="BN21:BN23"/>
    <mergeCell ref="BB21:BB23"/>
    <mergeCell ref="BC21:BC23"/>
    <mergeCell ref="BD21:BD23"/>
    <mergeCell ref="BE21:BE23"/>
    <mergeCell ref="BF21:BF23"/>
    <mergeCell ref="AT21:AT23"/>
    <mergeCell ref="AU21:AU23"/>
    <mergeCell ref="AM21:AM23"/>
    <mergeCell ref="AN21:AN23"/>
    <mergeCell ref="AR21:AR23"/>
    <mergeCell ref="AS21:AS23"/>
    <mergeCell ref="CM20:CM22"/>
    <mergeCell ref="CN20:CN22"/>
    <mergeCell ref="CO20:CO22"/>
    <mergeCell ref="CP20:CP22"/>
    <mergeCell ref="CQ20:CQ22"/>
    <mergeCell ref="CG19:CG21"/>
    <mergeCell ref="CK19:CM19"/>
    <mergeCell ref="CN19:CP19"/>
    <mergeCell ref="N21:N23"/>
    <mergeCell ref="O21:O23"/>
    <mergeCell ref="P21:P23"/>
    <mergeCell ref="Q21:Q23"/>
    <mergeCell ref="R21:R23"/>
    <mergeCell ref="AI21:AI23"/>
    <mergeCell ref="AJ21:AJ23"/>
    <mergeCell ref="AK21:AK23"/>
    <mergeCell ref="AL21:AL23"/>
    <mergeCell ref="CQ19:CS19"/>
    <mergeCell ref="M20:O20"/>
    <mergeCell ref="P20:R20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CK20:CK22"/>
    <mergeCell ref="CL20:CL22"/>
    <mergeCell ref="CB19:CB21"/>
    <mergeCell ref="CC19:CC21"/>
    <mergeCell ref="CD19:CD21"/>
    <mergeCell ref="CE19:CE21"/>
    <mergeCell ref="CF19:CF21"/>
    <mergeCell ref="AV21:AV23"/>
    <mergeCell ref="AW21:AW23"/>
    <mergeCell ref="BA21:BA23"/>
    <mergeCell ref="CR20:CR22"/>
    <mergeCell ref="CS20:CS22"/>
    <mergeCell ref="M21:M23"/>
    <mergeCell ref="GZ2:GZ4"/>
    <mergeCell ref="HA2:HA4"/>
    <mergeCell ref="HB2:HB4"/>
    <mergeCell ref="HC2:HC4"/>
    <mergeCell ref="CB18:CD18"/>
    <mergeCell ref="CE18:CG18"/>
    <mergeCell ref="GU2:GU4"/>
    <mergeCell ref="GV2:GV4"/>
    <mergeCell ref="GW2:GW4"/>
    <mergeCell ref="GX2:GX4"/>
    <mergeCell ref="GY2:GY4"/>
    <mergeCell ref="GP2:GP4"/>
    <mergeCell ref="GQ2:GQ4"/>
    <mergeCell ref="GR2:GR4"/>
    <mergeCell ref="GS2:GS4"/>
    <mergeCell ref="GT2:GT4"/>
    <mergeCell ref="GK2:GK4"/>
    <mergeCell ref="GL2:GL4"/>
    <mergeCell ref="GM2:GM4"/>
    <mergeCell ref="GN2:GN4"/>
    <mergeCell ref="GO2:GO4"/>
    <mergeCell ref="GF2:GF4"/>
    <mergeCell ref="GG2:GG4"/>
    <mergeCell ref="GH2:GH4"/>
    <mergeCell ref="GI2:GI4"/>
    <mergeCell ref="GJ2:GJ4"/>
    <mergeCell ref="GA2:GA4"/>
    <mergeCell ref="GB2:GB4"/>
    <mergeCell ref="GC2:GC4"/>
    <mergeCell ref="GD2:GD4"/>
    <mergeCell ref="GE2:GE4"/>
    <mergeCell ref="FV2:FV4"/>
    <mergeCell ref="FW2:FW4"/>
    <mergeCell ref="FX2:FX4"/>
    <mergeCell ref="FY2:FY4"/>
    <mergeCell ref="FZ2:FZ4"/>
    <mergeCell ref="FQ2:FQ4"/>
    <mergeCell ref="FR2:FR4"/>
    <mergeCell ref="FS2:FS4"/>
    <mergeCell ref="FT2:FT4"/>
    <mergeCell ref="FU2:FU4"/>
    <mergeCell ref="FL2:FL4"/>
    <mergeCell ref="FM2:FM4"/>
    <mergeCell ref="FN2:FN4"/>
    <mergeCell ref="FO2:FO4"/>
    <mergeCell ref="FP2:FP4"/>
    <mergeCell ref="FG2:FG4"/>
    <mergeCell ref="FH2:FH4"/>
    <mergeCell ref="FI2:FI4"/>
    <mergeCell ref="FJ2:FJ4"/>
    <mergeCell ref="FK2:FK4"/>
    <mergeCell ref="FB2:FB4"/>
    <mergeCell ref="FC2:FC4"/>
    <mergeCell ref="FD2:FD4"/>
    <mergeCell ref="FE2:FE4"/>
    <mergeCell ref="FF2:FF4"/>
    <mergeCell ref="EW2:EW4"/>
    <mergeCell ref="EX2:EX4"/>
    <mergeCell ref="EY2:EY4"/>
    <mergeCell ref="EZ2:EZ4"/>
    <mergeCell ref="FA2:FA4"/>
    <mergeCell ref="ER2:ER4"/>
    <mergeCell ref="ES2:ES4"/>
    <mergeCell ref="ET2:ET4"/>
    <mergeCell ref="EU2:EU4"/>
    <mergeCell ref="EV2:EV4"/>
    <mergeCell ref="EM2:EM4"/>
    <mergeCell ref="EN2:EN4"/>
    <mergeCell ref="EO2:EO4"/>
    <mergeCell ref="EP2:EP4"/>
    <mergeCell ref="EQ2:EQ4"/>
    <mergeCell ref="EH2:EH4"/>
    <mergeCell ref="EI2:EI4"/>
    <mergeCell ref="EJ2:EJ4"/>
    <mergeCell ref="EK2:EK4"/>
    <mergeCell ref="EL2:EL4"/>
    <mergeCell ref="EC2:EC4"/>
    <mergeCell ref="ED2:ED4"/>
    <mergeCell ref="EE2:EE4"/>
    <mergeCell ref="EF2:EF4"/>
    <mergeCell ref="EG2:EG4"/>
    <mergeCell ref="DX2:DX4"/>
    <mergeCell ref="DY2:DY4"/>
    <mergeCell ref="DZ2:DZ4"/>
    <mergeCell ref="EA2:EA4"/>
    <mergeCell ref="EB2:EB4"/>
    <mergeCell ref="DS2:DS4"/>
    <mergeCell ref="DT2:DT4"/>
    <mergeCell ref="DU2:DU4"/>
    <mergeCell ref="DV2:DV4"/>
    <mergeCell ref="DW2:DW4"/>
    <mergeCell ref="DN2:DN4"/>
    <mergeCell ref="DO2:DO4"/>
    <mergeCell ref="DP2:DP4"/>
    <mergeCell ref="DQ2:DQ4"/>
    <mergeCell ref="DR2:DR4"/>
    <mergeCell ref="DI2:DI4"/>
    <mergeCell ref="DJ2:DJ4"/>
    <mergeCell ref="DK2:DK4"/>
    <mergeCell ref="DL2:DL4"/>
    <mergeCell ref="DM2:DM4"/>
    <mergeCell ref="DD2:DD4"/>
    <mergeCell ref="DE2:DE4"/>
    <mergeCell ref="DF2:DF4"/>
    <mergeCell ref="DG2:DG4"/>
    <mergeCell ref="DH2:DH4"/>
    <mergeCell ref="CV2:CV4"/>
    <mergeCell ref="CZ2:CZ4"/>
    <mergeCell ref="DA2:DA4"/>
    <mergeCell ref="DB2:DB4"/>
    <mergeCell ref="DC2:DC4"/>
    <mergeCell ref="CQ2:CQ4"/>
    <mergeCell ref="CR2:CR4"/>
    <mergeCell ref="CS2:CS4"/>
    <mergeCell ref="CT2:CT4"/>
    <mergeCell ref="CU2:CU4"/>
    <mergeCell ref="CL2:CL4"/>
    <mergeCell ref="CM2:CM4"/>
    <mergeCell ref="CN2:CN4"/>
    <mergeCell ref="CO2:CO4"/>
    <mergeCell ref="CP2:CP4"/>
    <mergeCell ref="CG2:CG4"/>
    <mergeCell ref="CH2:CH4"/>
    <mergeCell ref="CI2:CI4"/>
    <mergeCell ref="CJ2:CJ4"/>
    <mergeCell ref="CK2:CK4"/>
    <mergeCell ref="CB2:CB4"/>
    <mergeCell ref="CC2:CC4"/>
    <mergeCell ref="CD2:CD4"/>
    <mergeCell ref="CE2:CE4"/>
    <mergeCell ref="CF2:CF4"/>
    <mergeCell ref="BW2:BW4"/>
    <mergeCell ref="BX2:BX4"/>
    <mergeCell ref="BY2:BY4"/>
    <mergeCell ref="BZ2:BZ4"/>
    <mergeCell ref="CA2:CA4"/>
    <mergeCell ref="BO2:BO4"/>
    <mergeCell ref="BP2:BP4"/>
    <mergeCell ref="BQ2:BQ4"/>
    <mergeCell ref="BR2:BR4"/>
    <mergeCell ref="BV2:BV4"/>
    <mergeCell ref="BJ2:BJ4"/>
    <mergeCell ref="BK2:BK4"/>
    <mergeCell ref="BL2:BL4"/>
    <mergeCell ref="BM2:BM4"/>
    <mergeCell ref="BN2:BN4"/>
    <mergeCell ref="BE2:BE4"/>
    <mergeCell ref="BF2:BF4"/>
    <mergeCell ref="BG2:BG4"/>
    <mergeCell ref="BH2:BH4"/>
    <mergeCell ref="BI2:BI4"/>
    <mergeCell ref="AZ2:AZ4"/>
    <mergeCell ref="BA2:BA4"/>
    <mergeCell ref="BB2:BB4"/>
    <mergeCell ref="BC2:BC4"/>
    <mergeCell ref="BD2:BD4"/>
    <mergeCell ref="AV2:AV4"/>
    <mergeCell ref="AW2:AW4"/>
    <mergeCell ref="AX2:AX4"/>
    <mergeCell ref="AY2:AY4"/>
    <mergeCell ref="AP2:AP4"/>
    <mergeCell ref="AQ2:AQ4"/>
    <mergeCell ref="AR2:AR4"/>
    <mergeCell ref="AS2:AS4"/>
    <mergeCell ref="AT2:AT4"/>
    <mergeCell ref="GX1:GZ1"/>
    <mergeCell ref="HA1:HC1"/>
    <mergeCell ref="HD1:HF1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R2:R4"/>
    <mergeCell ref="S2:S4"/>
    <mergeCell ref="GI1:GK1"/>
    <mergeCell ref="GL1:GN1"/>
    <mergeCell ref="GO1:GQ1"/>
    <mergeCell ref="AK2:AK4"/>
    <mergeCell ref="AL2:AL4"/>
    <mergeCell ref="AM2:AM4"/>
    <mergeCell ref="AN2:AN4"/>
    <mergeCell ref="AO2:AO4"/>
    <mergeCell ref="GR1:GT1"/>
    <mergeCell ref="GU1:GW1"/>
    <mergeCell ref="FT1:FV1"/>
    <mergeCell ref="FW1:FX1"/>
    <mergeCell ref="FZ1:GB1"/>
    <mergeCell ref="GC1:GE1"/>
    <mergeCell ref="GF1:GH1"/>
    <mergeCell ref="FE1:FG1"/>
    <mergeCell ref="FH1:FJ1"/>
    <mergeCell ref="FK1:FM1"/>
    <mergeCell ref="FN1:FP1"/>
    <mergeCell ref="FQ1:FS1"/>
    <mergeCell ref="EP1:ER1"/>
    <mergeCell ref="ES1:EU1"/>
    <mergeCell ref="EV1:EX1"/>
    <mergeCell ref="EY1:FA1"/>
    <mergeCell ref="FB1:FD1"/>
    <mergeCell ref="EA1:EC1"/>
    <mergeCell ref="ED1:EF1"/>
    <mergeCell ref="EG1:EI1"/>
    <mergeCell ref="EJ1:EL1"/>
    <mergeCell ref="EM1:EO1"/>
    <mergeCell ref="DL1:DN1"/>
    <mergeCell ref="DO1:DQ1"/>
    <mergeCell ref="DR1:DT1"/>
    <mergeCell ref="DU1:DW1"/>
    <mergeCell ref="DX1:DZ1"/>
    <mergeCell ref="CW1:CY1"/>
    <mergeCell ref="CZ1:DB1"/>
    <mergeCell ref="DC1:DE1"/>
    <mergeCell ref="DF1:DH1"/>
    <mergeCell ref="DI1:DK1"/>
    <mergeCell ref="CH1:CJ1"/>
    <mergeCell ref="CK1:CM1"/>
    <mergeCell ref="CN1:CP1"/>
    <mergeCell ref="CQ1:CS1"/>
    <mergeCell ref="CT1:CV1"/>
    <mergeCell ref="BS1:BU1"/>
    <mergeCell ref="BV1:BX1"/>
    <mergeCell ref="BY1:CA1"/>
    <mergeCell ref="CB1:CD1"/>
    <mergeCell ref="CE1:CG1"/>
    <mergeCell ref="A2:C2"/>
    <mergeCell ref="A5:C5"/>
    <mergeCell ref="A14:C16"/>
    <mergeCell ref="BD1:BF1"/>
    <mergeCell ref="BG1:BI1"/>
    <mergeCell ref="BJ1:BL1"/>
    <mergeCell ref="BM1:BO1"/>
    <mergeCell ref="BP1:BR1"/>
    <mergeCell ref="AO1:AQ1"/>
    <mergeCell ref="AR1:AT1"/>
    <mergeCell ref="AU1:AW1"/>
    <mergeCell ref="AX1:AZ1"/>
    <mergeCell ref="BA1:BC1"/>
    <mergeCell ref="T2:T4"/>
    <mergeCell ref="U2:U4"/>
    <mergeCell ref="AC2:AC4"/>
    <mergeCell ref="AD2:AD4"/>
    <mergeCell ref="AE2:AE4"/>
    <mergeCell ref="AF2:AF4"/>
    <mergeCell ref="AG2:AG4"/>
    <mergeCell ref="AH2:AH4"/>
    <mergeCell ref="AI2:AI4"/>
    <mergeCell ref="AJ2:AJ4"/>
    <mergeCell ref="AU2:AU4"/>
    <mergeCell ref="P1:R1"/>
    <mergeCell ref="S1:U1"/>
    <mergeCell ref="V1:X1"/>
    <mergeCell ref="Y1:AA1"/>
    <mergeCell ref="AB1:AB4"/>
    <mergeCell ref="AI1:AK1"/>
    <mergeCell ref="AL1:AN1"/>
    <mergeCell ref="A267:C267"/>
    <mergeCell ref="D1:F1"/>
    <mergeCell ref="G1:I1"/>
    <mergeCell ref="J1:L1"/>
    <mergeCell ref="M1:O1"/>
    <mergeCell ref="D31:D32"/>
    <mergeCell ref="E31:E32"/>
    <mergeCell ref="F31:F32"/>
    <mergeCell ref="A49:C49"/>
    <mergeCell ref="A91:C91"/>
    <mergeCell ref="A102:C102"/>
    <mergeCell ref="A140:C140"/>
    <mergeCell ref="A225:C225"/>
    <mergeCell ref="A235:C235"/>
    <mergeCell ref="A245:C245"/>
    <mergeCell ref="A255:C255"/>
    <mergeCell ref="A1:C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77"/>
  <sheetViews>
    <sheetView zoomScale="80" zoomScaleNormal="80" workbookViewId="0">
      <selection activeCell="Z25" sqref="Z25:Z26"/>
    </sheetView>
  </sheetViews>
  <sheetFormatPr defaultRowHeight="12.75" x14ac:dyDescent="0.2"/>
  <cols>
    <col min="1" max="1" width="15" style="52" bestFit="1" customWidth="1"/>
    <col min="2" max="2" width="9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28515625" style="52" bestFit="1" customWidth="1"/>
    <col min="79" max="79" width="18.85546875" style="52" bestFit="1" customWidth="1"/>
    <col min="80" max="80" width="11" style="52" bestFit="1" customWidth="1"/>
    <col min="81" max="81" width="9.28515625" style="52" bestFit="1" customWidth="1"/>
    <col min="82" max="82" width="20.28515625" style="52" bestFit="1" customWidth="1"/>
    <col min="83" max="83" width="12.42578125" style="52" bestFit="1" customWidth="1"/>
    <col min="84" max="84" width="9.28515625" style="52" bestFit="1" customWidth="1"/>
    <col min="85" max="85" width="20.28515625" style="52" bestFit="1" customWidth="1"/>
    <col min="86" max="86" width="13.5703125" style="52" bestFit="1" customWidth="1"/>
    <col min="87" max="87" width="9.2851562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9.28515625" style="52" bestFit="1" customWidth="1"/>
    <col min="118" max="118" width="5.57031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9.28515625" style="52" bestFit="1" customWidth="1"/>
    <col min="142" max="142" width="7" style="52" bestFit="1" customWidth="1"/>
    <col min="143" max="143" width="12" style="52" bestFit="1" customWidth="1"/>
    <col min="144" max="144" width="9.28515625" style="52" bestFit="1" customWidth="1"/>
    <col min="145" max="145" width="7" style="52" bestFit="1" customWidth="1"/>
    <col min="146" max="146" width="12" style="52" bestFit="1" customWidth="1"/>
    <col min="147" max="147" width="9.28515625" style="52" bestFit="1" customWidth="1"/>
    <col min="148" max="148" width="7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7" style="52" bestFit="1" customWidth="1"/>
    <col min="158" max="158" width="12" style="52" bestFit="1" customWidth="1"/>
    <col min="159" max="159" width="9.28515625" style="52" bestFit="1" customWidth="1"/>
    <col min="160" max="160" width="7" style="52" bestFit="1" customWidth="1"/>
    <col min="161" max="161" width="12" style="52" bestFit="1" customWidth="1"/>
    <col min="162" max="162" width="9.28515625" style="52" bestFit="1" customWidth="1"/>
    <col min="163" max="163" width="7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5.57031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5.5703125" style="52" bestFit="1" customWidth="1"/>
    <col min="179" max="179" width="6.7109375" style="52" bestFit="1" customWidth="1"/>
    <col min="180" max="180" width="9.285156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9.28515625" style="52" bestFit="1" customWidth="1"/>
    <col min="187" max="187" width="7" style="52" bestFit="1" customWidth="1"/>
    <col min="188" max="188" width="12" style="52" bestFit="1" customWidth="1"/>
    <col min="189" max="189" width="9.28515625" style="52" bestFit="1" customWidth="1"/>
    <col min="190" max="190" width="7" style="52" bestFit="1" customWidth="1"/>
    <col min="191" max="191" width="12" style="52" bestFit="1" customWidth="1"/>
    <col min="192" max="192" width="9.28515625" style="52" bestFit="1" customWidth="1"/>
    <col min="193" max="193" width="7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7" style="52" bestFit="1" customWidth="1"/>
    <col min="203" max="203" width="12" style="52" bestFit="1" customWidth="1"/>
    <col min="204" max="204" width="9.28515625" style="52" bestFit="1" customWidth="1"/>
    <col min="205" max="205" width="7" style="52" bestFit="1" customWidth="1"/>
    <col min="206" max="206" width="12" style="52" bestFit="1" customWidth="1"/>
    <col min="207" max="207" width="9.28515625" style="52" bestFit="1" customWidth="1"/>
    <col min="208" max="208" width="7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13" style="52" bestFit="1" customWidth="1"/>
    <col min="214" max="214" width="20.5703125" style="52" bestFit="1" customWidth="1"/>
    <col min="215" max="16384" width="9.140625" style="52"/>
  </cols>
  <sheetData>
    <row r="1" spans="1:214" ht="21.75" thickTop="1" thickBot="1" x14ac:dyDescent="0.25">
      <c r="A1" s="655" t="s">
        <v>360</v>
      </c>
      <c r="B1" s="656"/>
      <c r="C1" s="657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565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296" t="s">
        <v>557</v>
      </c>
      <c r="AJ1" s="294"/>
      <c r="AK1" s="297"/>
      <c r="AL1" s="293" t="s">
        <v>546</v>
      </c>
      <c r="AM1" s="294"/>
      <c r="AN1" s="297"/>
      <c r="AO1" s="293" t="s">
        <v>547</v>
      </c>
      <c r="AP1" s="294"/>
      <c r="AQ1" s="295"/>
      <c r="AR1" s="296" t="s">
        <v>559</v>
      </c>
      <c r="AS1" s="294"/>
      <c r="AT1" s="297"/>
      <c r="AU1" s="293" t="s">
        <v>548</v>
      </c>
      <c r="AV1" s="294"/>
      <c r="AW1" s="297"/>
      <c r="AX1" s="293" t="s">
        <v>549</v>
      </c>
      <c r="AY1" s="294"/>
      <c r="AZ1" s="295"/>
      <c r="BA1" s="296" t="s">
        <v>561</v>
      </c>
      <c r="BB1" s="294"/>
      <c r="BC1" s="297"/>
      <c r="BD1" s="293" t="s">
        <v>551</v>
      </c>
      <c r="BE1" s="294"/>
      <c r="BF1" s="297"/>
      <c r="BG1" s="293" t="s">
        <v>552</v>
      </c>
      <c r="BH1" s="294"/>
      <c r="BI1" s="295"/>
      <c r="BJ1" s="296" t="s">
        <v>564</v>
      </c>
      <c r="BK1" s="294"/>
      <c r="BL1" s="297"/>
      <c r="BM1" s="293" t="s">
        <v>554</v>
      </c>
      <c r="BN1" s="294"/>
      <c r="BO1" s="297"/>
      <c r="BP1" s="293" t="s">
        <v>555</v>
      </c>
      <c r="BQ1" s="294"/>
      <c r="BR1" s="295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274" t="s">
        <v>569</v>
      </c>
      <c r="CC1" s="270"/>
      <c r="CD1" s="270"/>
      <c r="CE1" s="271" t="s">
        <v>570</v>
      </c>
      <c r="CF1" s="270"/>
      <c r="CG1" s="272"/>
      <c r="CH1" s="270" t="s">
        <v>571</v>
      </c>
      <c r="CI1" s="270"/>
      <c r="CJ1" s="273"/>
      <c r="CK1" s="270" t="s">
        <v>575</v>
      </c>
      <c r="CL1" s="270"/>
      <c r="CM1" s="270"/>
      <c r="CN1" s="271" t="s">
        <v>575</v>
      </c>
      <c r="CO1" s="270"/>
      <c r="CP1" s="272"/>
      <c r="CQ1" s="270" t="s">
        <v>575</v>
      </c>
      <c r="CR1" s="270"/>
      <c r="CS1" s="273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4.25" thickTop="1" thickBot="1" x14ac:dyDescent="0.25">
      <c r="A2" s="681" t="s">
        <v>240</v>
      </c>
      <c r="B2" s="682"/>
      <c r="C2" s="683"/>
      <c r="D2" s="193"/>
      <c r="E2" s="194"/>
      <c r="F2" s="194"/>
      <c r="G2" s="363" t="s">
        <v>531</v>
      </c>
      <c r="H2" s="360" t="e">
        <f>1/((1/H10)+(1/H12)+(1/H13))</f>
        <v>#DIV/0!</v>
      </c>
      <c r="I2" s="625" t="s">
        <v>291</v>
      </c>
      <c r="J2" s="622" t="s">
        <v>531</v>
      </c>
      <c r="K2" s="360" t="e">
        <f>1/((1/K14)+(1/K15)+(1/K16)+(1/K17))</f>
        <v>#DIV/0!</v>
      </c>
      <c r="L2" s="345" t="s">
        <v>290</v>
      </c>
      <c r="M2" s="330" t="s">
        <v>537</v>
      </c>
      <c r="N2" s="333">
        <f>((N5*N6*N7)/((1-EXP(-N7*N6))*N15*N13*(N9/365)*(((N14/24)*N12)+((N16/24)*N11))))/N17</f>
        <v>3504.0431454995669</v>
      </c>
      <c r="O2" s="336" t="s">
        <v>290</v>
      </c>
      <c r="P2" s="339" t="s">
        <v>537</v>
      </c>
      <c r="Q2" s="333">
        <f>((Q5*Q6*Q7)/((1-EXP(-Q7*Q6))*Q15*Q13*(Q9/365)*(((Q14/24)*Q12)+((Q16/24)*Q11))))/Q17</f>
        <v>19807.367781664889</v>
      </c>
      <c r="R2" s="336" t="s">
        <v>290</v>
      </c>
      <c r="S2" s="339" t="s">
        <v>537</v>
      </c>
      <c r="T2" s="333">
        <f>((T5*T6*T7)/((1-EXP(-T7*T6))*T15*T13*(T9/365)*(((T14/24)*T12)+((T16/24)*T11))))/T17</f>
        <v>4150.1918384484825</v>
      </c>
      <c r="U2" s="342" t="s">
        <v>290</v>
      </c>
      <c r="V2" s="204"/>
      <c r="W2" s="205"/>
      <c r="X2" s="205"/>
      <c r="Y2" s="206"/>
      <c r="Z2" s="205"/>
      <c r="AA2" s="207"/>
      <c r="AB2" s="310"/>
      <c r="AC2" s="312" t="e">
        <f>1/((1/AC29)+(1/AC30)+(1/AC31))</f>
        <v>#DIV/0!</v>
      </c>
      <c r="AD2" s="315" t="e">
        <f>1/((1/AD29)+(1/AD30)+(1/AD31))</f>
        <v>#DIV/0!</v>
      </c>
      <c r="AE2" s="315" t="e">
        <f>1/((1/AE29)+(1/AE30)+(1/AE31))</f>
        <v>#DIV/0!</v>
      </c>
      <c r="AF2" s="315" t="e">
        <f>1/((1/AF29)+(1/AF30)+(1/AF31))</f>
        <v>#DIV/0!</v>
      </c>
      <c r="AG2" s="320" t="e">
        <f>1/((1/AG29)+(1/AG31)+(1/AG30))</f>
        <v>#DIV/0!</v>
      </c>
      <c r="AH2" s="318" t="s">
        <v>290</v>
      </c>
      <c r="AI2" s="306" t="s">
        <v>537</v>
      </c>
      <c r="AJ2" s="303">
        <f>((AJ5*AJ6*AJ7)/((1-EXP(-AJ7*AJ6))*AJ15*(AJ9/365)*AJ10*(AJ16/24)*AJ11*AJ13))/AJ17</f>
        <v>21310.188793670164</v>
      </c>
      <c r="AK2" s="290" t="s">
        <v>290</v>
      </c>
      <c r="AL2" s="287" t="s">
        <v>537</v>
      </c>
      <c r="AM2" s="303">
        <f>((AM5*AM6*AM7)/((1-EXP(-AM7*AM6))*AM15*(AM9/365)*AM10*(AM16/24)*AM11*AM13))/AM17</f>
        <v>119726.03070362903</v>
      </c>
      <c r="AN2" s="290" t="s">
        <v>290</v>
      </c>
      <c r="AO2" s="287" t="s">
        <v>537</v>
      </c>
      <c r="AP2" s="303">
        <f>((AP5*AP6*AP7)/((1-EXP(-AP7*AP6))*AP15*(AP9/365)*AP10*(AP16/24)*AP11*AP13))/AP17</f>
        <v>25191.996474729363</v>
      </c>
      <c r="AQ2" s="281" t="s">
        <v>290</v>
      </c>
      <c r="AR2" s="306" t="s">
        <v>537</v>
      </c>
      <c r="AS2" s="303">
        <f>((AS5*AS6*AS7)/((1-EXP(-AS7*AS6))*AS15*(AS9/365)*AS10*(AS14/24)*AS12*AS13))/AS17</f>
        <v>313385.12931867881</v>
      </c>
      <c r="AT2" s="290" t="s">
        <v>290</v>
      </c>
      <c r="AU2" s="287" t="s">
        <v>537</v>
      </c>
      <c r="AV2" s="303">
        <f>((AV5*AV6*AV7)/((1-EXP(-AV7*AV6))*AV15*(AV9/365)*AV10*(AV14/24)*AV12*AV13))/AV17</f>
        <v>3227116.7305560391</v>
      </c>
      <c r="AW2" s="290" t="s">
        <v>290</v>
      </c>
      <c r="AX2" s="287" t="s">
        <v>537</v>
      </c>
      <c r="AY2" s="303">
        <f>((AY5*AY6*AY7)/((1-EXP(-AY7*AY6))*AY15*(AY9/365)*AY10*(AY14/24)*AY12*AY13))/AY17</f>
        <v>431369.8026494754</v>
      </c>
      <c r="AZ2" s="281" t="s">
        <v>290</v>
      </c>
      <c r="BA2" s="306" t="s">
        <v>537</v>
      </c>
      <c r="BB2" s="303">
        <f>((BB5*BB6*BB7)/((1-EXP(-BB7*BB6))*BB15*(BB9/365)*(BB14/24)*BB12*BB13))/BB17</f>
        <v>313385.12931867881</v>
      </c>
      <c r="BC2" s="290" t="s">
        <v>290</v>
      </c>
      <c r="BD2" s="287" t="s">
        <v>537</v>
      </c>
      <c r="BE2" s="303">
        <f>((BE5*BE6*BE7)/((1-EXP(-BE7*BE6))*BE15*(BE9/365)*(BE14/24)*BE12*BE13))/BE17</f>
        <v>3227116.7305560391</v>
      </c>
      <c r="BF2" s="290" t="s">
        <v>290</v>
      </c>
      <c r="BG2" s="287" t="s">
        <v>537</v>
      </c>
      <c r="BH2" s="303">
        <f>((BH5*BH6*BH7)/((1-EXP(-BH7*BH6))*BH15*(BH9/365)*(BH14/24)*BH12*BH13))/BH17</f>
        <v>431369.8026494754</v>
      </c>
      <c r="BI2" s="281" t="s">
        <v>290</v>
      </c>
      <c r="BJ2" s="306" t="s">
        <v>537</v>
      </c>
      <c r="BK2" s="284">
        <f>((BK5*BK6*BK7)/((1-EXP(-BK7*BK6))*BK16*(BK9/365)*(BK15/24)*BK13*BK14))/BK17</f>
        <v>522308.5488644648</v>
      </c>
      <c r="BL2" s="290" t="s">
        <v>290</v>
      </c>
      <c r="BM2" s="287" t="s">
        <v>537</v>
      </c>
      <c r="BN2" s="284">
        <f>((BN5*BN6*BN7)/((1-EXP(-BN7*BN6))*BN16*(BN9/365)*(BN15/24)*BN13*BN14))/BN17</f>
        <v>5378527.884260064</v>
      </c>
      <c r="BO2" s="290" t="s">
        <v>290</v>
      </c>
      <c r="BP2" s="287" t="s">
        <v>537</v>
      </c>
      <c r="BQ2" s="284">
        <f>((BQ5*BQ6*BQ7)/((1-EXP(-BQ7*BQ6))*BQ16*(BQ9/365)*(BQ15/24)*BQ13*BQ14))/BQ17</f>
        <v>718949.67108245916</v>
      </c>
      <c r="BR2" s="281" t="s">
        <v>290</v>
      </c>
      <c r="BS2" s="214"/>
      <c r="BT2" s="120"/>
      <c r="BU2" s="215"/>
      <c r="BV2" s="258" t="s">
        <v>531</v>
      </c>
      <c r="BW2" s="261" t="e">
        <f>1/((1/BW10)+(1/BW12))</f>
        <v>#DIV/0!</v>
      </c>
      <c r="BX2" s="278" t="s">
        <v>291</v>
      </c>
      <c r="BY2" s="258" t="s">
        <v>531</v>
      </c>
      <c r="BZ2" s="261" t="e">
        <f>1/((1/BZ13)+(1/BZ14)+(1/BZ15))</f>
        <v>#DIV/0!</v>
      </c>
      <c r="CA2" s="264" t="s">
        <v>290</v>
      </c>
      <c r="CB2" s="267" t="s">
        <v>537</v>
      </c>
      <c r="CC2" s="261">
        <f>((CC5*CC6*CC7)/((1-EXP(-CC7*CC6))*CC14*(CC9/365)*CC12*(CC13/24)*CC11))/CC15</f>
        <v>712238.93026972457</v>
      </c>
      <c r="CD2" s="278" t="s">
        <v>290</v>
      </c>
      <c r="CE2" s="258" t="s">
        <v>537</v>
      </c>
      <c r="CF2" s="261">
        <f>((CF5*CF6*CF7)/((1-EXP(-CF7*CF6))*CF14*(CF9/365)*CF12*(CF13/24)*CF11))/CF15</f>
        <v>7334356.2058091797</v>
      </c>
      <c r="CG2" s="278" t="s">
        <v>290</v>
      </c>
      <c r="CH2" s="258" t="s">
        <v>537</v>
      </c>
      <c r="CI2" s="261">
        <f>((CI5*CI6*CI7)/((1-EXP(-CI7*CI6))*CI14*(CI9/365)*CI12*(CI13/24)*CI11))/CI15</f>
        <v>980385.9151124442</v>
      </c>
      <c r="CJ2" s="264" t="s">
        <v>290</v>
      </c>
      <c r="CK2" s="267" t="s">
        <v>530</v>
      </c>
      <c r="CL2" s="261" t="e">
        <f>(CL5/(CL6*CL7*CL8))/CL9</f>
        <v>#DIV/0!</v>
      </c>
      <c r="CM2" s="255" t="s">
        <v>290</v>
      </c>
      <c r="CN2" s="258" t="s">
        <v>7</v>
      </c>
      <c r="CO2" s="261" t="e">
        <f>(CL2/(CO5*((CO10*CO12*CO13*(CO6+CO7))+(CO11*CO12))))*CO17</f>
        <v>#DIV/0!</v>
      </c>
      <c r="CP2" s="278" t="s">
        <v>290</v>
      </c>
      <c r="CQ2" s="275" t="s">
        <v>6</v>
      </c>
      <c r="CR2" s="261" t="e">
        <f>CL2/(CR5*CR6*(1/CR7))</f>
        <v>#DIV/0!</v>
      </c>
      <c r="CS2" s="264" t="s">
        <v>290</v>
      </c>
      <c r="CT2" s="395" t="s">
        <v>531</v>
      </c>
      <c r="CU2" s="392" t="e">
        <f>1/((1/CU14)+(1/CU15)+(1/CU16)+(1/CU17))</f>
        <v>#DIV/0!</v>
      </c>
      <c r="CV2" s="389" t="s">
        <v>290</v>
      </c>
      <c r="CW2" s="218"/>
      <c r="CX2" s="219"/>
      <c r="CY2" s="219"/>
      <c r="CZ2" s="407" t="s">
        <v>531</v>
      </c>
      <c r="DA2" s="404" t="e">
        <f>1/((1/DA13)+(1/DA15)+(1/DA16))</f>
        <v>#DIV/0!</v>
      </c>
      <c r="DB2" s="401" t="s">
        <v>291</v>
      </c>
      <c r="DC2" s="442" t="s">
        <v>530</v>
      </c>
      <c r="DD2" s="439" t="e">
        <f>DD7</f>
        <v>#DIV/0!</v>
      </c>
      <c r="DE2" s="436" t="s">
        <v>290</v>
      </c>
      <c r="DF2" s="433" t="s">
        <v>530</v>
      </c>
      <c r="DG2" s="424" t="e">
        <f>DD7/((1/DG24)*(DG5+DG6+DG7))</f>
        <v>#DIV/0!</v>
      </c>
      <c r="DH2" s="430" t="s">
        <v>291</v>
      </c>
      <c r="DI2" s="427" t="s">
        <v>530</v>
      </c>
      <c r="DJ2" s="424" t="e">
        <f>(DD7/(DJ5+DJ6))*DJ12</f>
        <v>#DIV/0!</v>
      </c>
      <c r="DK2" s="430" t="s">
        <v>290</v>
      </c>
      <c r="DL2" s="427" t="s">
        <v>581</v>
      </c>
      <c r="DM2" s="424" t="e">
        <f>((DD7)/(DM5+DM6))*DJ12</f>
        <v>#DIV/0!</v>
      </c>
      <c r="DN2" s="430" t="s">
        <v>290</v>
      </c>
      <c r="DO2" s="427" t="s">
        <v>582</v>
      </c>
      <c r="DP2" s="424">
        <f>-(DP5+DP6+DP7)/(DP23+DP24)</f>
        <v>-49.755719687869203</v>
      </c>
      <c r="DQ2" s="421" t="s">
        <v>18</v>
      </c>
      <c r="DR2" s="574" t="s">
        <v>530</v>
      </c>
      <c r="DS2" s="445" t="e">
        <f>DS7</f>
        <v>#DIV/0!</v>
      </c>
      <c r="DT2" s="484" t="s">
        <v>290</v>
      </c>
      <c r="DU2" s="481" t="s">
        <v>530</v>
      </c>
      <c r="DV2" s="463" t="e">
        <f>(DS7*DV8)/(DV5*DV6*(1/1000))</f>
        <v>#DIV/0!</v>
      </c>
      <c r="DW2" s="466" t="s">
        <v>291</v>
      </c>
      <c r="DX2" s="478" t="s">
        <v>530</v>
      </c>
      <c r="DY2" s="463" t="e">
        <f>(DS7*DY14)/(DY9*((DY10*DY12*DY13*(DY5+DY6))+(DY11*DY12)))*DY18</f>
        <v>#DIV/0!</v>
      </c>
      <c r="DZ2" s="466" t="s">
        <v>290</v>
      </c>
      <c r="EA2" s="478" t="s">
        <v>581</v>
      </c>
      <c r="EB2" s="463" t="e">
        <f>(DS7*DY14)/(EB9*((EB10*EB12*EB13*(EB5+EB6))+(EB11*EB12)))*DY18</f>
        <v>#DIV/0!</v>
      </c>
      <c r="EC2" s="466" t="s">
        <v>290</v>
      </c>
      <c r="ED2" s="478" t="s">
        <v>582</v>
      </c>
      <c r="EE2" s="463">
        <f>-EE15/((EE10*EE12*EE13*(EE5+EE6))+(EE11*EE12))</f>
        <v>-16.803652968036527</v>
      </c>
      <c r="EF2" s="460" t="s">
        <v>18</v>
      </c>
      <c r="EG2" s="475" t="s">
        <v>530</v>
      </c>
      <c r="EH2" s="469" t="e">
        <f>EH7</f>
        <v>#DIV/0!</v>
      </c>
      <c r="EI2" s="457" t="s">
        <v>290</v>
      </c>
      <c r="EJ2" s="472" t="s">
        <v>530</v>
      </c>
      <c r="EK2" s="454" t="e">
        <f>EH7/(EK5*EK6)</f>
        <v>#DIV/0!</v>
      </c>
      <c r="EL2" s="451" t="s">
        <v>291</v>
      </c>
      <c r="EM2" s="448" t="s">
        <v>530</v>
      </c>
      <c r="EN2" s="454" t="e">
        <f>(EH7/(EN9*((EN10*EN12*EN13*(EN5+EN6))+(EN11*EN12))))*EN17</f>
        <v>#DIV/0!</v>
      </c>
      <c r="EO2" s="451" t="s">
        <v>290</v>
      </c>
      <c r="EP2" s="448" t="s">
        <v>581</v>
      </c>
      <c r="EQ2" s="454" t="e">
        <f>(EH7/(EQ9*((EQ10*EQ12*EQ13*(EQ5+EQ6))+(EQ11*EQ12))))*EN17</f>
        <v>#DIV/0!</v>
      </c>
      <c r="ER2" s="451" t="s">
        <v>290</v>
      </c>
      <c r="ES2" s="448" t="s">
        <v>582</v>
      </c>
      <c r="ET2" s="454">
        <f>-ET15/((ET10*ET12*ET13*(ET5+ET6))+(ET11*ET12))</f>
        <v>-15.395787944807553</v>
      </c>
      <c r="EU2" s="499" t="s">
        <v>18</v>
      </c>
      <c r="EV2" s="496" t="s">
        <v>530</v>
      </c>
      <c r="EW2" s="493" t="e">
        <f>EW7</f>
        <v>#DIV/0!</v>
      </c>
      <c r="EX2" s="490" t="s">
        <v>290</v>
      </c>
      <c r="EY2" s="487" t="s">
        <v>530</v>
      </c>
      <c r="EZ2" s="586" t="e">
        <f>EW7/(EZ5*EZ6*(1/EZ7))</f>
        <v>#DIV/0!</v>
      </c>
      <c r="FA2" s="592" t="s">
        <v>291</v>
      </c>
      <c r="FB2" s="589" t="s">
        <v>530</v>
      </c>
      <c r="FC2" s="586" t="e">
        <f>(EW7/(FC9*((FC10*FC12*FC13*(FC5+FC6))+(FC11*FC12))))*FC17</f>
        <v>#DIV/0!</v>
      </c>
      <c r="FD2" s="595" t="s">
        <v>290</v>
      </c>
      <c r="FE2" s="589" t="s">
        <v>581</v>
      </c>
      <c r="FF2" s="586" t="e">
        <f>(EW7/(FF9*(FF10*FF12*FF13*(FF5*FF6))+(FF11*FF12)))*FC17</f>
        <v>#DIV/0!</v>
      </c>
      <c r="FG2" s="592" t="s">
        <v>290</v>
      </c>
      <c r="FH2" s="589" t="s">
        <v>582</v>
      </c>
      <c r="FI2" s="586">
        <f>FI15/((FI10*FI12*FI13*(FI5+FI6))+(FI11*FI12))</f>
        <v>5.5555555555555554</v>
      </c>
      <c r="FJ2" s="583" t="s">
        <v>18</v>
      </c>
      <c r="FK2" s="580" t="s">
        <v>530</v>
      </c>
      <c r="FL2" s="577" t="e">
        <f>FL7</f>
        <v>#DIV/0!</v>
      </c>
      <c r="FM2" s="571" t="s">
        <v>290</v>
      </c>
      <c r="FN2" s="568" t="s">
        <v>530</v>
      </c>
      <c r="FO2" s="505" t="e">
        <f>FL7/(FO5*(1/FO6))</f>
        <v>#DIV/0!</v>
      </c>
      <c r="FP2" s="511" t="s">
        <v>291</v>
      </c>
      <c r="FQ2" s="508" t="s">
        <v>530</v>
      </c>
      <c r="FR2" s="505" t="e">
        <f>((FL7*FR6)/FR5)*FR10</f>
        <v>#DIV/0!</v>
      </c>
      <c r="FS2" s="511" t="s">
        <v>290</v>
      </c>
      <c r="FT2" s="508" t="s">
        <v>581</v>
      </c>
      <c r="FU2" s="505" t="e">
        <f>((FL7*FU6)/FU5)*FR10</f>
        <v>#DIV/0!</v>
      </c>
      <c r="FV2" s="511" t="s">
        <v>290</v>
      </c>
      <c r="FW2" s="508" t="s">
        <v>582</v>
      </c>
      <c r="FX2" s="505">
        <f>-FX5/FX6</f>
        <v>0</v>
      </c>
      <c r="FY2" s="502" t="s">
        <v>18</v>
      </c>
      <c r="FZ2" s="556" t="s">
        <v>530</v>
      </c>
      <c r="GA2" s="553" t="e">
        <f>GA7</f>
        <v>#DIV/0!</v>
      </c>
      <c r="GB2" s="550" t="s">
        <v>290</v>
      </c>
      <c r="GC2" s="559" t="s">
        <v>530</v>
      </c>
      <c r="GD2" s="538" t="e">
        <f>GA7/(GD5*GD6*(1/GD7))</f>
        <v>#DIV/0!</v>
      </c>
      <c r="GE2" s="544" t="s">
        <v>291</v>
      </c>
      <c r="GF2" s="541" t="s">
        <v>530</v>
      </c>
      <c r="GG2" s="538" t="e">
        <f>(GA7/((GG9)*((GG10*GG12*GG13*(GG5+GG6))+(GG11*GG12))))*GG17</f>
        <v>#DIV/0!</v>
      </c>
      <c r="GH2" s="544" t="s">
        <v>290</v>
      </c>
      <c r="GI2" s="541" t="s">
        <v>581</v>
      </c>
      <c r="GJ2" s="538" t="e">
        <f>(GA7/((GJ9)*((GJ10*GJ12*GJ13*(GJ5+GJ6))+(GJ11*GJ12))))*GG17</f>
        <v>#DIV/0!</v>
      </c>
      <c r="GK2" s="544" t="s">
        <v>290</v>
      </c>
      <c r="GL2" s="541" t="s">
        <v>582</v>
      </c>
      <c r="GM2" s="538">
        <f>GM15/((GM10*GM12*GM13*(GM5+GM6))+(GM11*GM12))</f>
        <v>5.5555555555555554</v>
      </c>
      <c r="GN2" s="535" t="s">
        <v>18</v>
      </c>
      <c r="GO2" s="532" t="s">
        <v>530</v>
      </c>
      <c r="GP2" s="529" t="e">
        <f>GP7</f>
        <v>#DIV/0!</v>
      </c>
      <c r="GQ2" s="526" t="s">
        <v>290</v>
      </c>
      <c r="GR2" s="523" t="s">
        <v>530</v>
      </c>
      <c r="GS2" s="517" t="e">
        <f>GP7/(GS5*GS6*(1/GS7))</f>
        <v>#DIV/0!</v>
      </c>
      <c r="GT2" s="514" t="s">
        <v>291</v>
      </c>
      <c r="GU2" s="520" t="s">
        <v>530</v>
      </c>
      <c r="GV2" s="517" t="e">
        <f>(GP7/((GV9)*((GV10*GV12*GV13*(GV5+GV6))+(GV11*GV12))))*GV17</f>
        <v>#DIV/0!</v>
      </c>
      <c r="GW2" s="514" t="s">
        <v>290</v>
      </c>
      <c r="GX2" s="520" t="s">
        <v>581</v>
      </c>
      <c r="GY2" s="517" t="e">
        <f>(GP7/((GY9*((GY10*GY12*GY13*(GY5+GY6))+(GY11*GY12)))))*GV17</f>
        <v>#DIV/0!</v>
      </c>
      <c r="GZ2" s="514" t="s">
        <v>290</v>
      </c>
      <c r="HA2" s="520" t="s">
        <v>582</v>
      </c>
      <c r="HB2" s="517" t="e">
        <f>GP7/((HB10*HB12*HB13*(HB5+HB6))+(HB11*HB12))</f>
        <v>#DIV/0!</v>
      </c>
      <c r="HC2" s="547" t="s">
        <v>18</v>
      </c>
      <c r="HD2" s="54"/>
      <c r="HE2" s="55"/>
      <c r="HF2" s="56"/>
    </row>
    <row r="3" spans="1:214" ht="13.5" thickTop="1" x14ac:dyDescent="0.2">
      <c r="A3" s="114" t="s">
        <v>302</v>
      </c>
      <c r="B3" s="228">
        <v>6.8000000000000005E-2</v>
      </c>
      <c r="C3" s="115"/>
      <c r="D3" s="189" t="s">
        <v>15</v>
      </c>
      <c r="E3" s="134">
        <f>1/((1/E19)+(1/E20))</f>
        <v>1.3110897086192938E-2</v>
      </c>
      <c r="F3" s="58" t="s">
        <v>289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6.2231674800987768</v>
      </c>
      <c r="X3" s="62" t="s">
        <v>289</v>
      </c>
      <c r="Y3" s="202" t="s">
        <v>16</v>
      </c>
      <c r="Z3" s="187">
        <f>1/((1/Z18)+(1/Z19))</f>
        <v>6.2231674800987768</v>
      </c>
      <c r="AA3" s="63" t="s">
        <v>289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307"/>
      <c r="AS3" s="304"/>
      <c r="AT3" s="291"/>
      <c r="AU3" s="288"/>
      <c r="AV3" s="304"/>
      <c r="AW3" s="291"/>
      <c r="AX3" s="288"/>
      <c r="AY3" s="304"/>
      <c r="AZ3" s="282"/>
      <c r="BA3" s="307"/>
      <c r="BB3" s="304"/>
      <c r="BC3" s="291"/>
      <c r="BD3" s="288"/>
      <c r="BE3" s="304"/>
      <c r="BF3" s="291"/>
      <c r="BG3" s="288"/>
      <c r="BH3" s="304"/>
      <c r="BI3" s="282"/>
      <c r="BJ3" s="307"/>
      <c r="BK3" s="285"/>
      <c r="BL3" s="291"/>
      <c r="BM3" s="288"/>
      <c r="BN3" s="285"/>
      <c r="BO3" s="291"/>
      <c r="BP3" s="288"/>
      <c r="BQ3" s="285"/>
      <c r="BR3" s="282"/>
      <c r="BS3" s="212" t="s">
        <v>15</v>
      </c>
      <c r="BT3" s="64">
        <f>1/((1/BT18)+(1/BT19))</f>
        <v>0.17163356185561662</v>
      </c>
      <c r="BU3" s="53" t="s">
        <v>289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56"/>
      <c r="CN3" s="259"/>
      <c r="CO3" s="262"/>
      <c r="CP3" s="279"/>
      <c r="CQ3" s="276"/>
      <c r="CR3" s="262"/>
      <c r="CS3" s="265"/>
      <c r="CT3" s="396"/>
      <c r="CU3" s="393"/>
      <c r="CV3" s="390"/>
      <c r="CW3" s="216" t="s">
        <v>15</v>
      </c>
      <c r="CX3" s="65">
        <f>1/((1/CX19)+(1/CX20))</f>
        <v>1.3076145734636677E-2</v>
      </c>
      <c r="CY3" s="66" t="s">
        <v>289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222">
        <f>(HE5*HE14)*(10^-3)*(HE13+(HE10/HE11))*((HE12*HE7)/HE8)</f>
        <v>0</v>
      </c>
      <c r="HF3" s="220" t="s">
        <v>595</v>
      </c>
    </row>
    <row r="4" spans="1:214" ht="13.5" thickBot="1" x14ac:dyDescent="0.25">
      <c r="A4" s="116" t="s">
        <v>54</v>
      </c>
      <c r="B4" s="229">
        <v>0.75600000000000001</v>
      </c>
      <c r="C4" s="117"/>
      <c r="D4" s="190" t="s">
        <v>16</v>
      </c>
      <c r="E4" s="135">
        <f>1/((1/E21)+(1/E22))</f>
        <v>0.86735604881002248</v>
      </c>
      <c r="F4" s="68" t="s">
        <v>289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9.4068991037368863E-2</v>
      </c>
      <c r="X4" s="76" t="s">
        <v>289</v>
      </c>
      <c r="Y4" s="203" t="s">
        <v>15</v>
      </c>
      <c r="Z4" s="186">
        <f>1/((1/Z16)+(1/Z17))</f>
        <v>9.4068991037368863E-2</v>
      </c>
      <c r="AA4" s="77" t="s">
        <v>289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308"/>
      <c r="AS4" s="305"/>
      <c r="AT4" s="292"/>
      <c r="AU4" s="289"/>
      <c r="AV4" s="305"/>
      <c r="AW4" s="292"/>
      <c r="AX4" s="289"/>
      <c r="AY4" s="305"/>
      <c r="AZ4" s="283"/>
      <c r="BA4" s="308"/>
      <c r="BB4" s="305"/>
      <c r="BC4" s="292"/>
      <c r="BD4" s="289"/>
      <c r="BE4" s="305"/>
      <c r="BF4" s="292"/>
      <c r="BG4" s="289"/>
      <c r="BH4" s="305"/>
      <c r="BI4" s="283"/>
      <c r="BJ4" s="308"/>
      <c r="BK4" s="286"/>
      <c r="BL4" s="292"/>
      <c r="BM4" s="289"/>
      <c r="BN4" s="286"/>
      <c r="BO4" s="292"/>
      <c r="BP4" s="289"/>
      <c r="BQ4" s="286"/>
      <c r="BR4" s="283"/>
      <c r="BS4" s="213" t="s">
        <v>16</v>
      </c>
      <c r="BT4" s="78">
        <f>1/((1/BT20)+(1/BT21))</f>
        <v>11.354479184422113</v>
      </c>
      <c r="BU4" s="79" t="s">
        <v>289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57"/>
      <c r="CN4" s="260"/>
      <c r="CO4" s="263"/>
      <c r="CP4" s="280"/>
      <c r="CQ4" s="277"/>
      <c r="CR4" s="263"/>
      <c r="CS4" s="266"/>
      <c r="CT4" s="397"/>
      <c r="CU4" s="394"/>
      <c r="CV4" s="391"/>
      <c r="CW4" s="217" t="s">
        <v>16</v>
      </c>
      <c r="CX4" s="80">
        <f>1/((1/CX21)+(1/CX22))</f>
        <v>0.86505706081717271</v>
      </c>
      <c r="CY4" s="81" t="s">
        <v>289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224" t="e">
        <f>(HE6*HE14)*10^-3*(HE13+(HE10/HE11))*((HE12*HE7)/(HE8))</f>
        <v>#DIV/0!</v>
      </c>
      <c r="HF4" s="221" t="s">
        <v>596</v>
      </c>
    </row>
    <row r="5" spans="1:214" ht="14.25" thickTop="1" thickBot="1" x14ac:dyDescent="0.25">
      <c r="A5" s="681" t="s">
        <v>241</v>
      </c>
      <c r="B5" s="682"/>
      <c r="C5" s="683"/>
      <c r="D5" s="52" t="s">
        <v>267</v>
      </c>
      <c r="E5" s="136">
        <f>B17</f>
        <v>1</v>
      </c>
      <c r="F5" s="52" t="s">
        <v>344</v>
      </c>
      <c r="G5" s="83" t="s">
        <v>267</v>
      </c>
      <c r="H5" s="136">
        <f>B17</f>
        <v>1</v>
      </c>
      <c r="I5" s="52" t="s">
        <v>344</v>
      </c>
      <c r="J5" s="83" t="s">
        <v>267</v>
      </c>
      <c r="K5" s="136">
        <f>B17</f>
        <v>1</v>
      </c>
      <c r="L5" s="52" t="s">
        <v>344</v>
      </c>
      <c r="M5" s="52" t="s">
        <v>267</v>
      </c>
      <c r="N5" s="136">
        <f>B17</f>
        <v>1</v>
      </c>
      <c r="O5" s="52" t="s">
        <v>344</v>
      </c>
      <c r="P5" s="52" t="s">
        <v>267</v>
      </c>
      <c r="Q5" s="136">
        <f>B17</f>
        <v>1</v>
      </c>
      <c r="R5" s="52" t="s">
        <v>344</v>
      </c>
      <c r="S5" s="52" t="s">
        <v>267</v>
      </c>
      <c r="T5" s="136">
        <f>B17</f>
        <v>1</v>
      </c>
      <c r="U5" s="52" t="s">
        <v>344</v>
      </c>
      <c r="V5" s="52" t="s">
        <v>267</v>
      </c>
      <c r="W5" s="136">
        <f>B17</f>
        <v>1</v>
      </c>
      <c r="X5" s="52" t="s">
        <v>344</v>
      </c>
      <c r="Y5" s="52" t="s">
        <v>267</v>
      </c>
      <c r="Z5" s="136">
        <f>B17</f>
        <v>1</v>
      </c>
      <c r="AA5" s="52" t="s">
        <v>344</v>
      </c>
      <c r="AB5" s="83" t="s">
        <v>267</v>
      </c>
      <c r="AC5" s="136">
        <f>B17</f>
        <v>1</v>
      </c>
      <c r="AD5" s="136">
        <f>B17</f>
        <v>1</v>
      </c>
      <c r="AE5" s="136">
        <f>B17</f>
        <v>1</v>
      </c>
      <c r="AF5" s="136">
        <f>B17</f>
        <v>1</v>
      </c>
      <c r="AG5" s="136">
        <f>B17</f>
        <v>1</v>
      </c>
      <c r="AH5" s="52" t="s">
        <v>344</v>
      </c>
      <c r="AI5" s="52" t="s">
        <v>267</v>
      </c>
      <c r="AJ5" s="136">
        <f>B17</f>
        <v>1</v>
      </c>
      <c r="AK5" s="52" t="s">
        <v>344</v>
      </c>
      <c r="AL5" s="52" t="s">
        <v>267</v>
      </c>
      <c r="AM5" s="136">
        <f>B17</f>
        <v>1</v>
      </c>
      <c r="AN5" s="52" t="s">
        <v>344</v>
      </c>
      <c r="AO5" s="52" t="s">
        <v>267</v>
      </c>
      <c r="AP5" s="136">
        <f>B17</f>
        <v>1</v>
      </c>
      <c r="AQ5" s="52" t="s">
        <v>344</v>
      </c>
      <c r="AR5" s="52" t="s">
        <v>267</v>
      </c>
      <c r="AS5" s="136">
        <f>B17</f>
        <v>1</v>
      </c>
      <c r="AT5" s="52" t="s">
        <v>344</v>
      </c>
      <c r="AU5" s="52" t="s">
        <v>267</v>
      </c>
      <c r="AV5" s="136">
        <f>B17</f>
        <v>1</v>
      </c>
      <c r="AW5" s="52" t="s">
        <v>344</v>
      </c>
      <c r="AX5" s="52" t="s">
        <v>267</v>
      </c>
      <c r="AY5" s="136">
        <f>B17</f>
        <v>1</v>
      </c>
      <c r="AZ5" s="52" t="s">
        <v>344</v>
      </c>
      <c r="BA5" s="52" t="s">
        <v>267</v>
      </c>
      <c r="BB5" s="136">
        <f>B17</f>
        <v>1</v>
      </c>
      <c r="BC5" s="52" t="s">
        <v>344</v>
      </c>
      <c r="BD5" s="52" t="s">
        <v>267</v>
      </c>
      <c r="BE5" s="136">
        <f>B17</f>
        <v>1</v>
      </c>
      <c r="BF5" s="52" t="s">
        <v>344</v>
      </c>
      <c r="BG5" s="52" t="s">
        <v>267</v>
      </c>
      <c r="BH5" s="136">
        <f>B17</f>
        <v>1</v>
      </c>
      <c r="BI5" s="52" t="s">
        <v>344</v>
      </c>
      <c r="BJ5" s="52" t="s">
        <v>267</v>
      </c>
      <c r="BK5" s="136">
        <f>B17</f>
        <v>1</v>
      </c>
      <c r="BL5" s="52" t="s">
        <v>344</v>
      </c>
      <c r="BM5" s="52" t="s">
        <v>267</v>
      </c>
      <c r="BN5" s="136">
        <f>B17</f>
        <v>1</v>
      </c>
      <c r="BO5" s="52" t="s">
        <v>344</v>
      </c>
      <c r="BP5" s="52" t="s">
        <v>267</v>
      </c>
      <c r="BQ5" s="136">
        <f>B17</f>
        <v>1</v>
      </c>
      <c r="BR5" s="52" t="s">
        <v>344</v>
      </c>
      <c r="BS5" s="52" t="s">
        <v>267</v>
      </c>
      <c r="BT5" s="136">
        <f>B17</f>
        <v>1</v>
      </c>
      <c r="BU5" s="52" t="s">
        <v>344</v>
      </c>
      <c r="BV5" s="83" t="s">
        <v>267</v>
      </c>
      <c r="BW5" s="136">
        <f>B17</f>
        <v>1</v>
      </c>
      <c r="BX5" s="52" t="s">
        <v>344</v>
      </c>
      <c r="BY5" s="83" t="s">
        <v>267</v>
      </c>
      <c r="BZ5" s="136">
        <f>B17</f>
        <v>1</v>
      </c>
      <c r="CA5" s="52" t="s">
        <v>344</v>
      </c>
      <c r="CB5" s="52" t="s">
        <v>267</v>
      </c>
      <c r="CC5" s="136">
        <f>B17</f>
        <v>1</v>
      </c>
      <c r="CD5" s="52" t="s">
        <v>344</v>
      </c>
      <c r="CE5" s="52" t="s">
        <v>267</v>
      </c>
      <c r="CF5" s="136">
        <f>B17</f>
        <v>1</v>
      </c>
      <c r="CG5" s="52" t="s">
        <v>344</v>
      </c>
      <c r="CH5" s="52" t="s">
        <v>267</v>
      </c>
      <c r="CI5" s="136">
        <f>B17</f>
        <v>1</v>
      </c>
      <c r="CJ5" s="52" t="s">
        <v>344</v>
      </c>
      <c r="CK5" s="52" t="s">
        <v>267</v>
      </c>
      <c r="CL5" s="136">
        <f>B17</f>
        <v>1</v>
      </c>
      <c r="CM5" s="52" t="s">
        <v>344</v>
      </c>
      <c r="CN5" s="83" t="s">
        <v>228</v>
      </c>
      <c r="CO5" s="136">
        <f>B42</f>
        <v>0</v>
      </c>
      <c r="CP5" s="52" t="s">
        <v>268</v>
      </c>
      <c r="CQ5" s="83" t="s">
        <v>228</v>
      </c>
      <c r="CR5" s="136">
        <f>CO5</f>
        <v>0</v>
      </c>
      <c r="CS5" s="52" t="s">
        <v>268</v>
      </c>
      <c r="CT5" s="83" t="s">
        <v>267</v>
      </c>
      <c r="CU5" s="136">
        <f>B17</f>
        <v>1</v>
      </c>
      <c r="CV5" s="52" t="s">
        <v>344</v>
      </c>
      <c r="CW5" s="52" t="s">
        <v>267</v>
      </c>
      <c r="CX5" s="136">
        <f>B17</f>
        <v>1</v>
      </c>
      <c r="CY5" s="52" t="s">
        <v>344</v>
      </c>
      <c r="CZ5" s="83" t="s">
        <v>267</v>
      </c>
      <c r="DA5" s="136">
        <f>B17</f>
        <v>1</v>
      </c>
      <c r="DB5" s="52" t="s">
        <v>344</v>
      </c>
      <c r="DC5" s="83" t="s">
        <v>267</v>
      </c>
      <c r="DD5" s="136">
        <f>B17</f>
        <v>1</v>
      </c>
      <c r="DE5" s="52" t="s">
        <v>344</v>
      </c>
      <c r="DF5" s="52" t="s">
        <v>17</v>
      </c>
      <c r="DG5" s="137">
        <f>(DG8*DG9*DG10*((1-EXP(-DG11*DG12))))/(DG13*DG11)</f>
        <v>0</v>
      </c>
      <c r="DH5" s="52" t="s">
        <v>18</v>
      </c>
      <c r="DI5" s="83" t="s">
        <v>19</v>
      </c>
      <c r="DJ5" s="161">
        <f>DJ7</f>
        <v>0</v>
      </c>
      <c r="DK5" s="83"/>
      <c r="DL5" s="83" t="s">
        <v>19</v>
      </c>
      <c r="DM5" s="161">
        <f>DM7</f>
        <v>0</v>
      </c>
      <c r="DO5" s="52" t="s">
        <v>17</v>
      </c>
      <c r="DP5" s="137">
        <f>(DP8*DP9*DP10*((1-EXP(-DP11*DP12))))/(DP13*DP11)</f>
        <v>0</v>
      </c>
      <c r="DQ5" s="52" t="s">
        <v>18</v>
      </c>
      <c r="DR5" s="83" t="s">
        <v>267</v>
      </c>
      <c r="DS5" s="136">
        <f>B17</f>
        <v>1</v>
      </c>
      <c r="DT5" s="52" t="s">
        <v>344</v>
      </c>
      <c r="DU5" s="83" t="s">
        <v>239</v>
      </c>
      <c r="DV5" s="169">
        <f>B36</f>
        <v>0</v>
      </c>
      <c r="DW5" s="52" t="s">
        <v>601</v>
      </c>
      <c r="DX5" s="83" t="s">
        <v>20</v>
      </c>
      <c r="DY5" s="161">
        <f>DY7</f>
        <v>0</v>
      </c>
      <c r="DZ5" s="83"/>
      <c r="EA5" s="83" t="s">
        <v>20</v>
      </c>
      <c r="EB5" s="161">
        <f>EB7</f>
        <v>0</v>
      </c>
      <c r="EC5" s="84"/>
      <c r="ED5" s="83" t="s">
        <v>20</v>
      </c>
      <c r="EE5" s="161">
        <f>EE7</f>
        <v>0</v>
      </c>
      <c r="EF5" s="84"/>
      <c r="EG5" s="83" t="s">
        <v>267</v>
      </c>
      <c r="EH5" s="136">
        <f>B17</f>
        <v>1</v>
      </c>
      <c r="EI5" s="52" t="s">
        <v>344</v>
      </c>
      <c r="EJ5" s="83" t="s">
        <v>236</v>
      </c>
      <c r="EK5" s="169">
        <f>B37</f>
        <v>0</v>
      </c>
      <c r="EL5" s="52" t="s">
        <v>388</v>
      </c>
      <c r="EM5" s="83" t="s">
        <v>20</v>
      </c>
      <c r="EN5" s="161">
        <f>EN7</f>
        <v>0</v>
      </c>
      <c r="EO5" s="83"/>
      <c r="EP5" s="83" t="s">
        <v>20</v>
      </c>
      <c r="EQ5" s="161">
        <f>EQ7</f>
        <v>0</v>
      </c>
      <c r="ER5" s="84"/>
      <c r="ES5" s="83" t="s">
        <v>20</v>
      </c>
      <c r="ET5" s="161">
        <f>ET7</f>
        <v>0</v>
      </c>
      <c r="EU5" s="84"/>
      <c r="EV5" s="83" t="s">
        <v>267</v>
      </c>
      <c r="EW5" s="136">
        <f>B17</f>
        <v>1</v>
      </c>
      <c r="EX5" s="52" t="s">
        <v>344</v>
      </c>
      <c r="EY5" s="83" t="s">
        <v>171</v>
      </c>
      <c r="EZ5" s="169">
        <f>B39</f>
        <v>0</v>
      </c>
      <c r="FA5" s="52" t="s">
        <v>388</v>
      </c>
      <c r="FB5" s="83" t="s">
        <v>20</v>
      </c>
      <c r="FC5" s="161">
        <f>FC7</f>
        <v>0</v>
      </c>
      <c r="FD5" s="83"/>
      <c r="FE5" s="83" t="s">
        <v>20</v>
      </c>
      <c r="FF5" s="161">
        <f>FF7</f>
        <v>0</v>
      </c>
      <c r="FG5" s="83"/>
      <c r="FH5" s="83" t="s">
        <v>20</v>
      </c>
      <c r="FI5" s="161">
        <f>FI7</f>
        <v>0</v>
      </c>
      <c r="FJ5" s="84"/>
      <c r="FK5" s="83" t="s">
        <v>267</v>
      </c>
      <c r="FL5" s="136">
        <f>B17</f>
        <v>1</v>
      </c>
      <c r="FM5" s="52" t="s">
        <v>344</v>
      </c>
      <c r="FN5" s="83" t="s">
        <v>105</v>
      </c>
      <c r="FO5" s="161">
        <f>B35</f>
        <v>0</v>
      </c>
      <c r="FP5" s="83" t="s">
        <v>18</v>
      </c>
      <c r="FQ5" s="83" t="s">
        <v>105</v>
      </c>
      <c r="FR5" s="161">
        <f>B35</f>
        <v>0</v>
      </c>
      <c r="FS5" s="83" t="s">
        <v>18</v>
      </c>
      <c r="FT5" s="83" t="s">
        <v>105</v>
      </c>
      <c r="FU5" s="161">
        <f>B35</f>
        <v>0</v>
      </c>
      <c r="FV5" s="83" t="s">
        <v>18</v>
      </c>
      <c r="FW5" s="83" t="s">
        <v>156</v>
      </c>
      <c r="FX5" s="161">
        <f>B45</f>
        <v>0</v>
      </c>
      <c r="FY5" s="88" t="s">
        <v>18</v>
      </c>
      <c r="FZ5" s="83" t="s">
        <v>267</v>
      </c>
      <c r="GA5" s="136">
        <f>B17</f>
        <v>1</v>
      </c>
      <c r="GB5" s="52" t="s">
        <v>344</v>
      </c>
      <c r="GC5" s="83" t="s">
        <v>237</v>
      </c>
      <c r="GD5" s="169">
        <f>B38</f>
        <v>0</v>
      </c>
      <c r="GE5" s="52" t="s">
        <v>388</v>
      </c>
      <c r="GF5" s="83" t="s">
        <v>20</v>
      </c>
      <c r="GG5" s="161">
        <f>GG7</f>
        <v>0</v>
      </c>
      <c r="GH5" s="83"/>
      <c r="GI5" s="83" t="s">
        <v>20</v>
      </c>
      <c r="GJ5" s="161">
        <f>GJ7</f>
        <v>0</v>
      </c>
      <c r="GK5" s="83"/>
      <c r="GL5" s="83" t="s">
        <v>20</v>
      </c>
      <c r="GM5" s="161">
        <f>GM7</f>
        <v>0</v>
      </c>
      <c r="GN5" s="84"/>
      <c r="GO5" s="83" t="s">
        <v>267</v>
      </c>
      <c r="GP5" s="136">
        <f>B17</f>
        <v>1</v>
      </c>
      <c r="GQ5" s="52" t="s">
        <v>344</v>
      </c>
      <c r="GR5" s="83" t="s">
        <v>238</v>
      </c>
      <c r="GS5" s="169">
        <f>B40</f>
        <v>0</v>
      </c>
      <c r="GT5" s="52" t="s">
        <v>388</v>
      </c>
      <c r="GU5" s="83" t="s">
        <v>20</v>
      </c>
      <c r="GV5" s="161">
        <f>GV7</f>
        <v>0</v>
      </c>
      <c r="GW5" s="83"/>
      <c r="GX5" s="83" t="s">
        <v>20</v>
      </c>
      <c r="GY5" s="161">
        <f>GY7</f>
        <v>0</v>
      </c>
      <c r="GZ5" s="83"/>
      <c r="HA5" s="83" t="s">
        <v>20</v>
      </c>
      <c r="HB5" s="161">
        <f>HB7</f>
        <v>0</v>
      </c>
      <c r="HC5" s="84"/>
      <c r="HD5" s="89" t="s">
        <v>21</v>
      </c>
      <c r="HE5" s="175">
        <f>B46</f>
        <v>0</v>
      </c>
      <c r="HF5" s="83" t="s">
        <v>291</v>
      </c>
    </row>
    <row r="6" spans="1:214" ht="13.5" thickTop="1" x14ac:dyDescent="0.2">
      <c r="A6" s="114" t="s">
        <v>339</v>
      </c>
      <c r="B6" s="228">
        <v>3.7100000000000001E-2</v>
      </c>
      <c r="C6" s="115"/>
      <c r="D6" s="83" t="s">
        <v>22</v>
      </c>
      <c r="E6" s="137">
        <f>0.693/E7</f>
        <v>66.155354824913829</v>
      </c>
      <c r="G6" s="83" t="s">
        <v>248</v>
      </c>
      <c r="H6" s="136">
        <f>B19</f>
        <v>0</v>
      </c>
      <c r="I6" s="83" t="s">
        <v>259</v>
      </c>
      <c r="J6" s="83" t="s">
        <v>249</v>
      </c>
      <c r="K6" s="136">
        <f>B20</f>
        <v>0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66.155354824913829</v>
      </c>
      <c r="BV6" s="83" t="s">
        <v>248</v>
      </c>
      <c r="BW6" s="136">
        <f>B19</f>
        <v>0</v>
      </c>
      <c r="BX6" s="83" t="s">
        <v>259</v>
      </c>
      <c r="BY6" s="83" t="s">
        <v>249</v>
      </c>
      <c r="BZ6" s="136">
        <f>B20</f>
        <v>0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B29</f>
        <v>0</v>
      </c>
      <c r="CM6" s="91" t="s">
        <v>10</v>
      </c>
      <c r="CN6" s="84" t="s">
        <v>20</v>
      </c>
      <c r="CO6" s="139">
        <f>CO8</f>
        <v>0</v>
      </c>
      <c r="CQ6" s="84" t="s">
        <v>169</v>
      </c>
      <c r="CR6" s="162">
        <f>B133</f>
        <v>2</v>
      </c>
      <c r="CS6" s="52" t="s">
        <v>28</v>
      </c>
      <c r="CT6" s="83" t="s">
        <v>249</v>
      </c>
      <c r="CU6" s="136">
        <f>B20</f>
        <v>0</v>
      </c>
      <c r="CV6" s="83" t="s">
        <v>259</v>
      </c>
      <c r="CW6" s="83" t="s">
        <v>22</v>
      </c>
      <c r="CX6" s="137">
        <f>0.693/CX7</f>
        <v>66.155354824913829</v>
      </c>
      <c r="CZ6" s="83" t="s">
        <v>248</v>
      </c>
      <c r="DA6" s="136">
        <f>B19</f>
        <v>0</v>
      </c>
      <c r="DB6" s="83" t="s">
        <v>259</v>
      </c>
      <c r="DC6" s="83" t="s">
        <v>258</v>
      </c>
      <c r="DD6" s="136">
        <f>B29</f>
        <v>0</v>
      </c>
      <c r="DE6" s="92" t="s">
        <v>259</v>
      </c>
      <c r="DF6" s="52" t="s">
        <v>25</v>
      </c>
      <c r="DG6" s="137">
        <f>(DG8*DG9*DG14*((1-EXP(-DG11*DG12))))/(DG13*DG11)</f>
        <v>5.4084629109509424E-3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B29</f>
        <v>0</v>
      </c>
      <c r="DT6" s="83" t="s">
        <v>259</v>
      </c>
      <c r="DU6" s="83" t="s">
        <v>27</v>
      </c>
      <c r="DV6" s="142">
        <f>B199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B29</f>
        <v>0</v>
      </c>
      <c r="EI6" s="83" t="s">
        <v>259</v>
      </c>
      <c r="EJ6" s="83" t="s">
        <v>29</v>
      </c>
      <c r="EK6" s="142">
        <f>B205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B29</f>
        <v>0</v>
      </c>
      <c r="EX6" s="83" t="s">
        <v>259</v>
      </c>
      <c r="EY6" s="83" t="s">
        <v>148</v>
      </c>
      <c r="EZ6" s="164">
        <f>B210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B29</f>
        <v>0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B45</f>
        <v>0</v>
      </c>
      <c r="FS6" s="83" t="s">
        <v>18</v>
      </c>
      <c r="FT6" s="83" t="s">
        <v>156</v>
      </c>
      <c r="FU6" s="161">
        <f>B45</f>
        <v>0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B29</f>
        <v>0</v>
      </c>
      <c r="GB6" s="83" t="s">
        <v>259</v>
      </c>
      <c r="GC6" s="83" t="s">
        <v>485</v>
      </c>
      <c r="GD6" s="164">
        <f>B215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B29</f>
        <v>0</v>
      </c>
      <c r="GQ6" s="83" t="s">
        <v>259</v>
      </c>
      <c r="GR6" s="83" t="s">
        <v>150</v>
      </c>
      <c r="GS6" s="142">
        <f>B220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 t="e">
        <f>H2</f>
        <v>#DIV/0!</v>
      </c>
      <c r="HF6" s="83" t="s">
        <v>291</v>
      </c>
    </row>
    <row r="7" spans="1:214" x14ac:dyDescent="0.2">
      <c r="A7" s="116" t="s">
        <v>242</v>
      </c>
      <c r="B7" s="229">
        <v>0.65</v>
      </c>
      <c r="C7" s="117"/>
      <c r="D7" s="91" t="s">
        <v>231</v>
      </c>
      <c r="E7" s="136">
        <f>B30</f>
        <v>1.04753425E-2</v>
      </c>
      <c r="F7" s="52" t="s">
        <v>60</v>
      </c>
      <c r="G7" s="83" t="s">
        <v>247</v>
      </c>
      <c r="H7" s="139">
        <f>B18</f>
        <v>1.25E-4</v>
      </c>
      <c r="I7" s="84" t="s">
        <v>259</v>
      </c>
      <c r="J7" s="83" t="s">
        <v>247</v>
      </c>
      <c r="K7" s="136">
        <f>B18</f>
        <v>1.25E-4</v>
      </c>
      <c r="L7" s="84" t="s">
        <v>259</v>
      </c>
      <c r="M7" s="83" t="s">
        <v>22</v>
      </c>
      <c r="N7" s="137">
        <f>0.693/N8</f>
        <v>66.155354824913829</v>
      </c>
      <c r="P7" s="83" t="s">
        <v>22</v>
      </c>
      <c r="Q7" s="137">
        <f>0.693/Q8</f>
        <v>66.155354824913829</v>
      </c>
      <c r="S7" s="83" t="s">
        <v>22</v>
      </c>
      <c r="T7" s="137">
        <f>0.693/T8</f>
        <v>66.155354824913829</v>
      </c>
      <c r="V7" s="83" t="s">
        <v>22</v>
      </c>
      <c r="W7" s="137">
        <f>0.693/W8</f>
        <v>66.155354824913829</v>
      </c>
      <c r="Y7" s="83" t="s">
        <v>22</v>
      </c>
      <c r="Z7" s="137">
        <f>0.693/Z8</f>
        <v>66.155354824913829</v>
      </c>
      <c r="AB7" s="83" t="s">
        <v>425</v>
      </c>
      <c r="AC7" s="150">
        <f>B227</f>
        <v>125</v>
      </c>
      <c r="AD7" s="150">
        <f>B237</f>
        <v>125</v>
      </c>
      <c r="AE7" s="150">
        <f>B247</f>
        <v>125</v>
      </c>
      <c r="AF7" s="150">
        <f>B257</f>
        <v>125</v>
      </c>
      <c r="AG7" s="150">
        <f>B269</f>
        <v>125</v>
      </c>
      <c r="AH7" s="83" t="s">
        <v>24</v>
      </c>
      <c r="AI7" s="83" t="s">
        <v>22</v>
      </c>
      <c r="AJ7" s="137">
        <f>0.693/AJ8</f>
        <v>66.155354824913829</v>
      </c>
      <c r="AL7" s="83" t="s">
        <v>22</v>
      </c>
      <c r="AM7" s="137">
        <f>0.693/AM8</f>
        <v>66.155354824913829</v>
      </c>
      <c r="AO7" s="83" t="s">
        <v>22</v>
      </c>
      <c r="AP7" s="137">
        <f>0.693/AP8</f>
        <v>66.155354824913829</v>
      </c>
      <c r="AR7" s="83" t="s">
        <v>22</v>
      </c>
      <c r="AS7" s="137">
        <f>0.693/AS8</f>
        <v>66.155354824913829</v>
      </c>
      <c r="AU7" s="83" t="s">
        <v>22</v>
      </c>
      <c r="AV7" s="137">
        <f>0.693/AV8</f>
        <v>66.155354824913829</v>
      </c>
      <c r="AX7" s="83" t="s">
        <v>22</v>
      </c>
      <c r="AY7" s="137">
        <f>0.693/AY8</f>
        <v>66.155354824913829</v>
      </c>
      <c r="BA7" s="83" t="s">
        <v>22</v>
      </c>
      <c r="BB7" s="137">
        <f>0.693/BB8</f>
        <v>66.155354824913829</v>
      </c>
      <c r="BD7" s="83" t="s">
        <v>22</v>
      </c>
      <c r="BE7" s="137">
        <f>0.693/BE8</f>
        <v>66.155354824913829</v>
      </c>
      <c r="BG7" s="83" t="s">
        <v>22</v>
      </c>
      <c r="BH7" s="137">
        <f>0.693/BH8</f>
        <v>66.155354824913829</v>
      </c>
      <c r="BJ7" s="83" t="s">
        <v>22</v>
      </c>
      <c r="BK7" s="137">
        <f>0.693/BK8</f>
        <v>66.155354824913829</v>
      </c>
      <c r="BM7" s="83" t="s">
        <v>22</v>
      </c>
      <c r="BN7" s="137">
        <f>0.693/BN8</f>
        <v>66.155354824913829</v>
      </c>
      <c r="BP7" s="83" t="s">
        <v>22</v>
      </c>
      <c r="BQ7" s="137">
        <f>0.693/BQ8</f>
        <v>66.155354824913829</v>
      </c>
      <c r="BS7" s="91" t="s">
        <v>231</v>
      </c>
      <c r="BT7" s="136">
        <f>B30</f>
        <v>1.04753425E-2</v>
      </c>
      <c r="BU7" s="52" t="s">
        <v>60</v>
      </c>
      <c r="BV7" s="83" t="s">
        <v>247</v>
      </c>
      <c r="BW7" s="139">
        <f>B18</f>
        <v>1.25E-4</v>
      </c>
      <c r="BX7" s="84" t="s">
        <v>259</v>
      </c>
      <c r="BY7" s="83" t="s">
        <v>247</v>
      </c>
      <c r="BZ7" s="139">
        <f>B18</f>
        <v>1.25E-4</v>
      </c>
      <c r="CA7" s="84" t="s">
        <v>259</v>
      </c>
      <c r="CB7" s="83" t="s">
        <v>22</v>
      </c>
      <c r="CC7" s="137">
        <f>0.693/CC8</f>
        <v>66.155354824913829</v>
      </c>
      <c r="CE7" s="83" t="s">
        <v>22</v>
      </c>
      <c r="CF7" s="137">
        <f>0.693/CF8</f>
        <v>66.155354824913829</v>
      </c>
      <c r="CH7" s="83" t="s">
        <v>22</v>
      </c>
      <c r="CI7" s="137">
        <f>0.693/CI8</f>
        <v>66.155354824913829</v>
      </c>
      <c r="CK7" s="52" t="s">
        <v>140</v>
      </c>
      <c r="CL7" s="138">
        <f>B113</f>
        <v>55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B18</f>
        <v>1.25E-4</v>
      </c>
      <c r="CV7" s="84" t="s">
        <v>259</v>
      </c>
      <c r="CW7" s="91" t="s">
        <v>231</v>
      </c>
      <c r="CX7" s="136">
        <f>B30</f>
        <v>1.04753425E-2</v>
      </c>
      <c r="CY7" s="52" t="s">
        <v>60</v>
      </c>
      <c r="CZ7" s="84" t="s">
        <v>247</v>
      </c>
      <c r="DA7" s="139">
        <f>B18</f>
        <v>1.25E-4</v>
      </c>
      <c r="DB7" s="84" t="s">
        <v>259</v>
      </c>
      <c r="DC7" s="83" t="s">
        <v>260</v>
      </c>
      <c r="DD7" s="166" t="e">
        <f>((DD5)/(DD6*(DD8+DD11)*DD19))/DD22</f>
        <v>#DIV/0!</v>
      </c>
      <c r="DE7" s="92" t="s">
        <v>290</v>
      </c>
      <c r="DF7" s="52" t="s">
        <v>31</v>
      </c>
      <c r="DG7" s="137">
        <f>(DG8*DG9*DG15*DG21*((1-EXP(-DG16*DG17))))/(DG18*DG16)</f>
        <v>0.82362658902748997</v>
      </c>
      <c r="DH7" s="52" t="s">
        <v>18</v>
      </c>
      <c r="DI7" s="83" t="s">
        <v>32</v>
      </c>
      <c r="DJ7" s="136">
        <f>B43</f>
        <v>0</v>
      </c>
      <c r="DL7" s="83" t="s">
        <v>32</v>
      </c>
      <c r="DM7" s="136">
        <f>B43</f>
        <v>0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 t="e">
        <f>(DS5/(DS6*DS8*DS15))/DS19</f>
        <v>#DIV/0!</v>
      </c>
      <c r="DT7" s="52" t="s">
        <v>290</v>
      </c>
      <c r="DV7" s="138"/>
      <c r="DX7" s="83" t="s">
        <v>33</v>
      </c>
      <c r="DY7" s="136">
        <f>B44</f>
        <v>0</v>
      </c>
      <c r="EA7" s="83" t="s">
        <v>33</v>
      </c>
      <c r="EB7" s="136">
        <f>B44</f>
        <v>0</v>
      </c>
      <c r="EC7" s="84"/>
      <c r="ED7" s="83" t="s">
        <v>33</v>
      </c>
      <c r="EE7" s="136">
        <f>B44</f>
        <v>0</v>
      </c>
      <c r="EF7" s="84"/>
      <c r="EG7" s="83" t="s">
        <v>260</v>
      </c>
      <c r="EH7" s="168" t="e">
        <f>(EH5/(EH6*EH8*EH15))/EH19</f>
        <v>#DIV/0!</v>
      </c>
      <c r="EI7" s="52" t="s">
        <v>290</v>
      </c>
      <c r="EM7" s="83" t="s">
        <v>33</v>
      </c>
      <c r="EN7" s="136">
        <f>B44</f>
        <v>0</v>
      </c>
      <c r="EP7" s="83" t="s">
        <v>33</v>
      </c>
      <c r="EQ7" s="136">
        <f>B44</f>
        <v>0</v>
      </c>
      <c r="ER7" s="84"/>
      <c r="ES7" s="83" t="s">
        <v>33</v>
      </c>
      <c r="ET7" s="136">
        <f>B44</f>
        <v>0</v>
      </c>
      <c r="EU7" s="84"/>
      <c r="EV7" s="83" t="s">
        <v>260</v>
      </c>
      <c r="EW7" s="168" t="e">
        <f>(EW5/(EW6*EW8*EW15))/EW19</f>
        <v>#DIV/0!</v>
      </c>
      <c r="EX7" s="52" t="s">
        <v>290</v>
      </c>
      <c r="EY7" s="83"/>
      <c r="EZ7" s="142">
        <v>1000</v>
      </c>
      <c r="FA7" s="83" t="s">
        <v>132</v>
      </c>
      <c r="FB7" s="83" t="s">
        <v>33</v>
      </c>
      <c r="FC7" s="161">
        <f>B44</f>
        <v>0</v>
      </c>
      <c r="FD7" s="83"/>
      <c r="FE7" s="83" t="s">
        <v>33</v>
      </c>
      <c r="FF7" s="161">
        <f>B44</f>
        <v>0</v>
      </c>
      <c r="FG7" s="83"/>
      <c r="FH7" s="83" t="s">
        <v>33</v>
      </c>
      <c r="FI7" s="161">
        <f>B44</f>
        <v>0</v>
      </c>
      <c r="FJ7" s="84"/>
      <c r="FK7" s="83" t="s">
        <v>260</v>
      </c>
      <c r="FL7" s="168" t="e">
        <f>(FL5/(FL6*FL8*FL15))/FL19</f>
        <v>#DIV/0!</v>
      </c>
      <c r="FM7" s="52" t="s">
        <v>290</v>
      </c>
      <c r="FN7" s="83"/>
      <c r="FO7" s="138"/>
      <c r="FQ7" s="52" t="s">
        <v>350</v>
      </c>
      <c r="FR7" s="164">
        <f>B168</f>
        <v>1</v>
      </c>
      <c r="FT7" s="83"/>
      <c r="FU7" s="142"/>
      <c r="FV7" s="83"/>
      <c r="FX7" s="138"/>
      <c r="FZ7" s="83" t="s">
        <v>260</v>
      </c>
      <c r="GA7" s="168" t="e">
        <f>(GA5/(GA6*GA8*GA15))/GA19</f>
        <v>#DIV/0!</v>
      </c>
      <c r="GB7" s="52" t="s">
        <v>290</v>
      </c>
      <c r="GC7" s="83"/>
      <c r="GD7" s="142">
        <v>1000</v>
      </c>
      <c r="GE7" s="83" t="s">
        <v>132</v>
      </c>
      <c r="GF7" s="83" t="s">
        <v>33</v>
      </c>
      <c r="GG7" s="161">
        <f>B44</f>
        <v>0</v>
      </c>
      <c r="GH7" s="83"/>
      <c r="GI7" s="83" t="s">
        <v>33</v>
      </c>
      <c r="GJ7" s="161">
        <f>B44</f>
        <v>0</v>
      </c>
      <c r="GK7" s="83"/>
      <c r="GL7" s="83" t="s">
        <v>33</v>
      </c>
      <c r="GM7" s="161">
        <f>B44</f>
        <v>0</v>
      </c>
      <c r="GN7" s="84"/>
      <c r="GO7" s="83" t="s">
        <v>260</v>
      </c>
      <c r="GP7" s="168" t="e">
        <f>(GP5/(GP6*GP8*GP14))/GP18</f>
        <v>#DIV/0!</v>
      </c>
      <c r="GQ7" s="52" t="s">
        <v>290</v>
      </c>
      <c r="GR7" s="88"/>
      <c r="GS7" s="142">
        <v>1000</v>
      </c>
      <c r="GT7" s="83" t="s">
        <v>132</v>
      </c>
      <c r="GU7" s="83" t="s">
        <v>33</v>
      </c>
      <c r="GV7" s="161">
        <f>B44</f>
        <v>0</v>
      </c>
      <c r="GW7" s="83"/>
      <c r="GX7" s="83" t="s">
        <v>33</v>
      </c>
      <c r="GY7" s="161">
        <f>B44</f>
        <v>0</v>
      </c>
      <c r="GZ7" s="83"/>
      <c r="HA7" s="83" t="s">
        <v>33</v>
      </c>
      <c r="HB7" s="161">
        <f>B44</f>
        <v>0</v>
      </c>
      <c r="HC7" s="84"/>
      <c r="HD7" s="83" t="s">
        <v>22</v>
      </c>
      <c r="HE7" s="137">
        <f>0.693/HE9</f>
        <v>66.155354824913829</v>
      </c>
    </row>
    <row r="8" spans="1:214" x14ac:dyDescent="0.2">
      <c r="A8" s="116" t="s">
        <v>340</v>
      </c>
      <c r="B8" s="229">
        <v>4.2700000000000002E-2</v>
      </c>
      <c r="C8" s="117"/>
      <c r="D8" s="52" t="s">
        <v>382</v>
      </c>
      <c r="E8" s="138">
        <f>B68</f>
        <v>150</v>
      </c>
      <c r="F8" s="52" t="s">
        <v>24</v>
      </c>
      <c r="G8" s="91" t="s">
        <v>257</v>
      </c>
      <c r="H8" s="136">
        <f>B28</f>
        <v>7.02368E-3</v>
      </c>
      <c r="I8" s="84" t="s">
        <v>259</v>
      </c>
      <c r="J8" s="83" t="s">
        <v>269</v>
      </c>
      <c r="K8" s="136">
        <f>B22</f>
        <v>2.1295200000000002E-3</v>
      </c>
      <c r="L8" s="83" t="s">
        <v>351</v>
      </c>
      <c r="M8" s="91" t="s">
        <v>231</v>
      </c>
      <c r="N8" s="136">
        <f>B30</f>
        <v>1.04753425E-2</v>
      </c>
      <c r="O8" s="52" t="s">
        <v>60</v>
      </c>
      <c r="P8" s="91" t="s">
        <v>231</v>
      </c>
      <c r="Q8" s="136">
        <f>B30</f>
        <v>1.04753425E-2</v>
      </c>
      <c r="R8" s="52" t="s">
        <v>60</v>
      </c>
      <c r="S8" s="91" t="s">
        <v>231</v>
      </c>
      <c r="T8" s="136">
        <f>B30</f>
        <v>1.04753425E-2</v>
      </c>
      <c r="U8" s="52" t="s">
        <v>60</v>
      </c>
      <c r="V8" s="91" t="s">
        <v>231</v>
      </c>
      <c r="W8" s="136">
        <f>B30</f>
        <v>1.04753425E-2</v>
      </c>
      <c r="X8" s="52" t="s">
        <v>60</v>
      </c>
      <c r="Y8" s="91" t="s">
        <v>231</v>
      </c>
      <c r="Z8" s="136">
        <f>B30</f>
        <v>1.04753425E-2</v>
      </c>
      <c r="AA8" s="52" t="s">
        <v>60</v>
      </c>
      <c r="AB8" s="83" t="s">
        <v>249</v>
      </c>
      <c r="AC8" s="136">
        <f>B21</f>
        <v>0</v>
      </c>
      <c r="AD8" s="136">
        <f>B21</f>
        <v>0</v>
      </c>
      <c r="AE8" s="136">
        <f>B21</f>
        <v>0</v>
      </c>
      <c r="AF8" s="136">
        <f>B21</f>
        <v>0</v>
      </c>
      <c r="AG8" s="136">
        <f>B21</f>
        <v>0</v>
      </c>
      <c r="AH8" s="83" t="s">
        <v>259</v>
      </c>
      <c r="AI8" s="91" t="s">
        <v>231</v>
      </c>
      <c r="AJ8" s="136">
        <f>B30</f>
        <v>1.04753425E-2</v>
      </c>
      <c r="AK8" s="52" t="s">
        <v>60</v>
      </c>
      <c r="AL8" s="91" t="s">
        <v>231</v>
      </c>
      <c r="AM8" s="136">
        <f>B30</f>
        <v>1.04753425E-2</v>
      </c>
      <c r="AN8" s="52" t="s">
        <v>60</v>
      </c>
      <c r="AO8" s="91" t="s">
        <v>231</v>
      </c>
      <c r="AP8" s="136">
        <f>B30</f>
        <v>1.04753425E-2</v>
      </c>
      <c r="AQ8" s="52" t="s">
        <v>60</v>
      </c>
      <c r="AR8" s="91" t="s">
        <v>231</v>
      </c>
      <c r="AS8" s="136">
        <f>B30</f>
        <v>1.04753425E-2</v>
      </c>
      <c r="AT8" s="52" t="s">
        <v>60</v>
      </c>
      <c r="AU8" s="91" t="s">
        <v>231</v>
      </c>
      <c r="AV8" s="136">
        <f>B30</f>
        <v>1.04753425E-2</v>
      </c>
      <c r="AW8" s="52" t="s">
        <v>60</v>
      </c>
      <c r="AX8" s="91" t="s">
        <v>231</v>
      </c>
      <c r="AY8" s="136">
        <f>B30</f>
        <v>1.04753425E-2</v>
      </c>
      <c r="AZ8" s="52" t="s">
        <v>60</v>
      </c>
      <c r="BA8" s="91" t="s">
        <v>231</v>
      </c>
      <c r="BB8" s="136">
        <f>B30</f>
        <v>1.04753425E-2</v>
      </c>
      <c r="BC8" s="52" t="s">
        <v>60</v>
      </c>
      <c r="BD8" s="91" t="s">
        <v>231</v>
      </c>
      <c r="BE8" s="136">
        <f>B30</f>
        <v>1.04753425E-2</v>
      </c>
      <c r="BF8" s="52" t="s">
        <v>60</v>
      </c>
      <c r="BG8" s="91" t="s">
        <v>231</v>
      </c>
      <c r="BH8" s="136">
        <f>B30</f>
        <v>1.04753425E-2</v>
      </c>
      <c r="BI8" s="52" t="s">
        <v>60</v>
      </c>
      <c r="BJ8" s="91" t="s">
        <v>231</v>
      </c>
      <c r="BK8" s="136">
        <f>B30</f>
        <v>1.04753425E-2</v>
      </c>
      <c r="BL8" s="52" t="s">
        <v>60</v>
      </c>
      <c r="BM8" s="91" t="s">
        <v>231</v>
      </c>
      <c r="BN8" s="136">
        <f>B30</f>
        <v>1.04753425E-2</v>
      </c>
      <c r="BO8" s="52" t="s">
        <v>60</v>
      </c>
      <c r="BP8" s="91" t="s">
        <v>231</v>
      </c>
      <c r="BQ8" s="136">
        <f>B30</f>
        <v>1.04753425E-2</v>
      </c>
      <c r="BR8" s="52" t="s">
        <v>60</v>
      </c>
      <c r="BS8" s="52" t="s">
        <v>140</v>
      </c>
      <c r="BT8" s="138">
        <f>B113</f>
        <v>55</v>
      </c>
      <c r="BU8" s="52" t="s">
        <v>24</v>
      </c>
      <c r="BV8" s="91" t="s">
        <v>257</v>
      </c>
      <c r="BW8" s="136">
        <f>B28</f>
        <v>7.02368E-3</v>
      </c>
      <c r="BX8" s="84" t="s">
        <v>259</v>
      </c>
      <c r="BY8" s="83" t="s">
        <v>269</v>
      </c>
      <c r="BZ8" s="136">
        <f>B22</f>
        <v>2.1295200000000002E-3</v>
      </c>
      <c r="CA8" s="83" t="s">
        <v>351</v>
      </c>
      <c r="CB8" s="91" t="s">
        <v>231</v>
      </c>
      <c r="CC8" s="136">
        <f>B30</f>
        <v>1.04753425E-2</v>
      </c>
      <c r="CD8" s="52" t="s">
        <v>60</v>
      </c>
      <c r="CE8" s="91" t="s">
        <v>231</v>
      </c>
      <c r="CF8" s="136">
        <f>B30</f>
        <v>1.04753425E-2</v>
      </c>
      <c r="CG8" s="52" t="s">
        <v>60</v>
      </c>
      <c r="CH8" s="91" t="s">
        <v>231</v>
      </c>
      <c r="CI8" s="136">
        <f>B30</f>
        <v>1.04753425E-2</v>
      </c>
      <c r="CJ8" s="52" t="s">
        <v>60</v>
      </c>
      <c r="CK8" s="52" t="s">
        <v>159</v>
      </c>
      <c r="CL8" s="162">
        <f>B128</f>
        <v>3</v>
      </c>
      <c r="CM8" s="52" t="s">
        <v>221</v>
      </c>
      <c r="CN8" s="84" t="s">
        <v>33</v>
      </c>
      <c r="CO8" s="136">
        <f>B44</f>
        <v>0</v>
      </c>
      <c r="CT8" s="83" t="s">
        <v>269</v>
      </c>
      <c r="CU8" s="136">
        <f>B22</f>
        <v>2.1295200000000002E-3</v>
      </c>
      <c r="CV8" s="83" t="s">
        <v>351</v>
      </c>
      <c r="CW8" s="52" t="s">
        <v>362</v>
      </c>
      <c r="CX8" s="138">
        <f>B167</f>
        <v>150</v>
      </c>
      <c r="CY8" s="52" t="s">
        <v>24</v>
      </c>
      <c r="CZ8" s="83" t="s">
        <v>270</v>
      </c>
      <c r="DA8" s="165">
        <f>B28</f>
        <v>7.02368E-3</v>
      </c>
      <c r="DB8" s="83" t="s">
        <v>259</v>
      </c>
      <c r="DC8" s="83" t="s">
        <v>516</v>
      </c>
      <c r="DD8" s="149">
        <f>(DD9*DD15*DD20)+(DD10*DD14*DD21)</f>
        <v>8250</v>
      </c>
      <c r="DE8" s="92" t="s">
        <v>347</v>
      </c>
      <c r="DF8" s="83" t="s">
        <v>36</v>
      </c>
      <c r="DG8" s="138">
        <f>B189</f>
        <v>3.62</v>
      </c>
      <c r="DH8" s="52" t="s">
        <v>37</v>
      </c>
      <c r="DI8" s="83" t="s">
        <v>393</v>
      </c>
      <c r="DJ8" s="138">
        <f>B47</f>
        <v>0.26</v>
      </c>
      <c r="DL8" s="83" t="s">
        <v>393</v>
      </c>
      <c r="DM8" s="138">
        <f>B47</f>
        <v>0.26</v>
      </c>
      <c r="DO8" s="83" t="s">
        <v>36</v>
      </c>
      <c r="DP8" s="138">
        <f>B189</f>
        <v>3.62</v>
      </c>
      <c r="DQ8" s="52" t="s">
        <v>37</v>
      </c>
      <c r="DR8" s="83" t="s">
        <v>147</v>
      </c>
      <c r="DS8" s="149">
        <f>(DS11*DS9*DS17)+(DS12*DS10*DS18)</f>
        <v>8250</v>
      </c>
      <c r="DT8" s="92" t="s">
        <v>347</v>
      </c>
      <c r="DU8" s="52" t="s">
        <v>518</v>
      </c>
      <c r="DV8" s="146">
        <f>B200</f>
        <v>1.03</v>
      </c>
      <c r="DW8" s="52" t="s">
        <v>286</v>
      </c>
      <c r="DX8" s="83" t="s">
        <v>392</v>
      </c>
      <c r="DY8" s="138">
        <f>B48</f>
        <v>0.25</v>
      </c>
      <c r="EA8" s="83" t="s">
        <v>392</v>
      </c>
      <c r="EB8" s="138">
        <f>B48</f>
        <v>0.25</v>
      </c>
      <c r="EC8" s="84"/>
      <c r="ED8" s="83" t="s">
        <v>392</v>
      </c>
      <c r="EE8" s="138">
        <f>B48</f>
        <v>0.25</v>
      </c>
      <c r="EF8" s="84"/>
      <c r="EG8" s="83" t="s">
        <v>519</v>
      </c>
      <c r="EH8" s="149">
        <f>(EH11*EH9*EH17)+(EH12*EH10*EH18)</f>
        <v>8250</v>
      </c>
      <c r="EI8" s="92" t="s">
        <v>347</v>
      </c>
      <c r="EJ8" s="83"/>
      <c r="EM8" s="83" t="s">
        <v>392</v>
      </c>
      <c r="EN8" s="138">
        <f>B48</f>
        <v>0.25</v>
      </c>
      <c r="EP8" s="83" t="s">
        <v>392</v>
      </c>
      <c r="EQ8" s="138">
        <f>B48</f>
        <v>0.25</v>
      </c>
      <c r="ER8" s="84"/>
      <c r="ES8" s="83" t="s">
        <v>392</v>
      </c>
      <c r="ET8" s="138">
        <f>B48</f>
        <v>0.25</v>
      </c>
      <c r="EU8" s="84"/>
      <c r="EV8" s="83" t="s">
        <v>520</v>
      </c>
      <c r="EW8" s="149">
        <f>(EW11*EW9*EW17)+(EW12*EW10*EW18)</f>
        <v>8250</v>
      </c>
      <c r="EX8" s="92" t="s">
        <v>347</v>
      </c>
      <c r="EY8" s="83"/>
      <c r="EZ8" s="142"/>
      <c r="FA8" s="83"/>
      <c r="FB8" s="83" t="s">
        <v>392</v>
      </c>
      <c r="FC8" s="142">
        <f>B48</f>
        <v>0.25</v>
      </c>
      <c r="FD8" s="83"/>
      <c r="FE8" s="83" t="s">
        <v>392</v>
      </c>
      <c r="FF8" s="142">
        <f>B48</f>
        <v>0.25</v>
      </c>
      <c r="FG8" s="83"/>
      <c r="FH8" s="83" t="s">
        <v>392</v>
      </c>
      <c r="FI8" s="142">
        <f>B48</f>
        <v>0.25</v>
      </c>
      <c r="FJ8" s="84"/>
      <c r="FK8" s="83" t="s">
        <v>521</v>
      </c>
      <c r="FL8" s="173">
        <f>(FL9*FL11*FL17)+(FL10*FL12*FL18)</f>
        <v>8250</v>
      </c>
      <c r="FM8" s="92" t="s">
        <v>347</v>
      </c>
      <c r="FN8" s="83"/>
      <c r="FO8" s="142"/>
      <c r="FP8" s="83"/>
      <c r="FQ8" s="83" t="s">
        <v>22</v>
      </c>
      <c r="FR8" s="137">
        <f>0.693/FR9</f>
        <v>66.155354824913829</v>
      </c>
      <c r="FT8" s="83"/>
      <c r="FU8" s="142"/>
      <c r="FV8" s="83"/>
      <c r="FZ8" s="83" t="s">
        <v>522</v>
      </c>
      <c r="GA8" s="173">
        <f>(GA11*GA9*GA17)+(GA10*GA12*GA18)</f>
        <v>8250</v>
      </c>
      <c r="GB8" s="92" t="s">
        <v>347</v>
      </c>
      <c r="GC8" s="83"/>
      <c r="GD8" s="142"/>
      <c r="GE8" s="83"/>
      <c r="GF8" s="83" t="s">
        <v>392</v>
      </c>
      <c r="GG8" s="142">
        <f>B48</f>
        <v>0.25</v>
      </c>
      <c r="GH8" s="83"/>
      <c r="GI8" s="83" t="s">
        <v>392</v>
      </c>
      <c r="GJ8" s="142">
        <f>B48</f>
        <v>0.25</v>
      </c>
      <c r="GK8" s="83"/>
      <c r="GL8" s="83" t="s">
        <v>392</v>
      </c>
      <c r="GM8" s="142">
        <f>B48</f>
        <v>0.25</v>
      </c>
      <c r="GN8" s="84"/>
      <c r="GO8" s="83" t="s">
        <v>523</v>
      </c>
      <c r="GP8" s="149">
        <f>(GP9*GP11*GP16)+(GP10*GP12*GP17)</f>
        <v>8250</v>
      </c>
      <c r="GQ8" s="92" t="s">
        <v>347</v>
      </c>
      <c r="GR8" s="83"/>
      <c r="GS8" s="142"/>
      <c r="GT8" s="83"/>
      <c r="GU8" s="83" t="s">
        <v>392</v>
      </c>
      <c r="GV8" s="142">
        <f>B48</f>
        <v>0.25</v>
      </c>
      <c r="GW8" s="83"/>
      <c r="GX8" s="83" t="s">
        <v>392</v>
      </c>
      <c r="GY8" s="142">
        <f>B48</f>
        <v>0.25</v>
      </c>
      <c r="GZ8" s="83"/>
      <c r="HA8" s="83" t="s">
        <v>392</v>
      </c>
      <c r="HB8" s="142">
        <f>B48</f>
        <v>0.25</v>
      </c>
      <c r="HC8" s="84"/>
      <c r="HD8" s="52" t="s">
        <v>16</v>
      </c>
      <c r="HE8" s="137">
        <f>1-EXP(-HE7*HE12)</f>
        <v>1</v>
      </c>
    </row>
    <row r="9" spans="1:214" x14ac:dyDescent="0.2">
      <c r="A9" s="116" t="s">
        <v>243</v>
      </c>
      <c r="B9" s="229">
        <v>0.72299999999999998</v>
      </c>
      <c r="C9" s="117"/>
      <c r="D9" s="52" t="s">
        <v>379</v>
      </c>
      <c r="E9" s="138">
        <f>B65</f>
        <v>1</v>
      </c>
      <c r="F9" s="52" t="s">
        <v>146</v>
      </c>
      <c r="G9" s="83" t="s">
        <v>258</v>
      </c>
      <c r="H9" s="136">
        <f>B29</f>
        <v>0</v>
      </c>
      <c r="I9" s="92" t="s">
        <v>259</v>
      </c>
      <c r="J9" s="83" t="s">
        <v>258</v>
      </c>
      <c r="K9" s="136">
        <f>B29</f>
        <v>0</v>
      </c>
      <c r="L9" s="92" t="s">
        <v>259</v>
      </c>
      <c r="M9" s="52" t="s">
        <v>382</v>
      </c>
      <c r="N9" s="138">
        <f>B68</f>
        <v>150</v>
      </c>
      <c r="O9" s="52" t="s">
        <v>24</v>
      </c>
      <c r="P9" s="52" t="s">
        <v>382</v>
      </c>
      <c r="Q9" s="138">
        <f>B68</f>
        <v>150</v>
      </c>
      <c r="R9" s="52" t="s">
        <v>24</v>
      </c>
      <c r="S9" s="52" t="s">
        <v>382</v>
      </c>
      <c r="T9" s="138">
        <f>B68</f>
        <v>150</v>
      </c>
      <c r="U9" s="52" t="s">
        <v>24</v>
      </c>
      <c r="V9" s="52" t="s">
        <v>423</v>
      </c>
      <c r="W9" s="138">
        <f>B247</f>
        <v>125</v>
      </c>
      <c r="X9" s="52" t="s">
        <v>24</v>
      </c>
      <c r="Y9" s="52" t="s">
        <v>316</v>
      </c>
      <c r="Z9" s="138">
        <f>B227</f>
        <v>125</v>
      </c>
      <c r="AA9" s="52" t="s">
        <v>24</v>
      </c>
      <c r="AB9" s="83" t="s">
        <v>34</v>
      </c>
      <c r="AC9" s="146">
        <f>B228</f>
        <v>1</v>
      </c>
      <c r="AD9" s="146">
        <f>B238</f>
        <v>1</v>
      </c>
      <c r="AE9" s="146">
        <f>B248</f>
        <v>1</v>
      </c>
      <c r="AF9" s="146">
        <f>B258</f>
        <v>1</v>
      </c>
      <c r="AG9" s="146">
        <f>B270</f>
        <v>1</v>
      </c>
      <c r="AH9" s="83" t="s">
        <v>60</v>
      </c>
      <c r="AI9" s="52" t="s">
        <v>35</v>
      </c>
      <c r="AJ9" s="138">
        <f>B237</f>
        <v>125</v>
      </c>
      <c r="AK9" s="52" t="s">
        <v>24</v>
      </c>
      <c r="AL9" s="52" t="s">
        <v>35</v>
      </c>
      <c r="AM9" s="138">
        <f>B237</f>
        <v>125</v>
      </c>
      <c r="AN9" s="52" t="s">
        <v>24</v>
      </c>
      <c r="AO9" s="52" t="s">
        <v>35</v>
      </c>
      <c r="AP9" s="138">
        <f>B237</f>
        <v>125</v>
      </c>
      <c r="AQ9" s="52" t="s">
        <v>24</v>
      </c>
      <c r="AR9" s="52" t="s">
        <v>423</v>
      </c>
      <c r="AS9" s="138">
        <f>B247</f>
        <v>125</v>
      </c>
      <c r="AT9" s="52" t="s">
        <v>24</v>
      </c>
      <c r="AU9" s="52" t="s">
        <v>423</v>
      </c>
      <c r="AV9" s="138">
        <f>B247</f>
        <v>125</v>
      </c>
      <c r="AW9" s="52" t="s">
        <v>24</v>
      </c>
      <c r="AX9" s="52" t="s">
        <v>423</v>
      </c>
      <c r="AY9" s="138">
        <f>B247</f>
        <v>125</v>
      </c>
      <c r="AZ9" s="52" t="s">
        <v>24</v>
      </c>
      <c r="BA9" s="52" t="s">
        <v>316</v>
      </c>
      <c r="BB9" s="138">
        <f>B227</f>
        <v>125</v>
      </c>
      <c r="BC9" s="52" t="s">
        <v>24</v>
      </c>
      <c r="BD9" s="52" t="s">
        <v>316</v>
      </c>
      <c r="BE9" s="138">
        <f>B227</f>
        <v>125</v>
      </c>
      <c r="BF9" s="52" t="s">
        <v>24</v>
      </c>
      <c r="BG9" s="52" t="s">
        <v>316</v>
      </c>
      <c r="BH9" s="138">
        <f>B227</f>
        <v>125</v>
      </c>
      <c r="BI9" s="52" t="s">
        <v>24</v>
      </c>
      <c r="BJ9" s="52" t="s">
        <v>191</v>
      </c>
      <c r="BK9" s="138">
        <f>BK10*BK11</f>
        <v>75</v>
      </c>
      <c r="BL9" s="52" t="s">
        <v>24</v>
      </c>
      <c r="BM9" s="52" t="s">
        <v>191</v>
      </c>
      <c r="BN9" s="138">
        <f>BN10*BN11</f>
        <v>75</v>
      </c>
      <c r="BO9" s="52" t="s">
        <v>24</v>
      </c>
      <c r="BP9" s="52" t="s">
        <v>191</v>
      </c>
      <c r="BQ9" s="138">
        <f>BQ10*BQ11</f>
        <v>75</v>
      </c>
      <c r="BR9" s="52" t="s">
        <v>24</v>
      </c>
      <c r="BS9" s="52" t="s">
        <v>247</v>
      </c>
      <c r="BT9" s="139">
        <f>E11</f>
        <v>1.25E-4</v>
      </c>
      <c r="BU9" s="84" t="s">
        <v>259</v>
      </c>
      <c r="BV9" s="83" t="s">
        <v>258</v>
      </c>
      <c r="BW9" s="136">
        <f>B29</f>
        <v>0</v>
      </c>
      <c r="BX9" s="92" t="s">
        <v>259</v>
      </c>
      <c r="BY9" s="83" t="s">
        <v>77</v>
      </c>
      <c r="BZ9" s="136">
        <f>B31</f>
        <v>1359344473.5814338</v>
      </c>
      <c r="CA9" s="83" t="s">
        <v>78</v>
      </c>
      <c r="CB9" s="52" t="s">
        <v>140</v>
      </c>
      <c r="CC9" s="138">
        <f>B113</f>
        <v>55</v>
      </c>
      <c r="CD9" s="52" t="s">
        <v>24</v>
      </c>
      <c r="CE9" s="52" t="s">
        <v>140</v>
      </c>
      <c r="CF9" s="138">
        <f>B113</f>
        <v>55</v>
      </c>
      <c r="CG9" s="52" t="s">
        <v>24</v>
      </c>
      <c r="CH9" s="52" t="s">
        <v>140</v>
      </c>
      <c r="CI9" s="138">
        <f>B113</f>
        <v>55</v>
      </c>
      <c r="CJ9" s="52" t="s">
        <v>24</v>
      </c>
      <c r="CK9" s="95" t="s">
        <v>287</v>
      </c>
      <c r="CL9" s="176">
        <v>27.027027027027</v>
      </c>
      <c r="CM9" s="52" t="s">
        <v>288</v>
      </c>
      <c r="CN9" s="84" t="s">
        <v>392</v>
      </c>
      <c r="CO9" s="162">
        <f>B48</f>
        <v>0.25</v>
      </c>
      <c r="CT9" s="83" t="s">
        <v>258</v>
      </c>
      <c r="CU9" s="136">
        <f>B29</f>
        <v>0</v>
      </c>
      <c r="CV9" s="92" t="s">
        <v>259</v>
      </c>
      <c r="CW9" s="52" t="s">
        <v>363</v>
      </c>
      <c r="CX9" s="138">
        <f>B168</f>
        <v>1</v>
      </c>
      <c r="CY9" s="52" t="s">
        <v>146</v>
      </c>
      <c r="CZ9" s="83" t="s">
        <v>258</v>
      </c>
      <c r="DA9" s="136">
        <f>B29</f>
        <v>0</v>
      </c>
      <c r="DB9" s="84" t="s">
        <v>259</v>
      </c>
      <c r="DC9" s="83" t="s">
        <v>513</v>
      </c>
      <c r="DD9" s="146">
        <f>B149</f>
        <v>55</v>
      </c>
      <c r="DE9" s="92" t="s">
        <v>221</v>
      </c>
      <c r="DF9" s="83" t="s">
        <v>40</v>
      </c>
      <c r="DG9" s="138">
        <f>B190</f>
        <v>0.25</v>
      </c>
      <c r="DH9" s="52" t="s">
        <v>41</v>
      </c>
      <c r="DI9" s="52" t="s">
        <v>350</v>
      </c>
      <c r="DJ9" s="164">
        <f>B168</f>
        <v>1</v>
      </c>
      <c r="DL9" s="83"/>
      <c r="DM9" s="138"/>
      <c r="DO9" s="83" t="s">
        <v>40</v>
      </c>
      <c r="DP9" s="138">
        <f>B190</f>
        <v>0.25</v>
      </c>
      <c r="DQ9" s="52" t="s">
        <v>41</v>
      </c>
      <c r="DR9" s="83" t="s">
        <v>452</v>
      </c>
      <c r="DS9" s="146">
        <f>B151</f>
        <v>55</v>
      </c>
      <c r="DT9" s="92" t="s">
        <v>221</v>
      </c>
      <c r="DU9" s="83"/>
      <c r="DX9" s="83" t="s">
        <v>517</v>
      </c>
      <c r="DY9" s="136">
        <f>B36</f>
        <v>0</v>
      </c>
      <c r="DZ9" s="52" t="s">
        <v>601</v>
      </c>
      <c r="EA9" s="83" t="s">
        <v>517</v>
      </c>
      <c r="EB9" s="136">
        <f>B36</f>
        <v>0</v>
      </c>
      <c r="EC9" s="52" t="s">
        <v>601</v>
      </c>
      <c r="ED9" s="83" t="s">
        <v>517</v>
      </c>
      <c r="EE9" s="136">
        <f>B36</f>
        <v>0</v>
      </c>
      <c r="EF9" s="52" t="s">
        <v>601</v>
      </c>
      <c r="EG9" s="83" t="s">
        <v>453</v>
      </c>
      <c r="EH9" s="170">
        <f>B153</f>
        <v>55</v>
      </c>
      <c r="EI9" s="92" t="s">
        <v>221</v>
      </c>
      <c r="EJ9" s="83"/>
      <c r="EM9" s="83" t="s">
        <v>236</v>
      </c>
      <c r="EN9" s="136">
        <f>B37</f>
        <v>0</v>
      </c>
      <c r="EO9" s="52" t="s">
        <v>388</v>
      </c>
      <c r="EP9" s="83" t="s">
        <v>236</v>
      </c>
      <c r="EQ9" s="169">
        <f>B37</f>
        <v>0</v>
      </c>
      <c r="ER9" s="52" t="s">
        <v>388</v>
      </c>
      <c r="ES9" s="83" t="s">
        <v>236</v>
      </c>
      <c r="ET9" s="169">
        <f>B37</f>
        <v>0</v>
      </c>
      <c r="EU9" s="52" t="s">
        <v>388</v>
      </c>
      <c r="EV9" s="83" t="s">
        <v>454</v>
      </c>
      <c r="EW9" s="171">
        <f>B155</f>
        <v>55</v>
      </c>
      <c r="EX9" s="92" t="s">
        <v>221</v>
      </c>
      <c r="EY9" s="83"/>
      <c r="EZ9" s="142"/>
      <c r="FA9" s="83"/>
      <c r="FB9" s="83" t="s">
        <v>171</v>
      </c>
      <c r="FC9" s="169">
        <f>B39</f>
        <v>0</v>
      </c>
      <c r="FD9" s="52" t="s">
        <v>388</v>
      </c>
      <c r="FE9" s="83" t="s">
        <v>171</v>
      </c>
      <c r="FF9" s="169">
        <f>B39</f>
        <v>0</v>
      </c>
      <c r="FG9" s="52" t="s">
        <v>388</v>
      </c>
      <c r="FH9" s="83" t="s">
        <v>171</v>
      </c>
      <c r="FI9" s="169">
        <f>B39</f>
        <v>0</v>
      </c>
      <c r="FJ9" s="52" t="s">
        <v>388</v>
      </c>
      <c r="FK9" s="83" t="s">
        <v>471</v>
      </c>
      <c r="FL9" s="150">
        <f>B157</f>
        <v>55</v>
      </c>
      <c r="FM9" s="92" t="s">
        <v>221</v>
      </c>
      <c r="FN9" s="83"/>
      <c r="FO9" s="83"/>
      <c r="FP9" s="83"/>
      <c r="FQ9" s="91" t="s">
        <v>231</v>
      </c>
      <c r="FR9" s="136">
        <f>B30</f>
        <v>1.04753425E-2</v>
      </c>
      <c r="FS9" s="52" t="s">
        <v>60</v>
      </c>
      <c r="FT9" s="83"/>
      <c r="FU9" s="164"/>
      <c r="FV9" s="83"/>
      <c r="FW9" s="83"/>
      <c r="FX9" s="93"/>
      <c r="FY9" s="83"/>
      <c r="FZ9" s="83" t="s">
        <v>473</v>
      </c>
      <c r="GA9" s="174">
        <f>B159</f>
        <v>55</v>
      </c>
      <c r="GB9" s="92" t="s">
        <v>221</v>
      </c>
      <c r="GC9" s="83"/>
      <c r="GD9" s="142"/>
      <c r="GE9" s="83"/>
      <c r="GF9" s="83" t="s">
        <v>237</v>
      </c>
      <c r="GG9" s="169">
        <f>B38</f>
        <v>0</v>
      </c>
      <c r="GH9" s="52" t="s">
        <v>388</v>
      </c>
      <c r="GI9" s="83" t="s">
        <v>237</v>
      </c>
      <c r="GJ9" s="169">
        <f>B38</f>
        <v>0</v>
      </c>
      <c r="GK9" s="52" t="s">
        <v>388</v>
      </c>
      <c r="GL9" s="83" t="s">
        <v>237</v>
      </c>
      <c r="GM9" s="169">
        <f>B38</f>
        <v>0</v>
      </c>
      <c r="GN9" s="52" t="s">
        <v>388</v>
      </c>
      <c r="GO9" s="83" t="s">
        <v>455</v>
      </c>
      <c r="GP9" s="150">
        <f>B161</f>
        <v>55</v>
      </c>
      <c r="GQ9" s="92" t="s">
        <v>221</v>
      </c>
      <c r="GR9" s="83"/>
      <c r="GS9" s="142"/>
      <c r="GT9" s="83"/>
      <c r="GU9" s="83" t="s">
        <v>238</v>
      </c>
      <c r="GV9" s="169">
        <f>B40</f>
        <v>0</v>
      </c>
      <c r="GW9" s="52" t="s">
        <v>388</v>
      </c>
      <c r="GX9" s="83" t="s">
        <v>238</v>
      </c>
      <c r="GY9" s="169">
        <f>B40</f>
        <v>0</v>
      </c>
      <c r="GZ9" s="52" t="s">
        <v>388</v>
      </c>
      <c r="HA9" s="83" t="s">
        <v>238</v>
      </c>
      <c r="HB9" s="169">
        <f>B40</f>
        <v>0</v>
      </c>
      <c r="HC9" s="52" t="s">
        <v>388</v>
      </c>
      <c r="HD9" s="91" t="s">
        <v>231</v>
      </c>
      <c r="HE9" s="136">
        <f>B30</f>
        <v>1.04753425E-2</v>
      </c>
      <c r="HF9" s="52" t="s">
        <v>60</v>
      </c>
    </row>
    <row r="10" spans="1:214" x14ac:dyDescent="0.2">
      <c r="A10" s="116" t="s">
        <v>341</v>
      </c>
      <c r="B10" s="229">
        <v>5.8400000000000001E-2</v>
      </c>
      <c r="C10" s="117"/>
      <c r="D10" s="52" t="s">
        <v>92</v>
      </c>
      <c r="E10" s="138">
        <f>E9</f>
        <v>1</v>
      </c>
      <c r="G10" s="83" t="s">
        <v>260</v>
      </c>
      <c r="H10" s="143" t="e">
        <f>(H5/(H6*H15))/H70</f>
        <v>#DIV/0!</v>
      </c>
      <c r="I10" s="92" t="s">
        <v>291</v>
      </c>
      <c r="J10" s="83" t="s">
        <v>77</v>
      </c>
      <c r="K10" s="136">
        <f>B31</f>
        <v>1359344473.5814338</v>
      </c>
      <c r="L10" s="83" t="s">
        <v>78</v>
      </c>
      <c r="M10" s="52" t="s">
        <v>379</v>
      </c>
      <c r="N10" s="138">
        <f>B65</f>
        <v>1</v>
      </c>
      <c r="O10" s="52" t="s">
        <v>146</v>
      </c>
      <c r="P10" s="52" t="s">
        <v>379</v>
      </c>
      <c r="Q10" s="138">
        <f>B65</f>
        <v>1</v>
      </c>
      <c r="R10" s="52" t="s">
        <v>146</v>
      </c>
      <c r="S10" s="52" t="s">
        <v>379</v>
      </c>
      <c r="T10" s="138">
        <f>B65</f>
        <v>1</v>
      </c>
      <c r="U10" s="52" t="s">
        <v>146</v>
      </c>
      <c r="V10" s="52" t="s">
        <v>424</v>
      </c>
      <c r="W10" s="138">
        <f>B248</f>
        <v>1</v>
      </c>
      <c r="X10" s="52" t="s">
        <v>146</v>
      </c>
      <c r="Y10" s="52" t="s">
        <v>422</v>
      </c>
      <c r="Z10" s="138">
        <f>B228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B265</f>
        <v>3</v>
      </c>
      <c r="AG10" s="146">
        <f>B276</f>
        <v>3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B238</f>
        <v>1</v>
      </c>
      <c r="AN10" s="52" t="s">
        <v>146</v>
      </c>
      <c r="AO10" s="52" t="s">
        <v>420</v>
      </c>
      <c r="AP10" s="138">
        <f>B238</f>
        <v>1</v>
      </c>
      <c r="AQ10" s="52" t="s">
        <v>146</v>
      </c>
      <c r="AR10" s="52" t="s">
        <v>424</v>
      </c>
      <c r="AS10" s="138">
        <f>B248</f>
        <v>1</v>
      </c>
      <c r="AT10" s="52" t="s">
        <v>146</v>
      </c>
      <c r="AU10" s="52" t="s">
        <v>424</v>
      </c>
      <c r="AV10" s="138">
        <f>B248</f>
        <v>1</v>
      </c>
      <c r="AW10" s="52" t="s">
        <v>146</v>
      </c>
      <c r="AX10" s="52" t="s">
        <v>424</v>
      </c>
      <c r="AY10" s="138">
        <f>B248</f>
        <v>1</v>
      </c>
      <c r="AZ10" s="52" t="s">
        <v>146</v>
      </c>
      <c r="BA10" s="52" t="s">
        <v>422</v>
      </c>
      <c r="BB10" s="138">
        <f>B228</f>
        <v>1</v>
      </c>
      <c r="BC10" s="52" t="s">
        <v>146</v>
      </c>
      <c r="BD10" s="52" t="s">
        <v>422</v>
      </c>
      <c r="BE10" s="138">
        <f>B228</f>
        <v>1</v>
      </c>
      <c r="BF10" s="52" t="s">
        <v>146</v>
      </c>
      <c r="BG10" s="52" t="s">
        <v>422</v>
      </c>
      <c r="BH10" s="138">
        <f>B228</f>
        <v>1</v>
      </c>
      <c r="BI10" s="52" t="s">
        <v>146</v>
      </c>
      <c r="BJ10" s="52" t="s">
        <v>220</v>
      </c>
      <c r="BK10" s="138">
        <f>B266</f>
        <v>25</v>
      </c>
      <c r="BL10" s="52" t="s">
        <v>113</v>
      </c>
      <c r="BM10" s="52" t="s">
        <v>220</v>
      </c>
      <c r="BN10" s="138">
        <f>B266</f>
        <v>25</v>
      </c>
      <c r="BO10" s="52" t="s">
        <v>113</v>
      </c>
      <c r="BP10" s="52" t="s">
        <v>220</v>
      </c>
      <c r="BQ10" s="138">
        <f>B266</f>
        <v>25</v>
      </c>
      <c r="BR10" s="52" t="s">
        <v>113</v>
      </c>
      <c r="BS10" s="83" t="s">
        <v>428</v>
      </c>
      <c r="BT10" s="149">
        <f>(BT22*BT13*(1/24)*BT11*BT25)+(BT23*BT14*(1/24)*BT12*BT26)</f>
        <v>101.40624999999999</v>
      </c>
      <c r="BU10" s="52" t="s">
        <v>426</v>
      </c>
      <c r="BV10" s="83" t="s">
        <v>260</v>
      </c>
      <c r="BW10" s="143" t="e">
        <f>(BW5/(BW6*BW13))/BW32</f>
        <v>#DIV/0!</v>
      </c>
      <c r="BX10" s="92" t="s">
        <v>291</v>
      </c>
      <c r="BY10" s="84" t="s">
        <v>16</v>
      </c>
      <c r="BZ10" s="137">
        <f>(BZ30*BZ11)/(1-EXP(-BZ11*BZ30))</f>
        <v>66.155354824913829</v>
      </c>
      <c r="CB10" s="52" t="s">
        <v>51</v>
      </c>
      <c r="CC10" s="138">
        <f>B127</f>
        <v>1</v>
      </c>
      <c r="CD10" s="52" t="s">
        <v>146</v>
      </c>
      <c r="CE10" s="52" t="s">
        <v>51</v>
      </c>
      <c r="CF10" s="138">
        <f>B127</f>
        <v>1</v>
      </c>
      <c r="CG10" s="52" t="s">
        <v>146</v>
      </c>
      <c r="CH10" s="52" t="s">
        <v>51</v>
      </c>
      <c r="CI10" s="138">
        <f>B127</f>
        <v>1</v>
      </c>
      <c r="CJ10" s="52" t="s">
        <v>146</v>
      </c>
      <c r="CN10" s="84" t="s">
        <v>164</v>
      </c>
      <c r="CO10" s="162">
        <f>B129</f>
        <v>2</v>
      </c>
      <c r="CP10" s="52" t="s">
        <v>246</v>
      </c>
      <c r="CT10" s="83" t="s">
        <v>77</v>
      </c>
      <c r="CU10" s="136">
        <f>B31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66.155354824913829</v>
      </c>
      <c r="DC10" s="83" t="s">
        <v>514</v>
      </c>
      <c r="DD10" s="146">
        <f>B150</f>
        <v>55</v>
      </c>
      <c r="DE10" s="92" t="s">
        <v>221</v>
      </c>
      <c r="DF10" s="92" t="s">
        <v>32</v>
      </c>
      <c r="DG10" s="136">
        <f>B43</f>
        <v>0</v>
      </c>
      <c r="DI10" s="83" t="s">
        <v>22</v>
      </c>
      <c r="DJ10" s="137">
        <f>0.693/DJ11</f>
        <v>66.155354824913829</v>
      </c>
      <c r="DL10" s="92"/>
      <c r="DO10" s="92" t="s">
        <v>32</v>
      </c>
      <c r="DP10" s="136">
        <f>B43</f>
        <v>0</v>
      </c>
      <c r="DR10" s="83" t="s">
        <v>461</v>
      </c>
      <c r="DS10" s="146">
        <f>B152</f>
        <v>55</v>
      </c>
      <c r="DT10" s="92" t="s">
        <v>221</v>
      </c>
      <c r="DU10" s="92"/>
      <c r="DX10" s="83" t="s">
        <v>498</v>
      </c>
      <c r="DY10" s="138">
        <f>B201</f>
        <v>20.3</v>
      </c>
      <c r="DZ10" s="52" t="s">
        <v>246</v>
      </c>
      <c r="EA10" s="83" t="s">
        <v>498</v>
      </c>
      <c r="EB10" s="138">
        <f>B201</f>
        <v>20.3</v>
      </c>
      <c r="EC10" s="52" t="s">
        <v>246</v>
      </c>
      <c r="ED10" s="83" t="s">
        <v>498</v>
      </c>
      <c r="EE10" s="138">
        <f>B201</f>
        <v>20.3</v>
      </c>
      <c r="EF10" s="52" t="s">
        <v>246</v>
      </c>
      <c r="EG10" s="83" t="s">
        <v>462</v>
      </c>
      <c r="EH10" s="170">
        <f>B154</f>
        <v>55</v>
      </c>
      <c r="EI10" s="92" t="s">
        <v>221</v>
      </c>
      <c r="EJ10" s="92"/>
      <c r="EM10" s="83" t="s">
        <v>494</v>
      </c>
      <c r="EN10" s="138">
        <f>B206</f>
        <v>11.77</v>
      </c>
      <c r="EO10" s="52" t="s">
        <v>246</v>
      </c>
      <c r="EP10" s="83" t="s">
        <v>494</v>
      </c>
      <c r="EQ10" s="138">
        <f>B206</f>
        <v>11.77</v>
      </c>
      <c r="ER10" s="52" t="s">
        <v>246</v>
      </c>
      <c r="ES10" s="83" t="s">
        <v>494</v>
      </c>
      <c r="ET10" s="138">
        <f>B206</f>
        <v>11.77</v>
      </c>
      <c r="EU10" s="52" t="s">
        <v>246</v>
      </c>
      <c r="EV10" s="83" t="s">
        <v>463</v>
      </c>
      <c r="EW10" s="170">
        <f>B156</f>
        <v>55</v>
      </c>
      <c r="EX10" s="92" t="s">
        <v>221</v>
      </c>
      <c r="EY10" s="83"/>
      <c r="EZ10" s="142"/>
      <c r="FA10" s="83"/>
      <c r="FB10" s="83" t="s">
        <v>152</v>
      </c>
      <c r="FC10" s="142">
        <f>B211</f>
        <v>0.2</v>
      </c>
      <c r="FD10" s="52" t="s">
        <v>246</v>
      </c>
      <c r="FE10" s="83" t="s">
        <v>152</v>
      </c>
      <c r="FF10" s="142">
        <f>B211</f>
        <v>0.2</v>
      </c>
      <c r="FG10" s="52" t="s">
        <v>246</v>
      </c>
      <c r="FH10" s="83" t="s">
        <v>152</v>
      </c>
      <c r="FI10" s="142">
        <f>B211</f>
        <v>0.2</v>
      </c>
      <c r="FJ10" s="52" t="s">
        <v>246</v>
      </c>
      <c r="FK10" s="83" t="s">
        <v>472</v>
      </c>
      <c r="FL10" s="150">
        <f>B158</f>
        <v>55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66.155354824913829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B160</f>
        <v>55</v>
      </c>
      <c r="GB10" s="92" t="s">
        <v>221</v>
      </c>
      <c r="GC10" s="83"/>
      <c r="GD10" s="83"/>
      <c r="GE10" s="83"/>
      <c r="GF10" s="83" t="s">
        <v>486</v>
      </c>
      <c r="GG10" s="142">
        <f>B216</f>
        <v>0.2</v>
      </c>
      <c r="GH10" s="52" t="s">
        <v>246</v>
      </c>
      <c r="GI10" s="83" t="s">
        <v>486</v>
      </c>
      <c r="GJ10" s="142">
        <f>B216</f>
        <v>0.2</v>
      </c>
      <c r="GK10" s="52" t="s">
        <v>246</v>
      </c>
      <c r="GL10" s="83" t="s">
        <v>486</v>
      </c>
      <c r="GM10" s="142">
        <f>B216</f>
        <v>0.2</v>
      </c>
      <c r="GN10" s="52" t="s">
        <v>246</v>
      </c>
      <c r="GO10" s="83" t="s">
        <v>464</v>
      </c>
      <c r="GP10" s="150">
        <f>B162</f>
        <v>55</v>
      </c>
      <c r="GQ10" s="92" t="s">
        <v>221</v>
      </c>
      <c r="GR10" s="83"/>
      <c r="GS10" s="83"/>
      <c r="GT10" s="83"/>
      <c r="GU10" s="83" t="s">
        <v>490</v>
      </c>
      <c r="GV10" s="142">
        <f>B221</f>
        <v>4.7</v>
      </c>
      <c r="GW10" s="52" t="s">
        <v>246</v>
      </c>
      <c r="GX10" s="83" t="s">
        <v>490</v>
      </c>
      <c r="GY10" s="142">
        <f>B221</f>
        <v>4.7</v>
      </c>
      <c r="GZ10" s="52" t="s">
        <v>246</v>
      </c>
      <c r="HA10" s="83" t="s">
        <v>490</v>
      </c>
      <c r="HB10" s="142">
        <f>B221</f>
        <v>4.7</v>
      </c>
      <c r="HC10" s="52" t="s">
        <v>246</v>
      </c>
      <c r="HD10" s="84" t="s">
        <v>38</v>
      </c>
      <c r="HE10" s="163">
        <f>B93</f>
        <v>0.3</v>
      </c>
    </row>
    <row r="11" spans="1:214" x14ac:dyDescent="0.2">
      <c r="A11" s="116" t="s">
        <v>244</v>
      </c>
      <c r="B11" s="229">
        <v>0.70099999999999996</v>
      </c>
      <c r="C11" s="117"/>
      <c r="D11" s="52" t="s">
        <v>247</v>
      </c>
      <c r="E11" s="139">
        <f>B18</f>
        <v>1.25E-4</v>
      </c>
      <c r="F11" s="84" t="s">
        <v>259</v>
      </c>
      <c r="G11" s="83" t="s">
        <v>261</v>
      </c>
      <c r="H11" s="144">
        <f>(H5/(H7*H16*H28))/H70</f>
        <v>0.44595103578154471</v>
      </c>
      <c r="I11" s="92" t="s">
        <v>291</v>
      </c>
      <c r="J11" s="84" t="s">
        <v>16</v>
      </c>
      <c r="K11" s="137">
        <f>(K43*K12)/(1-EXP(-K12*K43))</f>
        <v>66.155354824913829</v>
      </c>
      <c r="M11" s="52" t="s">
        <v>299</v>
      </c>
      <c r="N11" s="138">
        <f>B73</f>
        <v>1</v>
      </c>
      <c r="P11" s="52" t="s">
        <v>299</v>
      </c>
      <c r="Q11" s="138">
        <f>B73</f>
        <v>1</v>
      </c>
      <c r="S11" s="52" t="s">
        <v>299</v>
      </c>
      <c r="T11" s="138">
        <f>B73</f>
        <v>1</v>
      </c>
      <c r="V11" s="52" t="s">
        <v>247</v>
      </c>
      <c r="W11" s="139">
        <f>B18</f>
        <v>1.25E-4</v>
      </c>
      <c r="X11" s="84" t="s">
        <v>39</v>
      </c>
      <c r="Y11" s="52" t="s">
        <v>247</v>
      </c>
      <c r="Z11" s="139">
        <f>B18</f>
        <v>1.25E-4</v>
      </c>
      <c r="AA11" s="84" t="s">
        <v>39</v>
      </c>
      <c r="AB11" s="83" t="s">
        <v>220</v>
      </c>
      <c r="AC11" s="146"/>
      <c r="AD11" s="146"/>
      <c r="AE11" s="146"/>
      <c r="AF11" s="146">
        <f>B266</f>
        <v>25</v>
      </c>
      <c r="AG11" s="146">
        <f>B277</f>
        <v>25</v>
      </c>
      <c r="AH11" s="83" t="s">
        <v>113</v>
      </c>
      <c r="AI11" s="52" t="s">
        <v>299</v>
      </c>
      <c r="AJ11" s="138">
        <f>B241</f>
        <v>1</v>
      </c>
      <c r="AL11" s="52" t="s">
        <v>299</v>
      </c>
      <c r="AM11" s="138">
        <f>B241</f>
        <v>1</v>
      </c>
      <c r="AO11" s="52" t="s">
        <v>299</v>
      </c>
      <c r="AP11" s="138">
        <f>B241</f>
        <v>1</v>
      </c>
      <c r="AR11" s="52" t="s">
        <v>299</v>
      </c>
      <c r="AS11" s="138">
        <f>B251</f>
        <v>1</v>
      </c>
      <c r="AU11" s="52" t="s">
        <v>299</v>
      </c>
      <c r="AV11" s="138">
        <f>B251</f>
        <v>1</v>
      </c>
      <c r="AX11" s="52" t="s">
        <v>299</v>
      </c>
      <c r="AY11" s="138">
        <f>B251</f>
        <v>1</v>
      </c>
      <c r="BA11" s="52" t="s">
        <v>299</v>
      </c>
      <c r="BB11" s="138">
        <f>B231</f>
        <v>1</v>
      </c>
      <c r="BD11" s="52" t="s">
        <v>299</v>
      </c>
      <c r="BE11" s="138">
        <f>B231</f>
        <v>1</v>
      </c>
      <c r="BG11" s="52" t="s">
        <v>299</v>
      </c>
      <c r="BH11" s="138">
        <f>B231</f>
        <v>1</v>
      </c>
      <c r="BJ11" s="52" t="s">
        <v>219</v>
      </c>
      <c r="BK11" s="138">
        <f>B265</f>
        <v>3</v>
      </c>
      <c r="BL11" s="52" t="s">
        <v>112</v>
      </c>
      <c r="BM11" s="52" t="s">
        <v>219</v>
      </c>
      <c r="BN11" s="138">
        <f>B265</f>
        <v>3</v>
      </c>
      <c r="BO11" s="52" t="s">
        <v>112</v>
      </c>
      <c r="BP11" s="52" t="s">
        <v>219</v>
      </c>
      <c r="BQ11" s="138">
        <f>B265</f>
        <v>3</v>
      </c>
      <c r="BR11" s="52" t="s">
        <v>112</v>
      </c>
      <c r="BS11" s="83" t="s">
        <v>429</v>
      </c>
      <c r="BT11" s="141">
        <f>B103</f>
        <v>5</v>
      </c>
      <c r="BU11" s="92" t="s">
        <v>407</v>
      </c>
      <c r="BV11" s="83" t="s">
        <v>261</v>
      </c>
      <c r="BW11" s="159"/>
      <c r="BX11" s="92" t="s">
        <v>291</v>
      </c>
      <c r="BY11" s="83" t="s">
        <v>22</v>
      </c>
      <c r="BZ11" s="137">
        <f>0.693/BZ12</f>
        <v>66.155354824913829</v>
      </c>
      <c r="CB11" s="52" t="s">
        <v>300</v>
      </c>
      <c r="CC11" s="136">
        <f>B3</f>
        <v>6.8000000000000005E-2</v>
      </c>
      <c r="CE11" s="52" t="s">
        <v>300</v>
      </c>
      <c r="CF11" s="136">
        <f>B6</f>
        <v>3.7100000000000001E-2</v>
      </c>
      <c r="CH11" s="52" t="s">
        <v>300</v>
      </c>
      <c r="CI11" s="136">
        <f>B10</f>
        <v>5.8400000000000001E-2</v>
      </c>
      <c r="CN11" s="84" t="s">
        <v>161</v>
      </c>
      <c r="CO11" s="162">
        <f>B130</f>
        <v>2</v>
      </c>
      <c r="CP11" s="52" t="s">
        <v>246</v>
      </c>
      <c r="CT11" s="84" t="s">
        <v>16</v>
      </c>
      <c r="CU11" s="137">
        <f>(CU43*CU12)/(1-EXP(-CU12*CU43))</f>
        <v>66.155354824913829</v>
      </c>
      <c r="CW11" s="52" t="s">
        <v>247</v>
      </c>
      <c r="CX11" s="139">
        <f>B18</f>
        <v>1.25E-4</v>
      </c>
      <c r="CY11" s="84" t="s">
        <v>259</v>
      </c>
      <c r="CZ11" s="83" t="s">
        <v>22</v>
      </c>
      <c r="DA11" s="137">
        <f>0.693/DA12</f>
        <v>66.155354824913829</v>
      </c>
      <c r="DC11" s="83" t="s">
        <v>515</v>
      </c>
      <c r="DD11" s="149">
        <f>(DD12*DD15*DD20)+(DD13*DD14*DD21)</f>
        <v>8250</v>
      </c>
      <c r="DE11" s="92" t="s">
        <v>347</v>
      </c>
      <c r="DF11" s="92" t="s">
        <v>49</v>
      </c>
      <c r="DG11" s="137">
        <f>DG19+DG20</f>
        <v>0.18127454746551735</v>
      </c>
      <c r="DI11" s="91" t="s">
        <v>231</v>
      </c>
      <c r="DJ11" s="136">
        <f>B30</f>
        <v>1.04753425E-2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B166</f>
        <v>150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B166</f>
        <v>150</v>
      </c>
      <c r="EI11" s="83" t="s">
        <v>24</v>
      </c>
      <c r="EJ11" s="92"/>
      <c r="EM11" s="83" t="s">
        <v>495</v>
      </c>
      <c r="EN11" s="138">
        <f>B207</f>
        <v>0.5</v>
      </c>
      <c r="EO11" s="52" t="s">
        <v>246</v>
      </c>
      <c r="EP11" s="83" t="s">
        <v>495</v>
      </c>
      <c r="EQ11" s="138">
        <f>B207</f>
        <v>0.5</v>
      </c>
      <c r="ER11" s="52" t="s">
        <v>246</v>
      </c>
      <c r="ES11" s="83" t="s">
        <v>495</v>
      </c>
      <c r="ET11" s="138">
        <f>B207</f>
        <v>0.5</v>
      </c>
      <c r="EU11" s="52" t="s">
        <v>246</v>
      </c>
      <c r="EV11" s="83" t="s">
        <v>456</v>
      </c>
      <c r="EW11" s="150">
        <f>B166</f>
        <v>150</v>
      </c>
      <c r="EX11" s="83" t="s">
        <v>24</v>
      </c>
      <c r="EY11" s="83"/>
      <c r="EZ11" s="83"/>
      <c r="FA11" s="83"/>
      <c r="FB11" s="83" t="s">
        <v>151</v>
      </c>
      <c r="FC11" s="142">
        <f>B212</f>
        <v>2.1999999999999999E-2</v>
      </c>
      <c r="FD11" s="52" t="s">
        <v>246</v>
      </c>
      <c r="FE11" s="83" t="s">
        <v>151</v>
      </c>
      <c r="FF11" s="142">
        <f>B212</f>
        <v>2.1999999999999999E-2</v>
      </c>
      <c r="FG11" s="52" t="s">
        <v>246</v>
      </c>
      <c r="FH11" s="83" t="s">
        <v>151</v>
      </c>
      <c r="FI11" s="142">
        <f>B212</f>
        <v>2.1999999999999999E-2</v>
      </c>
      <c r="FJ11" s="52" t="s">
        <v>246</v>
      </c>
      <c r="FK11" s="83" t="s">
        <v>456</v>
      </c>
      <c r="FL11" s="150">
        <f>B166</f>
        <v>150</v>
      </c>
      <c r="FM11" s="83" t="s">
        <v>24</v>
      </c>
      <c r="FN11" s="83"/>
      <c r="FO11" s="83"/>
      <c r="FP11" s="83"/>
      <c r="FQ11" s="88"/>
      <c r="FR11" s="169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B166</f>
        <v>150</v>
      </c>
      <c r="GB11" s="83" t="s">
        <v>24</v>
      </c>
      <c r="GC11" s="83"/>
      <c r="GD11" s="83"/>
      <c r="GE11" s="83"/>
      <c r="GF11" s="83" t="s">
        <v>487</v>
      </c>
      <c r="GG11" s="142">
        <f>B217</f>
        <v>2.1999999999999999E-2</v>
      </c>
      <c r="GH11" s="52" t="s">
        <v>246</v>
      </c>
      <c r="GI11" s="83" t="s">
        <v>487</v>
      </c>
      <c r="GJ11" s="142">
        <f>B217</f>
        <v>2.1999999999999999E-2</v>
      </c>
      <c r="GK11" s="52" t="s">
        <v>246</v>
      </c>
      <c r="GL11" s="83" t="s">
        <v>487</v>
      </c>
      <c r="GM11" s="142">
        <f>B217</f>
        <v>2.1999999999999999E-2</v>
      </c>
      <c r="GN11" s="52" t="s">
        <v>246</v>
      </c>
      <c r="GO11" s="83" t="s">
        <v>456</v>
      </c>
      <c r="GP11" s="150">
        <f>B166</f>
        <v>150</v>
      </c>
      <c r="GQ11" s="83" t="s">
        <v>24</v>
      </c>
      <c r="GR11" s="83"/>
      <c r="GS11" s="83"/>
      <c r="GT11" s="83"/>
      <c r="GU11" s="83" t="s">
        <v>491</v>
      </c>
      <c r="GV11" s="142">
        <f>B222</f>
        <v>0.37</v>
      </c>
      <c r="GW11" s="52" t="s">
        <v>246</v>
      </c>
      <c r="GX11" s="83" t="s">
        <v>491</v>
      </c>
      <c r="GY11" s="142">
        <f>B222</f>
        <v>0.37</v>
      </c>
      <c r="GZ11" s="52" t="s">
        <v>246</v>
      </c>
      <c r="HA11" s="83" t="s">
        <v>491</v>
      </c>
      <c r="HB11" s="142">
        <f>B222</f>
        <v>0.37</v>
      </c>
      <c r="HC11" s="52" t="s">
        <v>246</v>
      </c>
      <c r="HD11" s="84" t="s">
        <v>42</v>
      </c>
      <c r="HE11" s="150">
        <f>B94</f>
        <v>1.5</v>
      </c>
    </row>
    <row r="12" spans="1:214" x14ac:dyDescent="0.2">
      <c r="A12" s="116" t="s">
        <v>342</v>
      </c>
      <c r="B12" s="229">
        <v>2.2499999999999999E-2</v>
      </c>
      <c r="C12" s="117"/>
      <c r="D12" s="83" t="s">
        <v>43</v>
      </c>
      <c r="E12" s="140">
        <f>((E15/E16)*E23*E13*E25)+((E15/E16)*E24*E14*E26)</f>
        <v>1327.5</v>
      </c>
      <c r="F12" s="52" t="s">
        <v>426</v>
      </c>
      <c r="G12" s="83" t="s">
        <v>266</v>
      </c>
      <c r="H12" s="144">
        <f>(H5/(H8*(1/H43)*H21))/H70</f>
        <v>96.896061485412062</v>
      </c>
      <c r="I12" s="92" t="s">
        <v>291</v>
      </c>
      <c r="J12" s="83" t="s">
        <v>22</v>
      </c>
      <c r="K12" s="137">
        <f>0.693/K13</f>
        <v>66.155354824913829</v>
      </c>
      <c r="M12" s="52" t="s">
        <v>300</v>
      </c>
      <c r="N12" s="136">
        <f>B3</f>
        <v>6.8000000000000005E-2</v>
      </c>
      <c r="P12" s="52" t="s">
        <v>300</v>
      </c>
      <c r="Q12" s="136">
        <f>B6</f>
        <v>3.7100000000000001E-2</v>
      </c>
      <c r="S12" s="52" t="s">
        <v>300</v>
      </c>
      <c r="T12" s="136">
        <f>B10</f>
        <v>5.8400000000000001E-2</v>
      </c>
      <c r="V12" s="52" t="s">
        <v>44</v>
      </c>
      <c r="W12" s="150">
        <f>B252</f>
        <v>5</v>
      </c>
      <c r="X12" s="84" t="s">
        <v>194</v>
      </c>
      <c r="Y12" s="52" t="s">
        <v>44</v>
      </c>
      <c r="Z12" s="150">
        <f>B233</f>
        <v>5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B262</f>
        <v>5</v>
      </c>
      <c r="AG12" s="150">
        <f>B273</f>
        <v>5</v>
      </c>
      <c r="AH12" s="83" t="s">
        <v>194</v>
      </c>
      <c r="AI12" s="52" t="s">
        <v>300</v>
      </c>
      <c r="AJ12" s="136">
        <f>B3</f>
        <v>6.8000000000000005E-2</v>
      </c>
      <c r="AL12" s="52" t="s">
        <v>300</v>
      </c>
      <c r="AM12" s="136">
        <f>B6</f>
        <v>3.7100000000000001E-2</v>
      </c>
      <c r="AO12" s="52" t="s">
        <v>300</v>
      </c>
      <c r="AP12" s="136">
        <f>B10</f>
        <v>5.8400000000000001E-2</v>
      </c>
      <c r="AR12" s="52" t="s">
        <v>300</v>
      </c>
      <c r="AS12" s="136">
        <f>B3</f>
        <v>6.8000000000000005E-2</v>
      </c>
      <c r="AU12" s="52" t="s">
        <v>300</v>
      </c>
      <c r="AV12" s="136">
        <f>B6</f>
        <v>3.7100000000000001E-2</v>
      </c>
      <c r="AX12" s="52" t="s">
        <v>300</v>
      </c>
      <c r="AY12" s="136">
        <f>B10</f>
        <v>5.8400000000000001E-2</v>
      </c>
      <c r="BA12" s="52" t="s">
        <v>300</v>
      </c>
      <c r="BB12" s="136">
        <f>B3</f>
        <v>6.8000000000000005E-2</v>
      </c>
      <c r="BD12" s="52" t="s">
        <v>300</v>
      </c>
      <c r="BE12" s="136">
        <f>B6</f>
        <v>3.7100000000000001E-2</v>
      </c>
      <c r="BG12" s="52" t="s">
        <v>300</v>
      </c>
      <c r="BH12" s="136">
        <f>B10</f>
        <v>5.8400000000000001E-2</v>
      </c>
      <c r="BJ12" s="52" t="s">
        <v>158</v>
      </c>
      <c r="BK12" s="138">
        <f>B258</f>
        <v>1</v>
      </c>
      <c r="BL12" s="52" t="s">
        <v>146</v>
      </c>
      <c r="BM12" s="52" t="s">
        <v>158</v>
      </c>
      <c r="BN12" s="138">
        <f>B258</f>
        <v>1</v>
      </c>
      <c r="BO12" s="52" t="s">
        <v>146</v>
      </c>
      <c r="BP12" s="52" t="s">
        <v>158</v>
      </c>
      <c r="BQ12" s="138">
        <f>B258</f>
        <v>1</v>
      </c>
      <c r="BR12" s="52" t="s">
        <v>146</v>
      </c>
      <c r="BS12" s="83" t="s">
        <v>430</v>
      </c>
      <c r="BT12" s="141">
        <f>B104</f>
        <v>10</v>
      </c>
      <c r="BU12" s="92" t="s">
        <v>407</v>
      </c>
      <c r="BV12" s="83" t="s">
        <v>266</v>
      </c>
      <c r="BW12" s="145">
        <f>(BW5/(BW8*(1/BW29)*BW16))/BW32</f>
        <v>33.561272205401814</v>
      </c>
      <c r="BX12" s="92" t="s">
        <v>291</v>
      </c>
      <c r="BY12" s="91" t="s">
        <v>231</v>
      </c>
      <c r="BZ12" s="136">
        <f>B30</f>
        <v>1.04753425E-2</v>
      </c>
      <c r="CA12" s="52" t="s">
        <v>60</v>
      </c>
      <c r="CB12" s="52" t="s">
        <v>413</v>
      </c>
      <c r="CC12" s="136">
        <f>B4</f>
        <v>0.75600000000000001</v>
      </c>
      <c r="CE12" s="52" t="s">
        <v>414</v>
      </c>
      <c r="CF12" s="136">
        <f>B7</f>
        <v>0.65</v>
      </c>
      <c r="CH12" s="52" t="s">
        <v>416</v>
      </c>
      <c r="CI12" s="136">
        <f>B11</f>
        <v>0.70099999999999996</v>
      </c>
      <c r="CN12" s="84" t="s">
        <v>162</v>
      </c>
      <c r="CO12" s="162">
        <f>B131</f>
        <v>2</v>
      </c>
      <c r="CP12" s="52" t="s">
        <v>41</v>
      </c>
      <c r="CT12" s="83" t="s">
        <v>22</v>
      </c>
      <c r="CU12" s="137">
        <f>0.693/CU13</f>
        <v>66.155354824913829</v>
      </c>
      <c r="CW12" s="83" t="s">
        <v>506</v>
      </c>
      <c r="CX12" s="140">
        <f>((CX16/24)*CX23*CX13*CX25)+((CX15/24)*CX24*CX14*CX26)</f>
        <v>1387.5</v>
      </c>
      <c r="CY12" s="52" t="s">
        <v>426</v>
      </c>
      <c r="CZ12" s="91" t="s">
        <v>231</v>
      </c>
      <c r="DA12" s="136">
        <f>B30</f>
        <v>1.04753425E-2</v>
      </c>
      <c r="DB12" s="52" t="s">
        <v>60</v>
      </c>
      <c r="DC12" s="83" t="s">
        <v>467</v>
      </c>
      <c r="DD12" s="146">
        <f>B147</f>
        <v>55</v>
      </c>
      <c r="DE12" s="92" t="s">
        <v>221</v>
      </c>
      <c r="DF12" s="92" t="s">
        <v>52</v>
      </c>
      <c r="DG12" s="138">
        <f>B191</f>
        <v>10950</v>
      </c>
      <c r="DH12" s="52" t="s">
        <v>53</v>
      </c>
      <c r="DI12" s="84" t="s">
        <v>16</v>
      </c>
      <c r="DJ12" s="137">
        <f>(DJ9*DJ10)/(1-EXP(-DJ10*DJ9))</f>
        <v>66.155354824913829</v>
      </c>
      <c r="DL12" s="92"/>
      <c r="DO12" s="92" t="s">
        <v>52</v>
      </c>
      <c r="DP12" s="138">
        <f>B191</f>
        <v>10950</v>
      </c>
      <c r="DQ12" s="52" t="s">
        <v>53</v>
      </c>
      <c r="DR12" s="83" t="s">
        <v>465</v>
      </c>
      <c r="DS12" s="150">
        <f>B166</f>
        <v>150</v>
      </c>
      <c r="DT12" s="83" t="s">
        <v>24</v>
      </c>
      <c r="DU12" s="92"/>
      <c r="DX12" s="83" t="s">
        <v>500</v>
      </c>
      <c r="DY12" s="138">
        <f>B203</f>
        <v>1</v>
      </c>
      <c r="EA12" s="83" t="s">
        <v>500</v>
      </c>
      <c r="EB12" s="138">
        <f>B203</f>
        <v>1</v>
      </c>
      <c r="EC12" s="84"/>
      <c r="ED12" s="83" t="s">
        <v>500</v>
      </c>
      <c r="EE12" s="138">
        <f>B203</f>
        <v>1</v>
      </c>
      <c r="EF12" s="84"/>
      <c r="EG12" s="83" t="s">
        <v>465</v>
      </c>
      <c r="EH12" s="150">
        <f>B166</f>
        <v>150</v>
      </c>
      <c r="EI12" s="83" t="s">
        <v>24</v>
      </c>
      <c r="EJ12" s="92"/>
      <c r="EM12" s="83" t="s">
        <v>496</v>
      </c>
      <c r="EN12" s="138">
        <f>B208</f>
        <v>1</v>
      </c>
      <c r="EP12" s="83" t="s">
        <v>496</v>
      </c>
      <c r="EQ12" s="138">
        <f>B208</f>
        <v>1</v>
      </c>
      <c r="ER12" s="84"/>
      <c r="ES12" s="83" t="s">
        <v>496</v>
      </c>
      <c r="ET12" s="138">
        <f>B208</f>
        <v>1</v>
      </c>
      <c r="EU12" s="84"/>
      <c r="EV12" s="83" t="s">
        <v>465</v>
      </c>
      <c r="EW12" s="150">
        <f>B166</f>
        <v>150</v>
      </c>
      <c r="EX12" s="83" t="s">
        <v>24</v>
      </c>
      <c r="EY12" s="83"/>
      <c r="EZ12" s="83"/>
      <c r="FA12" s="83"/>
      <c r="FB12" s="83" t="s">
        <v>153</v>
      </c>
      <c r="FC12" s="164">
        <f>B213</f>
        <v>1</v>
      </c>
      <c r="FD12" s="83"/>
      <c r="FE12" s="83" t="s">
        <v>153</v>
      </c>
      <c r="FF12" s="164">
        <f>B213</f>
        <v>1</v>
      </c>
      <c r="FG12" s="83"/>
      <c r="FH12" s="83" t="s">
        <v>153</v>
      </c>
      <c r="FI12" s="164">
        <f>B213</f>
        <v>1</v>
      </c>
      <c r="FJ12" s="84"/>
      <c r="FK12" s="83" t="s">
        <v>465</v>
      </c>
      <c r="FL12" s="150">
        <f>B166</f>
        <v>150</v>
      </c>
      <c r="FM12" s="83" t="s">
        <v>24</v>
      </c>
      <c r="FN12" s="83"/>
      <c r="FO12" s="83"/>
      <c r="FP12" s="83"/>
      <c r="FQ12" s="88"/>
      <c r="FR12" s="227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B166</f>
        <v>150</v>
      </c>
      <c r="GB12" s="83" t="s">
        <v>24</v>
      </c>
      <c r="GC12" s="83"/>
      <c r="GD12" s="83"/>
      <c r="GE12" s="83"/>
      <c r="GF12" s="83" t="s">
        <v>488</v>
      </c>
      <c r="GG12" s="142">
        <f>B218</f>
        <v>1</v>
      </c>
      <c r="GH12" s="83"/>
      <c r="GI12" s="83" t="s">
        <v>488</v>
      </c>
      <c r="GJ12" s="142">
        <f>B218</f>
        <v>1</v>
      </c>
      <c r="GK12" s="83"/>
      <c r="GL12" s="83" t="s">
        <v>488</v>
      </c>
      <c r="GM12" s="142">
        <f>B218</f>
        <v>1</v>
      </c>
      <c r="GN12" s="84"/>
      <c r="GO12" s="83" t="s">
        <v>465</v>
      </c>
      <c r="GP12" s="150">
        <f>B166</f>
        <v>150</v>
      </c>
      <c r="GQ12" s="83" t="s">
        <v>24</v>
      </c>
      <c r="GR12" s="83"/>
      <c r="GS12" s="83"/>
      <c r="GT12" s="83"/>
      <c r="GU12" s="83" t="s">
        <v>492</v>
      </c>
      <c r="GV12" s="142">
        <f>B223</f>
        <v>1</v>
      </c>
      <c r="GW12" s="83"/>
      <c r="GX12" s="83" t="s">
        <v>492</v>
      </c>
      <c r="GY12" s="142">
        <f>B223</f>
        <v>1</v>
      </c>
      <c r="GZ12" s="83"/>
      <c r="HA12" s="83" t="s">
        <v>492</v>
      </c>
      <c r="HB12" s="142">
        <f>B223</f>
        <v>1</v>
      </c>
      <c r="HC12" s="84"/>
      <c r="HD12" s="84" t="s">
        <v>47</v>
      </c>
      <c r="HE12" s="163">
        <v>1</v>
      </c>
    </row>
    <row r="13" spans="1:214" ht="13.5" customHeight="1" thickBot="1" x14ac:dyDescent="0.25">
      <c r="A13" s="118" t="s">
        <v>245</v>
      </c>
      <c r="B13" s="230">
        <v>0.46300000000000002</v>
      </c>
      <c r="C13" s="119"/>
      <c r="D13" s="83" t="s">
        <v>366</v>
      </c>
      <c r="E13" s="141">
        <f>B50</f>
        <v>5</v>
      </c>
      <c r="F13" s="92" t="s">
        <v>407</v>
      </c>
      <c r="G13" s="83" t="s">
        <v>263</v>
      </c>
      <c r="H13" s="144" t="e">
        <f>(H14/((1/H40)*(H48+H49+H50)))/H70</f>
        <v>#DIV/0!</v>
      </c>
      <c r="I13" s="92" t="s">
        <v>291</v>
      </c>
      <c r="J13" s="91" t="s">
        <v>231</v>
      </c>
      <c r="K13" s="136">
        <f>B30</f>
        <v>1.04753425E-2</v>
      </c>
      <c r="L13" s="52" t="s">
        <v>60</v>
      </c>
      <c r="M13" s="52" t="s">
        <v>54</v>
      </c>
      <c r="N13" s="136">
        <f>B4</f>
        <v>0.75600000000000001</v>
      </c>
      <c r="P13" s="52" t="s">
        <v>54</v>
      </c>
      <c r="Q13" s="136">
        <f>B7</f>
        <v>0.65</v>
      </c>
      <c r="S13" s="52" t="s">
        <v>54</v>
      </c>
      <c r="T13" s="136">
        <f>B11</f>
        <v>0.70099999999999996</v>
      </c>
      <c r="V13" s="52" t="s">
        <v>50</v>
      </c>
      <c r="W13" s="146">
        <f>B246</f>
        <v>50</v>
      </c>
      <c r="X13" s="84" t="s">
        <v>407</v>
      </c>
      <c r="Y13" s="52" t="s">
        <v>50</v>
      </c>
      <c r="Z13" s="146">
        <f>B226</f>
        <v>50</v>
      </c>
      <c r="AA13" s="84" t="s">
        <v>407</v>
      </c>
      <c r="AB13" s="83" t="s">
        <v>349</v>
      </c>
      <c r="AC13" s="146">
        <f>B229</f>
        <v>50</v>
      </c>
      <c r="AD13" s="146">
        <f>B239</f>
        <v>50</v>
      </c>
      <c r="AE13" s="146">
        <f>B249</f>
        <v>50</v>
      </c>
      <c r="AF13" s="146">
        <f>B259</f>
        <v>200</v>
      </c>
      <c r="AG13" s="146">
        <f>B271</f>
        <v>200</v>
      </c>
      <c r="AH13" s="52" t="s">
        <v>48</v>
      </c>
      <c r="AI13" s="52" t="s">
        <v>54</v>
      </c>
      <c r="AJ13" s="136">
        <f>B4</f>
        <v>0.75600000000000001</v>
      </c>
      <c r="AL13" s="52" t="s">
        <v>54</v>
      </c>
      <c r="AM13" s="136">
        <f>B7</f>
        <v>0.65</v>
      </c>
      <c r="AO13" s="52" t="s">
        <v>54</v>
      </c>
      <c r="AP13" s="136">
        <f>B11</f>
        <v>0.70099999999999996</v>
      </c>
      <c r="AR13" s="52" t="s">
        <v>54</v>
      </c>
      <c r="AS13" s="136">
        <f>B4</f>
        <v>0.75600000000000001</v>
      </c>
      <c r="AU13" s="52" t="s">
        <v>54</v>
      </c>
      <c r="AV13" s="136">
        <f>B7</f>
        <v>0.65</v>
      </c>
      <c r="AX13" s="52" t="s">
        <v>54</v>
      </c>
      <c r="AY13" s="136">
        <f>B11</f>
        <v>0.70099999999999996</v>
      </c>
      <c r="BA13" s="52" t="s">
        <v>54</v>
      </c>
      <c r="BB13" s="136">
        <f>B4</f>
        <v>0.75600000000000001</v>
      </c>
      <c r="BD13" s="52" t="s">
        <v>54</v>
      </c>
      <c r="BE13" s="136">
        <f>B7</f>
        <v>0.65</v>
      </c>
      <c r="BG13" s="52" t="s">
        <v>54</v>
      </c>
      <c r="BH13" s="136">
        <f>B11</f>
        <v>0.70099999999999996</v>
      </c>
      <c r="BJ13" s="52" t="s">
        <v>300</v>
      </c>
      <c r="BK13" s="136">
        <f>B3</f>
        <v>6.8000000000000005E-2</v>
      </c>
      <c r="BM13" s="52" t="s">
        <v>300</v>
      </c>
      <c r="BN13" s="136">
        <f>B6</f>
        <v>3.7100000000000001E-2</v>
      </c>
      <c r="BP13" s="52" t="s">
        <v>300</v>
      </c>
      <c r="BQ13" s="136">
        <f>B10</f>
        <v>5.8400000000000001E-2</v>
      </c>
      <c r="BS13" s="52" t="s">
        <v>431</v>
      </c>
      <c r="BT13" s="141">
        <f>B116</f>
        <v>5</v>
      </c>
      <c r="BU13" s="52" t="s">
        <v>194</v>
      </c>
      <c r="BV13" s="83" t="s">
        <v>440</v>
      </c>
      <c r="BW13" s="160">
        <f>((BW18*BW20*BW23*BW14*BW30)+(BW19*BW21*BW24*BW15*BW31))</f>
        <v>2750</v>
      </c>
      <c r="BX13" s="83" t="s">
        <v>345</v>
      </c>
      <c r="BY13" s="83" t="s">
        <v>260</v>
      </c>
      <c r="BZ13" s="143" t="e">
        <f>((BZ5/(BZ6*BZ16*(1/BZ33)))*BZ10)/BZ36</f>
        <v>#DIV/0!</v>
      </c>
      <c r="CA13" s="92" t="s">
        <v>290</v>
      </c>
      <c r="CB13" s="52" t="s">
        <v>90</v>
      </c>
      <c r="CC13" s="138">
        <f>B118</f>
        <v>5</v>
      </c>
      <c r="CD13" s="52" t="s">
        <v>194</v>
      </c>
      <c r="CE13" s="52" t="s">
        <v>90</v>
      </c>
      <c r="CF13" s="138">
        <f>B118</f>
        <v>5</v>
      </c>
      <c r="CG13" s="52" t="s">
        <v>194</v>
      </c>
      <c r="CH13" s="52" t="s">
        <v>90</v>
      </c>
      <c r="CI13" s="138">
        <f>B118</f>
        <v>5</v>
      </c>
      <c r="CJ13" s="52" t="s">
        <v>194</v>
      </c>
      <c r="CN13" s="84" t="s">
        <v>163</v>
      </c>
      <c r="CO13" s="162">
        <f>B132</f>
        <v>2</v>
      </c>
      <c r="CP13" s="52" t="s">
        <v>41</v>
      </c>
      <c r="CT13" s="91" t="s">
        <v>231</v>
      </c>
      <c r="CU13" s="136">
        <f>B30</f>
        <v>1.04753425E-2</v>
      </c>
      <c r="CV13" s="52" t="s">
        <v>60</v>
      </c>
      <c r="CW13" s="83" t="s">
        <v>450</v>
      </c>
      <c r="CX13" s="141">
        <f>B145</f>
        <v>5</v>
      </c>
      <c r="CY13" s="92" t="s">
        <v>407</v>
      </c>
      <c r="CZ13" s="83" t="s">
        <v>260</v>
      </c>
      <c r="DA13" s="143" t="e">
        <f>(DA5/(DA6*DA24))/DA51</f>
        <v>#DIV/0!</v>
      </c>
      <c r="DB13" s="83" t="s">
        <v>291</v>
      </c>
      <c r="DC13" s="83" t="s">
        <v>468</v>
      </c>
      <c r="DD13" s="146">
        <f>B148</f>
        <v>55</v>
      </c>
      <c r="DE13" s="92" t="s">
        <v>221</v>
      </c>
      <c r="DF13" s="92" t="s">
        <v>55</v>
      </c>
      <c r="DG13" s="138">
        <f>B192</f>
        <v>240</v>
      </c>
      <c r="DH13" s="52" t="s">
        <v>56</v>
      </c>
      <c r="DJ13" s="138"/>
      <c r="DL13" s="92"/>
      <c r="DO13" s="92" t="s">
        <v>55</v>
      </c>
      <c r="DP13" s="138">
        <f>B192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B204</f>
        <v>1</v>
      </c>
      <c r="EA13" s="83" t="s">
        <v>501</v>
      </c>
      <c r="EB13" s="138">
        <f>B204</f>
        <v>1</v>
      </c>
      <c r="EC13" s="84"/>
      <c r="ED13" s="83" t="s">
        <v>501</v>
      </c>
      <c r="EE13" s="138">
        <f>B204</f>
        <v>1</v>
      </c>
      <c r="EF13" s="84"/>
      <c r="EG13" s="83" t="s">
        <v>363</v>
      </c>
      <c r="EH13" s="150">
        <f>B168</f>
        <v>1</v>
      </c>
      <c r="EI13" s="84" t="s">
        <v>60</v>
      </c>
      <c r="EJ13" s="92"/>
      <c r="EM13" s="83" t="s">
        <v>497</v>
      </c>
      <c r="EN13" s="138">
        <f>B209</f>
        <v>1</v>
      </c>
      <c r="EP13" s="83" t="s">
        <v>497</v>
      </c>
      <c r="EQ13" s="138">
        <f>B209</f>
        <v>1</v>
      </c>
      <c r="ER13" s="84"/>
      <c r="ES13" s="83" t="s">
        <v>497</v>
      </c>
      <c r="ET13" s="138">
        <f>B209</f>
        <v>1</v>
      </c>
      <c r="EU13" s="84"/>
      <c r="EV13" s="83" t="s">
        <v>363</v>
      </c>
      <c r="EW13" s="150">
        <f>B168</f>
        <v>1</v>
      </c>
      <c r="EX13" s="84" t="s">
        <v>60</v>
      </c>
      <c r="EY13" s="83"/>
      <c r="EZ13" s="83"/>
      <c r="FA13" s="83"/>
      <c r="FB13" s="83" t="s">
        <v>154</v>
      </c>
      <c r="FC13" s="164">
        <f>B214</f>
        <v>1</v>
      </c>
      <c r="FD13" s="83"/>
      <c r="FE13" s="83" t="s">
        <v>154</v>
      </c>
      <c r="FF13" s="164">
        <f>B214</f>
        <v>1</v>
      </c>
      <c r="FG13" s="83"/>
      <c r="FH13" s="83" t="s">
        <v>154</v>
      </c>
      <c r="FI13" s="164">
        <f>B214</f>
        <v>1</v>
      </c>
      <c r="FJ13" s="84"/>
      <c r="FK13" s="83" t="s">
        <v>363</v>
      </c>
      <c r="FL13" s="141">
        <f>B168</f>
        <v>1</v>
      </c>
      <c r="FM13" s="92" t="s">
        <v>60</v>
      </c>
      <c r="FN13" s="83"/>
      <c r="FO13" s="83"/>
      <c r="FP13" s="83"/>
      <c r="FQ13" s="88"/>
      <c r="FR13" s="227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B168</f>
        <v>1</v>
      </c>
      <c r="GB13" s="92" t="s">
        <v>60</v>
      </c>
      <c r="GC13" s="83"/>
      <c r="GD13" s="83"/>
      <c r="GE13" s="83"/>
      <c r="GF13" s="83" t="s">
        <v>489</v>
      </c>
      <c r="GG13" s="142">
        <f>B219</f>
        <v>1</v>
      </c>
      <c r="GH13" s="83"/>
      <c r="GI13" s="83" t="s">
        <v>489</v>
      </c>
      <c r="GJ13" s="142">
        <f>B219</f>
        <v>1</v>
      </c>
      <c r="GK13" s="83"/>
      <c r="GL13" s="83" t="s">
        <v>489</v>
      </c>
      <c r="GM13" s="142">
        <f>B219</f>
        <v>1</v>
      </c>
      <c r="GN13" s="84"/>
      <c r="GO13" s="83" t="s">
        <v>363</v>
      </c>
      <c r="GP13" s="141">
        <f>B168</f>
        <v>1</v>
      </c>
      <c r="GQ13" s="92" t="s">
        <v>60</v>
      </c>
      <c r="GR13" s="83"/>
      <c r="GS13" s="83"/>
      <c r="GT13" s="83"/>
      <c r="GU13" s="83" t="s">
        <v>493</v>
      </c>
      <c r="GV13" s="142">
        <f>B224</f>
        <v>1</v>
      </c>
      <c r="GW13" s="83"/>
      <c r="GX13" s="83" t="s">
        <v>493</v>
      </c>
      <c r="GY13" s="142">
        <f>B224</f>
        <v>1</v>
      </c>
      <c r="GZ13" s="83"/>
      <c r="HA13" s="83" t="s">
        <v>493</v>
      </c>
      <c r="HB13" s="142">
        <f>B224</f>
        <v>1</v>
      </c>
      <c r="HC13" s="84"/>
      <c r="HD13" s="84" t="s">
        <v>59</v>
      </c>
      <c r="HE13" s="150">
        <f>B45</f>
        <v>0</v>
      </c>
    </row>
    <row r="14" spans="1:214" ht="13.5" thickTop="1" x14ac:dyDescent="0.2">
      <c r="A14" s="375" t="s">
        <v>233</v>
      </c>
      <c r="B14" s="376"/>
      <c r="C14" s="377"/>
      <c r="D14" s="83" t="s">
        <v>367</v>
      </c>
      <c r="E14" s="141">
        <f>B51</f>
        <v>10</v>
      </c>
      <c r="F14" s="92" t="s">
        <v>407</v>
      </c>
      <c r="G14" s="83" t="s">
        <v>264</v>
      </c>
      <c r="H14" s="145" t="e">
        <f>(H5/(H9*(H22+H25)*H41))/H70</f>
        <v>#DIV/0!</v>
      </c>
      <c r="I14" s="92" t="s">
        <v>290</v>
      </c>
      <c r="J14" s="83" t="s">
        <v>260</v>
      </c>
      <c r="K14" s="143" t="e">
        <f>((K5/(K6*K19*(1/K46)))*K11)/K53</f>
        <v>#DIV/0!</v>
      </c>
      <c r="L14" s="92" t="s">
        <v>290</v>
      </c>
      <c r="M14" s="52" t="s">
        <v>408</v>
      </c>
      <c r="N14" s="150">
        <f>B88</f>
        <v>5</v>
      </c>
      <c r="O14" s="52" t="s">
        <v>194</v>
      </c>
      <c r="P14" s="52" t="s">
        <v>408</v>
      </c>
      <c r="Q14" s="150">
        <f>B88</f>
        <v>5</v>
      </c>
      <c r="R14" s="52" t="s">
        <v>194</v>
      </c>
      <c r="S14" s="52" t="s">
        <v>408</v>
      </c>
      <c r="T14" s="150">
        <f>B88</f>
        <v>5</v>
      </c>
      <c r="U14" s="52" t="s">
        <v>194</v>
      </c>
      <c r="V14" s="83" t="s">
        <v>256</v>
      </c>
      <c r="W14" s="136">
        <f>B27</f>
        <v>3.2316400000000001</v>
      </c>
      <c r="X14" s="83" t="s">
        <v>343</v>
      </c>
      <c r="Y14" s="83" t="s">
        <v>256</v>
      </c>
      <c r="Z14" s="136">
        <f>B27</f>
        <v>3.2316400000000001</v>
      </c>
      <c r="AA14" s="83" t="s">
        <v>343</v>
      </c>
      <c r="AB14" s="83" t="s">
        <v>300</v>
      </c>
      <c r="AC14" s="161">
        <f>B3</f>
        <v>6.8000000000000005E-2</v>
      </c>
      <c r="AD14" s="161">
        <f>B3</f>
        <v>6.8000000000000005E-2</v>
      </c>
      <c r="AE14" s="161">
        <f>B3</f>
        <v>6.8000000000000005E-2</v>
      </c>
      <c r="AF14" s="161">
        <f>B3</f>
        <v>6.8000000000000005E-2</v>
      </c>
      <c r="AG14" s="161">
        <f>B3</f>
        <v>6.8000000000000005E-2</v>
      </c>
      <c r="AH14" s="92"/>
      <c r="AI14" s="52" t="s">
        <v>57</v>
      </c>
      <c r="AJ14" s="136">
        <f>B242</f>
        <v>5</v>
      </c>
      <c r="AK14" s="52" t="s">
        <v>194</v>
      </c>
      <c r="AL14" s="52" t="s">
        <v>57</v>
      </c>
      <c r="AM14" s="136">
        <f>B242</f>
        <v>5</v>
      </c>
      <c r="AN14" s="52" t="s">
        <v>194</v>
      </c>
      <c r="AO14" s="52" t="s">
        <v>57</v>
      </c>
      <c r="AP14" s="136">
        <f>B242</f>
        <v>5</v>
      </c>
      <c r="AQ14" s="52" t="s">
        <v>194</v>
      </c>
      <c r="AR14" s="52" t="s">
        <v>57</v>
      </c>
      <c r="AS14" s="136">
        <f>B252</f>
        <v>5</v>
      </c>
      <c r="AT14" s="52" t="s">
        <v>194</v>
      </c>
      <c r="AU14" s="52" t="s">
        <v>57</v>
      </c>
      <c r="AV14" s="136">
        <f>B252</f>
        <v>5</v>
      </c>
      <c r="AW14" s="52" t="s">
        <v>194</v>
      </c>
      <c r="AX14" s="52" t="s">
        <v>57</v>
      </c>
      <c r="AY14" s="136">
        <f>B252</f>
        <v>5</v>
      </c>
      <c r="AZ14" s="52" t="s">
        <v>194</v>
      </c>
      <c r="BA14" s="52" t="s">
        <v>57</v>
      </c>
      <c r="BB14" s="136">
        <f>B232</f>
        <v>5</v>
      </c>
      <c r="BC14" s="52" t="s">
        <v>194</v>
      </c>
      <c r="BD14" s="52" t="s">
        <v>57</v>
      </c>
      <c r="BE14" s="136">
        <f>B232</f>
        <v>5</v>
      </c>
      <c r="BF14" s="52" t="s">
        <v>194</v>
      </c>
      <c r="BG14" s="52" t="s">
        <v>58</v>
      </c>
      <c r="BH14" s="136">
        <f>B232</f>
        <v>5</v>
      </c>
      <c r="BI14" s="52" t="s">
        <v>194</v>
      </c>
      <c r="BJ14" s="52" t="s">
        <v>413</v>
      </c>
      <c r="BK14" s="136">
        <f>B4</f>
        <v>0.75600000000000001</v>
      </c>
      <c r="BM14" s="52" t="s">
        <v>414</v>
      </c>
      <c r="BN14" s="136">
        <f>B7</f>
        <v>0.65</v>
      </c>
      <c r="BP14" s="52" t="s">
        <v>416</v>
      </c>
      <c r="BQ14" s="136">
        <f>B11</f>
        <v>0.70099999999999996</v>
      </c>
      <c r="BS14" s="52" t="s">
        <v>432</v>
      </c>
      <c r="BT14" s="141">
        <f>B117</f>
        <v>5</v>
      </c>
      <c r="BU14" s="52" t="s">
        <v>194</v>
      </c>
      <c r="BV14" s="83" t="s">
        <v>439</v>
      </c>
      <c r="BW14" s="146">
        <f>B105</f>
        <v>2</v>
      </c>
      <c r="BX14" s="83" t="s">
        <v>357</v>
      </c>
      <c r="BY14" s="83" t="s">
        <v>261</v>
      </c>
      <c r="BZ14" s="144">
        <f>((BZ5/(BZ7*BZ17*(1/BZ9)*BZ32))*BZ10)/BZ36</f>
        <v>262495291.26462522</v>
      </c>
      <c r="CA14" s="92" t="s">
        <v>290</v>
      </c>
      <c r="CB14" s="52" t="s">
        <v>412</v>
      </c>
      <c r="CC14" s="139">
        <f>B22</f>
        <v>2.1295200000000002E-3</v>
      </c>
      <c r="CD14" s="84" t="s">
        <v>353</v>
      </c>
      <c r="CE14" s="52" t="s">
        <v>415</v>
      </c>
      <c r="CF14" s="139">
        <f>B24</f>
        <v>4.4084799999999998E-4</v>
      </c>
      <c r="CG14" s="84" t="s">
        <v>353</v>
      </c>
      <c r="CH14" s="52" t="s">
        <v>417</v>
      </c>
      <c r="CI14" s="139">
        <f>B26</f>
        <v>1.94272E-3</v>
      </c>
      <c r="CJ14" s="84" t="s">
        <v>353</v>
      </c>
      <c r="CK14" s="84"/>
      <c r="CL14" s="84"/>
      <c r="CM14" s="84"/>
      <c r="CN14" s="52" t="s">
        <v>95</v>
      </c>
      <c r="CO14" s="164">
        <f>B127</f>
        <v>1</v>
      </c>
      <c r="CQ14" s="84"/>
      <c r="CR14" s="84"/>
      <c r="CS14" s="84"/>
      <c r="CT14" s="83" t="s">
        <v>260</v>
      </c>
      <c r="CU14" s="143" t="e">
        <f>((CU5/(CU6*CU25*(1/CU46)))*CU11)/CU49</f>
        <v>#DIV/0!</v>
      </c>
      <c r="CV14" s="92" t="s">
        <v>290</v>
      </c>
      <c r="CW14" s="83" t="s">
        <v>459</v>
      </c>
      <c r="CX14" s="141">
        <f>B146</f>
        <v>10</v>
      </c>
      <c r="CY14" s="92" t="s">
        <v>407</v>
      </c>
      <c r="CZ14" s="83" t="s">
        <v>261</v>
      </c>
      <c r="DA14" s="144">
        <f>(DA5/(DA7*DA25*DA45))/DA51</f>
        <v>0.42666666666666714</v>
      </c>
      <c r="DB14" s="83" t="s">
        <v>291</v>
      </c>
      <c r="DC14" s="83" t="s">
        <v>465</v>
      </c>
      <c r="DD14" s="146">
        <f>B166</f>
        <v>150</v>
      </c>
      <c r="DE14" s="83" t="s">
        <v>24</v>
      </c>
      <c r="DF14" s="92" t="s">
        <v>393</v>
      </c>
      <c r="DG14" s="138">
        <f>B47</f>
        <v>0.26</v>
      </c>
      <c r="DJ14" s="138"/>
      <c r="DL14" s="92"/>
      <c r="DO14" s="92" t="s">
        <v>393</v>
      </c>
      <c r="DP14" s="138">
        <f>B47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B200</f>
        <v>1.03</v>
      </c>
      <c r="DZ14" s="52" t="s">
        <v>286</v>
      </c>
      <c r="EA14" s="52" t="s">
        <v>518</v>
      </c>
      <c r="EB14" s="146">
        <f>B200</f>
        <v>1.03</v>
      </c>
      <c r="EC14" s="52" t="s">
        <v>286</v>
      </c>
      <c r="ED14" s="92" t="s">
        <v>392</v>
      </c>
      <c r="EE14" s="163">
        <f>B48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B168</f>
        <v>1</v>
      </c>
      <c r="EP14" s="92"/>
      <c r="EQ14" s="163"/>
      <c r="ER14" s="84"/>
      <c r="ES14" s="92" t="s">
        <v>392</v>
      </c>
      <c r="ET14" s="163">
        <f>B48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B168</f>
        <v>1</v>
      </c>
      <c r="FE14" s="83"/>
      <c r="FF14" s="142"/>
      <c r="FG14" s="83"/>
      <c r="FH14" s="83" t="s">
        <v>392</v>
      </c>
      <c r="FI14" s="142">
        <f>B48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227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B168</f>
        <v>1</v>
      </c>
      <c r="GI14" s="83"/>
      <c r="GJ14" s="142"/>
      <c r="GK14" s="83"/>
      <c r="GL14" s="83" t="s">
        <v>392</v>
      </c>
      <c r="GM14" s="142">
        <f>B48</f>
        <v>0.25</v>
      </c>
      <c r="GN14" s="84"/>
      <c r="GO14" s="92" t="s">
        <v>484</v>
      </c>
      <c r="GP14" s="146">
        <f>B188</f>
        <v>1</v>
      </c>
      <c r="GR14" s="83"/>
      <c r="GS14" s="83"/>
      <c r="GT14" s="83"/>
      <c r="GU14" s="52" t="s">
        <v>350</v>
      </c>
      <c r="GV14" s="164">
        <f>B168</f>
        <v>1</v>
      </c>
      <c r="GX14" s="83"/>
      <c r="GY14" s="142"/>
      <c r="GZ14" s="83"/>
      <c r="HA14" s="83" t="s">
        <v>392</v>
      </c>
      <c r="HB14" s="142">
        <f>B48</f>
        <v>0.25</v>
      </c>
      <c r="HC14" s="84"/>
      <c r="HD14" s="52" t="s">
        <v>225</v>
      </c>
      <c r="HE14" s="138">
        <v>1</v>
      </c>
    </row>
    <row r="15" spans="1:214" x14ac:dyDescent="0.2">
      <c r="A15" s="375"/>
      <c r="B15" s="376"/>
      <c r="C15" s="377"/>
      <c r="D15" s="52" t="s">
        <v>384</v>
      </c>
      <c r="E15" s="138">
        <f>B71</f>
        <v>24</v>
      </c>
      <c r="F15" s="52" t="s">
        <v>194</v>
      </c>
      <c r="G15" s="83" t="s">
        <v>395</v>
      </c>
      <c r="H15" s="147">
        <f>(H29*H17*H68)+(H30*H18*H69)</f>
        <v>181.875</v>
      </c>
      <c r="I15" s="83" t="s">
        <v>345</v>
      </c>
      <c r="J15" s="83" t="s">
        <v>261</v>
      </c>
      <c r="K15" s="144">
        <f>((K5/(K7*K20*(1/K10)*K45))*K11)/K53</f>
        <v>20051723.638269976</v>
      </c>
      <c r="L15" s="92" t="s">
        <v>290</v>
      </c>
      <c r="M15" s="52" t="s">
        <v>412</v>
      </c>
      <c r="N15" s="139">
        <f>B22</f>
        <v>2.1295200000000002E-3</v>
      </c>
      <c r="O15" s="84" t="s">
        <v>353</v>
      </c>
      <c r="P15" s="52" t="s">
        <v>415</v>
      </c>
      <c r="Q15" s="139">
        <f>B24</f>
        <v>4.4084799999999998E-4</v>
      </c>
      <c r="R15" s="84" t="s">
        <v>353</v>
      </c>
      <c r="S15" s="52" t="s">
        <v>417</v>
      </c>
      <c r="T15" s="139">
        <f>B26</f>
        <v>1.94272E-3</v>
      </c>
      <c r="U15" s="84" t="s">
        <v>353</v>
      </c>
      <c r="V15" s="83" t="s">
        <v>301</v>
      </c>
      <c r="W15" s="142">
        <f>B250</f>
        <v>2</v>
      </c>
      <c r="Y15" s="83" t="s">
        <v>301</v>
      </c>
      <c r="Z15" s="142">
        <f>B230</f>
        <v>2</v>
      </c>
      <c r="AB15" s="83" t="s">
        <v>232</v>
      </c>
      <c r="AC15" s="141">
        <f>B226</f>
        <v>50</v>
      </c>
      <c r="AD15" s="141">
        <f>B236</f>
        <v>50</v>
      </c>
      <c r="AE15" s="141">
        <f>B246</f>
        <v>50</v>
      </c>
      <c r="AF15" s="141">
        <f>B256</f>
        <v>50</v>
      </c>
      <c r="AG15" s="141">
        <f>B268</f>
        <v>50</v>
      </c>
      <c r="AH15" s="92" t="s">
        <v>407</v>
      </c>
      <c r="AI15" s="52" t="s">
        <v>412</v>
      </c>
      <c r="AJ15" s="139">
        <f>B22</f>
        <v>2.1295200000000002E-3</v>
      </c>
      <c r="AK15" s="84" t="s">
        <v>353</v>
      </c>
      <c r="AL15" s="52" t="s">
        <v>415</v>
      </c>
      <c r="AM15" s="139">
        <f>B24</f>
        <v>4.4084799999999998E-4</v>
      </c>
      <c r="AN15" s="84" t="s">
        <v>353</v>
      </c>
      <c r="AO15" s="52" t="s">
        <v>417</v>
      </c>
      <c r="AP15" s="139">
        <f>B26</f>
        <v>1.94272E-3</v>
      </c>
      <c r="AQ15" s="84" t="s">
        <v>353</v>
      </c>
      <c r="AR15" s="52" t="s">
        <v>412</v>
      </c>
      <c r="AS15" s="139">
        <f>B22</f>
        <v>2.1295200000000002E-3</v>
      </c>
      <c r="AT15" s="84" t="s">
        <v>353</v>
      </c>
      <c r="AU15" s="52" t="s">
        <v>415</v>
      </c>
      <c r="AV15" s="139">
        <f>B24</f>
        <v>4.4084799999999998E-4</v>
      </c>
      <c r="AW15" s="84" t="s">
        <v>353</v>
      </c>
      <c r="AX15" s="52" t="s">
        <v>417</v>
      </c>
      <c r="AY15" s="139">
        <f>B26</f>
        <v>1.94272E-3</v>
      </c>
      <c r="AZ15" s="84" t="s">
        <v>353</v>
      </c>
      <c r="BA15" s="52" t="s">
        <v>412</v>
      </c>
      <c r="BB15" s="139">
        <f>B22</f>
        <v>2.1295200000000002E-3</v>
      </c>
      <c r="BC15" s="84" t="s">
        <v>353</v>
      </c>
      <c r="BD15" s="52" t="s">
        <v>415</v>
      </c>
      <c r="BE15" s="139">
        <f>B24</f>
        <v>4.4084799999999998E-4</v>
      </c>
      <c r="BF15" s="84" t="s">
        <v>353</v>
      </c>
      <c r="BG15" s="52" t="s">
        <v>417</v>
      </c>
      <c r="BH15" s="139">
        <f>B26</f>
        <v>1.94272E-3</v>
      </c>
      <c r="BI15" s="84" t="s">
        <v>353</v>
      </c>
      <c r="BJ15" s="52" t="s">
        <v>57</v>
      </c>
      <c r="BK15" s="136">
        <f>B262</f>
        <v>5</v>
      </c>
      <c r="BL15" s="52" t="s">
        <v>194</v>
      </c>
      <c r="BM15" s="52" t="s">
        <v>57</v>
      </c>
      <c r="BN15" s="136">
        <f>B262</f>
        <v>5</v>
      </c>
      <c r="BO15" s="52" t="s">
        <v>194</v>
      </c>
      <c r="BP15" s="52" t="s">
        <v>57</v>
      </c>
      <c r="BQ15" s="136">
        <f>B262</f>
        <v>5</v>
      </c>
      <c r="BR15" s="52" t="s">
        <v>194</v>
      </c>
      <c r="BS15" s="52" t="s">
        <v>90</v>
      </c>
      <c r="BT15" s="138">
        <f>B118</f>
        <v>5</v>
      </c>
      <c r="BU15" s="52" t="s">
        <v>194</v>
      </c>
      <c r="BV15" s="83" t="s">
        <v>438</v>
      </c>
      <c r="BW15" s="146">
        <f>B106</f>
        <v>2</v>
      </c>
      <c r="BX15" s="83" t="s">
        <v>357</v>
      </c>
      <c r="BY15" s="83" t="s">
        <v>262</v>
      </c>
      <c r="BZ15" s="145">
        <f>(((BZ5)/(BZ8*BZ22*(1/BZ31)*BZ25*(1/24)*BZ28*BZ29))*BZ10)/BZ36</f>
        <v>712238.93026972457</v>
      </c>
      <c r="CA15" s="92" t="s">
        <v>290</v>
      </c>
      <c r="CB15" s="95" t="s">
        <v>287</v>
      </c>
      <c r="CC15" s="176">
        <v>27.027027027027</v>
      </c>
      <c r="CD15" s="52" t="s">
        <v>288</v>
      </c>
      <c r="CE15" s="95" t="s">
        <v>287</v>
      </c>
      <c r="CF15" s="176">
        <v>27.027027027027</v>
      </c>
      <c r="CG15" s="52" t="s">
        <v>288</v>
      </c>
      <c r="CH15" s="95" t="s">
        <v>287</v>
      </c>
      <c r="CI15" s="176">
        <v>27.027027027027</v>
      </c>
      <c r="CJ15" s="52" t="s">
        <v>288</v>
      </c>
      <c r="CN15" s="83" t="s">
        <v>22</v>
      </c>
      <c r="CO15" s="137">
        <f>0.693/CO16</f>
        <v>66.155354824913829</v>
      </c>
      <c r="CT15" s="83" t="s">
        <v>261</v>
      </c>
      <c r="CU15" s="144">
        <f>((CU5/(CU7*CU26*(1/CU10)*CU45))*CU11)/CU49</f>
        <v>19184622.075533982</v>
      </c>
      <c r="CV15" s="92" t="s">
        <v>290</v>
      </c>
      <c r="CW15" s="52" t="s">
        <v>365</v>
      </c>
      <c r="CX15" s="138">
        <f>B170</f>
        <v>24</v>
      </c>
      <c r="CY15" s="52" t="s">
        <v>194</v>
      </c>
      <c r="CZ15" s="83" t="s">
        <v>266</v>
      </c>
      <c r="DA15" s="153">
        <f>(DA5/(DA8*DA26*(DA46/DA47)))/DA51</f>
        <v>80.959209267416654</v>
      </c>
      <c r="DB15" s="83" t="s">
        <v>291</v>
      </c>
      <c r="DC15" s="83" t="s">
        <v>456</v>
      </c>
      <c r="DD15" s="146">
        <f>B165</f>
        <v>150</v>
      </c>
      <c r="DE15" s="83" t="s">
        <v>24</v>
      </c>
      <c r="DF15" s="92" t="s">
        <v>61</v>
      </c>
      <c r="DG15" s="138">
        <f>B193</f>
        <v>0.42</v>
      </c>
      <c r="DH15" s="52" t="s">
        <v>41</v>
      </c>
      <c r="DL15" s="92"/>
      <c r="DO15" s="92" t="s">
        <v>61</v>
      </c>
      <c r="DP15" s="138">
        <f>B193</f>
        <v>0.42</v>
      </c>
      <c r="DQ15" s="52" t="s">
        <v>41</v>
      </c>
      <c r="DR15" s="92" t="s">
        <v>479</v>
      </c>
      <c r="DS15" s="146">
        <f>B183</f>
        <v>1</v>
      </c>
      <c r="DU15" s="92"/>
      <c r="DX15" s="52" t="s">
        <v>350</v>
      </c>
      <c r="DY15" s="164">
        <f>B168</f>
        <v>1</v>
      </c>
      <c r="EA15" s="92"/>
      <c r="EB15" s="84"/>
      <c r="EC15" s="84"/>
      <c r="ED15" s="83" t="s">
        <v>27</v>
      </c>
      <c r="EE15" s="142">
        <f>B199</f>
        <v>92</v>
      </c>
      <c r="EF15" s="83" t="s">
        <v>28</v>
      </c>
      <c r="EG15" s="92" t="s">
        <v>480</v>
      </c>
      <c r="EH15" s="146">
        <f>B184</f>
        <v>1</v>
      </c>
      <c r="EJ15" s="92"/>
      <c r="EM15" s="83" t="s">
        <v>22</v>
      </c>
      <c r="EN15" s="137">
        <f>0.693/EN16</f>
        <v>66.155354824913829</v>
      </c>
      <c r="EP15" s="92"/>
      <c r="EQ15" s="84"/>
      <c r="ER15" s="84"/>
      <c r="ES15" s="83" t="s">
        <v>29</v>
      </c>
      <c r="ET15" s="142">
        <f>B205</f>
        <v>53</v>
      </c>
      <c r="EU15" s="83" t="s">
        <v>28</v>
      </c>
      <c r="EV15" s="92" t="s">
        <v>481</v>
      </c>
      <c r="EW15" s="146">
        <f>B185</f>
        <v>1</v>
      </c>
      <c r="EY15" s="83"/>
      <c r="EZ15" s="83"/>
      <c r="FA15" s="83"/>
      <c r="FB15" s="83" t="s">
        <v>22</v>
      </c>
      <c r="FC15" s="137">
        <f>0.693/FC16</f>
        <v>66.155354824913829</v>
      </c>
      <c r="FE15" s="83"/>
      <c r="FF15" s="83"/>
      <c r="FG15" s="83"/>
      <c r="FH15" s="83" t="s">
        <v>148</v>
      </c>
      <c r="FI15" s="164">
        <f>B210</f>
        <v>0.4</v>
      </c>
      <c r="FJ15" s="83" t="s">
        <v>28</v>
      </c>
      <c r="FK15" s="92" t="s">
        <v>482</v>
      </c>
      <c r="FL15" s="146">
        <f>B186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B187</f>
        <v>1</v>
      </c>
      <c r="GC15" s="83"/>
      <c r="GD15" s="83"/>
      <c r="GE15" s="83"/>
      <c r="GF15" s="83" t="s">
        <v>22</v>
      </c>
      <c r="GG15" s="137">
        <f>0.693/GG16</f>
        <v>66.155354824913829</v>
      </c>
      <c r="GI15" s="83"/>
      <c r="GJ15" s="83"/>
      <c r="GK15" s="83"/>
      <c r="GL15" s="83" t="s">
        <v>149</v>
      </c>
      <c r="GM15" s="164">
        <f>B215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66.155354824913829</v>
      </c>
      <c r="GX15" s="83"/>
      <c r="GY15" s="83"/>
      <c r="GZ15" s="83"/>
      <c r="HA15" s="83" t="s">
        <v>150</v>
      </c>
      <c r="HB15" s="142">
        <f>B220</f>
        <v>11.4</v>
      </c>
      <c r="HC15" s="83" t="s">
        <v>28</v>
      </c>
      <c r="HD15" s="84"/>
      <c r="HE15" s="138"/>
    </row>
    <row r="16" spans="1:214" s="83" customFormat="1" ht="13.5" thickBot="1" x14ac:dyDescent="0.25">
      <c r="A16" s="378"/>
      <c r="B16" s="379"/>
      <c r="C16" s="380"/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1327.5</v>
      </c>
      <c r="I16" s="83" t="s">
        <v>426</v>
      </c>
      <c r="J16" s="83" t="s">
        <v>262</v>
      </c>
      <c r="K16" s="144">
        <f>((K5/(K8*K42*((K37*K41*(1/K35))+(K38*K40*(1/K35)))*K32*(1/K44)*K33))*K11)/K53</f>
        <v>8587.2778826846243</v>
      </c>
      <c r="L16" s="92" t="s">
        <v>290</v>
      </c>
      <c r="M16" s="52" t="s">
        <v>409</v>
      </c>
      <c r="N16" s="150">
        <f>B89</f>
        <v>25</v>
      </c>
      <c r="O16" s="52" t="s">
        <v>194</v>
      </c>
      <c r="P16" s="52" t="s">
        <v>409</v>
      </c>
      <c r="Q16" s="150">
        <f>B89</f>
        <v>25</v>
      </c>
      <c r="R16" s="52" t="s">
        <v>194</v>
      </c>
      <c r="S16" s="52" t="s">
        <v>409</v>
      </c>
      <c r="T16" s="150">
        <f>B89</f>
        <v>25</v>
      </c>
      <c r="U16" s="52" t="s">
        <v>194</v>
      </c>
      <c r="V16" s="52" t="s">
        <v>261</v>
      </c>
      <c r="W16" s="143">
        <f>((W5)/((W12/24)*W9*W10*W11*W13))/W20</f>
        <v>0.2273280000000002</v>
      </c>
      <c r="X16" s="52" t="s">
        <v>15</v>
      </c>
      <c r="Y16" s="52" t="s">
        <v>261</v>
      </c>
      <c r="Z16" s="143">
        <f>((Z5)/((Z12/24)*Z9*Z10*Z11*Z13))/Z20</f>
        <v>0.2273280000000002</v>
      </c>
      <c r="AA16" s="52" t="s">
        <v>15</v>
      </c>
      <c r="AB16" s="83" t="s">
        <v>299</v>
      </c>
      <c r="AC16" s="141">
        <f>B231</f>
        <v>1</v>
      </c>
      <c r="AD16" s="141">
        <f>B241</f>
        <v>1</v>
      </c>
      <c r="AE16" s="141">
        <f>B251</f>
        <v>1</v>
      </c>
      <c r="AF16" s="141">
        <f>B261</f>
        <v>1</v>
      </c>
      <c r="AG16" s="141">
        <f>B272</f>
        <v>1</v>
      </c>
      <c r="AH16" s="92"/>
      <c r="AI16" s="52" t="s">
        <v>69</v>
      </c>
      <c r="AJ16" s="136">
        <f>B243</f>
        <v>5</v>
      </c>
      <c r="AK16" s="52" t="s">
        <v>194</v>
      </c>
      <c r="AL16" s="52" t="s">
        <v>69</v>
      </c>
      <c r="AM16" s="136">
        <f>B243</f>
        <v>5</v>
      </c>
      <c r="AN16" s="52" t="s">
        <v>194</v>
      </c>
      <c r="AO16" s="52" t="s">
        <v>69</v>
      </c>
      <c r="AP16" s="136">
        <f>B243</f>
        <v>5</v>
      </c>
      <c r="AQ16" s="52" t="s">
        <v>194</v>
      </c>
      <c r="AR16" s="52" t="s">
        <v>69</v>
      </c>
      <c r="AS16" s="136">
        <f>B253</f>
        <v>5</v>
      </c>
      <c r="AT16" s="52" t="s">
        <v>194</v>
      </c>
      <c r="AU16" s="52" t="s">
        <v>69</v>
      </c>
      <c r="AV16" s="136">
        <f>B253</f>
        <v>5</v>
      </c>
      <c r="AW16" s="52" t="s">
        <v>194</v>
      </c>
      <c r="AX16" s="52" t="s">
        <v>69</v>
      </c>
      <c r="AY16" s="136">
        <f>B253</f>
        <v>5</v>
      </c>
      <c r="AZ16" s="52" t="s">
        <v>194</v>
      </c>
      <c r="BA16" s="52" t="s">
        <v>69</v>
      </c>
      <c r="BB16" s="136">
        <f>B233</f>
        <v>5</v>
      </c>
      <c r="BC16" s="52" t="s">
        <v>194</v>
      </c>
      <c r="BD16" s="52" t="s">
        <v>69</v>
      </c>
      <c r="BE16" s="136">
        <f>B233</f>
        <v>5</v>
      </c>
      <c r="BF16" s="52" t="s">
        <v>194</v>
      </c>
      <c r="BG16" s="52" t="s">
        <v>69</v>
      </c>
      <c r="BH16" s="136">
        <f>B233</f>
        <v>5</v>
      </c>
      <c r="BI16" s="52" t="s">
        <v>194</v>
      </c>
      <c r="BJ16" s="52" t="s">
        <v>412</v>
      </c>
      <c r="BK16" s="139">
        <f>B22</f>
        <v>2.1295200000000002E-3</v>
      </c>
      <c r="BL16" s="84" t="s">
        <v>353</v>
      </c>
      <c r="BM16" s="52" t="s">
        <v>415</v>
      </c>
      <c r="BN16" s="139">
        <f>B24</f>
        <v>4.4084799999999998E-4</v>
      </c>
      <c r="BO16" s="84" t="s">
        <v>353</v>
      </c>
      <c r="BP16" s="52" t="s">
        <v>417</v>
      </c>
      <c r="BQ16" s="139">
        <f>B26</f>
        <v>1.94272E-3</v>
      </c>
      <c r="BR16" s="84" t="s">
        <v>353</v>
      </c>
      <c r="BS16" s="83" t="s">
        <v>256</v>
      </c>
      <c r="BT16" s="136">
        <f>E17</f>
        <v>3.2316400000000001</v>
      </c>
      <c r="BU16" s="83" t="s">
        <v>343</v>
      </c>
      <c r="BV16" s="83" t="s">
        <v>437</v>
      </c>
      <c r="BW16" s="140">
        <f>((BW18*BW20*BW23*BW30)+(BW19*BW21*BW24*BW31))</f>
        <v>1375</v>
      </c>
      <c r="BX16" s="83" t="s">
        <v>356</v>
      </c>
      <c r="BY16" s="83" t="s">
        <v>46</v>
      </c>
      <c r="BZ16" s="149">
        <f>(BZ18*BZ22*BZ34)+(BZ19*BZ23*BZ35)</f>
        <v>3382.5</v>
      </c>
      <c r="CA16" s="83" t="s">
        <v>346</v>
      </c>
      <c r="CN16" s="91" t="s">
        <v>231</v>
      </c>
      <c r="CO16" s="136">
        <f>B30</f>
        <v>1.04753425E-2</v>
      </c>
      <c r="CP16" s="52" t="s">
        <v>60</v>
      </c>
      <c r="CT16" s="83" t="s">
        <v>262</v>
      </c>
      <c r="CU16" s="144">
        <f>((CU5/(CU8*CU42*((CU37*CU41*(1/24))+(CU38*CU40*(1/24)))*CU32*(1/CU44)))*CU11)/CU49</f>
        <v>14749.576961288873</v>
      </c>
      <c r="CV16" s="92" t="s">
        <v>290</v>
      </c>
      <c r="CW16" s="52" t="s">
        <v>364</v>
      </c>
      <c r="CX16" s="138">
        <f>B169</f>
        <v>24</v>
      </c>
      <c r="CY16" s="52" t="s">
        <v>194</v>
      </c>
      <c r="CZ16" s="83" t="s">
        <v>512</v>
      </c>
      <c r="DA16" s="153" t="e">
        <f>DG2</f>
        <v>#DIV/0!</v>
      </c>
      <c r="DB16" s="83" t="s">
        <v>291</v>
      </c>
      <c r="DC16" s="83" t="s">
        <v>363</v>
      </c>
      <c r="DD16" s="146">
        <f>B168</f>
        <v>1</v>
      </c>
      <c r="DE16" s="83" t="s">
        <v>60</v>
      </c>
      <c r="DF16" s="92" t="s">
        <v>63</v>
      </c>
      <c r="DG16" s="151">
        <f>DG20+(0.693/DG22)</f>
        <v>0.23074754746551734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66.155354824913829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B30</f>
        <v>1.04753425E-2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B30</f>
        <v>1.04753425E-2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B30</f>
        <v>1.04753425E-2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B163</f>
        <v>0.15</v>
      </c>
      <c r="GQ16" s="52"/>
      <c r="GU16" s="91" t="s">
        <v>231</v>
      </c>
      <c r="GV16" s="136">
        <f>B30</f>
        <v>1.04753425E-2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  <c r="HE16" s="142"/>
    </row>
    <row r="17" spans="1:214" ht="14.25" thickTop="1" thickBot="1" x14ac:dyDescent="0.25">
      <c r="A17" s="52" t="s">
        <v>267</v>
      </c>
      <c r="B17" s="129">
        <v>1</v>
      </c>
      <c r="C17" s="52" t="s">
        <v>344</v>
      </c>
      <c r="D17" s="83" t="s">
        <v>256</v>
      </c>
      <c r="E17" s="136">
        <f>B27</f>
        <v>3.2316400000000001</v>
      </c>
      <c r="F17" s="83" t="s">
        <v>343</v>
      </c>
      <c r="G17" s="83" t="s">
        <v>370</v>
      </c>
      <c r="H17" s="146">
        <f>B54</f>
        <v>0.25</v>
      </c>
      <c r="I17" s="52" t="s">
        <v>28</v>
      </c>
      <c r="J17" s="83" t="s">
        <v>263</v>
      </c>
      <c r="K17" s="153" t="e">
        <f>((K18/(K47+K48))*K11)/K53</f>
        <v>#DIV/0!</v>
      </c>
      <c r="L17" s="92" t="s">
        <v>290</v>
      </c>
      <c r="M17" s="95" t="s">
        <v>287</v>
      </c>
      <c r="N17" s="176">
        <v>27.027027027027</v>
      </c>
      <c r="O17" s="52" t="s">
        <v>288</v>
      </c>
      <c r="P17" s="95" t="s">
        <v>287</v>
      </c>
      <c r="Q17" s="176">
        <v>27.027027027027</v>
      </c>
      <c r="R17" s="52" t="s">
        <v>288</v>
      </c>
      <c r="S17" s="95" t="s">
        <v>287</v>
      </c>
      <c r="T17" s="176">
        <v>27.027027027027</v>
      </c>
      <c r="U17" s="52" t="s">
        <v>288</v>
      </c>
      <c r="V17" s="52" t="s">
        <v>271</v>
      </c>
      <c r="W17" s="144">
        <f>((W5)/((W12/24)*W9*W14*(1/365)))/W20</f>
        <v>0.16047332004802531</v>
      </c>
      <c r="X17" s="52" t="s">
        <v>15</v>
      </c>
      <c r="Y17" s="52" t="s">
        <v>271</v>
      </c>
      <c r="Z17" s="144">
        <f>((Z5)/((Z12/24)*Z9*Z14*(1/365)))/Z20</f>
        <v>0.16047332004802531</v>
      </c>
      <c r="AA17" s="52" t="s">
        <v>15</v>
      </c>
      <c r="AB17" s="83" t="s">
        <v>413</v>
      </c>
      <c r="AC17" s="161">
        <f>B4</f>
        <v>0.75600000000000001</v>
      </c>
      <c r="AD17" s="161">
        <f>B4</f>
        <v>0.75600000000000001</v>
      </c>
      <c r="AE17" s="161">
        <f>B4</f>
        <v>0.75600000000000001</v>
      </c>
      <c r="AF17" s="161">
        <f>B4</f>
        <v>0.75600000000000001</v>
      </c>
      <c r="AG17" s="161">
        <f>B4</f>
        <v>0.75600000000000001</v>
      </c>
      <c r="AH17" s="92"/>
      <c r="AI17" s="95" t="s">
        <v>287</v>
      </c>
      <c r="AJ17" s="176">
        <v>27.027027027027</v>
      </c>
      <c r="AK17" s="52" t="s">
        <v>288</v>
      </c>
      <c r="AL17" s="95" t="s">
        <v>287</v>
      </c>
      <c r="AM17" s="176">
        <v>27.027027027027</v>
      </c>
      <c r="AN17" s="52" t="s">
        <v>288</v>
      </c>
      <c r="AO17" s="95" t="s">
        <v>287</v>
      </c>
      <c r="AP17" s="176">
        <v>27.027027027027</v>
      </c>
      <c r="AQ17" s="52" t="s">
        <v>288</v>
      </c>
      <c r="AR17" s="95" t="s">
        <v>287</v>
      </c>
      <c r="AS17" s="176">
        <v>27.027027027027</v>
      </c>
      <c r="AT17" s="52" t="s">
        <v>288</v>
      </c>
      <c r="AU17" s="95" t="s">
        <v>287</v>
      </c>
      <c r="AV17" s="176">
        <v>27.027027027027</v>
      </c>
      <c r="AW17" s="52" t="s">
        <v>288</v>
      </c>
      <c r="AX17" s="95" t="s">
        <v>287</v>
      </c>
      <c r="AY17" s="176">
        <v>27.027027027027</v>
      </c>
      <c r="AZ17" s="52" t="s">
        <v>288</v>
      </c>
      <c r="BA17" s="95" t="s">
        <v>287</v>
      </c>
      <c r="BB17" s="176">
        <v>27.027027027027</v>
      </c>
      <c r="BC17" s="52" t="s">
        <v>288</v>
      </c>
      <c r="BD17" s="95" t="s">
        <v>287</v>
      </c>
      <c r="BE17" s="176">
        <v>27.027027027027</v>
      </c>
      <c r="BF17" s="52" t="s">
        <v>288</v>
      </c>
      <c r="BG17" s="95" t="s">
        <v>287</v>
      </c>
      <c r="BH17" s="176">
        <v>27.027027027027</v>
      </c>
      <c r="BI17" s="52" t="s">
        <v>288</v>
      </c>
      <c r="BJ17" s="95" t="s">
        <v>287</v>
      </c>
      <c r="BK17" s="176">
        <v>27.027027027027</v>
      </c>
      <c r="BL17" s="52" t="s">
        <v>288</v>
      </c>
      <c r="BM17" s="95" t="s">
        <v>287</v>
      </c>
      <c r="BN17" s="176">
        <v>27.027027027027</v>
      </c>
      <c r="BO17" s="52" t="s">
        <v>288</v>
      </c>
      <c r="BP17" s="95" t="s">
        <v>287</v>
      </c>
      <c r="BQ17" s="176">
        <v>27.027027027027</v>
      </c>
      <c r="BR17" s="52" t="s">
        <v>288</v>
      </c>
      <c r="BS17" s="83" t="s">
        <v>301</v>
      </c>
      <c r="BT17" s="142">
        <f>B121</f>
        <v>2</v>
      </c>
      <c r="BV17" s="83" t="s">
        <v>65</v>
      </c>
      <c r="BW17" s="141">
        <f>B126</f>
        <v>0.5</v>
      </c>
      <c r="BX17" s="52" t="s">
        <v>66</v>
      </c>
      <c r="BY17" s="83" t="s">
        <v>43</v>
      </c>
      <c r="BZ17" s="149">
        <f>(BZ24*BZ20*(BZ26/24)*BZ34)+(BZ23*BZ21*(BZ27/24)*BZ35)</f>
        <v>101.40625</v>
      </c>
      <c r="CA17" s="52" t="s">
        <v>426</v>
      </c>
      <c r="CN17" s="84" t="s">
        <v>16</v>
      </c>
      <c r="CO17" s="137">
        <f>(CO14*CO15)/(1-EXP(-CO15*CO14))</f>
        <v>66.155354824913829</v>
      </c>
      <c r="CT17" s="83" t="s">
        <v>263</v>
      </c>
      <c r="CU17" s="153" t="e">
        <f>DJ2</f>
        <v>#DIV/0!</v>
      </c>
      <c r="CV17" s="92" t="s">
        <v>290</v>
      </c>
      <c r="CW17" s="83" t="s">
        <v>256</v>
      </c>
      <c r="CX17" s="136">
        <f>B27</f>
        <v>3.2316400000000001</v>
      </c>
      <c r="CY17" s="83" t="s">
        <v>343</v>
      </c>
      <c r="CZ17" s="83" t="s">
        <v>511</v>
      </c>
      <c r="DA17" s="153" t="e">
        <f>DD2</f>
        <v>#DIV/0!</v>
      </c>
      <c r="DB17" s="83" t="s">
        <v>290</v>
      </c>
      <c r="DC17" s="93"/>
      <c r="DD17" s="136">
        <v>9.9999999999999995E-7</v>
      </c>
      <c r="DE17" s="88"/>
      <c r="DF17" s="92" t="s">
        <v>67</v>
      </c>
      <c r="DG17" s="142">
        <f>B194</f>
        <v>60</v>
      </c>
      <c r="DH17" s="83" t="s">
        <v>53</v>
      </c>
      <c r="DL17" s="92"/>
      <c r="DM17" s="83"/>
      <c r="DN17" s="83"/>
      <c r="DO17" s="92" t="s">
        <v>67</v>
      </c>
      <c r="DP17" s="142">
        <f>B194</f>
        <v>60</v>
      </c>
      <c r="DQ17" s="83" t="s">
        <v>53</v>
      </c>
      <c r="DR17" s="83" t="s">
        <v>475</v>
      </c>
      <c r="DS17" s="146">
        <f>B163</f>
        <v>0.15</v>
      </c>
      <c r="DU17" s="92"/>
      <c r="DV17" s="87"/>
      <c r="DW17" s="83"/>
      <c r="DX17" s="91" t="s">
        <v>231</v>
      </c>
      <c r="DY17" s="136">
        <f>B30</f>
        <v>1.04753425E-2</v>
      </c>
      <c r="DZ17" s="52" t="s">
        <v>60</v>
      </c>
      <c r="EA17" s="92"/>
      <c r="EB17" s="83"/>
      <c r="EC17" s="83"/>
      <c r="ED17" s="92" t="s">
        <v>67</v>
      </c>
      <c r="EE17" s="142">
        <f>B194</f>
        <v>60</v>
      </c>
      <c r="EF17" s="83" t="s">
        <v>53</v>
      </c>
      <c r="EG17" s="83" t="s">
        <v>475</v>
      </c>
      <c r="EH17" s="146">
        <f>B163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66.155354824913829</v>
      </c>
      <c r="EP17" s="92"/>
      <c r="EQ17" s="83"/>
      <c r="ER17" s="83"/>
      <c r="ES17" s="92" t="s">
        <v>67</v>
      </c>
      <c r="ET17" s="142">
        <f>B194</f>
        <v>60</v>
      </c>
      <c r="EU17" s="83" t="s">
        <v>53</v>
      </c>
      <c r="EV17" s="83" t="s">
        <v>475</v>
      </c>
      <c r="EW17" s="141">
        <f>B163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66.155354824913829</v>
      </c>
      <c r="FE17" s="83"/>
      <c r="FF17" s="83"/>
      <c r="FG17" s="83"/>
      <c r="FH17" s="83" t="s">
        <v>67</v>
      </c>
      <c r="FI17" s="142">
        <f>B194</f>
        <v>60</v>
      </c>
      <c r="FJ17" s="83" t="s">
        <v>53</v>
      </c>
      <c r="FK17" s="83" t="s">
        <v>475</v>
      </c>
      <c r="FL17" s="141">
        <f>B163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B163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66.155354824913829</v>
      </c>
      <c r="GI17" s="83"/>
      <c r="GJ17" s="83"/>
      <c r="GK17" s="83"/>
      <c r="GL17" s="83" t="s">
        <v>67</v>
      </c>
      <c r="GM17" s="142">
        <f>B194</f>
        <v>60</v>
      </c>
      <c r="GN17" s="83" t="s">
        <v>53</v>
      </c>
      <c r="GO17" s="83" t="s">
        <v>476</v>
      </c>
      <c r="GP17" s="141">
        <f>B164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66.155354824913829</v>
      </c>
      <c r="GX17" s="83"/>
      <c r="GY17" s="83"/>
      <c r="GZ17" s="83"/>
      <c r="HA17" s="83" t="s">
        <v>67</v>
      </c>
      <c r="HB17" s="142">
        <f>B194</f>
        <v>60</v>
      </c>
      <c r="HC17" s="83" t="s">
        <v>53</v>
      </c>
      <c r="HD17" s="84"/>
      <c r="HE17" s="163"/>
    </row>
    <row r="18" spans="1:214" ht="19.5" thickTop="1" thickBot="1" x14ac:dyDescent="0.25">
      <c r="A18" s="83" t="s">
        <v>247</v>
      </c>
      <c r="B18" s="180">
        <v>1.25E-4</v>
      </c>
      <c r="C18" s="84" t="s">
        <v>259</v>
      </c>
      <c r="D18" s="83" t="s">
        <v>301</v>
      </c>
      <c r="E18" s="142">
        <f>B72</f>
        <v>2</v>
      </c>
      <c r="G18" s="83" t="s">
        <v>371</v>
      </c>
      <c r="H18" s="146">
        <f>B55</f>
        <v>1.5</v>
      </c>
      <c r="I18" s="52" t="s">
        <v>28</v>
      </c>
      <c r="J18" s="83" t="s">
        <v>264</v>
      </c>
      <c r="K18" s="154" t="e">
        <f>(K5/(K9*(K25+K28)*K36))/K53</f>
        <v>#DIV/0!</v>
      </c>
      <c r="L18" s="92" t="s">
        <v>290</v>
      </c>
      <c r="V18" s="52" t="s">
        <v>261</v>
      </c>
      <c r="W18" s="144">
        <f>((W5*W7*W6)/((W12/24)*(1-EXP(-W7*W10))*W11*W13*W9*W10))/W20</f>
        <v>15.038964501638025</v>
      </c>
      <c r="X18" s="52" t="s">
        <v>16</v>
      </c>
      <c r="Y18" s="52" t="s">
        <v>261</v>
      </c>
      <c r="Z18" s="144">
        <f>((Z5*Z7*Z6)/((Z12/24)*(1-EXP(-Z7*Z10))*Z11*Z13*Z9*Z10))/Z20</f>
        <v>15.038964501638025</v>
      </c>
      <c r="AA18" s="52" t="s">
        <v>16</v>
      </c>
      <c r="AB18" s="83" t="s">
        <v>412</v>
      </c>
      <c r="AC18" s="136">
        <f>B22</f>
        <v>2.1295200000000002E-3</v>
      </c>
      <c r="AD18" s="136">
        <f>B22</f>
        <v>2.1295200000000002E-3</v>
      </c>
      <c r="AE18" s="136">
        <f>B22</f>
        <v>2.1295200000000002E-3</v>
      </c>
      <c r="AF18" s="136">
        <f>B22</f>
        <v>2.1295200000000002E-3</v>
      </c>
      <c r="AG18" s="136">
        <f>B22</f>
        <v>2.1295200000000002E-3</v>
      </c>
      <c r="AH18" s="83" t="s">
        <v>351</v>
      </c>
      <c r="BS18" s="52" t="s">
        <v>261</v>
      </c>
      <c r="BT18" s="143">
        <f>((BT5)/(BT9*BT10))/BT27</f>
        <v>2.9189522342064746</v>
      </c>
      <c r="BU18" s="52" t="s">
        <v>15</v>
      </c>
      <c r="BV18" s="83" t="s">
        <v>433</v>
      </c>
      <c r="BW18" s="150">
        <f>B122</f>
        <v>55</v>
      </c>
      <c r="BX18" s="83" t="s">
        <v>24</v>
      </c>
      <c r="BY18" s="83" t="s">
        <v>441</v>
      </c>
      <c r="BZ18" s="146">
        <f>B107</f>
        <v>100</v>
      </c>
      <c r="CA18" s="84" t="s">
        <v>48</v>
      </c>
      <c r="CB18" s="274" t="s">
        <v>572</v>
      </c>
      <c r="CC18" s="270"/>
      <c r="CD18" s="270"/>
      <c r="CE18" s="271" t="s">
        <v>573</v>
      </c>
      <c r="CF18" s="270"/>
      <c r="CG18" s="273"/>
      <c r="CH18" s="83"/>
      <c r="CI18" s="83"/>
      <c r="CJ18" s="83"/>
      <c r="CT18" s="83" t="s">
        <v>264</v>
      </c>
      <c r="CU18" s="153" t="e">
        <f>DD2</f>
        <v>#DIV/0!</v>
      </c>
      <c r="CV18" s="92" t="s">
        <v>290</v>
      </c>
      <c r="CW18" s="83" t="s">
        <v>301</v>
      </c>
      <c r="CX18" s="142">
        <f>B176</f>
        <v>2</v>
      </c>
      <c r="CZ18" s="91" t="s">
        <v>272</v>
      </c>
      <c r="DA18" s="144" t="e">
        <f>EZ2</f>
        <v>#DIV/0!</v>
      </c>
      <c r="DB18" s="83" t="s">
        <v>290</v>
      </c>
      <c r="DC18" s="88"/>
      <c r="DD18" s="136">
        <v>1000</v>
      </c>
      <c r="DE18" s="92" t="s">
        <v>99</v>
      </c>
      <c r="DF18" s="92" t="s">
        <v>68</v>
      </c>
      <c r="DG18" s="142">
        <f>B195</f>
        <v>2</v>
      </c>
      <c r="DH18" s="83" t="s">
        <v>56</v>
      </c>
      <c r="DL18" s="92"/>
      <c r="DM18" s="83"/>
      <c r="DN18" s="83"/>
      <c r="DO18" s="92" t="s">
        <v>68</v>
      </c>
      <c r="DP18" s="142">
        <f>B195</f>
        <v>2</v>
      </c>
      <c r="DQ18" s="83" t="s">
        <v>56</v>
      </c>
      <c r="DR18" s="83" t="s">
        <v>476</v>
      </c>
      <c r="DS18" s="146">
        <f>B164</f>
        <v>0.85</v>
      </c>
      <c r="DU18" s="92"/>
      <c r="DV18" s="83"/>
      <c r="DW18" s="83"/>
      <c r="DX18" s="84" t="s">
        <v>16</v>
      </c>
      <c r="DY18" s="137">
        <f>(DY15*DY16)/(1-EXP(-DY16*DY15))</f>
        <v>66.155354824913829</v>
      </c>
      <c r="EA18" s="92"/>
      <c r="EB18" s="83"/>
      <c r="EC18" s="83"/>
      <c r="ED18" s="92" t="s">
        <v>68</v>
      </c>
      <c r="EE18" s="142">
        <f>B195</f>
        <v>2</v>
      </c>
      <c r="EF18" s="83" t="s">
        <v>56</v>
      </c>
      <c r="EG18" s="83" t="s">
        <v>476</v>
      </c>
      <c r="EH18" s="146">
        <f>B164</f>
        <v>0.85</v>
      </c>
      <c r="EJ18" s="92"/>
      <c r="EK18" s="83"/>
      <c r="EL18" s="83"/>
      <c r="EN18" s="138"/>
      <c r="EP18" s="92"/>
      <c r="EQ18" s="83"/>
      <c r="ER18" s="83"/>
      <c r="ES18" s="92" t="s">
        <v>68</v>
      </c>
      <c r="ET18" s="142">
        <f>B195</f>
        <v>2</v>
      </c>
      <c r="EU18" s="83" t="s">
        <v>56</v>
      </c>
      <c r="EV18" s="83" t="s">
        <v>476</v>
      </c>
      <c r="EW18" s="141">
        <f>B164</f>
        <v>0.85</v>
      </c>
      <c r="EX18" s="92"/>
      <c r="EY18" s="83"/>
      <c r="EZ18" s="83"/>
      <c r="FA18" s="83"/>
      <c r="FB18" s="83"/>
      <c r="FC18" s="142"/>
      <c r="FD18" s="83"/>
      <c r="FE18" s="83"/>
      <c r="FF18" s="83"/>
      <c r="FG18" s="83"/>
      <c r="FH18" s="83" t="s">
        <v>68</v>
      </c>
      <c r="FI18" s="142">
        <f>B195</f>
        <v>2</v>
      </c>
      <c r="FJ18" s="83" t="s">
        <v>56</v>
      </c>
      <c r="FK18" s="83" t="s">
        <v>476</v>
      </c>
      <c r="FL18" s="141">
        <f>B164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B164</f>
        <v>0.85</v>
      </c>
      <c r="GB18" s="92"/>
      <c r="GC18" s="83"/>
      <c r="GD18" s="83"/>
      <c r="GE18" s="83"/>
      <c r="GF18" s="83"/>
      <c r="GG18" s="142"/>
      <c r="GH18" s="83"/>
      <c r="GI18" s="83"/>
      <c r="GJ18" s="83"/>
      <c r="GK18" s="83"/>
      <c r="GL18" s="83" t="s">
        <v>68</v>
      </c>
      <c r="GM18" s="142">
        <f>B195</f>
        <v>2</v>
      </c>
      <c r="GN18" s="83" t="s">
        <v>56</v>
      </c>
      <c r="GO18" s="95" t="s">
        <v>287</v>
      </c>
      <c r="GP18" s="176">
        <v>27.027027027027</v>
      </c>
      <c r="GQ18" s="52" t="s">
        <v>288</v>
      </c>
      <c r="GR18" s="83"/>
      <c r="GS18" s="83"/>
      <c r="GT18" s="83"/>
      <c r="GU18" s="83"/>
      <c r="GV18" s="142"/>
      <c r="GW18" s="83"/>
      <c r="GX18" s="83"/>
      <c r="GY18" s="83"/>
      <c r="GZ18" s="83"/>
      <c r="HA18" s="83" t="s">
        <v>68</v>
      </c>
      <c r="HB18" s="142">
        <f>B195</f>
        <v>2</v>
      </c>
      <c r="HC18" s="83" t="s">
        <v>56</v>
      </c>
    </row>
    <row r="19" spans="1:214" ht="19.5" thickTop="1" thickBot="1" x14ac:dyDescent="0.25">
      <c r="A19" s="83" t="s">
        <v>248</v>
      </c>
      <c r="B19" s="183">
        <v>0</v>
      </c>
      <c r="C19" s="84" t="s">
        <v>259</v>
      </c>
      <c r="D19" s="52" t="s">
        <v>261</v>
      </c>
      <c r="E19" s="143">
        <f>((E5)/((E15/E16)*E11*E12))/E27</f>
        <v>0.22297551789077236</v>
      </c>
      <c r="F19" s="52" t="s">
        <v>15</v>
      </c>
      <c r="G19" s="83" t="s">
        <v>366</v>
      </c>
      <c r="H19" s="146">
        <f>B50</f>
        <v>5</v>
      </c>
      <c r="I19" s="52" t="s">
        <v>407</v>
      </c>
      <c r="J19" s="83" t="s">
        <v>445</v>
      </c>
      <c r="K19" s="155">
        <f>K21*K31*K51+K22*K32*K52</f>
        <v>9225</v>
      </c>
      <c r="L19" s="83" t="s">
        <v>346</v>
      </c>
      <c r="V19" s="52" t="s">
        <v>271</v>
      </c>
      <c r="W19" s="145">
        <f>((W5*W7*W6)/((W12/24)*(1-EXP(-W7*W6))*W14*W9*(1/365)))/W20</f>
        <v>10.616169427709069</v>
      </c>
      <c r="X19" s="52" t="s">
        <v>16</v>
      </c>
      <c r="Y19" s="52" t="s">
        <v>271</v>
      </c>
      <c r="Z19" s="145">
        <f>((Z5*Z7*Z6)/((Z12/24)*(1-EXP(-Z7*Z6))*Z14*Z9*(1/365)))/Z20</f>
        <v>10.616169427709069</v>
      </c>
      <c r="AA19" s="52" t="s">
        <v>16</v>
      </c>
      <c r="AB19" s="83" t="s">
        <v>247</v>
      </c>
      <c r="AC19" s="139">
        <f>B18</f>
        <v>1.25E-4</v>
      </c>
      <c r="AD19" s="139">
        <f>B18</f>
        <v>1.25E-4</v>
      </c>
      <c r="AE19" s="139">
        <f>B18</f>
        <v>1.25E-4</v>
      </c>
      <c r="AF19" s="139">
        <f>B18</f>
        <v>1.25E-4</v>
      </c>
      <c r="AG19" s="139">
        <f>B18</f>
        <v>1.25E-4</v>
      </c>
      <c r="AH19" s="84" t="s">
        <v>259</v>
      </c>
      <c r="BS19" s="52" t="s">
        <v>271</v>
      </c>
      <c r="BT19" s="144">
        <f>((BT5)/(BT16*BT8*(1/365)*BT15*(1/24)*BT17))/BT27</f>
        <v>0.18235604550911969</v>
      </c>
      <c r="BU19" s="52" t="s">
        <v>15</v>
      </c>
      <c r="BV19" s="83" t="s">
        <v>434</v>
      </c>
      <c r="BW19" s="150">
        <f>B123</f>
        <v>55</v>
      </c>
      <c r="BX19" s="83" t="s">
        <v>24</v>
      </c>
      <c r="BY19" s="83" t="s">
        <v>442</v>
      </c>
      <c r="BZ19" s="146">
        <f>B108</f>
        <v>50</v>
      </c>
      <c r="CA19" s="84" t="s">
        <v>48</v>
      </c>
      <c r="CB19" s="267" t="s">
        <v>537</v>
      </c>
      <c r="CC19" s="261">
        <f>((CC22*CC23*CC24)/((1-EXP(-CC24*CC23))*CC31*(CC26/365)*CC29*(CC30/24)*CC28))/CC32</f>
        <v>17211438.89576098</v>
      </c>
      <c r="CD19" s="278" t="s">
        <v>290</v>
      </c>
      <c r="CE19" s="258" t="s">
        <v>537</v>
      </c>
      <c r="CF19" s="261">
        <f>((CF22*CF23*CF24)/((1-EXP(-CF24*CF23))*CF31*(CF26/365)*CF29*(CF30/24)*CF28))/CF32</f>
        <v>2009000.4364182667</v>
      </c>
      <c r="CG19" s="264" t="s">
        <v>290</v>
      </c>
      <c r="CK19" s="274" t="s">
        <v>576</v>
      </c>
      <c r="CL19" s="270"/>
      <c r="CM19" s="270"/>
      <c r="CN19" s="271" t="s">
        <v>576</v>
      </c>
      <c r="CO19" s="270"/>
      <c r="CP19" s="270"/>
      <c r="CQ19" s="271" t="s">
        <v>576</v>
      </c>
      <c r="CR19" s="270"/>
      <c r="CS19" s="273"/>
      <c r="CT19" s="91" t="s">
        <v>272</v>
      </c>
      <c r="CU19" s="144" t="e">
        <f>FC2</f>
        <v>#DIV/0!</v>
      </c>
      <c r="CV19" s="92" t="s">
        <v>290</v>
      </c>
      <c r="CW19" s="52" t="s">
        <v>261</v>
      </c>
      <c r="CX19" s="143">
        <f>((CX5)/((CX15/CX16)*CX11*CX12))/CX27</f>
        <v>0.21333333333333357</v>
      </c>
      <c r="CY19" s="52" t="s">
        <v>15</v>
      </c>
      <c r="CZ19" s="91" t="s">
        <v>273</v>
      </c>
      <c r="DA19" s="144" t="e">
        <f>GS2</f>
        <v>#DIV/0!</v>
      </c>
      <c r="DB19" s="83" t="s">
        <v>290</v>
      </c>
      <c r="DC19" s="92" t="s">
        <v>72</v>
      </c>
      <c r="DD19" s="146">
        <f>B182</f>
        <v>1</v>
      </c>
      <c r="DE19" s="93"/>
      <c r="DF19" s="92" t="s">
        <v>70</v>
      </c>
      <c r="DG19" s="138">
        <f>B196</f>
        <v>2.6999999999999999E-5</v>
      </c>
      <c r="DH19" s="52" t="s">
        <v>64</v>
      </c>
      <c r="DL19" s="92"/>
      <c r="DO19" s="92" t="s">
        <v>70</v>
      </c>
      <c r="DP19" s="138">
        <f>B196</f>
        <v>2.6999999999999999E-5</v>
      </c>
      <c r="DQ19" s="52" t="s">
        <v>64</v>
      </c>
      <c r="DR19" s="95" t="s">
        <v>287</v>
      </c>
      <c r="DS19" s="176">
        <v>27.027027027027</v>
      </c>
      <c r="DT19" s="52" t="s">
        <v>288</v>
      </c>
      <c r="DU19" s="92"/>
      <c r="EA19" s="92"/>
      <c r="EB19" s="84"/>
      <c r="EC19" s="84"/>
      <c r="ED19" s="92" t="s">
        <v>70</v>
      </c>
      <c r="EE19" s="163">
        <f>B196</f>
        <v>2.6999999999999999E-5</v>
      </c>
      <c r="EF19" s="84" t="s">
        <v>64</v>
      </c>
      <c r="EG19" s="95" t="s">
        <v>287</v>
      </c>
      <c r="EH19" s="176">
        <v>27.027027027027</v>
      </c>
      <c r="EI19" s="52" t="s">
        <v>288</v>
      </c>
      <c r="EJ19" s="92"/>
      <c r="EP19" s="92"/>
      <c r="EQ19" s="84"/>
      <c r="ER19" s="84"/>
      <c r="ES19" s="92" t="s">
        <v>70</v>
      </c>
      <c r="ET19" s="163">
        <f>B196</f>
        <v>2.6999999999999999E-5</v>
      </c>
      <c r="EU19" s="84" t="s">
        <v>64</v>
      </c>
      <c r="EV19" s="95" t="s">
        <v>287</v>
      </c>
      <c r="EW19" s="176">
        <v>27.027027027027</v>
      </c>
      <c r="EX19" s="52" t="s">
        <v>288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B196</f>
        <v>2.6999999999999999E-5</v>
      </c>
      <c r="FJ19" s="84" t="s">
        <v>64</v>
      </c>
      <c r="FK19" s="95" t="s">
        <v>287</v>
      </c>
      <c r="FL19" s="176">
        <v>27.027027027027</v>
      </c>
      <c r="FM19" s="52" t="s">
        <v>288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95" t="s">
        <v>287</v>
      </c>
      <c r="GA19" s="176">
        <v>27.027027027027</v>
      </c>
      <c r="GB19" s="52" t="s">
        <v>288</v>
      </c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B196</f>
        <v>2.6999999999999999E-5</v>
      </c>
      <c r="GN19" s="84" t="s">
        <v>64</v>
      </c>
      <c r="GP19" s="138"/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B196</f>
        <v>2.6999999999999999E-5</v>
      </c>
      <c r="HC19" s="84" t="s">
        <v>64</v>
      </c>
    </row>
    <row r="20" spans="1:214" ht="19.5" thickTop="1" thickBot="1" x14ac:dyDescent="0.25">
      <c r="A20" s="83" t="s">
        <v>249</v>
      </c>
      <c r="B20" s="183">
        <v>0</v>
      </c>
      <c r="C20" s="83" t="s">
        <v>259</v>
      </c>
      <c r="D20" s="52" t="s">
        <v>271</v>
      </c>
      <c r="E20" s="144">
        <f>((E5)/((E15/E16)*E8*E17*(1/365)*E18))/E27</f>
        <v>1.3929975698613309E-2</v>
      </c>
      <c r="F20" s="52" t="s">
        <v>15</v>
      </c>
      <c r="G20" s="83" t="s">
        <v>367</v>
      </c>
      <c r="H20" s="146">
        <f>B51</f>
        <v>10</v>
      </c>
      <c r="I20" s="52" t="s">
        <v>407</v>
      </c>
      <c r="J20" s="83" t="s">
        <v>396</v>
      </c>
      <c r="K20" s="155">
        <f>(K31*K23*(K34/24)*K51)+(K32*K24*(K35/24)*K52)</f>
        <v>1327.5</v>
      </c>
      <c r="L20" s="52" t="s">
        <v>407</v>
      </c>
      <c r="M20" s="325" t="s">
        <v>566</v>
      </c>
      <c r="N20" s="326"/>
      <c r="O20" s="326"/>
      <c r="P20" s="327" t="s">
        <v>536</v>
      </c>
      <c r="Q20" s="326"/>
      <c r="R20" s="329"/>
      <c r="V20" s="95" t="s">
        <v>287</v>
      </c>
      <c r="W20" s="176">
        <v>27.027027027027</v>
      </c>
      <c r="X20" s="52" t="s">
        <v>288</v>
      </c>
      <c r="Y20" s="95" t="s">
        <v>287</v>
      </c>
      <c r="Z20" s="176">
        <v>27.027027027027</v>
      </c>
      <c r="AA20" s="52" t="s">
        <v>288</v>
      </c>
      <c r="AB20" s="83" t="s">
        <v>83</v>
      </c>
      <c r="AC20" s="139">
        <f>B232</f>
        <v>5</v>
      </c>
      <c r="AD20" s="139">
        <f>B242</f>
        <v>5</v>
      </c>
      <c r="AE20" s="139">
        <f>B252</f>
        <v>5</v>
      </c>
      <c r="AF20" s="139">
        <f>B262</f>
        <v>5</v>
      </c>
      <c r="AG20" s="139">
        <f>B273</f>
        <v>5</v>
      </c>
      <c r="AH20" s="84" t="s">
        <v>194</v>
      </c>
      <c r="AI20" s="296" t="s">
        <v>558</v>
      </c>
      <c r="AJ20" s="294"/>
      <c r="AK20" s="297"/>
      <c r="AL20" s="293" t="s">
        <v>545</v>
      </c>
      <c r="AM20" s="294"/>
      <c r="AN20" s="295"/>
      <c r="AR20" s="296" t="s">
        <v>560</v>
      </c>
      <c r="AS20" s="294"/>
      <c r="AT20" s="297"/>
      <c r="AU20" s="293" t="s">
        <v>550</v>
      </c>
      <c r="AV20" s="294"/>
      <c r="AW20" s="295"/>
      <c r="BA20" s="296" t="s">
        <v>562</v>
      </c>
      <c r="BB20" s="294"/>
      <c r="BC20" s="297"/>
      <c r="BD20" s="293" t="s">
        <v>553</v>
      </c>
      <c r="BE20" s="294"/>
      <c r="BF20" s="295"/>
      <c r="BJ20" s="296" t="s">
        <v>563</v>
      </c>
      <c r="BK20" s="294"/>
      <c r="BL20" s="297"/>
      <c r="BM20" s="293" t="s">
        <v>556</v>
      </c>
      <c r="BN20" s="294"/>
      <c r="BO20" s="295"/>
      <c r="BS20" s="52" t="s">
        <v>261</v>
      </c>
      <c r="BT20" s="144">
        <f>((BT5*BT24*BT6)/((1-EXP(-BT6*BT24))*BT9*BT10))/BT27</f>
        <v>193.10432077090431</v>
      </c>
      <c r="BU20" s="52" t="s">
        <v>16</v>
      </c>
      <c r="BV20" s="52" t="s">
        <v>443</v>
      </c>
      <c r="BW20" s="138">
        <f>B119</f>
        <v>5</v>
      </c>
      <c r="BX20" s="52" t="s">
        <v>89</v>
      </c>
      <c r="BY20" s="83" t="s">
        <v>429</v>
      </c>
      <c r="BZ20" s="141">
        <f>B103</f>
        <v>5</v>
      </c>
      <c r="CA20" s="92" t="s">
        <v>407</v>
      </c>
      <c r="CB20" s="268"/>
      <c r="CC20" s="262"/>
      <c r="CD20" s="279"/>
      <c r="CE20" s="259"/>
      <c r="CF20" s="262"/>
      <c r="CG20" s="265"/>
      <c r="CK20" s="267" t="s">
        <v>530</v>
      </c>
      <c r="CL20" s="261" t="e">
        <f>(CL23/(CL24*CL25*CL26))/CL27</f>
        <v>#DIV/0!</v>
      </c>
      <c r="CM20" s="255" t="s">
        <v>290</v>
      </c>
      <c r="CN20" s="258" t="s">
        <v>7</v>
      </c>
      <c r="CO20" s="261" t="e">
        <f>(CL20/(CO23*((CO28*CO30*CO31*(CO24+CO25))+(CO29*CO30))))*CO34</f>
        <v>#DIV/0!</v>
      </c>
      <c r="CP20" s="255" t="s">
        <v>290</v>
      </c>
      <c r="CQ20" s="258" t="s">
        <v>6</v>
      </c>
      <c r="CR20" s="261" t="e">
        <f>CL20/(CR23*CR24*(1/CR25))</f>
        <v>#DIV/0!</v>
      </c>
      <c r="CS20" s="264" t="s">
        <v>290</v>
      </c>
      <c r="CT20" s="91" t="s">
        <v>273</v>
      </c>
      <c r="CU20" s="144" t="e">
        <f>GV2</f>
        <v>#DIV/0!</v>
      </c>
      <c r="CV20" s="92" t="s">
        <v>290</v>
      </c>
      <c r="CW20" s="52" t="s">
        <v>271</v>
      </c>
      <c r="CX20" s="144">
        <f>((CX5)/((CX15/CX16)*CX8*CX17*(1/365)*CX18))/CX27</f>
        <v>1.3929975698613309E-2</v>
      </c>
      <c r="CY20" s="52" t="s">
        <v>15</v>
      </c>
      <c r="CZ20" s="91" t="s">
        <v>274</v>
      </c>
      <c r="DA20" s="144" t="e">
        <f>EK2</f>
        <v>#DIV/0!</v>
      </c>
      <c r="DB20" s="83" t="s">
        <v>290</v>
      </c>
      <c r="DC20" s="83" t="s">
        <v>475</v>
      </c>
      <c r="DD20" s="146">
        <f>B163</f>
        <v>0.15</v>
      </c>
      <c r="DF20" s="92" t="s">
        <v>71</v>
      </c>
      <c r="DG20" s="137">
        <f>0.693/DG23</f>
        <v>0.18124754746551736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H20" s="138"/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GA20" s="138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83" t="s">
        <v>250</v>
      </c>
      <c r="B21" s="183">
        <v>0</v>
      </c>
      <c r="C21" s="83" t="s">
        <v>259</v>
      </c>
      <c r="D21" s="52" t="s">
        <v>261</v>
      </c>
      <c r="E21" s="144">
        <f>((E5*E10*E6)/((1-EXP(-E6*E10))*E11*E12))/E27</f>
        <v>14.751024503332966</v>
      </c>
      <c r="F21" s="52" t="s">
        <v>16</v>
      </c>
      <c r="G21" s="83" t="s">
        <v>397</v>
      </c>
      <c r="H21" s="148">
        <f>(H29*H36*H32*H68)+(H30*H37*H33*H69)</f>
        <v>476.25</v>
      </c>
      <c r="I21" s="83" t="s">
        <v>356</v>
      </c>
      <c r="J21" s="83" t="s">
        <v>368</v>
      </c>
      <c r="K21" s="146">
        <f>B52</f>
        <v>100</v>
      </c>
      <c r="L21" s="84" t="s">
        <v>48</v>
      </c>
      <c r="M21" s="330" t="s">
        <v>537</v>
      </c>
      <c r="N21" s="333">
        <f>((N24*N25*N26)/((1-EXP(-N26*N25))*N34*N32*(N28/365)*(((N33/24)*N31)+((N35/24)*N30))))/N36</f>
        <v>28271.651745152427</v>
      </c>
      <c r="O21" s="336" t="s">
        <v>292</v>
      </c>
      <c r="P21" s="339" t="s">
        <v>537</v>
      </c>
      <c r="Q21" s="333">
        <f>((Q24*Q25*Q26)/((1-EXP(-Q26*Q25))*Q34*Q32*(Q28/365)*(((Q33/24)*Q31)+((Q35/24)*Q30))))/Q36</f>
        <v>6237.5810907229588</v>
      </c>
      <c r="R21" s="342" t="s">
        <v>290</v>
      </c>
      <c r="AB21" s="83" t="s">
        <v>85</v>
      </c>
      <c r="AC21" s="139">
        <f>B233</f>
        <v>5</v>
      </c>
      <c r="AD21" s="139">
        <f>B243</f>
        <v>5</v>
      </c>
      <c r="AE21" s="139">
        <f>B253</f>
        <v>5</v>
      </c>
      <c r="AF21" s="139">
        <f>B263</f>
        <v>5</v>
      </c>
      <c r="AG21" s="139">
        <f>B274</f>
        <v>5</v>
      </c>
      <c r="AH21" s="84" t="s">
        <v>194</v>
      </c>
      <c r="AI21" s="306" t="s">
        <v>537</v>
      </c>
      <c r="AJ21" s="303">
        <f>((AJ24*AJ25*AJ26)/((1-EXP(-AJ26*AJ25))*AJ34*(AJ28/365)*AJ29*(AJ35/24)*AJ30*AJ32))/AJ36</f>
        <v>170393.24506803363</v>
      </c>
      <c r="AK21" s="290" t="s">
        <v>292</v>
      </c>
      <c r="AL21" s="287" t="s">
        <v>537</v>
      </c>
      <c r="AM21" s="303">
        <f>((AM24*AM25*AM26)/((1-EXP(-AM26*AM25))*AM34*(AM28/365)*AM29*(AM35/24)*AM30*AM32))/AM36</f>
        <v>37745.100199426393</v>
      </c>
      <c r="AN21" s="281" t="s">
        <v>290</v>
      </c>
      <c r="AR21" s="306" t="s">
        <v>537</v>
      </c>
      <c r="AS21" s="303">
        <f>((AS24*AS25*AS26)/((1-EXP(-AS26*AS25))*AS34*(AS28/365)*AS29*(AS33/24)*AS31*AS32))/AS36</f>
        <v>7573033.1141348286</v>
      </c>
      <c r="AT21" s="290" t="s">
        <v>292</v>
      </c>
      <c r="AU21" s="287" t="s">
        <v>537</v>
      </c>
      <c r="AV21" s="303">
        <f>((AV24*AV25*AV26)/((1-EXP(-AV26*AV25))*AV34*(AV28/365)*AV29*(AV33/24)*AV31*AV32))/AV36</f>
        <v>883960.19202403724</v>
      </c>
      <c r="AW21" s="281" t="s">
        <v>290</v>
      </c>
      <c r="BA21" s="306" t="s">
        <v>537</v>
      </c>
      <c r="BB21" s="303">
        <f>((BB24*BB25*BB26)/((1-EXP(-BB26*BB25))*BB34*(BB28/365)*(BB33/24)*BB31*BB32))/BB36</f>
        <v>7573033.1141348286</v>
      </c>
      <c r="BC21" s="290" t="s">
        <v>292</v>
      </c>
      <c r="BD21" s="287" t="s">
        <v>537</v>
      </c>
      <c r="BE21" s="303">
        <f>((BE24*BE25*BE26)/((1-EXP(-BE26*BE25))*BE34*(BE28/365)*(BE33/24)*BE31*BE32))/BE36</f>
        <v>883960.19202403724</v>
      </c>
      <c r="BF21" s="281" t="s">
        <v>290</v>
      </c>
      <c r="BJ21" s="306" t="s">
        <v>537</v>
      </c>
      <c r="BK21" s="284">
        <f>((BK24*BK25*BK26)/((1-EXP(-BK26*BK25))*BK35*(BK28/365)*(BK34/24)*BK32*BK33))/BK36</f>
        <v>12621721.856891384</v>
      </c>
      <c r="BL21" s="290" t="s">
        <v>292</v>
      </c>
      <c r="BM21" s="287" t="s">
        <v>537</v>
      </c>
      <c r="BN21" s="284">
        <f>((BN24*BN25*BN26)/((1-EXP(-BN26*BN25))*BN35*(BN28/365)*(BN34/24)*BN32*BN33))/BN36</f>
        <v>1473266.9867067288</v>
      </c>
      <c r="BO21" s="281" t="s">
        <v>290</v>
      </c>
      <c r="BS21" s="52" t="s">
        <v>271</v>
      </c>
      <c r="BT21" s="145">
        <f>((BT5*BT24*BT6)/((1-EXP(-BT6*BT24))*BT16*BT8*(1/365)*BT15*(1/24)*BT17))/BT27</f>
        <v>12.063828895123946</v>
      </c>
      <c r="BU21" s="52" t="s">
        <v>16</v>
      </c>
      <c r="BV21" s="52" t="s">
        <v>444</v>
      </c>
      <c r="BW21" s="138">
        <f>B120</f>
        <v>5</v>
      </c>
      <c r="BX21" s="52" t="s">
        <v>89</v>
      </c>
      <c r="BY21" s="83" t="s">
        <v>430</v>
      </c>
      <c r="BZ21" s="141">
        <f>B104</f>
        <v>10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56"/>
      <c r="CN21" s="259"/>
      <c r="CO21" s="262"/>
      <c r="CP21" s="256"/>
      <c r="CQ21" s="259"/>
      <c r="CR21" s="262"/>
      <c r="CS21" s="265"/>
      <c r="CT21" s="91" t="s">
        <v>274</v>
      </c>
      <c r="CU21" s="144" t="e">
        <f>EN2</f>
        <v>#DIV/0!</v>
      </c>
      <c r="CV21" s="92" t="s">
        <v>290</v>
      </c>
      <c r="CW21" s="52" t="s">
        <v>261</v>
      </c>
      <c r="CX21" s="144">
        <f>((CX5*CX10*CX6)/((CX15/CX16)*(1-EXP(-CX6*CX9))*CX11*CX12))/CX27</f>
        <v>14.113142362648299</v>
      </c>
      <c r="CY21" s="52" t="s">
        <v>16</v>
      </c>
      <c r="CZ21" s="91" t="s">
        <v>509</v>
      </c>
      <c r="DA21" s="144" t="e">
        <f>DV2</f>
        <v>#DIV/0!</v>
      </c>
      <c r="DB21" s="83" t="s">
        <v>290</v>
      </c>
      <c r="DC21" s="83" t="s">
        <v>476</v>
      </c>
      <c r="DD21" s="146">
        <f>B164</f>
        <v>0.85</v>
      </c>
      <c r="DF21" s="92" t="s">
        <v>73</v>
      </c>
      <c r="DG21" s="138">
        <f>B197</f>
        <v>1</v>
      </c>
      <c r="DH21" s="52" t="s">
        <v>41</v>
      </c>
      <c r="DL21" s="92"/>
      <c r="DO21" s="92" t="s">
        <v>73</v>
      </c>
      <c r="DP21" s="138">
        <f>B197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B197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B197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B197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B197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B197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83" t="s">
        <v>269</v>
      </c>
      <c r="B22" s="179">
        <v>2.1295200000000002E-3</v>
      </c>
      <c r="C22" s="83" t="s">
        <v>351</v>
      </c>
      <c r="D22" s="52" t="s">
        <v>271</v>
      </c>
      <c r="E22" s="145">
        <f>((E5*E10*E6)/((E15/E16)*E8*(1-EXP(-E6*E10))*E17*(1/365)*E18))/E27</f>
        <v>0.92154248504419023</v>
      </c>
      <c r="F22" s="52" t="s">
        <v>16</v>
      </c>
      <c r="G22" s="83" t="s">
        <v>398</v>
      </c>
      <c r="H22" s="149">
        <f>(H29*H23*H68)+(H30*H24*H69)</f>
        <v>8250</v>
      </c>
      <c r="I22" s="92" t="s">
        <v>347</v>
      </c>
      <c r="J22" s="83" t="s">
        <v>369</v>
      </c>
      <c r="K22" s="146">
        <f>B53</f>
        <v>50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B234</f>
        <v>0.4</v>
      </c>
      <c r="AD22" s="150">
        <f>B244</f>
        <v>0.4</v>
      </c>
      <c r="AE22" s="150">
        <f>B254</f>
        <v>0.4</v>
      </c>
      <c r="AF22" s="150">
        <f>B264</f>
        <v>0.4</v>
      </c>
      <c r="AG22" s="150">
        <f>B275</f>
        <v>0.4</v>
      </c>
      <c r="AI22" s="307"/>
      <c r="AJ22" s="304"/>
      <c r="AK22" s="291"/>
      <c r="AL22" s="288"/>
      <c r="AM22" s="304"/>
      <c r="AN22" s="282"/>
      <c r="AR22" s="307"/>
      <c r="AS22" s="304"/>
      <c r="AT22" s="291"/>
      <c r="AU22" s="288"/>
      <c r="AV22" s="304"/>
      <c r="AW22" s="282"/>
      <c r="BA22" s="307"/>
      <c r="BB22" s="304"/>
      <c r="BC22" s="291"/>
      <c r="BD22" s="288"/>
      <c r="BE22" s="304"/>
      <c r="BF22" s="282"/>
      <c r="BJ22" s="307"/>
      <c r="BK22" s="285"/>
      <c r="BL22" s="291"/>
      <c r="BM22" s="288"/>
      <c r="BN22" s="285"/>
      <c r="BO22" s="282"/>
      <c r="BS22" s="52" t="s">
        <v>433</v>
      </c>
      <c r="BT22" s="138">
        <f>B114</f>
        <v>55</v>
      </c>
      <c r="BU22" s="52" t="s">
        <v>24</v>
      </c>
      <c r="BV22" s="83" t="s">
        <v>90</v>
      </c>
      <c r="BW22" s="150">
        <f>B118</f>
        <v>5</v>
      </c>
      <c r="BX22" s="52" t="s">
        <v>194</v>
      </c>
      <c r="BY22" s="83" t="s">
        <v>140</v>
      </c>
      <c r="BZ22" s="150">
        <f>B113</f>
        <v>55</v>
      </c>
      <c r="CA22" s="83" t="s">
        <v>24</v>
      </c>
      <c r="CB22" s="52" t="s">
        <v>267</v>
      </c>
      <c r="CC22" s="136">
        <f>B17</f>
        <v>1</v>
      </c>
      <c r="CD22" s="52" t="s">
        <v>344</v>
      </c>
      <c r="CE22" s="52" t="s">
        <v>267</v>
      </c>
      <c r="CF22" s="136">
        <f>B17</f>
        <v>1</v>
      </c>
      <c r="CG22" s="52" t="s">
        <v>344</v>
      </c>
      <c r="CK22" s="269"/>
      <c r="CL22" s="263"/>
      <c r="CM22" s="257"/>
      <c r="CN22" s="260"/>
      <c r="CO22" s="263"/>
      <c r="CP22" s="257"/>
      <c r="CQ22" s="260"/>
      <c r="CR22" s="263"/>
      <c r="CS22" s="266"/>
      <c r="CT22" s="91" t="s">
        <v>275</v>
      </c>
      <c r="CU22" s="144" t="e">
        <f>DY2</f>
        <v>#DIV/0!</v>
      </c>
      <c r="CV22" s="92" t="s">
        <v>290</v>
      </c>
      <c r="CW22" s="52" t="s">
        <v>271</v>
      </c>
      <c r="CX22" s="145">
        <f>((CX5*CX10*CX6)/((CX15/CX16)*CX8*(1-EXP(-CX6*CX10))*CX17*(1/365)*CX18))/CX27</f>
        <v>0.92154248504419023</v>
      </c>
      <c r="CY22" s="52" t="s">
        <v>16</v>
      </c>
      <c r="CZ22" s="91" t="s">
        <v>510</v>
      </c>
      <c r="DA22" s="144" t="e">
        <f>GD2</f>
        <v>#DIV/0!</v>
      </c>
      <c r="DB22" s="83" t="s">
        <v>290</v>
      </c>
      <c r="DC22" s="95" t="s">
        <v>287</v>
      </c>
      <c r="DD22" s="176">
        <v>27.027027027027</v>
      </c>
      <c r="DE22" s="52" t="s">
        <v>288</v>
      </c>
      <c r="DF22" s="92" t="s">
        <v>74</v>
      </c>
      <c r="DG22" s="138">
        <f>B198</f>
        <v>14</v>
      </c>
      <c r="DH22" s="52" t="s">
        <v>75</v>
      </c>
      <c r="DL22" s="92"/>
      <c r="DO22" s="92" t="s">
        <v>74</v>
      </c>
      <c r="DP22" s="138">
        <f>B198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B198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B198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B198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B198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B198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252</v>
      </c>
      <c r="B23" s="183">
        <v>4.3486799999999998E-4</v>
      </c>
      <c r="C23" s="83" t="s">
        <v>352</v>
      </c>
      <c r="D23" s="52" t="s">
        <v>380</v>
      </c>
      <c r="E23" s="138">
        <f>B66</f>
        <v>150</v>
      </c>
      <c r="F23" s="52" t="s">
        <v>24</v>
      </c>
      <c r="G23" s="83" t="s">
        <v>399</v>
      </c>
      <c r="H23" s="146">
        <f>B147</f>
        <v>55</v>
      </c>
      <c r="I23" s="92" t="s">
        <v>221</v>
      </c>
      <c r="J23" s="83" t="s">
        <v>366</v>
      </c>
      <c r="K23" s="141">
        <f>B50</f>
        <v>5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308"/>
      <c r="AS23" s="305"/>
      <c r="AT23" s="292"/>
      <c r="AU23" s="289"/>
      <c r="AV23" s="305"/>
      <c r="AW23" s="283"/>
      <c r="BA23" s="308"/>
      <c r="BB23" s="305"/>
      <c r="BC23" s="292"/>
      <c r="BD23" s="289"/>
      <c r="BE23" s="305"/>
      <c r="BF23" s="283"/>
      <c r="BJ23" s="308"/>
      <c r="BK23" s="286"/>
      <c r="BL23" s="292"/>
      <c r="BM23" s="289"/>
      <c r="BN23" s="286"/>
      <c r="BO23" s="283"/>
      <c r="BS23" s="52" t="s">
        <v>434</v>
      </c>
      <c r="BT23" s="138">
        <f>B115</f>
        <v>55</v>
      </c>
      <c r="BU23" s="52" t="s">
        <v>24</v>
      </c>
      <c r="BV23" s="83" t="s">
        <v>435</v>
      </c>
      <c r="BW23" s="138">
        <f>B124</f>
        <v>5</v>
      </c>
      <c r="BX23" s="52" t="s">
        <v>80</v>
      </c>
      <c r="BY23" s="83" t="s">
        <v>434</v>
      </c>
      <c r="BZ23" s="150">
        <f>B115</f>
        <v>55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B17</f>
        <v>1</v>
      </c>
      <c r="CM23" s="52" t="s">
        <v>344</v>
      </c>
      <c r="CN23" s="52" t="s">
        <v>229</v>
      </c>
      <c r="CO23" s="136">
        <f>B41</f>
        <v>0</v>
      </c>
      <c r="CP23" s="52" t="s">
        <v>268</v>
      </c>
      <c r="CQ23" s="83" t="s">
        <v>229</v>
      </c>
      <c r="CR23" s="136">
        <f>CO23</f>
        <v>0</v>
      </c>
      <c r="CS23" s="52" t="s">
        <v>268</v>
      </c>
      <c r="CT23" s="91" t="s">
        <v>276</v>
      </c>
      <c r="CU23" s="144" t="e">
        <f>GG2</f>
        <v>#DIV/0!</v>
      </c>
      <c r="CV23" s="92" t="s">
        <v>290</v>
      </c>
      <c r="CW23" s="52" t="s">
        <v>456</v>
      </c>
      <c r="CX23" s="138">
        <f>B165</f>
        <v>150</v>
      </c>
      <c r="CY23" s="52" t="s">
        <v>24</v>
      </c>
      <c r="CZ23" s="91" t="s">
        <v>277</v>
      </c>
      <c r="DA23" s="145" t="e">
        <f>FO2</f>
        <v>#DIV/0!</v>
      </c>
      <c r="DB23" s="83" t="s">
        <v>290</v>
      </c>
      <c r="DD23" s="138"/>
      <c r="DF23" s="83" t="s">
        <v>267</v>
      </c>
      <c r="DG23" s="136">
        <f>B34</f>
        <v>3.8235000124999998</v>
      </c>
      <c r="DH23" s="52" t="s">
        <v>222</v>
      </c>
      <c r="DO23" s="83" t="s">
        <v>19</v>
      </c>
      <c r="DP23" s="161">
        <f>DP25</f>
        <v>0</v>
      </c>
      <c r="EA23" s="83"/>
      <c r="EB23" s="83"/>
      <c r="EC23" s="84"/>
      <c r="ED23" s="83" t="s">
        <v>19</v>
      </c>
      <c r="EE23" s="161">
        <f>EE25</f>
        <v>0</v>
      </c>
      <c r="EF23" s="84"/>
      <c r="EP23" s="83"/>
      <c r="EQ23" s="83"/>
      <c r="ER23" s="84"/>
      <c r="ES23" s="83" t="s">
        <v>19</v>
      </c>
      <c r="ET23" s="161">
        <f>ET25</f>
        <v>0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0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0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0</v>
      </c>
      <c r="HC23" s="84"/>
      <c r="HD23" s="67" t="s">
        <v>14</v>
      </c>
      <c r="HE23" s="222">
        <f>((HE25*HE42)*HE38*HE33*10^-3*HE32*HE27)/(HE31*HE41*(1-EXP(-HE27*HE32)))</f>
        <v>0</v>
      </c>
      <c r="HF23" s="220" t="s">
        <v>595</v>
      </c>
    </row>
    <row r="24" spans="1:214" ht="14.25" thickTop="1" thickBot="1" x14ac:dyDescent="0.25">
      <c r="A24" s="83" t="s">
        <v>253</v>
      </c>
      <c r="B24" s="183">
        <v>4.4084799999999998E-4</v>
      </c>
      <c r="C24" s="83" t="s">
        <v>351</v>
      </c>
      <c r="D24" s="52" t="s">
        <v>381</v>
      </c>
      <c r="E24" s="138">
        <f>B67</f>
        <v>150</v>
      </c>
      <c r="F24" s="52" t="s">
        <v>24</v>
      </c>
      <c r="G24" s="83" t="s">
        <v>310</v>
      </c>
      <c r="H24" s="146">
        <f>B58</f>
        <v>55</v>
      </c>
      <c r="I24" s="92" t="s">
        <v>221</v>
      </c>
      <c r="J24" s="83" t="s">
        <v>367</v>
      </c>
      <c r="K24" s="141">
        <f>B51</f>
        <v>10</v>
      </c>
      <c r="L24" s="52" t="s">
        <v>407</v>
      </c>
      <c r="M24" s="52" t="s">
        <v>267</v>
      </c>
      <c r="N24" s="136">
        <f>B17</f>
        <v>1</v>
      </c>
      <c r="O24" s="52" t="s">
        <v>344</v>
      </c>
      <c r="P24" s="52" t="s">
        <v>267</v>
      </c>
      <c r="Q24" s="136">
        <f>B17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66.155354824913829</v>
      </c>
      <c r="AD24" s="137">
        <f>0.693/AD25</f>
        <v>66.155354824913829</v>
      </c>
      <c r="AE24" s="137">
        <f>0.693/AE25</f>
        <v>66.155354824913829</v>
      </c>
      <c r="AF24" s="137">
        <f>0.693/AF25</f>
        <v>66.155354824913829</v>
      </c>
      <c r="AG24" s="137">
        <f>0.693/AG25</f>
        <v>66.155354824913829</v>
      </c>
      <c r="AI24" s="52" t="s">
        <v>267</v>
      </c>
      <c r="AJ24" s="136">
        <f>B17</f>
        <v>1</v>
      </c>
      <c r="AK24" s="52" t="s">
        <v>344</v>
      </c>
      <c r="AL24" s="52" t="s">
        <v>267</v>
      </c>
      <c r="AM24" s="136">
        <f>B17</f>
        <v>1</v>
      </c>
      <c r="AN24" s="52" t="s">
        <v>344</v>
      </c>
      <c r="AR24" s="52" t="s">
        <v>267</v>
      </c>
      <c r="AS24" s="136">
        <f>B17</f>
        <v>1</v>
      </c>
      <c r="AT24" s="52" t="s">
        <v>344</v>
      </c>
      <c r="AU24" s="52" t="s">
        <v>267</v>
      </c>
      <c r="AV24" s="136">
        <f>B17</f>
        <v>1</v>
      </c>
      <c r="AW24" s="52" t="s">
        <v>344</v>
      </c>
      <c r="BA24" s="52" t="s">
        <v>267</v>
      </c>
      <c r="BB24" s="136">
        <f>B17</f>
        <v>1</v>
      </c>
      <c r="BC24" s="52" t="s">
        <v>344</v>
      </c>
      <c r="BD24" s="52" t="s">
        <v>267</v>
      </c>
      <c r="BE24" s="136">
        <f>B17</f>
        <v>1</v>
      </c>
      <c r="BF24" s="52" t="s">
        <v>344</v>
      </c>
      <c r="BJ24" s="52" t="s">
        <v>267</v>
      </c>
      <c r="BK24" s="136">
        <f>B17</f>
        <v>1</v>
      </c>
      <c r="BL24" s="52" t="s">
        <v>344</v>
      </c>
      <c r="BM24" s="52" t="s">
        <v>267</v>
      </c>
      <c r="BN24" s="136">
        <f>B17</f>
        <v>1</v>
      </c>
      <c r="BO24" s="52" t="s">
        <v>344</v>
      </c>
      <c r="BS24" s="91" t="s">
        <v>95</v>
      </c>
      <c r="BT24" s="158">
        <f>B127</f>
        <v>1</v>
      </c>
      <c r="BU24" s="91" t="s">
        <v>60</v>
      </c>
      <c r="BV24" s="83" t="s">
        <v>436</v>
      </c>
      <c r="BW24" s="138">
        <f>B125</f>
        <v>5</v>
      </c>
      <c r="BX24" s="52" t="s">
        <v>80</v>
      </c>
      <c r="BY24" s="83" t="s">
        <v>433</v>
      </c>
      <c r="BZ24" s="150">
        <f>B114</f>
        <v>55</v>
      </c>
      <c r="CA24" s="83" t="s">
        <v>24</v>
      </c>
      <c r="CB24" s="83" t="s">
        <v>22</v>
      </c>
      <c r="CC24" s="137">
        <f>0.693/CC25</f>
        <v>66.155354824913829</v>
      </c>
      <c r="CE24" s="83" t="s">
        <v>22</v>
      </c>
      <c r="CF24" s="137">
        <f>0.693/CF25</f>
        <v>66.155354824913829</v>
      </c>
      <c r="CK24" s="52" t="s">
        <v>258</v>
      </c>
      <c r="CL24" s="136">
        <f>B29</f>
        <v>0</v>
      </c>
      <c r="CM24" s="91" t="s">
        <v>10</v>
      </c>
      <c r="CN24" s="52" t="s">
        <v>20</v>
      </c>
      <c r="CO24" s="139">
        <f>CO26</f>
        <v>0</v>
      </c>
      <c r="CQ24" s="84" t="s">
        <v>170</v>
      </c>
      <c r="CR24" s="162">
        <f>B139</f>
        <v>2</v>
      </c>
      <c r="CS24" s="52" t="s">
        <v>28</v>
      </c>
      <c r="CT24" s="91" t="s">
        <v>277</v>
      </c>
      <c r="CU24" s="145" t="e">
        <f>FR2</f>
        <v>#DIV/0!</v>
      </c>
      <c r="CV24" s="92" t="s">
        <v>290</v>
      </c>
      <c r="CW24" s="52" t="s">
        <v>465</v>
      </c>
      <c r="CX24" s="138">
        <f>B166</f>
        <v>150</v>
      </c>
      <c r="CY24" s="52" t="s">
        <v>24</v>
      </c>
      <c r="CZ24" s="83" t="s">
        <v>45</v>
      </c>
      <c r="DA24" s="149">
        <f>(DA35*DA27*DA49)+(DA36*DA28*DA50)</f>
        <v>196.875</v>
      </c>
      <c r="DB24" s="52" t="s">
        <v>345</v>
      </c>
      <c r="DD24" s="138"/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223" t="e">
        <f>((HE26*HE42)*HE38*HE33*10^-3*HE32*HE27)/(HE31*HE41*(1-EXP(-HE27*HE32)))</f>
        <v>#DIV/0!</v>
      </c>
      <c r="HF24" s="221" t="s">
        <v>596</v>
      </c>
    </row>
    <row r="25" spans="1:214" ht="15" thickTop="1" x14ac:dyDescent="0.2">
      <c r="A25" s="83" t="s">
        <v>254</v>
      </c>
      <c r="B25" s="183">
        <v>1.2571640000000001E-3</v>
      </c>
      <c r="C25" s="83" t="s">
        <v>351</v>
      </c>
      <c r="D25" s="83" t="s">
        <v>376</v>
      </c>
      <c r="E25" s="146">
        <f>B61</f>
        <v>0.23</v>
      </c>
      <c r="G25" s="83" t="s">
        <v>400</v>
      </c>
      <c r="H25" s="149">
        <f>(H29*H26*H68)+(H30*H27*H69)</f>
        <v>8250</v>
      </c>
      <c r="I25" s="92" t="s">
        <v>347</v>
      </c>
      <c r="J25" s="83" t="s">
        <v>446</v>
      </c>
      <c r="K25" s="149">
        <f>(K31*K26*K51)+(K32*K27*K52)</f>
        <v>8250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6.2231674800987768</v>
      </c>
      <c r="X25" s="62" t="s">
        <v>289</v>
      </c>
      <c r="Y25" s="202" t="s">
        <v>16</v>
      </c>
      <c r="Z25" s="187">
        <f>1/((1/Z41)+(1/Z40))</f>
        <v>6.2231674800987768</v>
      </c>
      <c r="AA25" s="63" t="s">
        <v>289</v>
      </c>
      <c r="AB25" s="91" t="s">
        <v>231</v>
      </c>
      <c r="AC25" s="136">
        <f>B30</f>
        <v>1.04753425E-2</v>
      </c>
      <c r="AD25" s="136">
        <f>B30</f>
        <v>1.04753425E-2</v>
      </c>
      <c r="AE25" s="136">
        <f>B30</f>
        <v>1.04753425E-2</v>
      </c>
      <c r="AF25" s="136">
        <f>B30</f>
        <v>1.04753425E-2</v>
      </c>
      <c r="AG25" s="136">
        <f>B30</f>
        <v>1.04753425E-2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B111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B118</f>
        <v>5</v>
      </c>
      <c r="CA25" s="94" t="s">
        <v>194</v>
      </c>
      <c r="CB25" s="91" t="s">
        <v>231</v>
      </c>
      <c r="CC25" s="136">
        <f>B30</f>
        <v>1.04753425E-2</v>
      </c>
      <c r="CD25" s="52" t="s">
        <v>60</v>
      </c>
      <c r="CE25" s="91" t="s">
        <v>231</v>
      </c>
      <c r="CF25" s="136">
        <f>B30</f>
        <v>1.04753425E-2</v>
      </c>
      <c r="CG25" s="52" t="s">
        <v>60</v>
      </c>
      <c r="CK25" s="52" t="s">
        <v>140</v>
      </c>
      <c r="CL25" s="138">
        <f>B113</f>
        <v>55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8625</v>
      </c>
      <c r="CV25" s="83" t="s">
        <v>346</v>
      </c>
      <c r="CW25" s="83" t="s">
        <v>475</v>
      </c>
      <c r="CX25" s="146">
        <f>B163</f>
        <v>0.15</v>
      </c>
      <c r="CZ25" s="83" t="s">
        <v>43</v>
      </c>
      <c r="DA25" s="140">
        <f>(DA35*DA29*(DA38/24)*DA49)+(DA36*DA30*(DA39/24)*DA50)</f>
        <v>1387.5</v>
      </c>
      <c r="DB25" s="83" t="s">
        <v>426</v>
      </c>
      <c r="DF25" s="52" t="s">
        <v>33</v>
      </c>
      <c r="DG25" s="136">
        <f>B44</f>
        <v>0</v>
      </c>
      <c r="DO25" s="83" t="s">
        <v>32</v>
      </c>
      <c r="DP25" s="136">
        <f>B43</f>
        <v>0</v>
      </c>
      <c r="EA25" s="83"/>
      <c r="EC25" s="84"/>
      <c r="ED25" s="83" t="s">
        <v>33</v>
      </c>
      <c r="EE25" s="136">
        <f>B44</f>
        <v>0</v>
      </c>
      <c r="EF25" s="84"/>
      <c r="EP25" s="83"/>
      <c r="ER25" s="84"/>
      <c r="ES25" s="83" t="s">
        <v>33</v>
      </c>
      <c r="ET25" s="136">
        <f>B44</f>
        <v>0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B44</f>
        <v>0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B44</f>
        <v>0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B44</f>
        <v>0</v>
      </c>
      <c r="HC25" s="84"/>
      <c r="HD25" s="89" t="s">
        <v>21</v>
      </c>
      <c r="HE25" s="150">
        <f>B46</f>
        <v>0</v>
      </c>
      <c r="HF25" s="83" t="s">
        <v>291</v>
      </c>
    </row>
    <row r="26" spans="1:214" ht="13.5" thickBot="1" x14ac:dyDescent="0.25">
      <c r="A26" s="83" t="s">
        <v>255</v>
      </c>
      <c r="B26" s="183">
        <v>1.94272E-3</v>
      </c>
      <c r="C26" s="83" t="s">
        <v>351</v>
      </c>
      <c r="D26" s="83" t="s">
        <v>377</v>
      </c>
      <c r="E26" s="146">
        <f>B62</f>
        <v>0.77</v>
      </c>
      <c r="G26" s="83" t="s">
        <v>401</v>
      </c>
      <c r="H26" s="146">
        <f>B149</f>
        <v>55</v>
      </c>
      <c r="I26" s="92" t="s">
        <v>221</v>
      </c>
      <c r="J26" s="83" t="s">
        <v>399</v>
      </c>
      <c r="K26" s="146">
        <f>B57</f>
        <v>55</v>
      </c>
      <c r="L26" s="92" t="s">
        <v>221</v>
      </c>
      <c r="M26" s="83" t="s">
        <v>22</v>
      </c>
      <c r="N26" s="137">
        <f>0.693/N27</f>
        <v>66.155354824913829</v>
      </c>
      <c r="P26" s="83" t="s">
        <v>22</v>
      </c>
      <c r="Q26" s="137">
        <f>0.693/Q27</f>
        <v>66.155354824913829</v>
      </c>
      <c r="V26" s="201" t="s">
        <v>15</v>
      </c>
      <c r="W26" s="75">
        <f>1/((1/W38)+(1/W39))</f>
        <v>9.4068991037368863E-2</v>
      </c>
      <c r="X26" s="76" t="s">
        <v>289</v>
      </c>
      <c r="Y26" s="203" t="s">
        <v>15</v>
      </c>
      <c r="Z26" s="185">
        <f>1/((1/Z38)+(1/Z39))</f>
        <v>9.4068991037368863E-2</v>
      </c>
      <c r="AA26" s="77" t="s">
        <v>289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66.155354824913829</v>
      </c>
      <c r="AL26" s="83" t="s">
        <v>22</v>
      </c>
      <c r="AM26" s="137">
        <f>0.693/AM27</f>
        <v>66.155354824913829</v>
      </c>
      <c r="AR26" s="83" t="s">
        <v>22</v>
      </c>
      <c r="AS26" s="137">
        <f>0.693/AS27</f>
        <v>66.155354824913829</v>
      </c>
      <c r="AU26" s="83" t="s">
        <v>22</v>
      </c>
      <c r="AV26" s="137">
        <f>0.693/AV27</f>
        <v>66.155354824913829</v>
      </c>
      <c r="BA26" s="83" t="s">
        <v>22</v>
      </c>
      <c r="BB26" s="137">
        <f>0.693/BB27</f>
        <v>66.155354824913829</v>
      </c>
      <c r="BD26" s="83" t="s">
        <v>22</v>
      </c>
      <c r="BE26" s="137">
        <f>0.693/BE27</f>
        <v>66.155354824913829</v>
      </c>
      <c r="BJ26" s="83" t="s">
        <v>22</v>
      </c>
      <c r="BK26" s="137">
        <f>0.693/BK27</f>
        <v>66.155354824913829</v>
      </c>
      <c r="BM26" s="83" t="s">
        <v>22</v>
      </c>
      <c r="BN26" s="137">
        <f>0.693/BN27</f>
        <v>66.155354824913829</v>
      </c>
      <c r="BS26" s="91" t="s">
        <v>309</v>
      </c>
      <c r="BT26" s="177">
        <f>B112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B116</f>
        <v>5</v>
      </c>
      <c r="CA26" s="94" t="s">
        <v>194</v>
      </c>
      <c r="CB26" s="52" t="s">
        <v>140</v>
      </c>
      <c r="CC26" s="138">
        <f>B113</f>
        <v>55</v>
      </c>
      <c r="CD26" s="52" t="s">
        <v>24</v>
      </c>
      <c r="CE26" s="52" t="s">
        <v>140</v>
      </c>
      <c r="CF26" s="138">
        <f>B113</f>
        <v>55</v>
      </c>
      <c r="CG26" s="52" t="s">
        <v>24</v>
      </c>
      <c r="CK26" s="52" t="s">
        <v>160</v>
      </c>
      <c r="CL26" s="162">
        <f>B134</f>
        <v>3</v>
      </c>
      <c r="CM26" s="52" t="s">
        <v>221</v>
      </c>
      <c r="CN26" s="52" t="s">
        <v>33</v>
      </c>
      <c r="CO26" s="136">
        <f>B44</f>
        <v>0</v>
      </c>
      <c r="CT26" s="83" t="s">
        <v>506</v>
      </c>
      <c r="CU26" s="155">
        <f>((CU31*CU29*CU47)+(CU32*CU30*CU48))</f>
        <v>1387.5</v>
      </c>
      <c r="CV26" s="52" t="s">
        <v>426</v>
      </c>
      <c r="CW26" s="83" t="s">
        <v>476</v>
      </c>
      <c r="CX26" s="141">
        <f>B164</f>
        <v>0.85</v>
      </c>
      <c r="CY26" s="83"/>
      <c r="CZ26" s="83" t="s">
        <v>142</v>
      </c>
      <c r="DA26" s="149">
        <f>(DA35*DA40*DA42*DA49)+(DA36*DA41*DA43*DA50)</f>
        <v>570</v>
      </c>
      <c r="DB26" s="52" t="s">
        <v>356</v>
      </c>
      <c r="DG26" s="138"/>
      <c r="DO26" s="83" t="s">
        <v>393</v>
      </c>
      <c r="DP26" s="138">
        <f>B47</f>
        <v>0.26</v>
      </c>
      <c r="EA26" s="83"/>
      <c r="EB26" s="84"/>
      <c r="EC26" s="84"/>
      <c r="ED26" s="83" t="s">
        <v>392</v>
      </c>
      <c r="EE26" s="163">
        <f>B48</f>
        <v>0.25</v>
      </c>
      <c r="EF26" s="84"/>
      <c r="EP26" s="83"/>
      <c r="EQ26" s="84"/>
      <c r="ER26" s="84"/>
      <c r="ES26" s="83" t="s">
        <v>392</v>
      </c>
      <c r="ET26" s="163">
        <f>B48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B48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B48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B48</f>
        <v>0.25</v>
      </c>
      <c r="HC26" s="84"/>
      <c r="HD26" s="84" t="s">
        <v>265</v>
      </c>
      <c r="HE26" s="139" t="e">
        <f>H2</f>
        <v>#DIV/0!</v>
      </c>
      <c r="HF26" s="83" t="s">
        <v>291</v>
      </c>
    </row>
    <row r="27" spans="1:214" ht="12.75" customHeight="1" thickTop="1" x14ac:dyDescent="0.2">
      <c r="A27" s="83" t="s">
        <v>256</v>
      </c>
      <c r="B27" s="183">
        <v>3.2316400000000001</v>
      </c>
      <c r="C27" s="83" t="s">
        <v>351</v>
      </c>
      <c r="D27" s="95" t="s">
        <v>287</v>
      </c>
      <c r="E27" s="176">
        <v>27.027027027027</v>
      </c>
      <c r="F27" s="52" t="s">
        <v>288</v>
      </c>
      <c r="G27" s="83" t="s">
        <v>402</v>
      </c>
      <c r="H27" s="146">
        <f>B60</f>
        <v>55</v>
      </c>
      <c r="I27" s="92" t="s">
        <v>221</v>
      </c>
      <c r="J27" s="83" t="s">
        <v>310</v>
      </c>
      <c r="K27" s="146">
        <f>B58</f>
        <v>55</v>
      </c>
      <c r="L27" s="92" t="s">
        <v>221</v>
      </c>
      <c r="M27" s="91" t="s">
        <v>231</v>
      </c>
      <c r="N27" s="136">
        <f>B30</f>
        <v>1.04753425E-2</v>
      </c>
      <c r="O27" s="52" t="s">
        <v>60</v>
      </c>
      <c r="P27" s="91" t="s">
        <v>231</v>
      </c>
      <c r="Q27" s="136">
        <f>B30</f>
        <v>1.04753425E-2</v>
      </c>
      <c r="R27" s="52" t="s">
        <v>60</v>
      </c>
      <c r="V27" s="52" t="s">
        <v>267</v>
      </c>
      <c r="W27" s="136">
        <f>B17</f>
        <v>1</v>
      </c>
      <c r="X27" s="52" t="s">
        <v>344</v>
      </c>
      <c r="Y27" s="52" t="s">
        <v>267</v>
      </c>
      <c r="Z27" s="136">
        <f>B17</f>
        <v>1</v>
      </c>
      <c r="AA27" s="52" t="s">
        <v>344</v>
      </c>
      <c r="AB27" s="84" t="s">
        <v>16</v>
      </c>
      <c r="AC27" s="156">
        <f>(AC23*AC24)/(1-EXP(-AC24*AC23))</f>
        <v>66.155354824913829</v>
      </c>
      <c r="AD27" s="156">
        <f>(AD23*AD24)/(1-EXP(-AD24*AD23))</f>
        <v>66.155354824913829</v>
      </c>
      <c r="AE27" s="156">
        <f>(AE23*AE24)/(1-EXP(-AE24*AE23))</f>
        <v>66.155354824913829</v>
      </c>
      <c r="AF27" s="156">
        <f>(AF23*AF24)/(1-EXP(-AF24*AF23))</f>
        <v>66.155354824913829</v>
      </c>
      <c r="AG27" s="156">
        <f>(AG23*AG24)/(1-EXP(-AG24*AG23))</f>
        <v>66.155354824913829</v>
      </c>
      <c r="AI27" s="91" t="s">
        <v>231</v>
      </c>
      <c r="AJ27" s="136">
        <f>B30</f>
        <v>1.04753425E-2</v>
      </c>
      <c r="AK27" s="52" t="s">
        <v>60</v>
      </c>
      <c r="AL27" s="91" t="s">
        <v>231</v>
      </c>
      <c r="AM27" s="136">
        <f>B30</f>
        <v>1.04753425E-2</v>
      </c>
      <c r="AN27" s="52" t="s">
        <v>60</v>
      </c>
      <c r="AR27" s="91" t="s">
        <v>231</v>
      </c>
      <c r="AS27" s="136">
        <f>B30</f>
        <v>1.04753425E-2</v>
      </c>
      <c r="AT27" s="52" t="s">
        <v>60</v>
      </c>
      <c r="AU27" s="91" t="s">
        <v>231</v>
      </c>
      <c r="AV27" s="136">
        <f>B30</f>
        <v>1.04753425E-2</v>
      </c>
      <c r="AW27" s="52" t="s">
        <v>60</v>
      </c>
      <c r="BA27" s="91" t="s">
        <v>231</v>
      </c>
      <c r="BB27" s="136">
        <f>B30</f>
        <v>1.04753425E-2</v>
      </c>
      <c r="BC27" s="52" t="s">
        <v>60</v>
      </c>
      <c r="BD27" s="91" t="s">
        <v>231</v>
      </c>
      <c r="BE27" s="136">
        <f>B30</f>
        <v>1.04753425E-2</v>
      </c>
      <c r="BF27" s="52" t="s">
        <v>60</v>
      </c>
      <c r="BJ27" s="91" t="s">
        <v>231</v>
      </c>
      <c r="BK27" s="136">
        <f>B30</f>
        <v>1.04753425E-2</v>
      </c>
      <c r="BL27" s="52" t="s">
        <v>60</v>
      </c>
      <c r="BM27" s="91" t="s">
        <v>231</v>
      </c>
      <c r="BN27" s="136">
        <f>B30</f>
        <v>1.04753425E-2</v>
      </c>
      <c r="BO27" s="52" t="s">
        <v>60</v>
      </c>
      <c r="BS27" s="95" t="s">
        <v>287</v>
      </c>
      <c r="BT27" s="176">
        <v>27.027027027027</v>
      </c>
      <c r="BU27" s="52" t="s">
        <v>288</v>
      </c>
      <c r="BW27" s="138">
        <v>1000</v>
      </c>
      <c r="BX27" s="52" t="s">
        <v>218</v>
      </c>
      <c r="BY27" s="83" t="s">
        <v>90</v>
      </c>
      <c r="BZ27" s="150">
        <f>B117</f>
        <v>5</v>
      </c>
      <c r="CA27" s="52" t="s">
        <v>194</v>
      </c>
      <c r="CB27" s="52" t="s">
        <v>51</v>
      </c>
      <c r="CC27" s="138">
        <f>B127</f>
        <v>1</v>
      </c>
      <c r="CD27" s="52" t="s">
        <v>146</v>
      </c>
      <c r="CE27" s="52" t="s">
        <v>51</v>
      </c>
      <c r="CF27" s="138">
        <f>B127</f>
        <v>1</v>
      </c>
      <c r="CG27" s="52" t="s">
        <v>146</v>
      </c>
      <c r="CK27" s="95" t="s">
        <v>287</v>
      </c>
      <c r="CL27" s="176">
        <v>27.027027027027</v>
      </c>
      <c r="CM27" s="52" t="s">
        <v>288</v>
      </c>
      <c r="CN27" s="52" t="s">
        <v>392</v>
      </c>
      <c r="CO27" s="162">
        <f>B48</f>
        <v>0.25</v>
      </c>
      <c r="CT27" s="83" t="s">
        <v>449</v>
      </c>
      <c r="CU27" s="146">
        <f>B141</f>
        <v>100</v>
      </c>
      <c r="CV27" s="84" t="s">
        <v>48</v>
      </c>
      <c r="CW27" s="95" t="s">
        <v>287</v>
      </c>
      <c r="CX27" s="176">
        <v>27.027027027027</v>
      </c>
      <c r="CY27" s="52" t="s">
        <v>288</v>
      </c>
      <c r="CZ27" s="92" t="s">
        <v>451</v>
      </c>
      <c r="DA27" s="142">
        <f t="shared" ref="DA27:DA34" si="0">B143</f>
        <v>0.25</v>
      </c>
      <c r="DB27" s="83" t="s">
        <v>28</v>
      </c>
      <c r="DG27" s="138"/>
      <c r="DW27" s="88"/>
      <c r="DX27" s="88"/>
      <c r="DY27" s="88"/>
      <c r="DZ27" s="88"/>
      <c r="EA27" s="83"/>
      <c r="EB27" s="85"/>
      <c r="ED27" s="83" t="s">
        <v>517</v>
      </c>
      <c r="EE27" s="136">
        <f>B36</f>
        <v>0</v>
      </c>
      <c r="EF27" s="52" t="s">
        <v>601</v>
      </c>
      <c r="EP27" s="83"/>
      <c r="EQ27" s="86"/>
      <c r="ES27" s="83" t="s">
        <v>236</v>
      </c>
      <c r="ET27" s="169">
        <f>B37</f>
        <v>0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B39</f>
        <v>0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B38</f>
        <v>0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B40</f>
        <v>0</v>
      </c>
      <c r="HC27" s="52" t="s">
        <v>388</v>
      </c>
      <c r="HD27" s="83" t="s">
        <v>22</v>
      </c>
      <c r="HE27" s="137">
        <f>0.693/HE29</f>
        <v>66.155354824913829</v>
      </c>
    </row>
    <row r="28" spans="1:214" x14ac:dyDescent="0.2">
      <c r="A28" s="91" t="s">
        <v>257</v>
      </c>
      <c r="B28" s="183">
        <v>7.02368E-3</v>
      </c>
      <c r="C28" s="84" t="s">
        <v>259</v>
      </c>
      <c r="G28" s="83" t="s">
        <v>65</v>
      </c>
      <c r="H28" s="141">
        <f>B75</f>
        <v>0.5</v>
      </c>
      <c r="I28" s="52" t="s">
        <v>66</v>
      </c>
      <c r="J28" s="83" t="s">
        <v>447</v>
      </c>
      <c r="K28" s="149">
        <f>(K31*K29*K51)+(K32*K30*K52)</f>
        <v>8250</v>
      </c>
      <c r="L28" s="92" t="s">
        <v>347</v>
      </c>
      <c r="M28" s="52" t="s">
        <v>382</v>
      </c>
      <c r="N28" s="138">
        <f>B68</f>
        <v>150</v>
      </c>
      <c r="O28" s="52" t="s">
        <v>24</v>
      </c>
      <c r="P28" s="52" t="s">
        <v>382</v>
      </c>
      <c r="Q28" s="138">
        <f>B68</f>
        <v>150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B237</f>
        <v>125</v>
      </c>
      <c r="AK28" s="52" t="s">
        <v>24</v>
      </c>
      <c r="AL28" s="52" t="s">
        <v>35</v>
      </c>
      <c r="AM28" s="138">
        <f>B237</f>
        <v>125</v>
      </c>
      <c r="AN28" s="52" t="s">
        <v>24</v>
      </c>
      <c r="AR28" s="52" t="s">
        <v>423</v>
      </c>
      <c r="AS28" s="138">
        <f>B247</f>
        <v>125</v>
      </c>
      <c r="AT28" s="52" t="s">
        <v>24</v>
      </c>
      <c r="AU28" s="52" t="s">
        <v>423</v>
      </c>
      <c r="AV28" s="138">
        <f>B247</f>
        <v>125</v>
      </c>
      <c r="AW28" s="52" t="s">
        <v>24</v>
      </c>
      <c r="BA28" s="52" t="s">
        <v>316</v>
      </c>
      <c r="BB28" s="138">
        <f>B227</f>
        <v>125</v>
      </c>
      <c r="BC28" s="52" t="s">
        <v>24</v>
      </c>
      <c r="BD28" s="52" t="s">
        <v>316</v>
      </c>
      <c r="BE28" s="138">
        <f>B227</f>
        <v>125</v>
      </c>
      <c r="BF28" s="52" t="s">
        <v>24</v>
      </c>
      <c r="BJ28" s="52" t="s">
        <v>191</v>
      </c>
      <c r="BK28" s="138">
        <f>BK29*BK30</f>
        <v>75</v>
      </c>
      <c r="BL28" s="52" t="s">
        <v>24</v>
      </c>
      <c r="BM28" s="52" t="s">
        <v>191</v>
      </c>
      <c r="BN28" s="138">
        <f>BN29*BN30</f>
        <v>75</v>
      </c>
      <c r="BO28" s="52" t="s">
        <v>24</v>
      </c>
      <c r="BS28" s="96"/>
      <c r="BV28" s="83"/>
      <c r="BW28" s="146">
        <v>365</v>
      </c>
      <c r="BX28" s="84" t="s">
        <v>24</v>
      </c>
      <c r="BY28" s="83" t="s">
        <v>302</v>
      </c>
      <c r="BZ28" s="161">
        <f>B3</f>
        <v>6.8000000000000005E-2</v>
      </c>
      <c r="CB28" s="52" t="s">
        <v>300</v>
      </c>
      <c r="CC28" s="136">
        <f>B12</f>
        <v>2.2499999999999999E-2</v>
      </c>
      <c r="CE28" s="52" t="s">
        <v>300</v>
      </c>
      <c r="CF28" s="136">
        <f>B8</f>
        <v>4.2700000000000002E-2</v>
      </c>
      <c r="CN28" s="52" t="s">
        <v>165</v>
      </c>
      <c r="CO28" s="162">
        <f>B135</f>
        <v>2</v>
      </c>
      <c r="CP28" s="52" t="s">
        <v>246</v>
      </c>
      <c r="CT28" s="83" t="s">
        <v>458</v>
      </c>
      <c r="CU28" s="146">
        <f>B142</f>
        <v>50</v>
      </c>
      <c r="CV28" s="84" t="s">
        <v>48</v>
      </c>
      <c r="CZ28" s="92" t="s">
        <v>460</v>
      </c>
      <c r="DA28" s="142">
        <f t="shared" si="0"/>
        <v>1.5</v>
      </c>
      <c r="DB28" s="83" t="s">
        <v>28</v>
      </c>
      <c r="DW28" s="88"/>
      <c r="DX28" s="88"/>
      <c r="DY28" s="88"/>
      <c r="DZ28" s="88"/>
      <c r="ET28" s="138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227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D28" s="52" t="s">
        <v>16</v>
      </c>
      <c r="HE28" s="137">
        <f>1-EXP(-HE27*HE32)</f>
        <v>1</v>
      </c>
    </row>
    <row r="29" spans="1:214" ht="15.75" thickBot="1" x14ac:dyDescent="0.25">
      <c r="A29" s="83" t="s">
        <v>258</v>
      </c>
      <c r="B29" s="183">
        <v>0</v>
      </c>
      <c r="C29" s="92" t="s">
        <v>259</v>
      </c>
      <c r="G29" s="83" t="s">
        <v>380</v>
      </c>
      <c r="H29" s="150">
        <f>B66</f>
        <v>150</v>
      </c>
      <c r="I29" s="83" t="s">
        <v>24</v>
      </c>
      <c r="J29" s="83" t="s">
        <v>401</v>
      </c>
      <c r="K29" s="146">
        <f>B59</f>
        <v>55</v>
      </c>
      <c r="L29" s="92" t="s">
        <v>221</v>
      </c>
      <c r="M29" s="52" t="s">
        <v>379</v>
      </c>
      <c r="N29" s="138">
        <f>B65</f>
        <v>1</v>
      </c>
      <c r="O29" s="52" t="s">
        <v>146</v>
      </c>
      <c r="P29" s="52" t="s">
        <v>379</v>
      </c>
      <c r="Q29" s="138">
        <f>B65</f>
        <v>1</v>
      </c>
      <c r="R29" s="52" t="s">
        <v>146</v>
      </c>
      <c r="V29" s="83" t="s">
        <v>22</v>
      </c>
      <c r="W29" s="137">
        <f>0.693/W30</f>
        <v>66.155354824913829</v>
      </c>
      <c r="Y29" s="83" t="s">
        <v>22</v>
      </c>
      <c r="Z29" s="137">
        <f>0.693/Z30</f>
        <v>66.155354824913829</v>
      </c>
      <c r="AB29" s="83" t="s">
        <v>260</v>
      </c>
      <c r="AC29" s="143" t="e">
        <f>((AC5/(AC8*AC13*AC7*AC9*(1/AC6)))*AC27)/AC35</f>
        <v>#DIV/0!</v>
      </c>
      <c r="AD29" s="143" t="e">
        <f>((AD5/(AD8*AD13*AD7*AD9*(1/AD6)))*AD27)/AD35</f>
        <v>#DIV/0!</v>
      </c>
      <c r="AE29" s="143" t="e">
        <f>((AE5/(AE8*AE13*AE7*AE9*(1/AE6)))*AE27)/AE35</f>
        <v>#DIV/0!</v>
      </c>
      <c r="AF29" s="143" t="e">
        <f>((AF5*AF23*AF24)/((1-EXP(-AF24*AF23))*AF8*AF7*AF9*AF13*(1/AF28)))/AF35</f>
        <v>#DIV/0!</v>
      </c>
      <c r="AG29" s="143" t="e">
        <f>((AG5*AG23*AG24)/((1-EXP(-AG24*AG23))*AG8*AG7*AG9*AG13*(1/AG28)))/AG35</f>
        <v>#DIV/0!</v>
      </c>
      <c r="AH29" s="83" t="s">
        <v>290</v>
      </c>
      <c r="AI29" s="52" t="s">
        <v>420</v>
      </c>
      <c r="AJ29" s="138">
        <f>B238</f>
        <v>1</v>
      </c>
      <c r="AK29" s="52" t="s">
        <v>146</v>
      </c>
      <c r="AL29" s="52" t="s">
        <v>420</v>
      </c>
      <c r="AM29" s="138">
        <f>B238</f>
        <v>1</v>
      </c>
      <c r="AN29" s="52" t="s">
        <v>146</v>
      </c>
      <c r="AR29" s="52" t="s">
        <v>424</v>
      </c>
      <c r="AS29" s="138">
        <f>B248</f>
        <v>1</v>
      </c>
      <c r="AT29" s="52" t="s">
        <v>146</v>
      </c>
      <c r="AU29" s="52" t="s">
        <v>424</v>
      </c>
      <c r="AV29" s="138">
        <f>B248</f>
        <v>1</v>
      </c>
      <c r="AW29" s="52" t="s">
        <v>146</v>
      </c>
      <c r="BA29" s="52" t="s">
        <v>422</v>
      </c>
      <c r="BB29" s="138">
        <f>B228</f>
        <v>1</v>
      </c>
      <c r="BC29" s="52" t="s">
        <v>146</v>
      </c>
      <c r="BD29" s="52" t="s">
        <v>422</v>
      </c>
      <c r="BE29" s="138">
        <f>B228</f>
        <v>1</v>
      </c>
      <c r="BF29" s="52" t="s">
        <v>146</v>
      </c>
      <c r="BJ29" s="52" t="s">
        <v>220</v>
      </c>
      <c r="BK29" s="138">
        <f>B266</f>
        <v>25</v>
      </c>
      <c r="BL29" s="52" t="s">
        <v>113</v>
      </c>
      <c r="BM29" s="52" t="s">
        <v>220</v>
      </c>
      <c r="BN29" s="138">
        <f>B266</f>
        <v>25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61">
        <f>B4</f>
        <v>0.75600000000000001</v>
      </c>
      <c r="CB29" s="52" t="s">
        <v>411</v>
      </c>
      <c r="CC29" s="136">
        <f>B13</f>
        <v>0.46300000000000002</v>
      </c>
      <c r="CE29" s="52" t="s">
        <v>418</v>
      </c>
      <c r="CF29" s="136">
        <f>B9</f>
        <v>0.72299999999999998</v>
      </c>
      <c r="CN29" s="52" t="s">
        <v>166</v>
      </c>
      <c r="CO29" s="162">
        <f>B136</f>
        <v>2</v>
      </c>
      <c r="CP29" s="52" t="s">
        <v>246</v>
      </c>
      <c r="CT29" s="83" t="s">
        <v>450</v>
      </c>
      <c r="CU29" s="141">
        <f>B145</f>
        <v>5</v>
      </c>
      <c r="CV29" s="92" t="s">
        <v>407</v>
      </c>
      <c r="CZ29" s="92" t="s">
        <v>450</v>
      </c>
      <c r="DA29" s="142">
        <f t="shared" si="0"/>
        <v>5</v>
      </c>
      <c r="DB29" s="83" t="s">
        <v>143</v>
      </c>
      <c r="DW29" s="88"/>
      <c r="DX29" s="88"/>
      <c r="DY29" s="88"/>
      <c r="DZ29" s="88"/>
      <c r="ET29" s="13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B30</f>
        <v>1.04753425E-2</v>
      </c>
      <c r="HF29" s="52" t="s">
        <v>60</v>
      </c>
    </row>
    <row r="30" spans="1:214" ht="19.5" thickTop="1" thickBot="1" x14ac:dyDescent="0.25">
      <c r="A30" s="91" t="s">
        <v>231</v>
      </c>
      <c r="B30" s="183">
        <v>1.04753425E-2</v>
      </c>
      <c r="C30" s="52" t="s">
        <v>235</v>
      </c>
      <c r="D30" s="353" t="s">
        <v>528</v>
      </c>
      <c r="E30" s="354"/>
      <c r="F30" s="355"/>
      <c r="G30" s="83" t="s">
        <v>381</v>
      </c>
      <c r="H30" s="150">
        <f>B67</f>
        <v>150</v>
      </c>
      <c r="I30" s="83" t="s">
        <v>24</v>
      </c>
      <c r="J30" s="83" t="s">
        <v>402</v>
      </c>
      <c r="K30" s="146">
        <f>B60</f>
        <v>55</v>
      </c>
      <c r="L30" s="92" t="s">
        <v>221</v>
      </c>
      <c r="M30" s="52" t="s">
        <v>299</v>
      </c>
      <c r="N30" s="138">
        <f>B73</f>
        <v>1</v>
      </c>
      <c r="P30" s="52" t="s">
        <v>299</v>
      </c>
      <c r="Q30" s="138">
        <f>B73</f>
        <v>1</v>
      </c>
      <c r="V30" s="91" t="s">
        <v>231</v>
      </c>
      <c r="W30" s="136">
        <f>B30</f>
        <v>1.04753425E-2</v>
      </c>
      <c r="X30" s="52" t="s">
        <v>60</v>
      </c>
      <c r="Y30" s="91" t="s">
        <v>231</v>
      </c>
      <c r="Z30" s="136">
        <f>B30</f>
        <v>1.04753425E-2</v>
      </c>
      <c r="AA30" s="52" t="s">
        <v>60</v>
      </c>
      <c r="AB30" s="83" t="s">
        <v>261</v>
      </c>
      <c r="AC30" s="144">
        <f>((AC5/(AC19*AC15*AC7*AC9*(1/AC32)*((8/1)/(24/1))*AC28))*AC27)/AC35</f>
        <v>12776958.302305635</v>
      </c>
      <c r="AD30" s="144">
        <f>((AD5/(AD19*AD15*AD7*((8/1)/(24/1))*AD9*(1/AD32)*AD28))*AD27)/AD35</f>
        <v>12776958.302305635</v>
      </c>
      <c r="AE30" s="144">
        <f>((AE5/(AE19*AE15*AE7*((8/1)/(24/1))*AE9*(1/AE32)*AE28))*AE27)/AE35</f>
        <v>12776958.302305635</v>
      </c>
      <c r="AF30" s="144">
        <f>((AF5*AF23*AF24)/((1-EXP(-AF24*AF23))*AF19*AF7*AF9*(AF12/24)*AF15*(1/AF33)*AF28))/AF35</f>
        <v>11672.18261263479</v>
      </c>
      <c r="AG30" s="144">
        <f>((AG5*AG23*AG24)/((1-EXP(-AG24*AG23))*AG19*AG7*AG9*(AG12/24)*AG15*(1/AG34)*AG28))/AG35</f>
        <v>1046073.7630053397</v>
      </c>
      <c r="AH30" s="83" t="s">
        <v>290</v>
      </c>
      <c r="AI30" s="52" t="s">
        <v>299</v>
      </c>
      <c r="AJ30" s="138">
        <f>B241</f>
        <v>1</v>
      </c>
      <c r="AL30" s="52" t="s">
        <v>299</v>
      </c>
      <c r="AM30" s="138">
        <f>B241</f>
        <v>1</v>
      </c>
      <c r="AR30" s="52" t="s">
        <v>299</v>
      </c>
      <c r="AS30" s="138">
        <f>B251</f>
        <v>1</v>
      </c>
      <c r="AV30" s="138"/>
      <c r="BA30" s="52" t="s">
        <v>299</v>
      </c>
      <c r="BB30" s="138">
        <f>B231</f>
        <v>1</v>
      </c>
      <c r="BD30" s="52" t="s">
        <v>299</v>
      </c>
      <c r="BE30" s="138">
        <f>B231</f>
        <v>1</v>
      </c>
      <c r="BJ30" s="52" t="s">
        <v>219</v>
      </c>
      <c r="BK30" s="138">
        <f>B265</f>
        <v>3</v>
      </c>
      <c r="BL30" s="52" t="s">
        <v>112</v>
      </c>
      <c r="BM30" s="52" t="s">
        <v>219</v>
      </c>
      <c r="BN30" s="138">
        <f>B265</f>
        <v>3</v>
      </c>
      <c r="BO30" s="52" t="s">
        <v>112</v>
      </c>
      <c r="BS30" s="91"/>
      <c r="BT30" s="97"/>
      <c r="BU30" s="91"/>
      <c r="BV30" s="91" t="s">
        <v>308</v>
      </c>
      <c r="BW30" s="146">
        <f>B111</f>
        <v>0.23</v>
      </c>
      <c r="BY30" s="94" t="s">
        <v>95</v>
      </c>
      <c r="BZ30" s="150">
        <f>B127</f>
        <v>1</v>
      </c>
      <c r="CA30" s="94" t="s">
        <v>60</v>
      </c>
      <c r="CB30" s="52" t="s">
        <v>90</v>
      </c>
      <c r="CC30" s="138">
        <f>B118</f>
        <v>5</v>
      </c>
      <c r="CD30" s="52" t="s">
        <v>194</v>
      </c>
      <c r="CE30" s="52" t="s">
        <v>90</v>
      </c>
      <c r="CF30" s="138">
        <f>B118</f>
        <v>5</v>
      </c>
      <c r="CG30" s="52" t="s">
        <v>194</v>
      </c>
      <c r="CM30" s="83"/>
      <c r="CN30" s="93" t="s">
        <v>167</v>
      </c>
      <c r="CO30" s="162">
        <f>B137</f>
        <v>2</v>
      </c>
      <c r="CP30" s="52" t="s">
        <v>41</v>
      </c>
      <c r="CQ30" s="88"/>
      <c r="CR30" s="83"/>
      <c r="CS30" s="83"/>
      <c r="CT30" s="83" t="s">
        <v>459</v>
      </c>
      <c r="CU30" s="141">
        <f>B146</f>
        <v>10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10</v>
      </c>
      <c r="DB30" s="83" t="s">
        <v>143</v>
      </c>
      <c r="DW30" s="88"/>
      <c r="DX30" s="88"/>
      <c r="DY30" s="88"/>
      <c r="DZ30" s="88"/>
      <c r="ET30" s="13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B93</f>
        <v>0.3</v>
      </c>
    </row>
    <row r="31" spans="1:214" x14ac:dyDescent="0.2">
      <c r="A31" s="91" t="s">
        <v>77</v>
      </c>
      <c r="B31" s="183">
        <f>PEF!D3</f>
        <v>1359344473.5814338</v>
      </c>
      <c r="C31" s="52" t="s">
        <v>524</v>
      </c>
      <c r="D31" s="323" t="s">
        <v>530</v>
      </c>
      <c r="E31" s="347" t="e">
        <f>E38</f>
        <v>#DIV/0!</v>
      </c>
      <c r="F31" s="345" t="s">
        <v>290</v>
      </c>
      <c r="G31" s="83" t="s">
        <v>379</v>
      </c>
      <c r="H31" s="150">
        <f>B65</f>
        <v>1</v>
      </c>
      <c r="I31" s="84" t="s">
        <v>60</v>
      </c>
      <c r="J31" s="83" t="s">
        <v>380</v>
      </c>
      <c r="K31" s="150">
        <f>B66</f>
        <v>150</v>
      </c>
      <c r="L31" s="83" t="s">
        <v>24</v>
      </c>
      <c r="M31" s="52" t="s">
        <v>300</v>
      </c>
      <c r="N31" s="136">
        <f>B12</f>
        <v>2.2499999999999999E-2</v>
      </c>
      <c r="P31" s="52" t="s">
        <v>300</v>
      </c>
      <c r="Q31" s="136">
        <f>B8</f>
        <v>4.2700000000000002E-2</v>
      </c>
      <c r="V31" s="52" t="s">
        <v>35</v>
      </c>
      <c r="W31" s="138">
        <f>B237</f>
        <v>125</v>
      </c>
      <c r="X31" s="52" t="s">
        <v>24</v>
      </c>
      <c r="Y31" s="52" t="s">
        <v>191</v>
      </c>
      <c r="Z31" s="138">
        <f>B257</f>
        <v>125</v>
      </c>
      <c r="AA31" s="52" t="s">
        <v>24</v>
      </c>
      <c r="AB31" s="83" t="s">
        <v>262</v>
      </c>
      <c r="AC31" s="145">
        <f>((AC5*AC23*AC24)/((1-EXP(-AC24*AC23))*AC18*AC7*(1/365)*AC12*(1/24)*AC14*AC17))/AC35</f>
        <v>195865.70582417428</v>
      </c>
      <c r="AD31" s="145">
        <f>((AD5*AD23*AD24)/((1-EXP(-AD24*AD23))*AD18*AD7*(1/365)*AD12*(1/24)*AD16*AD17))/AD35</f>
        <v>13318.867996043851</v>
      </c>
      <c r="AE31" s="145">
        <f>((AE5*AE23*AE24)/((1-EXP(-AE24*AE23))*AE18*AE7*(1/365)*AE12*(1/24)*AE14*AE17))/AE35</f>
        <v>195865.70582417428</v>
      </c>
      <c r="AF31" s="145">
        <f>((AF5*AF23*AF24)/((1-EXP(-AF24*AF23))*AF18*(AF11*AF10)*(1/365)*AF12*(1/24)*AF14*AF17))/AF35</f>
        <v>522308.5488644648</v>
      </c>
      <c r="AG31" s="145">
        <f>((AG5*AG23*AG24)/((1-EXP(-AG24*AG23))*AG18*AG7*(1/365)*AG9*(AG12/24)*AG14*AG17))/AG35</f>
        <v>313385.12931867881</v>
      </c>
      <c r="AH31" s="83" t="s">
        <v>290</v>
      </c>
      <c r="AI31" s="52" t="s">
        <v>300</v>
      </c>
      <c r="AJ31" s="136">
        <f>B12</f>
        <v>2.2499999999999999E-2</v>
      </c>
      <c r="AL31" s="52" t="s">
        <v>300</v>
      </c>
      <c r="AM31" s="136">
        <f>B8</f>
        <v>4.2700000000000002E-2</v>
      </c>
      <c r="AR31" s="52" t="s">
        <v>300</v>
      </c>
      <c r="AS31" s="136">
        <f>B12</f>
        <v>2.2499999999999999E-2</v>
      </c>
      <c r="AU31" s="52" t="s">
        <v>300</v>
      </c>
      <c r="AV31" s="136">
        <f>B8</f>
        <v>4.2700000000000002E-2</v>
      </c>
      <c r="BA31" s="52" t="s">
        <v>300</v>
      </c>
      <c r="BB31" s="136">
        <f>B12</f>
        <v>2.2499999999999999E-2</v>
      </c>
      <c r="BD31" s="52" t="s">
        <v>300</v>
      </c>
      <c r="BE31" s="136">
        <f>B8</f>
        <v>4.2700000000000002E-2</v>
      </c>
      <c r="BJ31" s="52" t="s">
        <v>158</v>
      </c>
      <c r="BK31" s="138">
        <f>B258</f>
        <v>1</v>
      </c>
      <c r="BL31" s="52" t="s">
        <v>146</v>
      </c>
      <c r="BM31" s="52" t="s">
        <v>158</v>
      </c>
      <c r="BN31" s="138">
        <f>B258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B112</f>
        <v>0.77</v>
      </c>
      <c r="BZ31" s="150">
        <v>365</v>
      </c>
      <c r="CA31" s="52" t="s">
        <v>24</v>
      </c>
      <c r="CB31" s="52" t="s">
        <v>410</v>
      </c>
      <c r="CC31" s="139">
        <f>B23</f>
        <v>4.3486799999999998E-4</v>
      </c>
      <c r="CD31" s="84" t="s">
        <v>353</v>
      </c>
      <c r="CE31" s="52" t="s">
        <v>419</v>
      </c>
      <c r="CF31" s="139">
        <f>B25</f>
        <v>1.2571640000000001E-3</v>
      </c>
      <c r="CG31" s="84" t="s">
        <v>353</v>
      </c>
      <c r="CM31" s="83"/>
      <c r="CN31" s="83" t="s">
        <v>168</v>
      </c>
      <c r="CO31" s="162">
        <f>B138</f>
        <v>2</v>
      </c>
      <c r="CP31" s="52" t="s">
        <v>41</v>
      </c>
      <c r="CQ31" s="83"/>
      <c r="CR31" s="83"/>
      <c r="CS31" s="83"/>
      <c r="CT31" s="83" t="s">
        <v>456</v>
      </c>
      <c r="CU31" s="150">
        <f>B165</f>
        <v>150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55</v>
      </c>
      <c r="DB31" s="83" t="s">
        <v>221</v>
      </c>
      <c r="DW31" s="88"/>
      <c r="DX31" s="88"/>
      <c r="DY31" s="88"/>
      <c r="DZ31" s="88"/>
      <c r="ET31" s="13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B94</f>
        <v>1.5</v>
      </c>
    </row>
    <row r="32" spans="1:214" ht="13.5" thickBot="1" x14ac:dyDescent="0.25">
      <c r="A32" s="91" t="s">
        <v>103</v>
      </c>
      <c r="B32" s="183">
        <f>PEF!G3</f>
        <v>776129.4078035407</v>
      </c>
      <c r="C32" s="52" t="s">
        <v>524</v>
      </c>
      <c r="D32" s="324"/>
      <c r="E32" s="348"/>
      <c r="F32" s="346"/>
      <c r="G32" s="52" t="s">
        <v>403</v>
      </c>
      <c r="H32" s="138">
        <f>B69</f>
        <v>0.25</v>
      </c>
      <c r="I32" s="52" t="s">
        <v>89</v>
      </c>
      <c r="J32" s="83" t="s">
        <v>381</v>
      </c>
      <c r="K32" s="150">
        <f>B67</f>
        <v>150</v>
      </c>
      <c r="L32" s="83" t="s">
        <v>24</v>
      </c>
      <c r="M32" s="52" t="s">
        <v>54</v>
      </c>
      <c r="N32" s="136">
        <f>B13</f>
        <v>0.46300000000000002</v>
      </c>
      <c r="P32" s="52" t="s">
        <v>54</v>
      </c>
      <c r="Q32" s="136">
        <f>B9</f>
        <v>0.72299999999999998</v>
      </c>
      <c r="V32" s="52" t="s">
        <v>420</v>
      </c>
      <c r="W32" s="138">
        <f>B238</f>
        <v>1</v>
      </c>
      <c r="X32" s="52" t="s">
        <v>146</v>
      </c>
      <c r="Y32" s="52" t="s">
        <v>158</v>
      </c>
      <c r="Z32" s="138">
        <f>B258</f>
        <v>1</v>
      </c>
      <c r="AA32" s="52" t="s">
        <v>146</v>
      </c>
      <c r="AB32" s="83" t="s">
        <v>77</v>
      </c>
      <c r="AC32" s="136">
        <f>B31</f>
        <v>1359344473.5814338</v>
      </c>
      <c r="AD32" s="136">
        <f>B31</f>
        <v>1359344473.5814338</v>
      </c>
      <c r="AE32" s="136">
        <f>B31</f>
        <v>1359344473.5814338</v>
      </c>
      <c r="AF32" s="136"/>
      <c r="AG32" s="136"/>
      <c r="AH32" s="104" t="s">
        <v>78</v>
      </c>
      <c r="AI32" s="52" t="s">
        <v>54</v>
      </c>
      <c r="AJ32" s="136">
        <f>B13</f>
        <v>0.46300000000000002</v>
      </c>
      <c r="AL32" s="52" t="s">
        <v>54</v>
      </c>
      <c r="AM32" s="136">
        <f>B9</f>
        <v>0.72299999999999998</v>
      </c>
      <c r="AR32" s="52" t="s">
        <v>54</v>
      </c>
      <c r="AS32" s="136">
        <f>B13</f>
        <v>0.46300000000000002</v>
      </c>
      <c r="AU32" s="52" t="s">
        <v>54</v>
      </c>
      <c r="AV32" s="136">
        <f>B9</f>
        <v>0.72299999999999998</v>
      </c>
      <c r="BA32" s="52" t="s">
        <v>54</v>
      </c>
      <c r="BB32" s="136">
        <f>B13</f>
        <v>0.46300000000000002</v>
      </c>
      <c r="BD32" s="52" t="s">
        <v>54</v>
      </c>
      <c r="BE32" s="136">
        <f>B9</f>
        <v>0.72299999999999998</v>
      </c>
      <c r="BJ32" s="52" t="s">
        <v>300</v>
      </c>
      <c r="BK32" s="136">
        <f>B12</f>
        <v>2.2499999999999999E-2</v>
      </c>
      <c r="BM32" s="52" t="s">
        <v>300</v>
      </c>
      <c r="BN32" s="136">
        <f>B8</f>
        <v>4.2700000000000002E-2</v>
      </c>
      <c r="BS32" s="91"/>
      <c r="BT32" s="99"/>
      <c r="BU32" s="100"/>
      <c r="BV32" s="95" t="s">
        <v>287</v>
      </c>
      <c r="BW32" s="176">
        <v>27.027027027027</v>
      </c>
      <c r="BX32" s="52" t="s">
        <v>288</v>
      </c>
      <c r="BZ32" s="138">
        <v>1000</v>
      </c>
      <c r="CA32" s="52" t="s">
        <v>99</v>
      </c>
      <c r="CB32" s="95" t="s">
        <v>287</v>
      </c>
      <c r="CC32" s="176">
        <v>27.027027027027</v>
      </c>
      <c r="CD32" s="52" t="s">
        <v>288</v>
      </c>
      <c r="CE32" s="95" t="s">
        <v>287</v>
      </c>
      <c r="CF32" s="176">
        <v>27.027027027027</v>
      </c>
      <c r="CG32" s="52" t="s">
        <v>288</v>
      </c>
      <c r="CM32" s="83"/>
      <c r="CN32" s="83" t="s">
        <v>22</v>
      </c>
      <c r="CO32" s="137">
        <f>0.693/CO33</f>
        <v>66.155354824913829</v>
      </c>
      <c r="CR32" s="83"/>
      <c r="CS32" s="83"/>
      <c r="CT32" s="83" t="s">
        <v>465</v>
      </c>
      <c r="CU32" s="150">
        <f>B166</f>
        <v>150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55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15" customHeight="1" thickTop="1" x14ac:dyDescent="0.2">
      <c r="A33" s="91" t="s">
        <v>104</v>
      </c>
      <c r="B33" s="183">
        <f>PEF!J3</f>
        <v>69557565.807898715</v>
      </c>
      <c r="C33" s="52" t="s">
        <v>524</v>
      </c>
      <c r="D33" s="83" t="s">
        <v>267</v>
      </c>
      <c r="E33" s="136">
        <f>B17</f>
        <v>1</v>
      </c>
      <c r="F33" s="52" t="s">
        <v>344</v>
      </c>
      <c r="G33" s="52" t="s">
        <v>404</v>
      </c>
      <c r="H33" s="138">
        <f>B70</f>
        <v>0.75</v>
      </c>
      <c r="I33" s="52" t="s">
        <v>89</v>
      </c>
      <c r="J33" s="83" t="s">
        <v>379</v>
      </c>
      <c r="K33" s="141">
        <f>B65</f>
        <v>1</v>
      </c>
      <c r="L33" s="92" t="s">
        <v>60</v>
      </c>
      <c r="M33" s="52" t="s">
        <v>408</v>
      </c>
      <c r="N33" s="150">
        <f>B88</f>
        <v>5</v>
      </c>
      <c r="O33" s="52" t="s">
        <v>194</v>
      </c>
      <c r="P33" s="52" t="s">
        <v>408</v>
      </c>
      <c r="Q33" s="150">
        <f>B88</f>
        <v>5</v>
      </c>
      <c r="R33" s="52" t="s">
        <v>194</v>
      </c>
      <c r="V33" s="52" t="s">
        <v>247</v>
      </c>
      <c r="W33" s="139">
        <f>B18</f>
        <v>1.25E-4</v>
      </c>
      <c r="X33" s="84" t="s">
        <v>39</v>
      </c>
      <c r="Y33" s="52" t="s">
        <v>247</v>
      </c>
      <c r="Z33" s="139">
        <f>B18</f>
        <v>1.25E-4</v>
      </c>
      <c r="AA33" s="84" t="s">
        <v>39</v>
      </c>
      <c r="AB33" s="104" t="s">
        <v>103</v>
      </c>
      <c r="AC33" s="136"/>
      <c r="AD33" s="136"/>
      <c r="AE33" s="136"/>
      <c r="AF33" s="157">
        <f>B32</f>
        <v>776129.4078035407</v>
      </c>
      <c r="AG33" s="136"/>
      <c r="AH33" s="104" t="s">
        <v>78</v>
      </c>
      <c r="AI33" s="52" t="s">
        <v>57</v>
      </c>
      <c r="AJ33" s="136">
        <f>B242</f>
        <v>5</v>
      </c>
      <c r="AK33" s="52" t="s">
        <v>194</v>
      </c>
      <c r="AL33" s="52" t="s">
        <v>57</v>
      </c>
      <c r="AM33" s="136">
        <f>B242</f>
        <v>5</v>
      </c>
      <c r="AN33" s="52" t="s">
        <v>194</v>
      </c>
      <c r="AR33" s="52" t="s">
        <v>57</v>
      </c>
      <c r="AS33" s="136">
        <f>B252</f>
        <v>5</v>
      </c>
      <c r="AT33" s="52" t="s">
        <v>194</v>
      </c>
      <c r="AU33" s="52" t="s">
        <v>57</v>
      </c>
      <c r="AV33" s="136">
        <f>B252</f>
        <v>5</v>
      </c>
      <c r="AW33" s="52" t="s">
        <v>194</v>
      </c>
      <c r="BA33" s="52" t="s">
        <v>58</v>
      </c>
      <c r="BB33" s="136">
        <f>B232</f>
        <v>5</v>
      </c>
      <c r="BC33" s="52" t="s">
        <v>194</v>
      </c>
      <c r="BD33" s="52" t="s">
        <v>57</v>
      </c>
      <c r="BE33" s="136">
        <f>B232</f>
        <v>5</v>
      </c>
      <c r="BF33" s="52" t="s">
        <v>194</v>
      </c>
      <c r="BJ33" s="52" t="s">
        <v>411</v>
      </c>
      <c r="BK33" s="136">
        <f>B13</f>
        <v>0.46300000000000002</v>
      </c>
      <c r="BM33" s="52" t="s">
        <v>418</v>
      </c>
      <c r="BN33" s="136">
        <f>B9</f>
        <v>0.72299999999999998</v>
      </c>
      <c r="BS33" s="91"/>
      <c r="BT33" s="99"/>
      <c r="BU33" s="100"/>
      <c r="BW33" s="90"/>
      <c r="BZ33" s="146">
        <v>1000</v>
      </c>
      <c r="CA33" s="52" t="s">
        <v>23</v>
      </c>
      <c r="CM33" s="83"/>
      <c r="CN33" s="91" t="s">
        <v>231</v>
      </c>
      <c r="CO33" s="136">
        <f>B30</f>
        <v>1.04753425E-2</v>
      </c>
      <c r="CP33" s="52" t="s">
        <v>60</v>
      </c>
      <c r="CR33" s="83"/>
      <c r="CS33" s="83"/>
      <c r="CT33" s="83" t="s">
        <v>363</v>
      </c>
      <c r="CU33" s="141">
        <f t="shared" ref="CU33:CU40" si="1">B168</f>
        <v>1</v>
      </c>
      <c r="CV33" s="92" t="s">
        <v>60</v>
      </c>
      <c r="CZ33" s="92" t="s">
        <v>513</v>
      </c>
      <c r="DA33" s="141">
        <f t="shared" si="0"/>
        <v>55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B92</f>
        <v>70</v>
      </c>
    </row>
    <row r="34" spans="1:214" ht="13.5" customHeight="1" x14ac:dyDescent="0.2">
      <c r="A34" s="91" t="s">
        <v>231</v>
      </c>
      <c r="B34" s="183">
        <f>B30*365</f>
        <v>3.8235000124999998</v>
      </c>
      <c r="C34" s="52" t="s">
        <v>222</v>
      </c>
      <c r="D34" s="83" t="s">
        <v>382</v>
      </c>
      <c r="E34" s="150">
        <f>B68</f>
        <v>150</v>
      </c>
      <c r="F34" s="83" t="s">
        <v>24</v>
      </c>
      <c r="G34" s="83" t="s">
        <v>383</v>
      </c>
      <c r="H34" s="150">
        <f>B71</f>
        <v>24</v>
      </c>
      <c r="I34" s="94" t="s">
        <v>194</v>
      </c>
      <c r="J34" s="83" t="s">
        <v>383</v>
      </c>
      <c r="K34" s="150">
        <f>B71</f>
        <v>24</v>
      </c>
      <c r="L34" s="94" t="s">
        <v>194</v>
      </c>
      <c r="M34" s="52" t="s">
        <v>410</v>
      </c>
      <c r="N34" s="139">
        <f>B23</f>
        <v>4.3486799999999998E-4</v>
      </c>
      <c r="O34" s="84" t="s">
        <v>354</v>
      </c>
      <c r="P34" s="52" t="s">
        <v>419</v>
      </c>
      <c r="Q34" s="139">
        <f>B25</f>
        <v>1.2571640000000001E-3</v>
      </c>
      <c r="R34" s="84" t="s">
        <v>353</v>
      </c>
      <c r="V34" s="52" t="s">
        <v>421</v>
      </c>
      <c r="W34" s="150">
        <f>B243</f>
        <v>5</v>
      </c>
      <c r="X34" s="84" t="s">
        <v>194</v>
      </c>
      <c r="Y34" s="52" t="s">
        <v>192</v>
      </c>
      <c r="Z34" s="150">
        <f>B262</f>
        <v>5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B33</f>
        <v>69557565.807898715</v>
      </c>
      <c r="AH34" s="104" t="s">
        <v>78</v>
      </c>
      <c r="AI34" s="52" t="s">
        <v>410</v>
      </c>
      <c r="AJ34" s="139">
        <f>B23</f>
        <v>4.3486799999999998E-4</v>
      </c>
      <c r="AK34" s="84" t="s">
        <v>353</v>
      </c>
      <c r="AL34" s="52" t="s">
        <v>419</v>
      </c>
      <c r="AM34" s="139">
        <f>B25</f>
        <v>1.2571640000000001E-3</v>
      </c>
      <c r="AN34" s="84" t="s">
        <v>353</v>
      </c>
      <c r="AR34" s="52" t="s">
        <v>410</v>
      </c>
      <c r="AS34" s="139">
        <f>B23</f>
        <v>4.3486799999999998E-4</v>
      </c>
      <c r="AT34" s="84" t="s">
        <v>353</v>
      </c>
      <c r="AU34" s="52" t="s">
        <v>419</v>
      </c>
      <c r="AV34" s="139">
        <f>B25</f>
        <v>1.2571640000000001E-3</v>
      </c>
      <c r="AW34" s="84" t="s">
        <v>353</v>
      </c>
      <c r="BA34" s="52" t="s">
        <v>410</v>
      </c>
      <c r="BB34" s="139">
        <f>B23</f>
        <v>4.3486799999999998E-4</v>
      </c>
      <c r="BC34" s="84" t="s">
        <v>353</v>
      </c>
      <c r="BD34" s="52" t="s">
        <v>419</v>
      </c>
      <c r="BE34" s="139">
        <f>B25</f>
        <v>1.2571640000000001E-3</v>
      </c>
      <c r="BF34" s="84" t="s">
        <v>353</v>
      </c>
      <c r="BJ34" s="52" t="s">
        <v>57</v>
      </c>
      <c r="BK34" s="136">
        <f>B262</f>
        <v>5</v>
      </c>
      <c r="BL34" s="52" t="s">
        <v>194</v>
      </c>
      <c r="BM34" s="52" t="s">
        <v>57</v>
      </c>
      <c r="BN34" s="136">
        <f>B262</f>
        <v>5</v>
      </c>
      <c r="BO34" s="52" t="s">
        <v>194</v>
      </c>
      <c r="BT34" s="102"/>
      <c r="BU34" s="91"/>
      <c r="BY34" s="91" t="s">
        <v>308</v>
      </c>
      <c r="BZ34" s="146">
        <f>B111</f>
        <v>0.23</v>
      </c>
      <c r="CM34" s="83"/>
      <c r="CN34" s="84" t="s">
        <v>16</v>
      </c>
      <c r="CO34" s="137">
        <f>(CO31*CO32)/(1-EXP(-CO32*CO31))</f>
        <v>132.31070964982766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55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B45</f>
        <v>0</v>
      </c>
    </row>
    <row r="35" spans="1:214" ht="13.15" customHeight="1" x14ac:dyDescent="0.2">
      <c r="A35" s="83" t="s">
        <v>105</v>
      </c>
      <c r="B35" s="182">
        <v>0</v>
      </c>
      <c r="C35" s="84" t="s">
        <v>18</v>
      </c>
      <c r="D35" s="83" t="s">
        <v>258</v>
      </c>
      <c r="E35" s="136">
        <f>B29</f>
        <v>0</v>
      </c>
      <c r="F35" s="83" t="s">
        <v>87</v>
      </c>
      <c r="G35" s="83" t="s">
        <v>384</v>
      </c>
      <c r="H35" s="150">
        <f>B71</f>
        <v>24</v>
      </c>
      <c r="I35" s="52" t="s">
        <v>194</v>
      </c>
      <c r="J35" s="83" t="s">
        <v>384</v>
      </c>
      <c r="K35" s="150">
        <f>B71</f>
        <v>24</v>
      </c>
      <c r="L35" s="52" t="s">
        <v>194</v>
      </c>
      <c r="M35" s="52" t="s">
        <v>409</v>
      </c>
      <c r="N35" s="150">
        <f>B89</f>
        <v>25</v>
      </c>
      <c r="O35" s="52" t="s">
        <v>194</v>
      </c>
      <c r="P35" s="52" t="s">
        <v>409</v>
      </c>
      <c r="Q35" s="150">
        <f>B89</f>
        <v>25</v>
      </c>
      <c r="R35" s="52" t="s">
        <v>194</v>
      </c>
      <c r="V35" s="52" t="s">
        <v>304</v>
      </c>
      <c r="W35" s="146">
        <f>B236</f>
        <v>50</v>
      </c>
      <c r="X35" s="84" t="s">
        <v>407</v>
      </c>
      <c r="Y35" s="52" t="s">
        <v>348</v>
      </c>
      <c r="Z35" s="146">
        <f>B256</f>
        <v>50</v>
      </c>
      <c r="AA35" s="84" t="s">
        <v>407</v>
      </c>
      <c r="AB35" s="95" t="s">
        <v>287</v>
      </c>
      <c r="AC35" s="176">
        <v>27.027027027027</v>
      </c>
      <c r="AD35" s="176">
        <v>27.027027027027</v>
      </c>
      <c r="AE35" s="176">
        <v>27.027027027027</v>
      </c>
      <c r="AF35" s="176">
        <v>27.027027027027</v>
      </c>
      <c r="AG35" s="176">
        <v>27.027027027027</v>
      </c>
      <c r="AH35" s="52" t="s">
        <v>288</v>
      </c>
      <c r="AI35" s="52" t="s">
        <v>69</v>
      </c>
      <c r="AJ35" s="136">
        <f>B243</f>
        <v>5</v>
      </c>
      <c r="AK35" s="52" t="s">
        <v>194</v>
      </c>
      <c r="AL35" s="52" t="s">
        <v>69</v>
      </c>
      <c r="AM35" s="136">
        <f>B243</f>
        <v>5</v>
      </c>
      <c r="AN35" s="52" t="s">
        <v>194</v>
      </c>
      <c r="AR35" s="52" t="s">
        <v>69</v>
      </c>
      <c r="AS35" s="136">
        <f>B253</f>
        <v>5</v>
      </c>
      <c r="AT35" s="52" t="s">
        <v>194</v>
      </c>
      <c r="AU35" s="52" t="s">
        <v>69</v>
      </c>
      <c r="AV35" s="136">
        <f>B253</f>
        <v>5</v>
      </c>
      <c r="AW35" s="52" t="s">
        <v>194</v>
      </c>
      <c r="BA35" s="52" t="s">
        <v>69</v>
      </c>
      <c r="BB35" s="136">
        <f>B233</f>
        <v>5</v>
      </c>
      <c r="BC35" s="52" t="s">
        <v>194</v>
      </c>
      <c r="BD35" s="52" t="s">
        <v>69</v>
      </c>
      <c r="BE35" s="136">
        <f>B233</f>
        <v>5</v>
      </c>
      <c r="BF35" s="52" t="s">
        <v>194</v>
      </c>
      <c r="BJ35" s="52" t="s">
        <v>410</v>
      </c>
      <c r="BK35" s="139">
        <f>B23</f>
        <v>4.3486799999999998E-4</v>
      </c>
      <c r="BL35" s="84" t="s">
        <v>353</v>
      </c>
      <c r="BM35" s="52" t="s">
        <v>419</v>
      </c>
      <c r="BN35" s="139">
        <f>B25</f>
        <v>1.2571640000000001E-3</v>
      </c>
      <c r="BO35" s="84" t="s">
        <v>353</v>
      </c>
      <c r="BY35" s="91" t="s">
        <v>309</v>
      </c>
      <c r="BZ35" s="146">
        <f>B112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B165</f>
        <v>150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B75</f>
        <v>0.5</v>
      </c>
      <c r="HF35" s="52" t="s">
        <v>355</v>
      </c>
    </row>
    <row r="36" spans="1:214" x14ac:dyDescent="0.2">
      <c r="A36" s="83" t="s">
        <v>239</v>
      </c>
      <c r="B36" s="183">
        <v>0</v>
      </c>
      <c r="C36" s="52" t="s">
        <v>601</v>
      </c>
      <c r="D36" s="83" t="s">
        <v>389</v>
      </c>
      <c r="E36" s="146">
        <f>B90</f>
        <v>1</v>
      </c>
      <c r="G36" s="83" t="s">
        <v>405</v>
      </c>
      <c r="H36" s="138">
        <f>B76</f>
        <v>5</v>
      </c>
      <c r="I36" s="52" t="s">
        <v>80</v>
      </c>
      <c r="J36" s="83" t="s">
        <v>390</v>
      </c>
      <c r="K36" s="141">
        <f>B78</f>
        <v>0.25</v>
      </c>
      <c r="M36" s="95" t="s">
        <v>287</v>
      </c>
      <c r="N36" s="176">
        <v>27.027027027027</v>
      </c>
      <c r="O36" s="52" t="s">
        <v>288</v>
      </c>
      <c r="P36" s="95" t="s">
        <v>287</v>
      </c>
      <c r="Q36" s="176">
        <v>27.027027027027</v>
      </c>
      <c r="R36" s="52" t="s">
        <v>288</v>
      </c>
      <c r="V36" s="83" t="s">
        <v>256</v>
      </c>
      <c r="W36" s="136">
        <f>B27</f>
        <v>3.2316400000000001</v>
      </c>
      <c r="X36" s="83" t="s">
        <v>343</v>
      </c>
      <c r="Y36" s="83" t="s">
        <v>256</v>
      </c>
      <c r="Z36" s="136">
        <f>B27</f>
        <v>3.2316400000000001</v>
      </c>
      <c r="AA36" s="83" t="s">
        <v>343</v>
      </c>
      <c r="AI36" s="95" t="s">
        <v>287</v>
      </c>
      <c r="AJ36" s="176">
        <v>27.027027027027</v>
      </c>
      <c r="AK36" s="52" t="s">
        <v>288</v>
      </c>
      <c r="AL36" s="95" t="s">
        <v>287</v>
      </c>
      <c r="AM36" s="176">
        <v>27.027027027027</v>
      </c>
      <c r="AN36" s="52" t="s">
        <v>288</v>
      </c>
      <c r="AR36" s="95" t="s">
        <v>287</v>
      </c>
      <c r="AS36" s="176">
        <v>27.027027027027</v>
      </c>
      <c r="AT36" s="52" t="s">
        <v>288</v>
      </c>
      <c r="AU36" s="95" t="s">
        <v>287</v>
      </c>
      <c r="AV36" s="176">
        <v>27.027027027027</v>
      </c>
      <c r="AW36" s="52" t="s">
        <v>288</v>
      </c>
      <c r="BA36" s="95" t="s">
        <v>287</v>
      </c>
      <c r="BB36" s="176">
        <v>27.027027027027</v>
      </c>
      <c r="BC36" s="52" t="s">
        <v>288</v>
      </c>
      <c r="BD36" s="95" t="s">
        <v>287</v>
      </c>
      <c r="BE36" s="176">
        <v>27.027027027027</v>
      </c>
      <c r="BF36" s="52" t="s">
        <v>288</v>
      </c>
      <c r="BJ36" s="95" t="s">
        <v>287</v>
      </c>
      <c r="BK36" s="176">
        <v>27.027027027027</v>
      </c>
      <c r="BL36" s="52" t="s">
        <v>288</v>
      </c>
      <c r="BM36" s="95" t="s">
        <v>287</v>
      </c>
      <c r="BN36" s="176">
        <v>27.027027027027</v>
      </c>
      <c r="BO36" s="52" t="s">
        <v>288</v>
      </c>
      <c r="BS36" s="100"/>
      <c r="BT36" s="100"/>
      <c r="BU36" s="91"/>
      <c r="BY36" s="95" t="s">
        <v>287</v>
      </c>
      <c r="BZ36" s="176">
        <v>27.027027027027</v>
      </c>
      <c r="CA36" s="52" t="s">
        <v>288</v>
      </c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B166</f>
        <v>150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B97</f>
        <v>5</v>
      </c>
      <c r="HF36" s="52" t="s">
        <v>94</v>
      </c>
    </row>
    <row r="37" spans="1:214" ht="12.75" customHeight="1" x14ac:dyDescent="0.2">
      <c r="A37" s="83" t="s">
        <v>236</v>
      </c>
      <c r="B37" s="183">
        <v>0</v>
      </c>
      <c r="C37" s="52" t="s">
        <v>388</v>
      </c>
      <c r="D37" s="83" t="s">
        <v>394</v>
      </c>
      <c r="E37" s="146">
        <f>B56</f>
        <v>35</v>
      </c>
      <c r="F37" s="52" t="s">
        <v>48</v>
      </c>
      <c r="G37" s="83" t="s">
        <v>406</v>
      </c>
      <c r="H37" s="138">
        <f>B77</f>
        <v>5</v>
      </c>
      <c r="I37" s="52" t="s">
        <v>80</v>
      </c>
      <c r="J37" s="83" t="s">
        <v>408</v>
      </c>
      <c r="K37" s="150">
        <f>B88</f>
        <v>5</v>
      </c>
      <c r="L37" s="84" t="s">
        <v>194</v>
      </c>
      <c r="V37" s="83" t="s">
        <v>301</v>
      </c>
      <c r="W37" s="142">
        <f>B240</f>
        <v>2</v>
      </c>
      <c r="Y37" s="83" t="s">
        <v>301</v>
      </c>
      <c r="Z37" s="142">
        <f>B260</f>
        <v>2</v>
      </c>
      <c r="BS37" s="91"/>
      <c r="BT37" s="91"/>
      <c r="BU37" s="91"/>
      <c r="BZ37" s="90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15</v>
      </c>
      <c r="CV37" s="84" t="s">
        <v>194</v>
      </c>
      <c r="CZ37" s="92" t="s">
        <v>363</v>
      </c>
      <c r="DA37" s="141">
        <f>B168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2.75" customHeight="1" x14ac:dyDescent="0.2">
      <c r="A38" s="83" t="s">
        <v>237</v>
      </c>
      <c r="B38" s="183">
        <v>0</v>
      </c>
      <c r="C38" s="52" t="s">
        <v>388</v>
      </c>
      <c r="D38" s="83" t="s">
        <v>260</v>
      </c>
      <c r="E38" s="152" t="e">
        <f>(E33/(E35*E34*E37*E36))/E39</f>
        <v>#DIV/0!</v>
      </c>
      <c r="F38" s="84" t="s">
        <v>290</v>
      </c>
      <c r="H38" s="138">
        <f>1/1000</f>
        <v>1E-3</v>
      </c>
      <c r="I38" s="52" t="s">
        <v>82</v>
      </c>
      <c r="J38" s="83" t="s">
        <v>409</v>
      </c>
      <c r="K38" s="150">
        <f>B89</f>
        <v>25</v>
      </c>
      <c r="L38" s="84" t="s">
        <v>194</v>
      </c>
      <c r="V38" s="52" t="s">
        <v>261</v>
      </c>
      <c r="W38" s="143">
        <f>((W27)/((W34/24)*W31*W32*W33*W35))/W42</f>
        <v>0.2273280000000002</v>
      </c>
      <c r="X38" s="52" t="s">
        <v>15</v>
      </c>
      <c r="Y38" s="52" t="s">
        <v>261</v>
      </c>
      <c r="Z38" s="143">
        <f>((Z27)/((Z34/24)*Z31*Z32*Z33*Z35))/Z45</f>
        <v>0.2273280000000002</v>
      </c>
      <c r="AA38" s="52" t="s">
        <v>15</v>
      </c>
      <c r="AE38" s="352" t="s">
        <v>226</v>
      </c>
      <c r="AF38" s="352"/>
      <c r="AG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5</v>
      </c>
      <c r="CV38" s="84" t="s">
        <v>194</v>
      </c>
      <c r="CZ38" s="92" t="s">
        <v>364</v>
      </c>
      <c r="DA38" s="141">
        <f>B169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B98</f>
        <v>0.18</v>
      </c>
      <c r="HF38" s="52" t="s">
        <v>355</v>
      </c>
    </row>
    <row r="39" spans="1:214" x14ac:dyDescent="0.2">
      <c r="A39" s="83" t="s">
        <v>171</v>
      </c>
      <c r="B39" s="183">
        <v>0</v>
      </c>
      <c r="C39" s="52" t="s">
        <v>388</v>
      </c>
      <c r="D39" s="95" t="s">
        <v>287</v>
      </c>
      <c r="E39" s="176">
        <v>27.027027027027</v>
      </c>
      <c r="F39" s="52" t="s">
        <v>288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((W27)/((W34/24)*W31*W36*(1/365)))/W42</f>
        <v>0.16047332004802531</v>
      </c>
      <c r="X39" s="52" t="s">
        <v>15</v>
      </c>
      <c r="Y39" s="52" t="s">
        <v>271</v>
      </c>
      <c r="Z39" s="144">
        <f>((Z27)/((Z34/24)*Z31*Z36*(1/365)))/Z45</f>
        <v>0.16047332004802531</v>
      </c>
      <c r="AA39" s="52" t="s">
        <v>15</v>
      </c>
      <c r="AE39" s="352"/>
      <c r="AF39" s="352"/>
      <c r="AG39" s="352"/>
      <c r="BK39" s="352" t="s">
        <v>230</v>
      </c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B170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B99</f>
        <v>55</v>
      </c>
      <c r="HF39" s="52" t="s">
        <v>97</v>
      </c>
    </row>
    <row r="40" spans="1:214" ht="15" customHeight="1" x14ac:dyDescent="0.2">
      <c r="A40" s="83" t="s">
        <v>238</v>
      </c>
      <c r="B40" s="183">
        <v>0</v>
      </c>
      <c r="C40" s="52" t="s">
        <v>388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((W27*W29*W28)/((W34/24)*(1-EXP(-W29*W32))*W33*W35*W31*W32))/W42</f>
        <v>15.038964501638025</v>
      </c>
      <c r="X40" s="52" t="s">
        <v>16</v>
      </c>
      <c r="Y40" s="52" t="s">
        <v>261</v>
      </c>
      <c r="Z40" s="144">
        <f>((Z27*Z29*Z28)/((Z34/24)*(1-EXP(-Z29*Z32))*Z33*Z35*Z31*Z32))/Z45</f>
        <v>15.038964501638025</v>
      </c>
      <c r="AA40" s="52" t="s">
        <v>16</v>
      </c>
      <c r="AE40" s="352"/>
      <c r="AF40" s="352"/>
      <c r="AG40" s="352"/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1</v>
      </c>
      <c r="CZ40" s="92" t="s">
        <v>457</v>
      </c>
      <c r="DA40" s="141">
        <f>B177</f>
        <v>5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B100</f>
        <v>5</v>
      </c>
      <c r="HF40" s="52" t="s">
        <v>97</v>
      </c>
    </row>
    <row r="41" spans="1:214" ht="13.5" thickBot="1" x14ac:dyDescent="0.25">
      <c r="A41" s="52" t="s">
        <v>229</v>
      </c>
      <c r="B41" s="183">
        <f>B37</f>
        <v>0</v>
      </c>
      <c r="C41" s="52" t="s">
        <v>388</v>
      </c>
      <c r="G41" s="83" t="s">
        <v>390</v>
      </c>
      <c r="H41" s="141">
        <f>B78</f>
        <v>0.25</v>
      </c>
      <c r="I41" s="84"/>
      <c r="J41" s="83" t="s">
        <v>302</v>
      </c>
      <c r="K41" s="161">
        <f>B3</f>
        <v>6.8000000000000005E-2</v>
      </c>
      <c r="V41" s="52" t="s">
        <v>271</v>
      </c>
      <c r="W41" s="145">
        <f>((W27*W29*W28)/((W34/24)*(1-EXP(-W29*W28))*W36*W31*(1/365)))/W42</f>
        <v>10.616169427709069</v>
      </c>
      <c r="X41" s="52" t="s">
        <v>16</v>
      </c>
      <c r="Y41" s="52" t="s">
        <v>271</v>
      </c>
      <c r="Z41" s="145">
        <f>((Z27*Z29*Z28)/((Z34/24)*(1-EXP(-Z29*Z28))*Z36*Z31*(1/365)))/Z45</f>
        <v>10.616169427709069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61">
        <f>B3</f>
        <v>6.8000000000000005E-2</v>
      </c>
      <c r="CZ41" s="92" t="s">
        <v>466</v>
      </c>
      <c r="DA41" s="141">
        <f>B178</f>
        <v>5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B101</f>
        <v>5</v>
      </c>
      <c r="HF41" s="52" t="s">
        <v>97</v>
      </c>
    </row>
    <row r="42" spans="1:214" ht="13.9" customHeight="1" thickTop="1" thickBot="1" x14ac:dyDescent="0.25">
      <c r="A42" s="83" t="s">
        <v>228</v>
      </c>
      <c r="B42" s="183">
        <f>B38</f>
        <v>0</v>
      </c>
      <c r="C42" s="52" t="s">
        <v>388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61">
        <f>B4</f>
        <v>0.75600000000000001</v>
      </c>
      <c r="V42" s="95" t="s">
        <v>287</v>
      </c>
      <c r="W42" s="176">
        <v>27.027027027027</v>
      </c>
      <c r="X42" s="52" t="s">
        <v>288</v>
      </c>
      <c r="Y42" s="52" t="s">
        <v>220</v>
      </c>
      <c r="Z42" s="138">
        <f>B266</f>
        <v>25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61">
        <f>B4</f>
        <v>0.75600000000000001</v>
      </c>
      <c r="CW42" s="84"/>
      <c r="CX42" s="84"/>
      <c r="CY42" s="84"/>
      <c r="CZ42" s="52" t="s">
        <v>477</v>
      </c>
      <c r="DA42" s="141">
        <f>B179</f>
        <v>0.25</v>
      </c>
      <c r="DB42" s="92" t="s">
        <v>358</v>
      </c>
      <c r="DW42" s="88"/>
      <c r="DX42" s="88"/>
      <c r="DY42" s="88"/>
      <c r="DZ42" s="88"/>
      <c r="HD42" s="52" t="s">
        <v>225</v>
      </c>
      <c r="HE42" s="138">
        <f>1+((HE35*HE36*HE37)/(HE38*HE39))</f>
        <v>3.1605966718331597</v>
      </c>
    </row>
    <row r="43" spans="1:214" ht="13.15" customHeight="1" x14ac:dyDescent="0.2">
      <c r="A43" s="84" t="s">
        <v>32</v>
      </c>
      <c r="B43" s="183">
        <v>0</v>
      </c>
      <c r="D43" s="323" t="s">
        <v>530</v>
      </c>
      <c r="E43" s="347" t="e">
        <f>E53</f>
        <v>#DIV/0!</v>
      </c>
      <c r="F43" s="345" t="s">
        <v>291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Y43" s="52" t="s">
        <v>219</v>
      </c>
      <c r="Z43" s="138">
        <f>B265</f>
        <v>3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B180</f>
        <v>0.85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52" t="s">
        <v>33</v>
      </c>
      <c r="B44" s="183">
        <v>0</v>
      </c>
      <c r="D44" s="324"/>
      <c r="E44" s="348"/>
      <c r="F44" s="346"/>
      <c r="G44" s="52" t="s">
        <v>19</v>
      </c>
      <c r="H44" s="136">
        <f>H46</f>
        <v>0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2.75" customHeight="1" thickTop="1" x14ac:dyDescent="0.2">
      <c r="A45" s="83" t="s">
        <v>156</v>
      </c>
      <c r="B45" s="182">
        <v>0</v>
      </c>
      <c r="C45" s="83" t="s">
        <v>18</v>
      </c>
      <c r="D45" s="83" t="s">
        <v>267</v>
      </c>
      <c r="E45" s="136">
        <f>B17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Y45" s="95" t="s">
        <v>287</v>
      </c>
      <c r="Z45" s="176">
        <v>27.027027027027</v>
      </c>
      <c r="AA45" s="52" t="s">
        <v>288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B181</f>
        <v>0.5</v>
      </c>
      <c r="DB45" s="92" t="s">
        <v>145</v>
      </c>
      <c r="DW45" s="88"/>
      <c r="DX45" s="88"/>
      <c r="DY45" s="88"/>
      <c r="DZ45" s="88"/>
    </row>
    <row r="46" spans="1:214" ht="13.5" customHeight="1" x14ac:dyDescent="0.2">
      <c r="A46" s="84" t="s">
        <v>21</v>
      </c>
      <c r="B46" s="181">
        <f>0/27.027</f>
        <v>0</v>
      </c>
      <c r="C46" s="52" t="s">
        <v>291</v>
      </c>
      <c r="D46" s="83" t="s">
        <v>382</v>
      </c>
      <c r="E46" s="150">
        <f>B68</f>
        <v>150</v>
      </c>
      <c r="F46" s="83" t="s">
        <v>24</v>
      </c>
      <c r="G46" s="84" t="s">
        <v>32</v>
      </c>
      <c r="H46" s="139">
        <f>B43</f>
        <v>0</v>
      </c>
      <c r="K46" s="146">
        <v>1000</v>
      </c>
      <c r="L46" s="52" t="s">
        <v>23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52" t="s">
        <v>393</v>
      </c>
      <c r="B47" s="131">
        <v>0.26</v>
      </c>
      <c r="D47" s="83" t="s">
        <v>258</v>
      </c>
      <c r="E47" s="136">
        <f>B29</f>
        <v>0</v>
      </c>
      <c r="F47" s="83" t="s">
        <v>87</v>
      </c>
      <c r="G47" s="83" t="s">
        <v>393</v>
      </c>
      <c r="H47" s="142">
        <f>B47</f>
        <v>0.26</v>
      </c>
      <c r="J47" s="52" t="s">
        <v>19</v>
      </c>
      <c r="K47" s="136">
        <f>K49</f>
        <v>0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B163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52" t="s">
        <v>392</v>
      </c>
      <c r="B48" s="131">
        <v>0.25</v>
      </c>
      <c r="D48" s="83" t="s">
        <v>379</v>
      </c>
      <c r="E48" s="146">
        <f>B65</f>
        <v>1</v>
      </c>
      <c r="F48" s="52" t="s">
        <v>60</v>
      </c>
      <c r="G48" s="52" t="s">
        <v>17</v>
      </c>
      <c r="H48" s="137">
        <f>((H51*H52*H53)*((1-EXP(-H54*H55))))/(H56*H54)</f>
        <v>0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B164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381" t="s">
        <v>2</v>
      </c>
      <c r="B49" s="382"/>
      <c r="C49" s="383"/>
      <c r="D49" s="83" t="s">
        <v>394</v>
      </c>
      <c r="E49" s="146">
        <f>B56</f>
        <v>35</v>
      </c>
      <c r="F49" s="52" t="s">
        <v>48</v>
      </c>
      <c r="G49" s="52" t="s">
        <v>25</v>
      </c>
      <c r="H49" s="137">
        <f>(H51*H52*H57*((1-EXP(-H54*H55))))/(H56*H54)</f>
        <v>5.4084629109509424E-3</v>
      </c>
      <c r="I49" s="52" t="s">
        <v>18</v>
      </c>
      <c r="J49" s="84" t="s">
        <v>32</v>
      </c>
      <c r="K49" s="139">
        <f>B43</f>
        <v>0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T49" s="95" t="s">
        <v>287</v>
      </c>
      <c r="CU49" s="176">
        <v>27.027027027027</v>
      </c>
      <c r="CV49" s="52" t="s">
        <v>288</v>
      </c>
      <c r="CZ49" s="83" t="s">
        <v>475</v>
      </c>
      <c r="DA49" s="146">
        <f>B163</f>
        <v>0.15</v>
      </c>
      <c r="DW49" s="88"/>
      <c r="DX49" s="88"/>
      <c r="DY49" s="88"/>
      <c r="DZ49" s="88"/>
    </row>
    <row r="50" spans="1:130" x14ac:dyDescent="0.2">
      <c r="A50" s="83" t="s">
        <v>366</v>
      </c>
      <c r="B50" s="130">
        <v>5</v>
      </c>
      <c r="C50" s="92" t="s">
        <v>407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0.82362658902748997</v>
      </c>
      <c r="I50" s="52" t="s">
        <v>18</v>
      </c>
      <c r="J50" s="83" t="s">
        <v>393</v>
      </c>
      <c r="K50" s="142">
        <f>B47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Z50" s="83" t="s">
        <v>476</v>
      </c>
      <c r="DA50" s="146">
        <f>B164</f>
        <v>0.85</v>
      </c>
      <c r="DW50" s="88"/>
      <c r="DX50" s="88"/>
      <c r="DY50" s="88"/>
      <c r="DZ50" s="88"/>
    </row>
    <row r="51" spans="1:130" x14ac:dyDescent="0.2">
      <c r="A51" s="83" t="s">
        <v>367</v>
      </c>
      <c r="B51" s="130">
        <v>10</v>
      </c>
      <c r="C51" s="92" t="s">
        <v>407</v>
      </c>
      <c r="D51" s="83" t="s">
        <v>105</v>
      </c>
      <c r="E51" s="150">
        <f>B35</f>
        <v>0</v>
      </c>
      <c r="F51" s="84" t="s">
        <v>18</v>
      </c>
      <c r="G51" s="83" t="s">
        <v>36</v>
      </c>
      <c r="H51" s="138">
        <f>B79</f>
        <v>3.62</v>
      </c>
      <c r="I51" s="52" t="s">
        <v>37</v>
      </c>
      <c r="J51" s="83" t="s">
        <v>376</v>
      </c>
      <c r="K51" s="146">
        <f>B61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CZ51" s="95" t="s">
        <v>287</v>
      </c>
      <c r="DA51" s="176">
        <v>27.027027027027</v>
      </c>
      <c r="DB51" s="52" t="s">
        <v>288</v>
      </c>
      <c r="DW51" s="88"/>
      <c r="DX51" s="88"/>
      <c r="DY51" s="88"/>
      <c r="DZ51" s="88"/>
    </row>
    <row r="52" spans="1:130" x14ac:dyDescent="0.2">
      <c r="A52" s="83" t="s">
        <v>368</v>
      </c>
      <c r="B52" s="130">
        <v>100</v>
      </c>
      <c r="C52" s="84" t="s">
        <v>48</v>
      </c>
      <c r="D52" s="83" t="s">
        <v>107</v>
      </c>
      <c r="E52" s="138">
        <f>B74</f>
        <v>1</v>
      </c>
      <c r="F52" s="84" t="s">
        <v>108</v>
      </c>
      <c r="G52" s="83" t="s">
        <v>40</v>
      </c>
      <c r="H52" s="138">
        <f>B80</f>
        <v>0.25</v>
      </c>
      <c r="I52" s="52" t="s">
        <v>41</v>
      </c>
      <c r="J52" s="83" t="s">
        <v>377</v>
      </c>
      <c r="K52" s="146">
        <f>B62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DW52" s="88"/>
      <c r="DX52" s="88"/>
      <c r="DY52" s="88"/>
      <c r="DZ52" s="88"/>
    </row>
    <row r="53" spans="1:130" x14ac:dyDescent="0.2">
      <c r="A53" s="83" t="s">
        <v>369</v>
      </c>
      <c r="B53" s="130">
        <v>50</v>
      </c>
      <c r="C53" s="84" t="s">
        <v>48</v>
      </c>
      <c r="D53" s="83" t="s">
        <v>260</v>
      </c>
      <c r="E53" s="152" t="e">
        <f>(E45/(E47*E46*E48*E49*E51*E52*(1/E50)))/E54</f>
        <v>#DIV/0!</v>
      </c>
      <c r="F53" s="52" t="s">
        <v>291</v>
      </c>
      <c r="G53" s="92" t="s">
        <v>32</v>
      </c>
      <c r="H53" s="136">
        <f>B43</f>
        <v>0</v>
      </c>
      <c r="J53" s="95" t="s">
        <v>287</v>
      </c>
      <c r="K53" s="176">
        <v>27.027027027027</v>
      </c>
      <c r="L53" s="52" t="s">
        <v>288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83" t="s">
        <v>370</v>
      </c>
      <c r="B54" s="130">
        <v>0.25</v>
      </c>
      <c r="C54" s="83" t="s">
        <v>28</v>
      </c>
      <c r="D54" s="95" t="s">
        <v>287</v>
      </c>
      <c r="E54" s="176">
        <v>27.027027027027</v>
      </c>
      <c r="F54" s="52" t="s">
        <v>288</v>
      </c>
      <c r="G54" s="92" t="s">
        <v>49</v>
      </c>
      <c r="H54" s="137">
        <f>H62+H63</f>
        <v>0.18127454746551735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83" t="s">
        <v>371</v>
      </c>
      <c r="B55" s="130">
        <v>1.5</v>
      </c>
      <c r="C55" s="52" t="s">
        <v>28</v>
      </c>
      <c r="G55" s="92" t="s">
        <v>52</v>
      </c>
      <c r="H55" s="138">
        <f>B81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83" t="s">
        <v>310</v>
      </c>
      <c r="B56" s="130">
        <v>35</v>
      </c>
      <c r="C56" s="52" t="s">
        <v>48</v>
      </c>
      <c r="G56" s="92" t="s">
        <v>55</v>
      </c>
      <c r="H56" s="138">
        <f>B82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83" t="s">
        <v>372</v>
      </c>
      <c r="B57" s="130">
        <v>55</v>
      </c>
      <c r="C57" s="92" t="s">
        <v>221</v>
      </c>
      <c r="G57" s="92" t="s">
        <v>393</v>
      </c>
      <c r="H57" s="138">
        <f>B47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83" t="s">
        <v>373</v>
      </c>
      <c r="B58" s="130">
        <v>55</v>
      </c>
      <c r="C58" s="92" t="s">
        <v>221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83" t="s">
        <v>374</v>
      </c>
      <c r="B59" s="130">
        <v>55</v>
      </c>
      <c r="C59" s="92" t="s">
        <v>221</v>
      </c>
      <c r="G59" s="92" t="s">
        <v>63</v>
      </c>
      <c r="H59" s="151">
        <f>H63+(0.693/H65)</f>
        <v>0.23074754746551734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83" t="s">
        <v>375</v>
      </c>
      <c r="B60" s="130">
        <v>55</v>
      </c>
      <c r="C60" s="92" t="s">
        <v>221</v>
      </c>
      <c r="G60" s="92" t="s">
        <v>67</v>
      </c>
      <c r="H60" s="142">
        <f>B83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83" t="s">
        <v>376</v>
      </c>
      <c r="B61" s="130">
        <v>0.23</v>
      </c>
      <c r="G61" s="92" t="s">
        <v>68</v>
      </c>
      <c r="H61" s="142">
        <f>B84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83" t="s">
        <v>377</v>
      </c>
      <c r="B62" s="130">
        <v>0.77</v>
      </c>
      <c r="G62" s="92" t="s">
        <v>70</v>
      </c>
      <c r="H62" s="138">
        <f>B85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378</v>
      </c>
      <c r="B63" s="131">
        <v>1</v>
      </c>
      <c r="C63" s="52" t="s">
        <v>60</v>
      </c>
      <c r="G63" s="92" t="s">
        <v>71</v>
      </c>
      <c r="H63" s="137">
        <f>0.693/H67</f>
        <v>0.18124754746551736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52" t="s">
        <v>448</v>
      </c>
      <c r="B64" s="131">
        <v>1</v>
      </c>
      <c r="C64" s="52" t="s">
        <v>60</v>
      </c>
      <c r="G64" s="92" t="s">
        <v>73</v>
      </c>
      <c r="H64" s="138">
        <f>B86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379</v>
      </c>
      <c r="B65" s="131">
        <v>1</v>
      </c>
      <c r="C65" s="52" t="s">
        <v>60</v>
      </c>
      <c r="G65" s="92" t="s">
        <v>74</v>
      </c>
      <c r="H65" s="138">
        <f>B87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380</v>
      </c>
      <c r="B66" s="131">
        <v>150</v>
      </c>
      <c r="C66" s="83" t="s">
        <v>24</v>
      </c>
      <c r="G66" s="52" t="s">
        <v>33</v>
      </c>
      <c r="H66" s="136">
        <f>B44</f>
        <v>0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381</v>
      </c>
      <c r="B67" s="131">
        <v>150</v>
      </c>
      <c r="C67" s="83" t="s">
        <v>24</v>
      </c>
      <c r="G67" s="83" t="s">
        <v>234</v>
      </c>
      <c r="H67" s="136">
        <f>B34</f>
        <v>3.8235000124999998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382</v>
      </c>
      <c r="B68" s="131">
        <v>150</v>
      </c>
      <c r="C68" s="83" t="s">
        <v>24</v>
      </c>
      <c r="G68" s="83" t="s">
        <v>376</v>
      </c>
      <c r="H68" s="146">
        <f>B61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52" t="s">
        <v>403</v>
      </c>
      <c r="B69" s="131">
        <v>0.25</v>
      </c>
      <c r="C69" s="52" t="s">
        <v>89</v>
      </c>
      <c r="G69" s="83" t="s">
        <v>377</v>
      </c>
      <c r="H69" s="146">
        <f>B62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52" t="s">
        <v>404</v>
      </c>
      <c r="B70" s="131">
        <v>0.75</v>
      </c>
      <c r="C70" s="52" t="s">
        <v>89</v>
      </c>
      <c r="G70" s="95" t="s">
        <v>287</v>
      </c>
      <c r="H70" s="176">
        <v>27.027027027027</v>
      </c>
      <c r="I70" s="52" t="s">
        <v>288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52" t="s">
        <v>385</v>
      </c>
      <c r="B71" s="131">
        <v>24</v>
      </c>
      <c r="C71" s="52" t="s">
        <v>194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52" t="s">
        <v>318</v>
      </c>
      <c r="B72" s="131">
        <v>2</v>
      </c>
      <c r="AF72" s="109"/>
      <c r="AG72" s="106"/>
      <c r="AH72" s="106"/>
      <c r="AI72" s="106"/>
      <c r="AJ72" s="106"/>
      <c r="AK72" s="106"/>
    </row>
    <row r="73" spans="1:105" x14ac:dyDescent="0.2">
      <c r="A73" s="52" t="s">
        <v>303</v>
      </c>
      <c r="B73" s="131">
        <v>1</v>
      </c>
      <c r="AF73" s="109"/>
      <c r="AG73" s="106"/>
      <c r="AH73" s="106"/>
      <c r="AI73" s="106"/>
      <c r="AJ73" s="106"/>
      <c r="AK73" s="106"/>
    </row>
    <row r="74" spans="1:105" x14ac:dyDescent="0.2">
      <c r="A74" s="83" t="s">
        <v>107</v>
      </c>
      <c r="B74" s="131">
        <v>1</v>
      </c>
      <c r="C74" s="84" t="s">
        <v>108</v>
      </c>
      <c r="AF74" s="109"/>
      <c r="AG74" s="106"/>
      <c r="AH74" s="106"/>
      <c r="AI74" s="106"/>
      <c r="AJ74" s="106"/>
      <c r="AK74" s="106"/>
    </row>
    <row r="75" spans="1:105" x14ac:dyDescent="0.2">
      <c r="A75" s="52" t="s">
        <v>65</v>
      </c>
      <c r="B75" s="131">
        <v>0.5</v>
      </c>
      <c r="C75" s="52" t="s">
        <v>66</v>
      </c>
      <c r="AF75" s="108"/>
      <c r="AG75" s="106"/>
      <c r="AH75" s="106"/>
      <c r="AI75" s="106"/>
      <c r="AJ75" s="106"/>
      <c r="AK75" s="106"/>
    </row>
    <row r="76" spans="1:105" x14ac:dyDescent="0.2">
      <c r="A76" s="52" t="s">
        <v>79</v>
      </c>
      <c r="B76" s="131">
        <v>5</v>
      </c>
      <c r="C76" s="52" t="s">
        <v>80</v>
      </c>
      <c r="AF76" s="109"/>
      <c r="AG76" s="106"/>
      <c r="AH76" s="106"/>
      <c r="AI76" s="106"/>
      <c r="AJ76" s="106"/>
      <c r="AK76" s="106"/>
    </row>
    <row r="77" spans="1:105" x14ac:dyDescent="0.2">
      <c r="A77" s="52" t="s">
        <v>81</v>
      </c>
      <c r="B77" s="131">
        <v>5</v>
      </c>
      <c r="C77" s="52" t="s">
        <v>80</v>
      </c>
      <c r="AF77" s="109"/>
      <c r="AG77" s="106"/>
      <c r="AH77" s="106"/>
      <c r="AI77" s="106"/>
      <c r="AJ77" s="106"/>
      <c r="AK77" s="106"/>
    </row>
    <row r="78" spans="1:105" ht="12.75" customHeight="1" x14ac:dyDescent="0.2">
      <c r="A78" s="52" t="s">
        <v>390</v>
      </c>
      <c r="B78" s="131">
        <v>0.25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36</v>
      </c>
      <c r="B79" s="131">
        <v>3.62</v>
      </c>
      <c r="C79" s="52" t="s">
        <v>37</v>
      </c>
      <c r="AF79" s="109"/>
      <c r="AG79" s="106"/>
    </row>
    <row r="80" spans="1:105" x14ac:dyDescent="0.2">
      <c r="A80" s="83" t="s">
        <v>40</v>
      </c>
      <c r="B80" s="131">
        <v>0.25</v>
      </c>
      <c r="C80" s="52" t="s">
        <v>41</v>
      </c>
      <c r="AF80" s="109"/>
      <c r="AG80" s="106"/>
      <c r="AH80" s="106"/>
      <c r="AI80" s="106"/>
      <c r="AJ80" s="106"/>
      <c r="AK80" s="106"/>
    </row>
    <row r="81" spans="1:37" x14ac:dyDescent="0.2">
      <c r="A81" s="92" t="s">
        <v>52</v>
      </c>
      <c r="B81" s="131">
        <v>10950</v>
      </c>
      <c r="C81" s="52" t="s">
        <v>53</v>
      </c>
      <c r="AF81" s="109"/>
      <c r="AG81" s="106"/>
      <c r="AH81" s="106"/>
      <c r="AI81" s="106"/>
      <c r="AJ81" s="106"/>
      <c r="AK81" s="106"/>
    </row>
    <row r="82" spans="1:37" x14ac:dyDescent="0.2">
      <c r="A82" s="92" t="s">
        <v>55</v>
      </c>
      <c r="B82" s="131">
        <v>240</v>
      </c>
      <c r="C82" s="52" t="s">
        <v>56</v>
      </c>
      <c r="AF82" s="109"/>
      <c r="AG82" s="106"/>
      <c r="AH82" s="106"/>
      <c r="AI82" s="106"/>
      <c r="AJ82" s="106"/>
      <c r="AK82" s="106"/>
    </row>
    <row r="83" spans="1:37" x14ac:dyDescent="0.2">
      <c r="A83" s="92" t="s">
        <v>67</v>
      </c>
      <c r="B83" s="131">
        <v>60</v>
      </c>
      <c r="C83" s="83" t="s">
        <v>53</v>
      </c>
      <c r="AF83" s="109"/>
      <c r="AG83" s="106"/>
      <c r="AH83" s="106"/>
      <c r="AI83" s="106"/>
      <c r="AJ83" s="106"/>
      <c r="AK83" s="106"/>
    </row>
    <row r="84" spans="1:37" x14ac:dyDescent="0.2">
      <c r="A84" s="92" t="s">
        <v>68</v>
      </c>
      <c r="B84" s="131">
        <v>2</v>
      </c>
      <c r="C84" s="83" t="s">
        <v>56</v>
      </c>
      <c r="AF84" s="108"/>
      <c r="AG84" s="106"/>
    </row>
    <row r="85" spans="1:37" x14ac:dyDescent="0.2">
      <c r="A85" s="92" t="s">
        <v>70</v>
      </c>
      <c r="B85" s="131">
        <v>2.6999999999999999E-5</v>
      </c>
      <c r="C85" s="52" t="s">
        <v>64</v>
      </c>
      <c r="AF85" s="108"/>
      <c r="AG85" s="106"/>
      <c r="AH85" s="106"/>
      <c r="AI85" s="106"/>
      <c r="AJ85" s="106"/>
      <c r="AK85" s="106"/>
    </row>
    <row r="86" spans="1:37" x14ac:dyDescent="0.2">
      <c r="A86" s="92" t="s">
        <v>73</v>
      </c>
      <c r="B86" s="131">
        <v>1</v>
      </c>
      <c r="C86" s="52" t="s">
        <v>41</v>
      </c>
      <c r="AF86" s="108"/>
      <c r="AG86" s="106"/>
    </row>
    <row r="87" spans="1:37" x14ac:dyDescent="0.2">
      <c r="A87" s="92" t="s">
        <v>74</v>
      </c>
      <c r="B87" s="131">
        <v>14</v>
      </c>
      <c r="C87" s="52" t="s">
        <v>75</v>
      </c>
      <c r="AH87" s="108"/>
      <c r="AI87" s="108"/>
      <c r="AJ87" s="108"/>
      <c r="AK87" s="108"/>
    </row>
    <row r="88" spans="1:37" x14ac:dyDescent="0.2">
      <c r="A88" s="83" t="s">
        <v>408</v>
      </c>
      <c r="B88" s="130">
        <v>5</v>
      </c>
      <c r="C88" s="84" t="s">
        <v>194</v>
      </c>
    </row>
    <row r="89" spans="1:37" x14ac:dyDescent="0.2">
      <c r="A89" s="83" t="s">
        <v>409</v>
      </c>
      <c r="B89" s="130">
        <v>25</v>
      </c>
      <c r="C89" s="84" t="s">
        <v>194</v>
      </c>
    </row>
    <row r="90" spans="1:37" x14ac:dyDescent="0.2">
      <c r="A90" s="83" t="s">
        <v>389</v>
      </c>
      <c r="B90" s="130">
        <v>1</v>
      </c>
      <c r="C90" s="84"/>
    </row>
    <row r="91" spans="1:37" x14ac:dyDescent="0.2">
      <c r="A91" s="385" t="s">
        <v>387</v>
      </c>
      <c r="B91" s="385"/>
      <c r="C91" s="385"/>
    </row>
    <row r="92" spans="1:37" x14ac:dyDescent="0.2">
      <c r="A92" s="52" t="s">
        <v>34</v>
      </c>
      <c r="B92" s="131">
        <v>70</v>
      </c>
      <c r="C92" s="52" t="s">
        <v>60</v>
      </c>
    </row>
    <row r="93" spans="1:37" x14ac:dyDescent="0.2">
      <c r="A93" s="84" t="s">
        <v>38</v>
      </c>
      <c r="B93" s="131">
        <v>0.3</v>
      </c>
      <c r="C93" s="52" t="s">
        <v>391</v>
      </c>
    </row>
    <row r="94" spans="1:37" x14ac:dyDescent="0.2">
      <c r="A94" s="84" t="s">
        <v>42</v>
      </c>
      <c r="B94" s="130">
        <v>1.5</v>
      </c>
      <c r="C94" s="52" t="s">
        <v>286</v>
      </c>
    </row>
    <row r="95" spans="1:37" x14ac:dyDescent="0.2">
      <c r="A95" s="84" t="s">
        <v>47</v>
      </c>
      <c r="B95" s="131">
        <v>1</v>
      </c>
      <c r="C95" s="52" t="s">
        <v>60</v>
      </c>
    </row>
    <row r="96" spans="1:37" x14ac:dyDescent="0.2">
      <c r="A96" s="84" t="s">
        <v>225</v>
      </c>
      <c r="B96" s="130">
        <v>1</v>
      </c>
    </row>
    <row r="97" spans="1:3" x14ac:dyDescent="0.2">
      <c r="A97" s="52" t="s">
        <v>93</v>
      </c>
      <c r="B97" s="130">
        <v>5</v>
      </c>
      <c r="C97" s="52" t="s">
        <v>94</v>
      </c>
    </row>
    <row r="98" spans="1:3" x14ac:dyDescent="0.2">
      <c r="A98" s="52" t="s">
        <v>98</v>
      </c>
      <c r="B98" s="130">
        <v>0.18</v>
      </c>
      <c r="C98" s="52" t="s">
        <v>355</v>
      </c>
    </row>
    <row r="99" spans="1:3" x14ac:dyDescent="0.2">
      <c r="A99" s="52" t="s">
        <v>100</v>
      </c>
      <c r="B99" s="130">
        <v>55</v>
      </c>
      <c r="C99" s="52" t="s">
        <v>97</v>
      </c>
    </row>
    <row r="100" spans="1:3" x14ac:dyDescent="0.2">
      <c r="A100" s="52" t="s">
        <v>101</v>
      </c>
      <c r="B100" s="130">
        <v>5</v>
      </c>
      <c r="C100" s="52" t="s">
        <v>97</v>
      </c>
    </row>
    <row r="101" spans="1:3" x14ac:dyDescent="0.2">
      <c r="A101" s="52" t="s">
        <v>102</v>
      </c>
      <c r="B101" s="130">
        <v>5</v>
      </c>
      <c r="C101" s="52" t="s">
        <v>97</v>
      </c>
    </row>
    <row r="102" spans="1:3" x14ac:dyDescent="0.2">
      <c r="A102" s="384" t="s">
        <v>5</v>
      </c>
      <c r="B102" s="384"/>
      <c r="C102" s="384"/>
    </row>
    <row r="103" spans="1:3" x14ac:dyDescent="0.2">
      <c r="A103" s="83" t="s">
        <v>429</v>
      </c>
      <c r="B103" s="131">
        <v>5</v>
      </c>
      <c r="C103" s="92" t="s">
        <v>407</v>
      </c>
    </row>
    <row r="104" spans="1:3" x14ac:dyDescent="0.2">
      <c r="A104" s="83" t="s">
        <v>430</v>
      </c>
      <c r="B104" s="131">
        <v>10</v>
      </c>
      <c r="C104" s="92" t="s">
        <v>407</v>
      </c>
    </row>
    <row r="105" spans="1:3" x14ac:dyDescent="0.2">
      <c r="A105" s="83" t="s">
        <v>439</v>
      </c>
      <c r="B105" s="130">
        <v>2</v>
      </c>
      <c r="C105" s="83" t="s">
        <v>357</v>
      </c>
    </row>
    <row r="106" spans="1:3" x14ac:dyDescent="0.2">
      <c r="A106" s="83" t="s">
        <v>438</v>
      </c>
      <c r="B106" s="130">
        <v>2</v>
      </c>
      <c r="C106" s="83" t="s">
        <v>357</v>
      </c>
    </row>
    <row r="107" spans="1:3" x14ac:dyDescent="0.2">
      <c r="A107" s="83" t="s">
        <v>441</v>
      </c>
      <c r="B107" s="131">
        <v>100</v>
      </c>
      <c r="C107" s="84" t="s">
        <v>48</v>
      </c>
    </row>
    <row r="108" spans="1:3" x14ac:dyDescent="0.2">
      <c r="A108" s="83" t="s">
        <v>442</v>
      </c>
      <c r="B108" s="131">
        <v>50</v>
      </c>
      <c r="C108" s="84" t="s">
        <v>48</v>
      </c>
    </row>
    <row r="109" spans="1:3" x14ac:dyDescent="0.2">
      <c r="A109" s="52" t="s">
        <v>159</v>
      </c>
      <c r="B109" s="131">
        <v>3</v>
      </c>
      <c r="C109" s="52" t="s">
        <v>221</v>
      </c>
    </row>
    <row r="110" spans="1:3" x14ac:dyDescent="0.2">
      <c r="A110" s="52" t="s">
        <v>160</v>
      </c>
      <c r="B110" s="131">
        <v>3</v>
      </c>
      <c r="C110" s="52" t="s">
        <v>221</v>
      </c>
    </row>
    <row r="111" spans="1:3" x14ac:dyDescent="0.2">
      <c r="A111" s="83" t="s">
        <v>308</v>
      </c>
      <c r="B111" s="130">
        <v>0.23</v>
      </c>
    </row>
    <row r="112" spans="1:3" x14ac:dyDescent="0.2">
      <c r="A112" s="83" t="s">
        <v>309</v>
      </c>
      <c r="B112" s="130">
        <v>0.77</v>
      </c>
    </row>
    <row r="113" spans="1:3" x14ac:dyDescent="0.2">
      <c r="A113" s="52" t="s">
        <v>140</v>
      </c>
      <c r="B113" s="131">
        <v>55</v>
      </c>
      <c r="C113" s="52" t="s">
        <v>24</v>
      </c>
    </row>
    <row r="114" spans="1:3" x14ac:dyDescent="0.2">
      <c r="A114" s="52" t="s">
        <v>433</v>
      </c>
      <c r="B114" s="131">
        <v>55</v>
      </c>
      <c r="C114" s="52" t="s">
        <v>24</v>
      </c>
    </row>
    <row r="115" spans="1:3" x14ac:dyDescent="0.2">
      <c r="A115" s="52" t="s">
        <v>434</v>
      </c>
      <c r="B115" s="131">
        <v>55</v>
      </c>
      <c r="C115" s="52" t="s">
        <v>24</v>
      </c>
    </row>
    <row r="116" spans="1:3" x14ac:dyDescent="0.2">
      <c r="A116" s="52" t="s">
        <v>431</v>
      </c>
      <c r="B116" s="130">
        <v>5</v>
      </c>
      <c r="C116" s="52" t="s">
        <v>194</v>
      </c>
    </row>
    <row r="117" spans="1:3" x14ac:dyDescent="0.2">
      <c r="A117" s="52" t="s">
        <v>432</v>
      </c>
      <c r="B117" s="130">
        <v>5</v>
      </c>
      <c r="C117" s="52" t="s">
        <v>194</v>
      </c>
    </row>
    <row r="118" spans="1:3" x14ac:dyDescent="0.2">
      <c r="A118" s="52" t="s">
        <v>90</v>
      </c>
      <c r="B118" s="131">
        <v>5</v>
      </c>
      <c r="C118" s="52" t="s">
        <v>194</v>
      </c>
    </row>
    <row r="119" spans="1:3" x14ac:dyDescent="0.2">
      <c r="A119" s="52" t="s">
        <v>443</v>
      </c>
      <c r="B119" s="131">
        <v>5</v>
      </c>
      <c r="C119" s="52" t="s">
        <v>89</v>
      </c>
    </row>
    <row r="120" spans="1:3" x14ac:dyDescent="0.2">
      <c r="A120" s="52" t="s">
        <v>444</v>
      </c>
      <c r="B120" s="131">
        <v>5</v>
      </c>
      <c r="C120" s="52" t="s">
        <v>89</v>
      </c>
    </row>
    <row r="121" spans="1:3" x14ac:dyDescent="0.2">
      <c r="A121" s="83" t="s">
        <v>301</v>
      </c>
      <c r="B121" s="131">
        <v>2</v>
      </c>
    </row>
    <row r="122" spans="1:3" x14ac:dyDescent="0.2">
      <c r="A122" s="83" t="s">
        <v>433</v>
      </c>
      <c r="B122" s="130">
        <v>55</v>
      </c>
      <c r="C122" s="83" t="s">
        <v>24</v>
      </c>
    </row>
    <row r="123" spans="1:3" x14ac:dyDescent="0.2">
      <c r="A123" s="83" t="s">
        <v>434</v>
      </c>
      <c r="B123" s="130">
        <v>55</v>
      </c>
      <c r="C123" s="83" t="s">
        <v>24</v>
      </c>
    </row>
    <row r="124" spans="1:3" x14ac:dyDescent="0.2">
      <c r="A124" s="83" t="s">
        <v>435</v>
      </c>
      <c r="B124" s="131">
        <v>5</v>
      </c>
      <c r="C124" s="52" t="s">
        <v>80</v>
      </c>
    </row>
    <row r="125" spans="1:3" x14ac:dyDescent="0.2">
      <c r="A125" s="83" t="s">
        <v>436</v>
      </c>
      <c r="B125" s="131">
        <v>5</v>
      </c>
      <c r="C125" s="52" t="s">
        <v>80</v>
      </c>
    </row>
    <row r="126" spans="1:3" x14ac:dyDescent="0.2">
      <c r="A126" s="83" t="s">
        <v>65</v>
      </c>
      <c r="B126" s="130">
        <v>0.5</v>
      </c>
      <c r="C126" s="52" t="s">
        <v>66</v>
      </c>
    </row>
    <row r="127" spans="1:3" x14ac:dyDescent="0.2">
      <c r="A127" s="52" t="s">
        <v>51</v>
      </c>
      <c r="B127" s="131">
        <v>1</v>
      </c>
      <c r="C127" s="52" t="s">
        <v>60</v>
      </c>
    </row>
    <row r="128" spans="1:3" x14ac:dyDescent="0.2">
      <c r="A128" s="52" t="s">
        <v>159</v>
      </c>
      <c r="B128" s="130">
        <v>3</v>
      </c>
      <c r="C128" s="52" t="s">
        <v>221</v>
      </c>
    </row>
    <row r="129" spans="1:3" x14ac:dyDescent="0.2">
      <c r="A129" s="84" t="s">
        <v>164</v>
      </c>
      <c r="B129" s="130">
        <v>2</v>
      </c>
      <c r="C129" s="52" t="s">
        <v>246</v>
      </c>
    </row>
    <row r="130" spans="1:3" x14ac:dyDescent="0.2">
      <c r="A130" s="84" t="s">
        <v>161</v>
      </c>
      <c r="B130" s="130">
        <v>2</v>
      </c>
      <c r="C130" s="52" t="s">
        <v>246</v>
      </c>
    </row>
    <row r="131" spans="1:3" x14ac:dyDescent="0.2">
      <c r="A131" s="84" t="s">
        <v>162</v>
      </c>
      <c r="B131" s="130">
        <v>2</v>
      </c>
      <c r="C131" s="52" t="s">
        <v>41</v>
      </c>
    </row>
    <row r="132" spans="1:3" x14ac:dyDescent="0.2">
      <c r="A132" s="84" t="s">
        <v>163</v>
      </c>
      <c r="B132" s="130">
        <v>2</v>
      </c>
      <c r="C132" s="52" t="s">
        <v>41</v>
      </c>
    </row>
    <row r="133" spans="1:3" x14ac:dyDescent="0.2">
      <c r="A133" s="84" t="s">
        <v>169</v>
      </c>
      <c r="B133" s="130">
        <v>2</v>
      </c>
      <c r="C133" s="52" t="s">
        <v>28</v>
      </c>
    </row>
    <row r="134" spans="1:3" x14ac:dyDescent="0.2">
      <c r="A134" s="52" t="s">
        <v>160</v>
      </c>
      <c r="B134" s="130">
        <v>3</v>
      </c>
      <c r="C134" s="52" t="s">
        <v>221</v>
      </c>
    </row>
    <row r="135" spans="1:3" x14ac:dyDescent="0.2">
      <c r="A135" s="52" t="s">
        <v>165</v>
      </c>
      <c r="B135" s="130">
        <v>2</v>
      </c>
      <c r="C135" s="52" t="s">
        <v>246</v>
      </c>
    </row>
    <row r="136" spans="1:3" x14ac:dyDescent="0.2">
      <c r="A136" s="52" t="s">
        <v>166</v>
      </c>
      <c r="B136" s="130">
        <v>2</v>
      </c>
      <c r="C136" s="52" t="s">
        <v>246</v>
      </c>
    </row>
    <row r="137" spans="1:3" x14ac:dyDescent="0.2">
      <c r="A137" s="93" t="s">
        <v>167</v>
      </c>
      <c r="B137" s="130">
        <v>2</v>
      </c>
      <c r="C137" s="52" t="s">
        <v>41</v>
      </c>
    </row>
    <row r="138" spans="1:3" x14ac:dyDescent="0.2">
      <c r="A138" s="83" t="s">
        <v>168</v>
      </c>
      <c r="B138" s="130">
        <v>2</v>
      </c>
      <c r="C138" s="52" t="s">
        <v>41</v>
      </c>
    </row>
    <row r="139" spans="1:3" x14ac:dyDescent="0.2">
      <c r="A139" s="84" t="s">
        <v>170</v>
      </c>
      <c r="B139" s="130">
        <v>2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100</v>
      </c>
      <c r="C141" s="84" t="s">
        <v>48</v>
      </c>
    </row>
    <row r="142" spans="1:3" x14ac:dyDescent="0.2">
      <c r="A142" s="83" t="s">
        <v>458</v>
      </c>
      <c r="B142" s="130">
        <v>50</v>
      </c>
      <c r="C142" s="84" t="s">
        <v>48</v>
      </c>
    </row>
    <row r="143" spans="1:3" x14ac:dyDescent="0.2">
      <c r="A143" s="92" t="s">
        <v>451</v>
      </c>
      <c r="B143" s="131">
        <v>0.25</v>
      </c>
      <c r="C143" s="83" t="s">
        <v>28</v>
      </c>
    </row>
    <row r="144" spans="1:3" x14ac:dyDescent="0.2">
      <c r="A144" s="92" t="s">
        <v>460</v>
      </c>
      <c r="B144" s="131">
        <v>1.5</v>
      </c>
      <c r="C144" s="83" t="s">
        <v>28</v>
      </c>
    </row>
    <row r="145" spans="1:3" ht="15" x14ac:dyDescent="0.2">
      <c r="A145" s="92" t="s">
        <v>450</v>
      </c>
      <c r="B145" s="131">
        <v>5</v>
      </c>
      <c r="C145" s="83" t="s">
        <v>143</v>
      </c>
    </row>
    <row r="146" spans="1:3" ht="15" x14ac:dyDescent="0.2">
      <c r="A146" s="92" t="s">
        <v>459</v>
      </c>
      <c r="B146" s="131">
        <v>10</v>
      </c>
      <c r="C146" s="83" t="s">
        <v>143</v>
      </c>
    </row>
    <row r="147" spans="1:3" x14ac:dyDescent="0.2">
      <c r="A147" s="83" t="s">
        <v>467</v>
      </c>
      <c r="B147" s="130">
        <v>55</v>
      </c>
      <c r="C147" s="92" t="s">
        <v>221</v>
      </c>
    </row>
    <row r="148" spans="1:3" x14ac:dyDescent="0.2">
      <c r="A148" s="83" t="s">
        <v>468</v>
      </c>
      <c r="B148" s="130">
        <v>55</v>
      </c>
      <c r="C148" s="92" t="s">
        <v>221</v>
      </c>
    </row>
    <row r="149" spans="1:3" x14ac:dyDescent="0.2">
      <c r="A149" s="83" t="s">
        <v>469</v>
      </c>
      <c r="B149" s="130">
        <v>55</v>
      </c>
      <c r="C149" s="92" t="s">
        <v>221</v>
      </c>
    </row>
    <row r="150" spans="1:3" x14ac:dyDescent="0.2">
      <c r="A150" s="83" t="s">
        <v>470</v>
      </c>
      <c r="B150" s="130">
        <v>55</v>
      </c>
      <c r="C150" s="92" t="s">
        <v>221</v>
      </c>
    </row>
    <row r="151" spans="1:3" x14ac:dyDescent="0.2">
      <c r="A151" s="83" t="s">
        <v>452</v>
      </c>
      <c r="B151" s="130">
        <v>55</v>
      </c>
      <c r="C151" s="92" t="s">
        <v>221</v>
      </c>
    </row>
    <row r="152" spans="1:3" x14ac:dyDescent="0.2">
      <c r="A152" s="83" t="s">
        <v>461</v>
      </c>
      <c r="B152" s="130">
        <v>55</v>
      </c>
      <c r="C152" s="92" t="s">
        <v>221</v>
      </c>
    </row>
    <row r="153" spans="1:3" x14ac:dyDescent="0.2">
      <c r="A153" s="83" t="s">
        <v>453</v>
      </c>
      <c r="B153" s="130">
        <v>55</v>
      </c>
      <c r="C153" s="92" t="s">
        <v>221</v>
      </c>
    </row>
    <row r="154" spans="1:3" x14ac:dyDescent="0.2">
      <c r="A154" s="83" t="s">
        <v>462</v>
      </c>
      <c r="B154" s="130">
        <v>55</v>
      </c>
      <c r="C154" s="92" t="s">
        <v>221</v>
      </c>
    </row>
    <row r="155" spans="1:3" x14ac:dyDescent="0.2">
      <c r="A155" s="83" t="s">
        <v>454</v>
      </c>
      <c r="B155" s="130">
        <v>55</v>
      </c>
      <c r="C155" s="92" t="s">
        <v>221</v>
      </c>
    </row>
    <row r="156" spans="1:3" x14ac:dyDescent="0.2">
      <c r="A156" s="83" t="s">
        <v>463</v>
      </c>
      <c r="B156" s="130">
        <v>55</v>
      </c>
      <c r="C156" s="92" t="s">
        <v>221</v>
      </c>
    </row>
    <row r="157" spans="1:3" x14ac:dyDescent="0.2">
      <c r="A157" s="83" t="s">
        <v>471</v>
      </c>
      <c r="B157" s="130">
        <v>55</v>
      </c>
      <c r="C157" s="92" t="s">
        <v>221</v>
      </c>
    </row>
    <row r="158" spans="1:3" x14ac:dyDescent="0.2">
      <c r="A158" s="83" t="s">
        <v>472</v>
      </c>
      <c r="B158" s="130">
        <v>55</v>
      </c>
      <c r="C158" s="92" t="s">
        <v>221</v>
      </c>
    </row>
    <row r="159" spans="1:3" x14ac:dyDescent="0.2">
      <c r="A159" s="83" t="s">
        <v>473</v>
      </c>
      <c r="B159" s="130">
        <v>55</v>
      </c>
      <c r="C159" s="92" t="s">
        <v>221</v>
      </c>
    </row>
    <row r="160" spans="1:3" x14ac:dyDescent="0.2">
      <c r="A160" s="83" t="s">
        <v>474</v>
      </c>
      <c r="B160" s="130">
        <v>55</v>
      </c>
      <c r="C160" s="92" t="s">
        <v>221</v>
      </c>
    </row>
    <row r="161" spans="1:3" x14ac:dyDescent="0.2">
      <c r="A161" s="83" t="s">
        <v>455</v>
      </c>
      <c r="B161" s="130">
        <v>55</v>
      </c>
      <c r="C161" s="92" t="s">
        <v>221</v>
      </c>
    </row>
    <row r="162" spans="1:3" x14ac:dyDescent="0.2">
      <c r="A162" s="83" t="s">
        <v>464</v>
      </c>
      <c r="B162" s="130">
        <v>55</v>
      </c>
      <c r="C162" s="92" t="s">
        <v>221</v>
      </c>
    </row>
    <row r="163" spans="1:3" x14ac:dyDescent="0.2">
      <c r="A163" s="83" t="s">
        <v>475</v>
      </c>
      <c r="B163" s="130">
        <v>0.15</v>
      </c>
      <c r="C163" s="88"/>
    </row>
    <row r="164" spans="1:3" x14ac:dyDescent="0.2">
      <c r="A164" s="83" t="s">
        <v>476</v>
      </c>
      <c r="B164" s="130">
        <v>0.85</v>
      </c>
      <c r="C164" s="88"/>
    </row>
    <row r="165" spans="1:3" x14ac:dyDescent="0.2">
      <c r="A165" s="83" t="s">
        <v>456</v>
      </c>
      <c r="B165" s="130">
        <v>150</v>
      </c>
      <c r="C165" s="83" t="s">
        <v>24</v>
      </c>
    </row>
    <row r="166" spans="1:3" x14ac:dyDescent="0.2">
      <c r="A166" s="83" t="s">
        <v>465</v>
      </c>
      <c r="B166" s="130">
        <v>150</v>
      </c>
      <c r="C166" s="83" t="s">
        <v>24</v>
      </c>
    </row>
    <row r="167" spans="1:3" x14ac:dyDescent="0.2">
      <c r="A167" s="52" t="s">
        <v>362</v>
      </c>
      <c r="B167" s="131">
        <v>150</v>
      </c>
      <c r="C167" s="83" t="s">
        <v>24</v>
      </c>
    </row>
    <row r="168" spans="1:3" x14ac:dyDescent="0.2">
      <c r="A168" s="83" t="s">
        <v>363</v>
      </c>
      <c r="B168" s="130">
        <v>1</v>
      </c>
      <c r="C168" s="92" t="s">
        <v>60</v>
      </c>
    </row>
    <row r="169" spans="1:3" x14ac:dyDescent="0.2">
      <c r="A169" s="83" t="s">
        <v>364</v>
      </c>
      <c r="B169" s="130">
        <v>24</v>
      </c>
      <c r="C169" s="94" t="s">
        <v>194</v>
      </c>
    </row>
    <row r="170" spans="1:3" x14ac:dyDescent="0.2">
      <c r="A170" s="83" t="s">
        <v>365</v>
      </c>
      <c r="B170" s="130">
        <v>24</v>
      </c>
      <c r="C170" s="52" t="s">
        <v>194</v>
      </c>
    </row>
    <row r="171" spans="1:3" x14ac:dyDescent="0.2">
      <c r="A171" s="83" t="s">
        <v>361</v>
      </c>
      <c r="B171" s="130">
        <v>1</v>
      </c>
    </row>
    <row r="172" spans="1:3" x14ac:dyDescent="0.2">
      <c r="A172" s="83" t="s">
        <v>507</v>
      </c>
      <c r="B172" s="130">
        <v>15</v>
      </c>
      <c r="C172" s="84" t="s">
        <v>194</v>
      </c>
    </row>
    <row r="173" spans="1:3" x14ac:dyDescent="0.2">
      <c r="A173" s="83" t="s">
        <v>508</v>
      </c>
      <c r="B173" s="130">
        <v>5</v>
      </c>
      <c r="C173" s="84" t="s">
        <v>194</v>
      </c>
    </row>
    <row r="174" spans="1:3" x14ac:dyDescent="0.2">
      <c r="A174" s="83" t="s">
        <v>88</v>
      </c>
      <c r="B174" s="130">
        <v>0.4</v>
      </c>
    </row>
    <row r="175" spans="1:3" x14ac:dyDescent="0.2">
      <c r="A175" s="83" t="s">
        <v>303</v>
      </c>
      <c r="B175" s="130">
        <v>1</v>
      </c>
    </row>
    <row r="176" spans="1:3" x14ac:dyDescent="0.2">
      <c r="A176" s="83" t="s">
        <v>301</v>
      </c>
      <c r="B176" s="131">
        <v>2</v>
      </c>
    </row>
    <row r="177" spans="1:3" x14ac:dyDescent="0.2">
      <c r="A177" s="92" t="s">
        <v>457</v>
      </c>
      <c r="B177" s="130">
        <v>5</v>
      </c>
      <c r="C177" s="92" t="s">
        <v>144</v>
      </c>
    </row>
    <row r="178" spans="1:3" x14ac:dyDescent="0.2">
      <c r="A178" s="92" t="s">
        <v>466</v>
      </c>
      <c r="B178" s="130">
        <v>5</v>
      </c>
      <c r="C178" s="92" t="s">
        <v>144</v>
      </c>
    </row>
    <row r="179" spans="1:3" x14ac:dyDescent="0.2">
      <c r="A179" s="52" t="s">
        <v>477</v>
      </c>
      <c r="B179" s="130">
        <v>0.25</v>
      </c>
      <c r="C179" s="92" t="s">
        <v>358</v>
      </c>
    </row>
    <row r="180" spans="1:3" x14ac:dyDescent="0.2">
      <c r="A180" s="52" t="s">
        <v>478</v>
      </c>
      <c r="B180" s="130">
        <v>0.85</v>
      </c>
      <c r="C180" s="92" t="s">
        <v>358</v>
      </c>
    </row>
    <row r="181" spans="1:3" x14ac:dyDescent="0.2">
      <c r="A181" s="84" t="s">
        <v>65</v>
      </c>
      <c r="B181" s="130">
        <v>0.5</v>
      </c>
      <c r="C181" s="92" t="s">
        <v>600</v>
      </c>
    </row>
    <row r="182" spans="1:3" x14ac:dyDescent="0.2">
      <c r="A182" s="92" t="s">
        <v>361</v>
      </c>
      <c r="B182" s="130">
        <v>1</v>
      </c>
    </row>
    <row r="183" spans="1:3" x14ac:dyDescent="0.2">
      <c r="A183" s="92" t="s">
        <v>479</v>
      </c>
      <c r="B183" s="130">
        <v>1</v>
      </c>
    </row>
    <row r="184" spans="1:3" x14ac:dyDescent="0.2">
      <c r="A184" s="92" t="s">
        <v>480</v>
      </c>
      <c r="B184" s="130">
        <v>1</v>
      </c>
    </row>
    <row r="185" spans="1:3" x14ac:dyDescent="0.2">
      <c r="A185" s="92" t="s">
        <v>481</v>
      </c>
      <c r="B185" s="130">
        <v>1</v>
      </c>
    </row>
    <row r="186" spans="1:3" x14ac:dyDescent="0.2">
      <c r="A186" s="92" t="s">
        <v>482</v>
      </c>
      <c r="B186" s="130">
        <v>1</v>
      </c>
    </row>
    <row r="187" spans="1:3" x14ac:dyDescent="0.2">
      <c r="A187" s="92" t="s">
        <v>483</v>
      </c>
      <c r="B187" s="130">
        <v>1</v>
      </c>
    </row>
    <row r="188" spans="1:3" x14ac:dyDescent="0.2">
      <c r="A188" s="92" t="s">
        <v>484</v>
      </c>
      <c r="B188" s="131">
        <v>1</v>
      </c>
    </row>
    <row r="189" spans="1:3" x14ac:dyDescent="0.2">
      <c r="A189" s="83" t="s">
        <v>36</v>
      </c>
      <c r="B189" s="131">
        <v>3.62</v>
      </c>
      <c r="C189" s="52" t="s">
        <v>37</v>
      </c>
    </row>
    <row r="190" spans="1:3" x14ac:dyDescent="0.2">
      <c r="A190" s="83" t="s">
        <v>40</v>
      </c>
      <c r="B190" s="131">
        <v>0.25</v>
      </c>
      <c r="C190" s="52" t="s">
        <v>41</v>
      </c>
    </row>
    <row r="191" spans="1:3" x14ac:dyDescent="0.2">
      <c r="A191" s="92" t="s">
        <v>52</v>
      </c>
      <c r="B191" s="131">
        <v>10950</v>
      </c>
      <c r="C191" s="52" t="s">
        <v>53</v>
      </c>
    </row>
    <row r="192" spans="1:3" x14ac:dyDescent="0.2">
      <c r="A192" s="92" t="s">
        <v>55</v>
      </c>
      <c r="B192" s="131">
        <v>240</v>
      </c>
      <c r="C192" s="52" t="s">
        <v>56</v>
      </c>
    </row>
    <row r="193" spans="1:3" x14ac:dyDescent="0.2">
      <c r="A193" s="92" t="s">
        <v>61</v>
      </c>
      <c r="B193" s="131">
        <v>0.42</v>
      </c>
      <c r="C193" s="52" t="s">
        <v>41</v>
      </c>
    </row>
    <row r="194" spans="1:3" x14ac:dyDescent="0.2">
      <c r="A194" s="92" t="s">
        <v>67</v>
      </c>
      <c r="B194" s="131">
        <v>60</v>
      </c>
      <c r="C194" s="83" t="s">
        <v>53</v>
      </c>
    </row>
    <row r="195" spans="1:3" x14ac:dyDescent="0.2">
      <c r="A195" s="92" t="s">
        <v>68</v>
      </c>
      <c r="B195" s="131">
        <v>2</v>
      </c>
      <c r="C195" s="83" t="s">
        <v>56</v>
      </c>
    </row>
    <row r="196" spans="1:3" x14ac:dyDescent="0.2">
      <c r="A196" s="92" t="s">
        <v>70</v>
      </c>
      <c r="B196" s="131">
        <v>2.6999999999999999E-5</v>
      </c>
      <c r="C196" s="52" t="s">
        <v>64</v>
      </c>
    </row>
    <row r="197" spans="1:3" x14ac:dyDescent="0.2">
      <c r="A197" s="92" t="s">
        <v>73</v>
      </c>
      <c r="B197" s="131">
        <v>1</v>
      </c>
      <c r="C197" s="52" t="s">
        <v>41</v>
      </c>
    </row>
    <row r="198" spans="1:3" x14ac:dyDescent="0.2">
      <c r="A198" s="92" t="s">
        <v>74</v>
      </c>
      <c r="B198" s="131">
        <v>14</v>
      </c>
      <c r="C198" s="52" t="s">
        <v>75</v>
      </c>
    </row>
    <row r="199" spans="1:3" x14ac:dyDescent="0.2">
      <c r="A199" s="83" t="s">
        <v>27</v>
      </c>
      <c r="B199" s="131">
        <v>92</v>
      </c>
      <c r="C199" s="83" t="s">
        <v>28</v>
      </c>
    </row>
    <row r="200" spans="1:3" x14ac:dyDescent="0.2">
      <c r="A200" s="52" t="s">
        <v>285</v>
      </c>
      <c r="B200" s="130">
        <v>1.03</v>
      </c>
      <c r="C200" s="52" t="s">
        <v>286</v>
      </c>
    </row>
    <row r="201" spans="1:3" x14ac:dyDescent="0.2">
      <c r="A201" s="83" t="s">
        <v>498</v>
      </c>
      <c r="B201" s="131">
        <v>20.3</v>
      </c>
      <c r="C201" s="52" t="s">
        <v>246</v>
      </c>
    </row>
    <row r="202" spans="1:3" x14ac:dyDescent="0.2">
      <c r="A202" s="83" t="s">
        <v>499</v>
      </c>
      <c r="B202" s="131">
        <v>0.04</v>
      </c>
      <c r="C202" s="52" t="s">
        <v>246</v>
      </c>
    </row>
    <row r="203" spans="1:3" x14ac:dyDescent="0.2">
      <c r="A203" s="83" t="s">
        <v>500</v>
      </c>
      <c r="B203" s="131">
        <v>1</v>
      </c>
    </row>
    <row r="204" spans="1:3" x14ac:dyDescent="0.2">
      <c r="A204" s="83" t="s">
        <v>501</v>
      </c>
      <c r="B204" s="131">
        <v>1</v>
      </c>
    </row>
    <row r="205" spans="1:3" x14ac:dyDescent="0.2">
      <c r="A205" s="83" t="s">
        <v>29</v>
      </c>
      <c r="B205" s="131">
        <v>53</v>
      </c>
      <c r="C205" s="83" t="s">
        <v>28</v>
      </c>
    </row>
    <row r="206" spans="1:3" x14ac:dyDescent="0.2">
      <c r="A206" s="83" t="s">
        <v>494</v>
      </c>
      <c r="B206" s="131">
        <v>11.77</v>
      </c>
      <c r="C206" s="52" t="s">
        <v>246</v>
      </c>
    </row>
    <row r="207" spans="1:3" x14ac:dyDescent="0.2">
      <c r="A207" s="83" t="s">
        <v>495</v>
      </c>
      <c r="B207" s="131">
        <v>0.5</v>
      </c>
      <c r="C207" s="52" t="s">
        <v>246</v>
      </c>
    </row>
    <row r="208" spans="1:3" x14ac:dyDescent="0.2">
      <c r="A208" s="83" t="s">
        <v>496</v>
      </c>
      <c r="B208" s="131">
        <v>1</v>
      </c>
    </row>
    <row r="209" spans="1:3" x14ac:dyDescent="0.2">
      <c r="A209" s="83" t="s">
        <v>497</v>
      </c>
      <c r="B209" s="131">
        <v>1</v>
      </c>
    </row>
    <row r="210" spans="1:3" x14ac:dyDescent="0.2">
      <c r="A210" s="83" t="s">
        <v>148</v>
      </c>
      <c r="B210" s="130">
        <v>0.4</v>
      </c>
      <c r="C210" s="83" t="s">
        <v>28</v>
      </c>
    </row>
    <row r="211" spans="1:3" x14ac:dyDescent="0.2">
      <c r="A211" s="83" t="s">
        <v>152</v>
      </c>
      <c r="B211" s="131">
        <v>0.2</v>
      </c>
      <c r="C211" s="52" t="s">
        <v>246</v>
      </c>
    </row>
    <row r="212" spans="1:3" x14ac:dyDescent="0.2">
      <c r="A212" s="83" t="s">
        <v>151</v>
      </c>
      <c r="B212" s="131">
        <v>2.1999999999999999E-2</v>
      </c>
      <c r="C212" s="52" t="s">
        <v>246</v>
      </c>
    </row>
    <row r="213" spans="1:3" x14ac:dyDescent="0.2">
      <c r="A213" s="83" t="s">
        <v>153</v>
      </c>
      <c r="B213" s="130">
        <v>1</v>
      </c>
    </row>
    <row r="214" spans="1:3" x14ac:dyDescent="0.2">
      <c r="A214" s="83" t="s">
        <v>154</v>
      </c>
      <c r="B214" s="130">
        <v>1</v>
      </c>
    </row>
    <row r="215" spans="1:3" x14ac:dyDescent="0.2">
      <c r="A215" s="83" t="s">
        <v>485</v>
      </c>
      <c r="B215" s="130">
        <v>0.4</v>
      </c>
      <c r="C215" s="83" t="s">
        <v>28</v>
      </c>
    </row>
    <row r="216" spans="1:3" x14ac:dyDescent="0.2">
      <c r="A216" s="83" t="s">
        <v>486</v>
      </c>
      <c r="B216" s="131">
        <v>0.2</v>
      </c>
      <c r="C216" s="52" t="s">
        <v>246</v>
      </c>
    </row>
    <row r="217" spans="1:3" x14ac:dyDescent="0.2">
      <c r="A217" s="83" t="s">
        <v>487</v>
      </c>
      <c r="B217" s="131">
        <v>2.1999999999999999E-2</v>
      </c>
      <c r="C217" s="52" t="s">
        <v>246</v>
      </c>
    </row>
    <row r="218" spans="1:3" x14ac:dyDescent="0.2">
      <c r="A218" s="83" t="s">
        <v>488</v>
      </c>
      <c r="B218" s="131">
        <v>1</v>
      </c>
    </row>
    <row r="219" spans="1:3" x14ac:dyDescent="0.2">
      <c r="A219" s="83" t="s">
        <v>489</v>
      </c>
      <c r="B219" s="131">
        <v>1</v>
      </c>
    </row>
    <row r="220" spans="1:3" x14ac:dyDescent="0.2">
      <c r="A220" s="83" t="s">
        <v>150</v>
      </c>
      <c r="B220" s="131">
        <v>11.4</v>
      </c>
      <c r="C220" s="83" t="s">
        <v>28</v>
      </c>
    </row>
    <row r="221" spans="1:3" x14ac:dyDescent="0.2">
      <c r="A221" s="83" t="s">
        <v>490</v>
      </c>
      <c r="B221" s="131">
        <v>4.7</v>
      </c>
      <c r="C221" s="52" t="s">
        <v>246</v>
      </c>
    </row>
    <row r="222" spans="1:3" x14ac:dyDescent="0.2">
      <c r="A222" s="83" t="s">
        <v>491</v>
      </c>
      <c r="B222" s="131">
        <v>0.37</v>
      </c>
      <c r="C222" s="52" t="s">
        <v>246</v>
      </c>
    </row>
    <row r="223" spans="1:3" x14ac:dyDescent="0.2">
      <c r="A223" s="83" t="s">
        <v>492</v>
      </c>
      <c r="B223" s="131">
        <v>1</v>
      </c>
    </row>
    <row r="224" spans="1:3" x14ac:dyDescent="0.2">
      <c r="A224" s="83" t="s">
        <v>493</v>
      </c>
      <c r="B224" s="131">
        <v>1</v>
      </c>
    </row>
    <row r="225" spans="1:3" x14ac:dyDescent="0.2">
      <c r="A225" s="370" t="s">
        <v>311</v>
      </c>
      <c r="B225" s="370"/>
      <c r="C225" s="370"/>
    </row>
    <row r="226" spans="1:3" x14ac:dyDescent="0.2">
      <c r="A226" s="52" t="s">
        <v>504</v>
      </c>
      <c r="B226" s="130">
        <v>50</v>
      </c>
      <c r="C226" s="84" t="s">
        <v>407</v>
      </c>
    </row>
    <row r="227" spans="1:3" x14ac:dyDescent="0.2">
      <c r="A227" s="83" t="s">
        <v>316</v>
      </c>
      <c r="B227" s="130">
        <v>125</v>
      </c>
      <c r="C227" s="52" t="s">
        <v>24</v>
      </c>
    </row>
    <row r="228" spans="1:3" x14ac:dyDescent="0.2">
      <c r="A228" s="83" t="s">
        <v>422</v>
      </c>
      <c r="B228" s="131">
        <v>1</v>
      </c>
      <c r="C228" s="52" t="s">
        <v>60</v>
      </c>
    </row>
    <row r="229" spans="1:3" x14ac:dyDescent="0.2">
      <c r="A229" s="83" t="s">
        <v>317</v>
      </c>
      <c r="B229" s="130">
        <v>50</v>
      </c>
      <c r="C229" s="84" t="s">
        <v>48</v>
      </c>
    </row>
    <row r="230" spans="1:3" x14ac:dyDescent="0.2">
      <c r="A230" s="52" t="s">
        <v>318</v>
      </c>
      <c r="B230" s="131">
        <v>2</v>
      </c>
    </row>
    <row r="231" spans="1:3" x14ac:dyDescent="0.2">
      <c r="A231" s="83" t="s">
        <v>299</v>
      </c>
      <c r="B231" s="131">
        <v>1</v>
      </c>
    </row>
    <row r="232" spans="1:3" x14ac:dyDescent="0.2">
      <c r="A232" s="83" t="s">
        <v>83</v>
      </c>
      <c r="B232" s="130">
        <v>5</v>
      </c>
      <c r="C232" s="52" t="s">
        <v>194</v>
      </c>
    </row>
    <row r="233" spans="1:3" x14ac:dyDescent="0.2">
      <c r="A233" s="83" t="s">
        <v>85</v>
      </c>
      <c r="B233" s="130">
        <v>5</v>
      </c>
      <c r="C233" s="52" t="s">
        <v>194</v>
      </c>
    </row>
    <row r="234" spans="1:3" x14ac:dyDescent="0.2">
      <c r="A234" s="83" t="s">
        <v>88</v>
      </c>
      <c r="B234" s="130">
        <v>0.4</v>
      </c>
    </row>
    <row r="235" spans="1:3" x14ac:dyDescent="0.2">
      <c r="A235" s="370" t="s">
        <v>312</v>
      </c>
      <c r="B235" s="370"/>
      <c r="C235" s="370"/>
    </row>
    <row r="236" spans="1:3" x14ac:dyDescent="0.2">
      <c r="A236" s="52" t="s">
        <v>304</v>
      </c>
      <c r="B236" s="130">
        <v>50</v>
      </c>
      <c r="C236" s="84" t="s">
        <v>407</v>
      </c>
    </row>
    <row r="237" spans="1:3" x14ac:dyDescent="0.2">
      <c r="A237" s="83" t="s">
        <v>35</v>
      </c>
      <c r="B237" s="130">
        <v>125</v>
      </c>
      <c r="C237" s="52" t="s">
        <v>24</v>
      </c>
    </row>
    <row r="238" spans="1:3" x14ac:dyDescent="0.2">
      <c r="A238" s="83" t="s">
        <v>420</v>
      </c>
      <c r="B238" s="131">
        <v>1</v>
      </c>
      <c r="C238" s="52" t="s">
        <v>60</v>
      </c>
    </row>
    <row r="239" spans="1:3" x14ac:dyDescent="0.2">
      <c r="A239" s="83" t="s">
        <v>62</v>
      </c>
      <c r="B239" s="130">
        <v>50</v>
      </c>
      <c r="C239" s="84" t="s">
        <v>48</v>
      </c>
    </row>
    <row r="240" spans="1:3" x14ac:dyDescent="0.2">
      <c r="A240" s="52" t="s">
        <v>318</v>
      </c>
      <c r="B240" s="131">
        <v>2</v>
      </c>
    </row>
    <row r="241" spans="1:3" x14ac:dyDescent="0.2">
      <c r="A241" s="83" t="s">
        <v>299</v>
      </c>
      <c r="B241" s="131">
        <v>1</v>
      </c>
    </row>
    <row r="242" spans="1:3" x14ac:dyDescent="0.2">
      <c r="A242" s="83" t="s">
        <v>83</v>
      </c>
      <c r="B242" s="130">
        <v>5</v>
      </c>
      <c r="C242" s="52" t="s">
        <v>194</v>
      </c>
    </row>
    <row r="243" spans="1:3" x14ac:dyDescent="0.2">
      <c r="A243" s="83" t="s">
        <v>85</v>
      </c>
      <c r="B243" s="130">
        <v>5</v>
      </c>
      <c r="C243" s="52" t="s">
        <v>194</v>
      </c>
    </row>
    <row r="244" spans="1:3" x14ac:dyDescent="0.2">
      <c r="A244" s="83" t="s">
        <v>88</v>
      </c>
      <c r="B244" s="130">
        <v>0.4</v>
      </c>
    </row>
    <row r="245" spans="1:3" x14ac:dyDescent="0.2">
      <c r="A245" s="370" t="s">
        <v>313</v>
      </c>
      <c r="B245" s="370"/>
      <c r="C245" s="370"/>
    </row>
    <row r="246" spans="1:3" x14ac:dyDescent="0.2">
      <c r="A246" s="52" t="s">
        <v>50</v>
      </c>
      <c r="B246" s="130">
        <v>50</v>
      </c>
      <c r="C246" s="84" t="s">
        <v>407</v>
      </c>
    </row>
    <row r="247" spans="1:3" x14ac:dyDescent="0.2">
      <c r="A247" s="83" t="s">
        <v>423</v>
      </c>
      <c r="B247" s="130">
        <v>125</v>
      </c>
      <c r="C247" s="52" t="s">
        <v>24</v>
      </c>
    </row>
    <row r="248" spans="1:3" x14ac:dyDescent="0.2">
      <c r="A248" s="83" t="s">
        <v>424</v>
      </c>
      <c r="B248" s="131">
        <v>1</v>
      </c>
      <c r="C248" s="52" t="s">
        <v>60</v>
      </c>
    </row>
    <row r="249" spans="1:3" x14ac:dyDescent="0.2">
      <c r="A249" s="83" t="s">
        <v>503</v>
      </c>
      <c r="B249" s="130">
        <v>50</v>
      </c>
      <c r="C249" s="84" t="s">
        <v>48</v>
      </c>
    </row>
    <row r="250" spans="1:3" x14ac:dyDescent="0.2">
      <c r="A250" s="52" t="s">
        <v>318</v>
      </c>
      <c r="B250" s="131">
        <v>2</v>
      </c>
    </row>
    <row r="251" spans="1:3" x14ac:dyDescent="0.2">
      <c r="A251" s="83" t="s">
        <v>299</v>
      </c>
      <c r="B251" s="131">
        <v>1</v>
      </c>
    </row>
    <row r="252" spans="1:3" x14ac:dyDescent="0.2">
      <c r="A252" s="83" t="s">
        <v>83</v>
      </c>
      <c r="B252" s="130">
        <v>5</v>
      </c>
      <c r="C252" s="52" t="s">
        <v>194</v>
      </c>
    </row>
    <row r="253" spans="1:3" x14ac:dyDescent="0.2">
      <c r="A253" s="83" t="s">
        <v>85</v>
      </c>
      <c r="B253" s="130">
        <v>5</v>
      </c>
      <c r="C253" s="52" t="s">
        <v>194</v>
      </c>
    </row>
    <row r="254" spans="1:3" x14ac:dyDescent="0.2">
      <c r="A254" s="83" t="s">
        <v>88</v>
      </c>
      <c r="B254" s="130">
        <v>0.4</v>
      </c>
    </row>
    <row r="255" spans="1:3" x14ac:dyDescent="0.2">
      <c r="A255" s="370" t="s">
        <v>314</v>
      </c>
      <c r="B255" s="370"/>
      <c r="C255" s="370"/>
    </row>
    <row r="256" spans="1:3" x14ac:dyDescent="0.2">
      <c r="A256" s="52" t="s">
        <v>348</v>
      </c>
      <c r="B256" s="130">
        <v>50</v>
      </c>
      <c r="C256" s="84" t="s">
        <v>407</v>
      </c>
    </row>
    <row r="257" spans="1:3" x14ac:dyDescent="0.2">
      <c r="A257" s="83" t="s">
        <v>191</v>
      </c>
      <c r="B257" s="130">
        <v>125</v>
      </c>
      <c r="C257" s="52" t="s">
        <v>24</v>
      </c>
    </row>
    <row r="258" spans="1:3" x14ac:dyDescent="0.2">
      <c r="A258" s="83" t="s">
        <v>158</v>
      </c>
      <c r="B258" s="131">
        <v>1</v>
      </c>
      <c r="C258" s="52" t="s">
        <v>60</v>
      </c>
    </row>
    <row r="259" spans="1:3" x14ac:dyDescent="0.2">
      <c r="A259" s="83" t="s">
        <v>502</v>
      </c>
      <c r="B259" s="130">
        <v>200</v>
      </c>
      <c r="C259" s="84" t="s">
        <v>48</v>
      </c>
    </row>
    <row r="260" spans="1:3" x14ac:dyDescent="0.2">
      <c r="A260" s="52" t="s">
        <v>318</v>
      </c>
      <c r="B260" s="131">
        <v>2</v>
      </c>
    </row>
    <row r="261" spans="1:3" x14ac:dyDescent="0.2">
      <c r="A261" s="83" t="s">
        <v>299</v>
      </c>
      <c r="B261" s="131">
        <v>1</v>
      </c>
    </row>
    <row r="262" spans="1:3" x14ac:dyDescent="0.2">
      <c r="A262" s="83" t="s">
        <v>83</v>
      </c>
      <c r="B262" s="130">
        <v>5</v>
      </c>
      <c r="C262" s="52" t="s">
        <v>194</v>
      </c>
    </row>
    <row r="263" spans="1:3" x14ac:dyDescent="0.2">
      <c r="A263" s="83" t="s">
        <v>85</v>
      </c>
      <c r="B263" s="130">
        <v>5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83" t="s">
        <v>219</v>
      </c>
      <c r="B265" s="130">
        <v>3</v>
      </c>
      <c r="C265" s="52" t="s">
        <v>112</v>
      </c>
    </row>
    <row r="266" spans="1:3" x14ac:dyDescent="0.2">
      <c r="A266" s="83" t="s">
        <v>220</v>
      </c>
      <c r="B266" s="130">
        <v>25</v>
      </c>
      <c r="C266" s="52" t="s">
        <v>113</v>
      </c>
    </row>
    <row r="267" spans="1:3" x14ac:dyDescent="0.2">
      <c r="A267" s="370" t="s">
        <v>315</v>
      </c>
      <c r="B267" s="370"/>
      <c r="C267" s="370"/>
    </row>
    <row r="268" spans="1:3" x14ac:dyDescent="0.2">
      <c r="A268" s="52" t="s">
        <v>348</v>
      </c>
      <c r="B268" s="130">
        <v>50</v>
      </c>
      <c r="C268" s="84" t="s">
        <v>407</v>
      </c>
    </row>
    <row r="269" spans="1:3" x14ac:dyDescent="0.2">
      <c r="A269" s="83" t="s">
        <v>191</v>
      </c>
      <c r="B269" s="130">
        <v>125</v>
      </c>
      <c r="C269" s="52" t="s">
        <v>24</v>
      </c>
    </row>
    <row r="270" spans="1:3" x14ac:dyDescent="0.2">
      <c r="A270" s="83" t="s">
        <v>158</v>
      </c>
      <c r="B270" s="131">
        <v>1</v>
      </c>
      <c r="C270" s="52" t="s">
        <v>60</v>
      </c>
    </row>
    <row r="271" spans="1:3" x14ac:dyDescent="0.2">
      <c r="A271" s="83" t="s">
        <v>502</v>
      </c>
      <c r="B271" s="130">
        <v>200</v>
      </c>
      <c r="C271" s="84" t="s">
        <v>48</v>
      </c>
    </row>
    <row r="272" spans="1:3" x14ac:dyDescent="0.2">
      <c r="A272" s="83" t="s">
        <v>299</v>
      </c>
      <c r="B272" s="131">
        <v>1</v>
      </c>
    </row>
    <row r="273" spans="1:3" x14ac:dyDescent="0.2">
      <c r="A273" s="83" t="s">
        <v>83</v>
      </c>
      <c r="B273" s="130">
        <v>5</v>
      </c>
      <c r="C273" s="52" t="s">
        <v>194</v>
      </c>
    </row>
    <row r="274" spans="1:3" x14ac:dyDescent="0.2">
      <c r="A274" s="83" t="s">
        <v>85</v>
      </c>
      <c r="B274" s="130">
        <v>5</v>
      </c>
      <c r="C274" s="52" t="s">
        <v>194</v>
      </c>
    </row>
    <row r="275" spans="1:3" x14ac:dyDescent="0.2">
      <c r="A275" s="83" t="s">
        <v>88</v>
      </c>
      <c r="B275" s="130">
        <v>0.4</v>
      </c>
    </row>
    <row r="276" spans="1:3" x14ac:dyDescent="0.2">
      <c r="A276" s="83" t="s">
        <v>219</v>
      </c>
      <c r="B276" s="130">
        <v>3</v>
      </c>
      <c r="C276" s="52" t="s">
        <v>112</v>
      </c>
    </row>
    <row r="277" spans="1:3" x14ac:dyDescent="0.2">
      <c r="A277" s="83" t="s">
        <v>220</v>
      </c>
      <c r="B277" s="130">
        <v>25</v>
      </c>
      <c r="C277" s="52" t="s">
        <v>113</v>
      </c>
    </row>
  </sheetData>
  <mergeCells count="348">
    <mergeCell ref="CC35:CG38"/>
    <mergeCell ref="AE38:AG40"/>
    <mergeCell ref="BK39:BO42"/>
    <mergeCell ref="D42:F42"/>
    <mergeCell ref="D43:D44"/>
    <mergeCell ref="E43:E44"/>
    <mergeCell ref="F43:F44"/>
    <mergeCell ref="BO21:BO23"/>
    <mergeCell ref="HD21:HF21"/>
    <mergeCell ref="V23:X23"/>
    <mergeCell ref="Y23:AA23"/>
    <mergeCell ref="D30:F30"/>
    <mergeCell ref="BJ21:BJ23"/>
    <mergeCell ref="BK21:BK23"/>
    <mergeCell ref="BL21:BL23"/>
    <mergeCell ref="BM21:BM23"/>
    <mergeCell ref="BN21:BN23"/>
    <mergeCell ref="BB21:BB23"/>
    <mergeCell ref="BC21:BC23"/>
    <mergeCell ref="BD21:BD23"/>
    <mergeCell ref="BE21:BE23"/>
    <mergeCell ref="BF21:BF23"/>
    <mergeCell ref="AT21:AT23"/>
    <mergeCell ref="AU21:AU23"/>
    <mergeCell ref="AM21:AM23"/>
    <mergeCell ref="AN21:AN23"/>
    <mergeCell ref="AR21:AR23"/>
    <mergeCell ref="AS21:AS23"/>
    <mergeCell ref="CM20:CM22"/>
    <mergeCell ref="CN20:CN22"/>
    <mergeCell ref="CO20:CO22"/>
    <mergeCell ref="CP20:CP22"/>
    <mergeCell ref="CQ20:CQ22"/>
    <mergeCell ref="CG19:CG21"/>
    <mergeCell ref="CK19:CM19"/>
    <mergeCell ref="CN19:CP19"/>
    <mergeCell ref="N21:N23"/>
    <mergeCell ref="O21:O23"/>
    <mergeCell ref="P21:P23"/>
    <mergeCell ref="Q21:Q23"/>
    <mergeCell ref="R21:R23"/>
    <mergeCell ref="AI21:AI23"/>
    <mergeCell ref="AJ21:AJ23"/>
    <mergeCell ref="AK21:AK23"/>
    <mergeCell ref="AL21:AL23"/>
    <mergeCell ref="CQ19:CS19"/>
    <mergeCell ref="M20:O20"/>
    <mergeCell ref="P20:R20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CK20:CK22"/>
    <mergeCell ref="CL20:CL22"/>
    <mergeCell ref="CB19:CB21"/>
    <mergeCell ref="CC19:CC21"/>
    <mergeCell ref="CD19:CD21"/>
    <mergeCell ref="CE19:CE21"/>
    <mergeCell ref="CF19:CF21"/>
    <mergeCell ref="AV21:AV23"/>
    <mergeCell ref="AW21:AW23"/>
    <mergeCell ref="BA21:BA23"/>
    <mergeCell ref="CR20:CR22"/>
    <mergeCell ref="CS20:CS22"/>
    <mergeCell ref="M21:M23"/>
    <mergeCell ref="GZ2:GZ4"/>
    <mergeCell ref="HA2:HA4"/>
    <mergeCell ref="HB2:HB4"/>
    <mergeCell ref="HC2:HC4"/>
    <mergeCell ref="CB18:CD18"/>
    <mergeCell ref="CE18:CG18"/>
    <mergeCell ref="GU2:GU4"/>
    <mergeCell ref="GV2:GV4"/>
    <mergeCell ref="GW2:GW4"/>
    <mergeCell ref="GX2:GX4"/>
    <mergeCell ref="GY2:GY4"/>
    <mergeCell ref="GP2:GP4"/>
    <mergeCell ref="GQ2:GQ4"/>
    <mergeCell ref="GR2:GR4"/>
    <mergeCell ref="GS2:GS4"/>
    <mergeCell ref="GT2:GT4"/>
    <mergeCell ref="GK2:GK4"/>
    <mergeCell ref="GL2:GL4"/>
    <mergeCell ref="GM2:GM4"/>
    <mergeCell ref="GN2:GN4"/>
    <mergeCell ref="GO2:GO4"/>
    <mergeCell ref="GF2:GF4"/>
    <mergeCell ref="GG2:GG4"/>
    <mergeCell ref="GH2:GH4"/>
    <mergeCell ref="GI2:GI4"/>
    <mergeCell ref="GJ2:GJ4"/>
    <mergeCell ref="GA2:GA4"/>
    <mergeCell ref="GB2:GB4"/>
    <mergeCell ref="GC2:GC4"/>
    <mergeCell ref="GD2:GD4"/>
    <mergeCell ref="GE2:GE4"/>
    <mergeCell ref="FV2:FV4"/>
    <mergeCell ref="FW2:FW4"/>
    <mergeCell ref="FX2:FX4"/>
    <mergeCell ref="FY2:FY4"/>
    <mergeCell ref="FZ2:FZ4"/>
    <mergeCell ref="FQ2:FQ4"/>
    <mergeCell ref="FR2:FR4"/>
    <mergeCell ref="FS2:FS4"/>
    <mergeCell ref="FT2:FT4"/>
    <mergeCell ref="FU2:FU4"/>
    <mergeCell ref="FL2:FL4"/>
    <mergeCell ref="FM2:FM4"/>
    <mergeCell ref="FN2:FN4"/>
    <mergeCell ref="FO2:FO4"/>
    <mergeCell ref="FP2:FP4"/>
    <mergeCell ref="FG2:FG4"/>
    <mergeCell ref="FH2:FH4"/>
    <mergeCell ref="FI2:FI4"/>
    <mergeCell ref="FJ2:FJ4"/>
    <mergeCell ref="FK2:FK4"/>
    <mergeCell ref="FB2:FB4"/>
    <mergeCell ref="FC2:FC4"/>
    <mergeCell ref="FD2:FD4"/>
    <mergeCell ref="FE2:FE4"/>
    <mergeCell ref="FF2:FF4"/>
    <mergeCell ref="EW2:EW4"/>
    <mergeCell ref="EX2:EX4"/>
    <mergeCell ref="EY2:EY4"/>
    <mergeCell ref="EZ2:EZ4"/>
    <mergeCell ref="FA2:FA4"/>
    <mergeCell ref="ER2:ER4"/>
    <mergeCell ref="ES2:ES4"/>
    <mergeCell ref="ET2:ET4"/>
    <mergeCell ref="EU2:EU4"/>
    <mergeCell ref="EV2:EV4"/>
    <mergeCell ref="EM2:EM4"/>
    <mergeCell ref="EN2:EN4"/>
    <mergeCell ref="EO2:EO4"/>
    <mergeCell ref="EP2:EP4"/>
    <mergeCell ref="EQ2:EQ4"/>
    <mergeCell ref="EH2:EH4"/>
    <mergeCell ref="EI2:EI4"/>
    <mergeCell ref="EJ2:EJ4"/>
    <mergeCell ref="EK2:EK4"/>
    <mergeCell ref="EL2:EL4"/>
    <mergeCell ref="EC2:EC4"/>
    <mergeCell ref="ED2:ED4"/>
    <mergeCell ref="EE2:EE4"/>
    <mergeCell ref="EF2:EF4"/>
    <mergeCell ref="EG2:EG4"/>
    <mergeCell ref="DX2:DX4"/>
    <mergeCell ref="DY2:DY4"/>
    <mergeCell ref="DZ2:DZ4"/>
    <mergeCell ref="EA2:EA4"/>
    <mergeCell ref="EB2:EB4"/>
    <mergeCell ref="DS2:DS4"/>
    <mergeCell ref="DT2:DT4"/>
    <mergeCell ref="DU2:DU4"/>
    <mergeCell ref="DV2:DV4"/>
    <mergeCell ref="DW2:DW4"/>
    <mergeCell ref="DN2:DN4"/>
    <mergeCell ref="DO2:DO4"/>
    <mergeCell ref="DP2:DP4"/>
    <mergeCell ref="DQ2:DQ4"/>
    <mergeCell ref="DR2:DR4"/>
    <mergeCell ref="DI2:DI4"/>
    <mergeCell ref="DJ2:DJ4"/>
    <mergeCell ref="DK2:DK4"/>
    <mergeCell ref="DL2:DL4"/>
    <mergeCell ref="DM2:DM4"/>
    <mergeCell ref="DD2:DD4"/>
    <mergeCell ref="DE2:DE4"/>
    <mergeCell ref="DF2:DF4"/>
    <mergeCell ref="DG2:DG4"/>
    <mergeCell ref="DH2:DH4"/>
    <mergeCell ref="CV2:CV4"/>
    <mergeCell ref="CZ2:CZ4"/>
    <mergeCell ref="DA2:DA4"/>
    <mergeCell ref="DB2:DB4"/>
    <mergeCell ref="DC2:DC4"/>
    <mergeCell ref="CQ2:CQ4"/>
    <mergeCell ref="CR2:CR4"/>
    <mergeCell ref="CS2:CS4"/>
    <mergeCell ref="CT2:CT4"/>
    <mergeCell ref="CU2:CU4"/>
    <mergeCell ref="CL2:CL4"/>
    <mergeCell ref="CM2:CM4"/>
    <mergeCell ref="CN2:CN4"/>
    <mergeCell ref="CO2:CO4"/>
    <mergeCell ref="CP2:CP4"/>
    <mergeCell ref="CG2:CG4"/>
    <mergeCell ref="CH2:CH4"/>
    <mergeCell ref="CI2:CI4"/>
    <mergeCell ref="CJ2:CJ4"/>
    <mergeCell ref="CK2:CK4"/>
    <mergeCell ref="CB2:CB4"/>
    <mergeCell ref="CC2:CC4"/>
    <mergeCell ref="CD2:CD4"/>
    <mergeCell ref="CE2:CE4"/>
    <mergeCell ref="CF2:CF4"/>
    <mergeCell ref="BW2:BW4"/>
    <mergeCell ref="BX2:BX4"/>
    <mergeCell ref="BY2:BY4"/>
    <mergeCell ref="BZ2:BZ4"/>
    <mergeCell ref="CA2:CA4"/>
    <mergeCell ref="BO2:BO4"/>
    <mergeCell ref="BP2:BP4"/>
    <mergeCell ref="BQ2:BQ4"/>
    <mergeCell ref="BR2:BR4"/>
    <mergeCell ref="BV2:BV4"/>
    <mergeCell ref="BJ2:BJ4"/>
    <mergeCell ref="BK2:BK4"/>
    <mergeCell ref="BL2:BL4"/>
    <mergeCell ref="BM2:BM4"/>
    <mergeCell ref="BN2:BN4"/>
    <mergeCell ref="BE2:BE4"/>
    <mergeCell ref="BF2:BF4"/>
    <mergeCell ref="BG2:BG4"/>
    <mergeCell ref="BH2:BH4"/>
    <mergeCell ref="BI2:BI4"/>
    <mergeCell ref="AZ2:AZ4"/>
    <mergeCell ref="BA2:BA4"/>
    <mergeCell ref="BB2:BB4"/>
    <mergeCell ref="BC2:BC4"/>
    <mergeCell ref="BD2:BD4"/>
    <mergeCell ref="AV2:AV4"/>
    <mergeCell ref="AW2:AW4"/>
    <mergeCell ref="AX2:AX4"/>
    <mergeCell ref="AY2:AY4"/>
    <mergeCell ref="AP2:AP4"/>
    <mergeCell ref="AQ2:AQ4"/>
    <mergeCell ref="AR2:AR4"/>
    <mergeCell ref="AS2:AS4"/>
    <mergeCell ref="AT2:AT4"/>
    <mergeCell ref="GX1:GZ1"/>
    <mergeCell ref="HA1:HC1"/>
    <mergeCell ref="HD1:HF1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R2:R4"/>
    <mergeCell ref="S2:S4"/>
    <mergeCell ref="GI1:GK1"/>
    <mergeCell ref="GL1:GN1"/>
    <mergeCell ref="GO1:GQ1"/>
    <mergeCell ref="AK2:AK4"/>
    <mergeCell ref="AL2:AL4"/>
    <mergeCell ref="AM2:AM4"/>
    <mergeCell ref="AN2:AN4"/>
    <mergeCell ref="AO2:AO4"/>
    <mergeCell ref="GR1:GT1"/>
    <mergeCell ref="GU1:GW1"/>
    <mergeCell ref="FT1:FV1"/>
    <mergeCell ref="FW1:FX1"/>
    <mergeCell ref="FZ1:GB1"/>
    <mergeCell ref="GC1:GE1"/>
    <mergeCell ref="GF1:GH1"/>
    <mergeCell ref="FE1:FG1"/>
    <mergeCell ref="FH1:FJ1"/>
    <mergeCell ref="FK1:FM1"/>
    <mergeCell ref="FN1:FP1"/>
    <mergeCell ref="FQ1:FS1"/>
    <mergeCell ref="EP1:ER1"/>
    <mergeCell ref="ES1:EU1"/>
    <mergeCell ref="EV1:EX1"/>
    <mergeCell ref="EY1:FA1"/>
    <mergeCell ref="FB1:FD1"/>
    <mergeCell ref="EA1:EC1"/>
    <mergeCell ref="ED1:EF1"/>
    <mergeCell ref="EG1:EI1"/>
    <mergeCell ref="EJ1:EL1"/>
    <mergeCell ref="EM1:EO1"/>
    <mergeCell ref="DL1:DN1"/>
    <mergeCell ref="DO1:DQ1"/>
    <mergeCell ref="DR1:DT1"/>
    <mergeCell ref="DU1:DW1"/>
    <mergeCell ref="DX1:DZ1"/>
    <mergeCell ref="CW1:CY1"/>
    <mergeCell ref="CZ1:DB1"/>
    <mergeCell ref="DC1:DE1"/>
    <mergeCell ref="DF1:DH1"/>
    <mergeCell ref="DI1:DK1"/>
    <mergeCell ref="CH1:CJ1"/>
    <mergeCell ref="CK1:CM1"/>
    <mergeCell ref="CN1:CP1"/>
    <mergeCell ref="CQ1:CS1"/>
    <mergeCell ref="CT1:CV1"/>
    <mergeCell ref="BS1:BU1"/>
    <mergeCell ref="BV1:BX1"/>
    <mergeCell ref="BY1:CA1"/>
    <mergeCell ref="CB1:CD1"/>
    <mergeCell ref="CE1:CG1"/>
    <mergeCell ref="A2:C2"/>
    <mergeCell ref="A5:C5"/>
    <mergeCell ref="A14:C16"/>
    <mergeCell ref="BD1:BF1"/>
    <mergeCell ref="BG1:BI1"/>
    <mergeCell ref="BJ1:BL1"/>
    <mergeCell ref="BM1:BO1"/>
    <mergeCell ref="BP1:BR1"/>
    <mergeCell ref="AO1:AQ1"/>
    <mergeCell ref="AR1:AT1"/>
    <mergeCell ref="AU1:AW1"/>
    <mergeCell ref="AX1:AZ1"/>
    <mergeCell ref="BA1:BC1"/>
    <mergeCell ref="T2:T4"/>
    <mergeCell ref="U2:U4"/>
    <mergeCell ref="AC2:AC4"/>
    <mergeCell ref="AD2:AD4"/>
    <mergeCell ref="AE2:AE4"/>
    <mergeCell ref="AF2:AF4"/>
    <mergeCell ref="AG2:AG4"/>
    <mergeCell ref="AH2:AH4"/>
    <mergeCell ref="AI2:AI4"/>
    <mergeCell ref="AJ2:AJ4"/>
    <mergeCell ref="AU2:AU4"/>
    <mergeCell ref="P1:R1"/>
    <mergeCell ref="S1:U1"/>
    <mergeCell ref="V1:X1"/>
    <mergeCell ref="Y1:AA1"/>
    <mergeCell ref="AB1:AB4"/>
    <mergeCell ref="AI1:AK1"/>
    <mergeCell ref="AL1:AN1"/>
    <mergeCell ref="A267:C267"/>
    <mergeCell ref="D1:F1"/>
    <mergeCell ref="G1:I1"/>
    <mergeCell ref="J1:L1"/>
    <mergeCell ref="M1:O1"/>
    <mergeCell ref="D31:D32"/>
    <mergeCell ref="E31:E32"/>
    <mergeCell ref="F31:F32"/>
    <mergeCell ref="A49:C49"/>
    <mergeCell ref="A91:C91"/>
    <mergeCell ref="A102:C102"/>
    <mergeCell ref="A140:C140"/>
    <mergeCell ref="A225:C225"/>
    <mergeCell ref="A235:C235"/>
    <mergeCell ref="A245:C245"/>
    <mergeCell ref="A255:C255"/>
    <mergeCell ref="A1:C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80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B21" sqref="B21"/>
    </sheetView>
  </sheetViews>
  <sheetFormatPr defaultRowHeight="12.75" x14ac:dyDescent="0.2"/>
  <cols>
    <col min="1" max="1" width="15" style="52" bestFit="1" customWidth="1"/>
    <col min="2" max="2" width="9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28515625" style="52" bestFit="1" customWidth="1"/>
    <col min="79" max="79" width="18.85546875" style="52" bestFit="1" customWidth="1"/>
    <col min="80" max="80" width="11" style="52" bestFit="1" customWidth="1"/>
    <col min="81" max="81" width="9.28515625" style="52" bestFit="1" customWidth="1"/>
    <col min="82" max="82" width="20.28515625" style="52" bestFit="1" customWidth="1"/>
    <col min="83" max="83" width="12.42578125" style="52" bestFit="1" customWidth="1"/>
    <col min="84" max="84" width="9.28515625" style="52" bestFit="1" customWidth="1"/>
    <col min="85" max="85" width="20.28515625" style="52" bestFit="1" customWidth="1"/>
    <col min="86" max="86" width="13.5703125" style="52" bestFit="1" customWidth="1"/>
    <col min="87" max="87" width="9.2851562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6.285156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9.28515625" style="52" bestFit="1" customWidth="1"/>
    <col min="142" max="142" width="7" style="52" bestFit="1" customWidth="1"/>
    <col min="143" max="143" width="12" style="52" bestFit="1" customWidth="1"/>
    <col min="144" max="144" width="9.28515625" style="52" bestFit="1" customWidth="1"/>
    <col min="145" max="145" width="7" style="52" bestFit="1" customWidth="1"/>
    <col min="146" max="146" width="12" style="52" bestFit="1" customWidth="1"/>
    <col min="147" max="147" width="9.28515625" style="52" bestFit="1" customWidth="1"/>
    <col min="148" max="148" width="7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7" style="52" bestFit="1" customWidth="1"/>
    <col min="158" max="158" width="12" style="52" bestFit="1" customWidth="1"/>
    <col min="159" max="159" width="9.28515625" style="52" bestFit="1" customWidth="1"/>
    <col min="160" max="160" width="7" style="52" bestFit="1" customWidth="1"/>
    <col min="161" max="161" width="12" style="52" bestFit="1" customWidth="1"/>
    <col min="162" max="162" width="9.28515625" style="52" bestFit="1" customWidth="1"/>
    <col min="163" max="163" width="7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6.285156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9.28515625" style="52" bestFit="1" customWidth="1"/>
    <col min="187" max="187" width="7" style="52" bestFit="1" customWidth="1"/>
    <col min="188" max="188" width="12" style="52" bestFit="1" customWidth="1"/>
    <col min="189" max="189" width="9.28515625" style="52" bestFit="1" customWidth="1"/>
    <col min="190" max="190" width="7" style="52" bestFit="1" customWidth="1"/>
    <col min="191" max="191" width="12" style="52" bestFit="1" customWidth="1"/>
    <col min="192" max="192" width="9.28515625" style="52" bestFit="1" customWidth="1"/>
    <col min="193" max="193" width="7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7" style="52" bestFit="1" customWidth="1"/>
    <col min="203" max="203" width="12" style="52" bestFit="1" customWidth="1"/>
    <col min="204" max="204" width="9.28515625" style="52" bestFit="1" customWidth="1"/>
    <col min="205" max="205" width="7" style="52" bestFit="1" customWidth="1"/>
    <col min="206" max="206" width="12" style="52" bestFit="1" customWidth="1"/>
    <col min="207" max="207" width="9.28515625" style="52" bestFit="1" customWidth="1"/>
    <col min="208" max="208" width="7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9.28515625" style="52" bestFit="1" customWidth="1"/>
    <col min="214" max="214" width="22.42578125" style="52" bestFit="1" customWidth="1"/>
    <col min="215" max="16384" width="9.140625" style="52"/>
  </cols>
  <sheetData>
    <row r="1" spans="1:214" ht="21.75" thickTop="1" thickBot="1" x14ac:dyDescent="0.25">
      <c r="A1" s="349" t="s">
        <v>0</v>
      </c>
      <c r="B1" s="350"/>
      <c r="C1" s="351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565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296" t="s">
        <v>557</v>
      </c>
      <c r="AJ1" s="294"/>
      <c r="AK1" s="297"/>
      <c r="AL1" s="293" t="s">
        <v>546</v>
      </c>
      <c r="AM1" s="294"/>
      <c r="AN1" s="297"/>
      <c r="AO1" s="293" t="s">
        <v>547</v>
      </c>
      <c r="AP1" s="294"/>
      <c r="AQ1" s="295"/>
      <c r="AR1" s="296" t="s">
        <v>559</v>
      </c>
      <c r="AS1" s="294"/>
      <c r="AT1" s="297"/>
      <c r="AU1" s="293" t="s">
        <v>548</v>
      </c>
      <c r="AV1" s="294"/>
      <c r="AW1" s="297"/>
      <c r="AX1" s="293" t="s">
        <v>549</v>
      </c>
      <c r="AY1" s="294"/>
      <c r="AZ1" s="295"/>
      <c r="BA1" s="296" t="s">
        <v>561</v>
      </c>
      <c r="BB1" s="294"/>
      <c r="BC1" s="297"/>
      <c r="BD1" s="293" t="s">
        <v>551</v>
      </c>
      <c r="BE1" s="294"/>
      <c r="BF1" s="297"/>
      <c r="BG1" s="293" t="s">
        <v>552</v>
      </c>
      <c r="BH1" s="294"/>
      <c r="BI1" s="295"/>
      <c r="BJ1" s="296" t="s">
        <v>564</v>
      </c>
      <c r="BK1" s="294"/>
      <c r="BL1" s="297"/>
      <c r="BM1" s="293" t="s">
        <v>554</v>
      </c>
      <c r="BN1" s="294"/>
      <c r="BO1" s="297"/>
      <c r="BP1" s="293" t="s">
        <v>555</v>
      </c>
      <c r="BQ1" s="294"/>
      <c r="BR1" s="295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274" t="s">
        <v>569</v>
      </c>
      <c r="CC1" s="270"/>
      <c r="CD1" s="270"/>
      <c r="CE1" s="271" t="s">
        <v>570</v>
      </c>
      <c r="CF1" s="270"/>
      <c r="CG1" s="272"/>
      <c r="CH1" s="270" t="s">
        <v>571</v>
      </c>
      <c r="CI1" s="270"/>
      <c r="CJ1" s="273"/>
      <c r="CK1" s="270" t="s">
        <v>575</v>
      </c>
      <c r="CL1" s="270"/>
      <c r="CM1" s="270"/>
      <c r="CN1" s="271" t="s">
        <v>575</v>
      </c>
      <c r="CO1" s="270"/>
      <c r="CP1" s="272"/>
      <c r="CQ1" s="270" t="s">
        <v>575</v>
      </c>
      <c r="CR1" s="270"/>
      <c r="CS1" s="273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4.25" thickTop="1" thickBot="1" x14ac:dyDescent="0.25">
      <c r="A2" s="681" t="s">
        <v>240</v>
      </c>
      <c r="B2" s="682"/>
      <c r="C2" s="683"/>
      <c r="D2" s="193"/>
      <c r="E2" s="194"/>
      <c r="F2" s="194"/>
      <c r="G2" s="363" t="s">
        <v>531</v>
      </c>
      <c r="H2" s="360">
        <f>1/((1/H10)+(1/H12)+(1/H13))</f>
        <v>1.8657474223326543E-15</v>
      </c>
      <c r="I2" s="625" t="s">
        <v>13</v>
      </c>
      <c r="J2" s="622" t="s">
        <v>531</v>
      </c>
      <c r="K2" s="360">
        <f>1/((1/K14)+(1/K15)+(1/K16)+(1/K17))</f>
        <v>9.1252516025927161E-14</v>
      </c>
      <c r="L2" s="345" t="s">
        <v>12</v>
      </c>
      <c r="M2" s="330" t="s">
        <v>537</v>
      </c>
      <c r="N2" s="333">
        <f>((N5*N6*N7)/((1-EXP(-N7*N6))*N15*N13*(N9/365)*(((N14/24)*N12)+((N16/24)*N11))))*N17*N18*N8</f>
        <v>2.450910931647791E-5</v>
      </c>
      <c r="O2" s="336" t="s">
        <v>12</v>
      </c>
      <c r="P2" s="339" t="s">
        <v>537</v>
      </c>
      <c r="Q2" s="333">
        <f>((Q5*Q6*Q7)/((1-EXP(-Q7*Q6))*Q15*Q13*(Q9/365)*(((Q14/24)*Q12)+((Q16/24)*Q11))))*Q17*Q18*Q8</f>
        <v>5.0439580060212532E-5</v>
      </c>
      <c r="R2" s="336" t="s">
        <v>12</v>
      </c>
      <c r="S2" s="339" t="s">
        <v>537</v>
      </c>
      <c r="T2" s="333">
        <f>((T5*T6*T7)/((1-EXP(-T7*T6))*T15*T13*(T9/365)*(((T14/24)*T12)+((T16/24)*T11))))*T17*T18*T8</f>
        <v>2.7878269907678821E-5</v>
      </c>
      <c r="U2" s="342" t="s">
        <v>12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5.5681950398986667E-5</v>
      </c>
      <c r="AD2" s="315">
        <f>1/((1/AD29)+(1/AD30)+(1/AD31))</f>
        <v>3.4678509308046823E-5</v>
      </c>
      <c r="AE2" s="315">
        <f>1/((1/AE29)+(1/AE30)+(1/AE31))</f>
        <v>5.5681950398986667E-5</v>
      </c>
      <c r="AF2" s="315">
        <f>1/((1/AF29)+(1/AF30)+(1/AF31))</f>
        <v>4.6781191135063077E-7</v>
      </c>
      <c r="AG2" s="320">
        <f>1/((1/AG29)+(1/AG31)+(1/AG30))</f>
        <v>1.1443465758368334E-5</v>
      </c>
      <c r="AH2" s="318" t="s">
        <v>12</v>
      </c>
      <c r="AI2" s="306" t="s">
        <v>537</v>
      </c>
      <c r="AJ2" s="303">
        <f>((AJ5*AJ6*AJ7)/((1-EXP(-AJ7*AJ6))*AJ15*(AJ9/365)*AJ10*(AJ16/24)*AJ11*AJ13))*AJ17*AJ18*AJ8</f>
        <v>1.4706174393328176E-4</v>
      </c>
      <c r="AK2" s="290" t="s">
        <v>12</v>
      </c>
      <c r="AL2" s="287" t="s">
        <v>537</v>
      </c>
      <c r="AM2" s="303">
        <f>((AM5*AM6*AM7)/((1-EXP(-AM7*AM6))*AM15*(AM9/365)*AM10*(AM16/24)*AM11*AM13))*AM17*AM18*AM8</f>
        <v>3.0264456207831561E-4</v>
      </c>
      <c r="AN2" s="290" t="s">
        <v>12</v>
      </c>
      <c r="AO2" s="287" t="s">
        <v>537</v>
      </c>
      <c r="AP2" s="303">
        <f>((AP5*AP6*AP7)/((1-EXP(-AP7*AP6))*AP15*(AP9/365)*AP10*(AP16/24)*AP11*AP13))*AP17*AP18*AP8</f>
        <v>1.6727718003287188E-4</v>
      </c>
      <c r="AQ2" s="281" t="s">
        <v>12</v>
      </c>
      <c r="AR2" s="306" t="s">
        <v>537</v>
      </c>
      <c r="AS2" s="303">
        <f>((AS5*AS6*AS7)/((1-EXP(-AS7*AS6))*AS15*(AS9/365)*AS10*(AS14/24)*AS12*AS13))*AS17*AS18*AS8</f>
        <v>0.61021470511735176</v>
      </c>
      <c r="AT2" s="290" t="s">
        <v>12</v>
      </c>
      <c r="AU2" s="287" t="s">
        <v>537</v>
      </c>
      <c r="AV2" s="303">
        <f>((AV5*AV6*AV7)/((1-EXP(-AV7*AV6))*AV15*(AV9/365)*AV10*(AV14/24)*AV12*AV13))*AV17*AV18*AV8</f>
        <v>2.5867056587890223</v>
      </c>
      <c r="AW2" s="290" t="s">
        <v>12</v>
      </c>
      <c r="AX2" s="287" t="s">
        <v>537</v>
      </c>
      <c r="AY2" s="303">
        <f>((AY5*AY6*AY7)/((1-EXP(-AY7*AY6))*AY15*(AY9/365)*AY10*(AY14/24)*AY12*AY13))*AY17*AY18*AY8</f>
        <v>0.74016451341978717</v>
      </c>
      <c r="AZ2" s="281" t="s">
        <v>12</v>
      </c>
      <c r="BA2" s="306" t="s">
        <v>537</v>
      </c>
      <c r="BB2" s="303">
        <f>((BB5*BB6*BB7)/((1-EXP(-BB7*BB6))*BB15*(BB9/365)*(BB14/24)*BB12*BB13))*BB17*BB18*BB8</f>
        <v>0.61021470511735176</v>
      </c>
      <c r="BC2" s="290" t="s">
        <v>12</v>
      </c>
      <c r="BD2" s="287" t="s">
        <v>537</v>
      </c>
      <c r="BE2" s="303">
        <f>((BE5*BE6*BE7)/((1-EXP(-BE7*BE6))*BE15*(BE9/365)*(BE14/24)*BE12*BE13))*BE17*BE18*BE8</f>
        <v>2.5867056587890223</v>
      </c>
      <c r="BF2" s="290" t="s">
        <v>12</v>
      </c>
      <c r="BG2" s="287" t="s">
        <v>537</v>
      </c>
      <c r="BH2" s="303">
        <f>((BH5*BH6*BH7)/((1-EXP(-BH7*BH6))*BH15*(BH9/365)*(BH14/24)*BH12*BH13))*BH17*BH18*BH8</f>
        <v>0.74016451341978717</v>
      </c>
      <c r="BI2" s="281" t="s">
        <v>12</v>
      </c>
      <c r="BJ2" s="306" t="s">
        <v>537</v>
      </c>
      <c r="BK2" s="284">
        <f>((BK5*BK6*BK7)/((1-EXP(-BK7*BK6))*BK16*(BK9/365)*(BK15/24)*BK13*BK14))*BK17*BK18*BK8</f>
        <v>1.0170245085289196</v>
      </c>
      <c r="BL2" s="290" t="s">
        <v>12</v>
      </c>
      <c r="BM2" s="287" t="s">
        <v>537</v>
      </c>
      <c r="BN2" s="284">
        <f>((BN5*BN6*BN7)/((1-EXP(-BN7*BN6))*BN16*(BN9/365)*(BN15/24)*BN13*BN14))*BN17*BN18*BN8</f>
        <v>4.3111760979817024</v>
      </c>
      <c r="BO2" s="290" t="s">
        <v>12</v>
      </c>
      <c r="BP2" s="287" t="s">
        <v>537</v>
      </c>
      <c r="BQ2" s="284">
        <f>((BQ5*BQ6*BQ7)/((1-EXP(-BQ7*BQ6))*BQ16*(BQ9/365)*(BQ15/24)*BQ13*BQ14))*BQ17*BQ18*BQ8</f>
        <v>1.2336075223663112</v>
      </c>
      <c r="BR2" s="281" t="s">
        <v>12</v>
      </c>
      <c r="BS2" s="214"/>
      <c r="BT2" s="120"/>
      <c r="BU2" s="215"/>
      <c r="BV2" s="258" t="s">
        <v>531</v>
      </c>
      <c r="BW2" s="261">
        <f>1/((1/BW10)+(1/BW12))</f>
        <v>1.1915531211400996E-10</v>
      </c>
      <c r="BX2" s="278" t="s">
        <v>13</v>
      </c>
      <c r="BY2" s="258" t="s">
        <v>531</v>
      </c>
      <c r="BZ2" s="261">
        <f>1/((1/BZ13)+(1/BZ14)+(1/BZ15))</f>
        <v>9.7706471647696379E-5</v>
      </c>
      <c r="CA2" s="264" t="s">
        <v>12</v>
      </c>
      <c r="CB2" s="267" t="s">
        <v>537</v>
      </c>
      <c r="CC2" s="261">
        <f>((CC5*CC6*CC7)/((1-EXP(-CC7*CC6))*CC14*(CC9/365)*CC12*(CC13/24)*CC11))*CC15*CC16*CC8</f>
        <v>1.3868516025394353</v>
      </c>
      <c r="CD2" s="278" t="s">
        <v>12</v>
      </c>
      <c r="CE2" s="258" t="s">
        <v>537</v>
      </c>
      <c r="CF2" s="261">
        <f>((CF5*CF6*CF7)/((1-EXP(-CF7*CF6))*CF14*(CF9/365)*CF12*(CF13/24)*CF11))*CF15*CF16*CF8</f>
        <v>5.8788764972477772</v>
      </c>
      <c r="CG2" s="278" t="s">
        <v>12</v>
      </c>
      <c r="CH2" s="258" t="s">
        <v>537</v>
      </c>
      <c r="CI2" s="261">
        <f>((CI5*CI6*CI7)/((1-EXP(-CI7*CI6))*CI14*(CI9/365)*CI12*(CI13/24)*CI11))*CI15*CI16*CI8</f>
        <v>1.6821920759540616</v>
      </c>
      <c r="CJ2" s="264" t="s">
        <v>12</v>
      </c>
      <c r="CK2" s="267" t="s">
        <v>530</v>
      </c>
      <c r="CL2" s="261">
        <f>(CL5/(CL6*CL7*CL8))*CL9*CL10*CO16</f>
        <v>2.0197128486196609E-6</v>
      </c>
      <c r="CM2" s="255" t="s">
        <v>12</v>
      </c>
      <c r="CN2" s="258" t="s">
        <v>7</v>
      </c>
      <c r="CO2" s="261">
        <f>(CL2/(CO5*((CO10*CO12*CO13*(CO6+CO7))+(CO11*CO12))))*CO17</f>
        <v>5.6146499140266853E-5</v>
      </c>
      <c r="CP2" s="278" t="s">
        <v>12</v>
      </c>
      <c r="CQ2" s="275" t="s">
        <v>6</v>
      </c>
      <c r="CR2" s="261">
        <f>CL2/(CR5*CR6*(1/CR7))</f>
        <v>0.16830940405163841</v>
      </c>
      <c r="CS2" s="264" t="s">
        <v>12</v>
      </c>
      <c r="CT2" s="395" t="s">
        <v>531</v>
      </c>
      <c r="CU2" s="392">
        <f>1/((1/CU14)+(1/CU15)+(1/CU16)+(1/CU17))</f>
        <v>7.7525197727465102E-8</v>
      </c>
      <c r="CV2" s="389" t="s">
        <v>12</v>
      </c>
      <c r="CW2" s="218"/>
      <c r="CX2" s="219"/>
      <c r="CY2" s="219"/>
      <c r="CZ2" s="407" t="s">
        <v>531</v>
      </c>
      <c r="DA2" s="404">
        <f>1/((1/DA13)+(1/DA15)+(1/DA16))</f>
        <v>1.5287364008070949E-9</v>
      </c>
      <c r="DB2" s="401" t="s">
        <v>13</v>
      </c>
      <c r="DC2" s="442" t="s">
        <v>530</v>
      </c>
      <c r="DD2" s="439">
        <f>DD7</f>
        <v>2.0197128486196614E-8</v>
      </c>
      <c r="DE2" s="436" t="s">
        <v>12</v>
      </c>
      <c r="DF2" s="433" t="s">
        <v>530</v>
      </c>
      <c r="DG2" s="424">
        <f>DD7/((1/DG24)*(DG5+DG6+DG7))</f>
        <v>1.5868844037658648E-6</v>
      </c>
      <c r="DH2" s="430" t="s">
        <v>13</v>
      </c>
      <c r="DI2" s="427" t="s">
        <v>530</v>
      </c>
      <c r="DJ2" s="424">
        <f>(DD7/(DJ5+DJ6))*DJ12</f>
        <v>7.7737864210792302E-8</v>
      </c>
      <c r="DK2" s="430" t="s">
        <v>12</v>
      </c>
      <c r="DL2" s="427" t="s">
        <v>581</v>
      </c>
      <c r="DM2" s="424">
        <f>((DD7)/(DM5+DM6))*DJ12</f>
        <v>7.7737864210792302E-8</v>
      </c>
      <c r="DN2" s="430" t="s">
        <v>12</v>
      </c>
      <c r="DO2" s="427" t="s">
        <v>582</v>
      </c>
      <c r="DP2" s="424">
        <f>-(DP5+DP6+DP7)/(DP23+DP24)</f>
        <v>-49.75468846311847</v>
      </c>
      <c r="DQ2" s="421" t="s">
        <v>18</v>
      </c>
      <c r="DR2" s="574" t="s">
        <v>530</v>
      </c>
      <c r="DS2" s="445">
        <f>DS7</f>
        <v>4.0394256972393228E-8</v>
      </c>
      <c r="DT2" s="484" t="s">
        <v>12</v>
      </c>
      <c r="DU2" s="481" t="s">
        <v>530</v>
      </c>
      <c r="DV2" s="463">
        <f>(DS7*DV8)/(DV5*DV6*(1/1000))</f>
        <v>1.0767620259204198</v>
      </c>
      <c r="DW2" s="466" t="s">
        <v>13</v>
      </c>
      <c r="DX2" s="478" t="s">
        <v>530</v>
      </c>
      <c r="DY2" s="463">
        <f>(DS7*DY14)/(DY9*((DY10*DY12*DY13*(DY5+DY6))+(DY11*DY12)))*DY18</f>
        <v>1.8106574848640176E-2</v>
      </c>
      <c r="DZ2" s="466" t="s">
        <v>12</v>
      </c>
      <c r="EA2" s="478" t="s">
        <v>581</v>
      </c>
      <c r="EB2" s="463">
        <f>(DS7*DY14)/(EB9*((EB10*EB12*EB13*(EB5+EB6))+(EB11*EB12)))*DY18</f>
        <v>1.8106574848640176E-2</v>
      </c>
      <c r="EC2" s="466" t="s">
        <v>12</v>
      </c>
      <c r="ED2" s="478" t="s">
        <v>582</v>
      </c>
      <c r="EE2" s="463">
        <f>-EE15/((EE10*EE12*EE13*(EE5+EE6))+(EE11*EE12))</f>
        <v>-16.802282392818878</v>
      </c>
      <c r="EF2" s="460" t="s">
        <v>18</v>
      </c>
      <c r="EG2" s="475" t="s">
        <v>530</v>
      </c>
      <c r="EH2" s="469">
        <f>EH7</f>
        <v>4.0394256972393228E-8</v>
      </c>
      <c r="EI2" s="457" t="s">
        <v>12</v>
      </c>
      <c r="EJ2" s="472" t="s">
        <v>530</v>
      </c>
      <c r="EK2" s="454">
        <f>EH7/(EK5*EK6)</f>
        <v>1.5243115838638954E-6</v>
      </c>
      <c r="EL2" s="451" t="s">
        <v>13</v>
      </c>
      <c r="EM2" s="448" t="s">
        <v>530</v>
      </c>
      <c r="EN2" s="454">
        <f>(EH7/(EN9*((EN10*EN12*EN13*(EN5+EN6))+(EN11*EN12))))*EN17</f>
        <v>2.3485039701939737E-5</v>
      </c>
      <c r="EO2" s="451" t="s">
        <v>12</v>
      </c>
      <c r="EP2" s="448" t="s">
        <v>581</v>
      </c>
      <c r="EQ2" s="454">
        <f>(EH7/(EQ9*((EQ10*EQ12*EQ13*(EQ5+EQ6))+(EQ11*EQ12))))*EN17</f>
        <v>2.3485039701939737E-5</v>
      </c>
      <c r="ER2" s="451" t="s">
        <v>12</v>
      </c>
      <c r="ES2" s="448" t="s">
        <v>582</v>
      </c>
      <c r="ET2" s="454">
        <f>-ET15/((ET10*ET12*ET13*(ET5+ET6))+(ET11*ET12))</f>
        <v>-15.39462998242915</v>
      </c>
      <c r="EU2" s="499" t="s">
        <v>18</v>
      </c>
      <c r="EV2" s="496" t="s">
        <v>530</v>
      </c>
      <c r="EW2" s="493">
        <f>EW7</f>
        <v>4.0394256972393228E-8</v>
      </c>
      <c r="EX2" s="490" t="s">
        <v>12</v>
      </c>
      <c r="EY2" s="487" t="s">
        <v>530</v>
      </c>
      <c r="EZ2" s="586">
        <f>EW7/(EZ5*EZ6*(1/EZ7))</f>
        <v>3.3661880810327685E-2</v>
      </c>
      <c r="FA2" s="592" t="s">
        <v>13</v>
      </c>
      <c r="FB2" s="589" t="s">
        <v>530</v>
      </c>
      <c r="FC2" s="586">
        <f>(EW7/(FC9*((FC10*FC12*FC13*(FC5+FC6))+(FC11*FC12))))*FC17</f>
        <v>1.8714905012774211E-4</v>
      </c>
      <c r="FD2" s="595" t="s">
        <v>12</v>
      </c>
      <c r="FE2" s="589" t="s">
        <v>581</v>
      </c>
      <c r="FF2" s="586">
        <f>(EW7/(FF9*(FF10*FF12*FF13*(FF5*FF6))+(FF11*FF12)))*FC17</f>
        <v>1.8375754150479597E-6</v>
      </c>
      <c r="FG2" s="592" t="s">
        <v>12</v>
      </c>
      <c r="FH2" s="589" t="s">
        <v>582</v>
      </c>
      <c r="FI2" s="586">
        <f>FI15/((FI10*FI12*FI13*(FI5+FI6))+(FI11*FI12))</f>
        <v>5.5552160701290481</v>
      </c>
      <c r="FJ2" s="583" t="s">
        <v>18</v>
      </c>
      <c r="FK2" s="580" t="s">
        <v>530</v>
      </c>
      <c r="FL2" s="577">
        <f>FL7</f>
        <v>4.0394256972393228E-8</v>
      </c>
      <c r="FM2" s="571" t="s">
        <v>12</v>
      </c>
      <c r="FN2" s="568" t="s">
        <v>530</v>
      </c>
      <c r="FO2" s="505">
        <f>FL7/(FO5*(1/FO6))</f>
        <v>1.6830940405163845E-7</v>
      </c>
      <c r="FP2" s="511" t="s">
        <v>13</v>
      </c>
      <c r="FQ2" s="508" t="s">
        <v>530</v>
      </c>
      <c r="FR2" s="505">
        <f>((FL7*FR6)/FR5)*FR10</f>
        <v>6.7377775325089976E-10</v>
      </c>
      <c r="FS2" s="511" t="s">
        <v>12</v>
      </c>
      <c r="FT2" s="508" t="s">
        <v>581</v>
      </c>
      <c r="FU2" s="505">
        <f>((FL7*FU6)/FU5)*FR10</f>
        <v>6.7377775325089976E-10</v>
      </c>
      <c r="FV2" s="511" t="s">
        <v>12</v>
      </c>
      <c r="FW2" s="508" t="s">
        <v>582</v>
      </c>
      <c r="FX2" s="505">
        <f>-FX5/FX6</f>
        <v>-4.0000000000000001E-3</v>
      </c>
      <c r="FY2" s="502" t="s">
        <v>18</v>
      </c>
      <c r="FZ2" s="556" t="s">
        <v>530</v>
      </c>
      <c r="GA2" s="553">
        <f>GA7</f>
        <v>4.0394256972393228E-8</v>
      </c>
      <c r="GB2" s="550" t="s">
        <v>12</v>
      </c>
      <c r="GC2" s="559" t="s">
        <v>530</v>
      </c>
      <c r="GD2" s="538">
        <f>GA7/(GD5*GD6*(1/GD7))</f>
        <v>1.6830940405163843E-2</v>
      </c>
      <c r="GE2" s="544" t="s">
        <v>13</v>
      </c>
      <c r="GF2" s="541" t="s">
        <v>530</v>
      </c>
      <c r="GG2" s="538">
        <f>(GA7/((GG9)*((GG10*GG12*GG13*(GG5+GG6))+(GG11*GG12))))*GG17</f>
        <v>9.3574525063871053E-5</v>
      </c>
      <c r="GH2" s="544" t="s">
        <v>12</v>
      </c>
      <c r="GI2" s="541" t="s">
        <v>581</v>
      </c>
      <c r="GJ2" s="538">
        <f>(GA7/((GJ9)*((GJ10*GJ12*GJ13*(GJ5+GJ6))+(GJ11*GJ12))))*GG17</f>
        <v>9.3574525063871053E-5</v>
      </c>
      <c r="GK2" s="544" t="s">
        <v>12</v>
      </c>
      <c r="GL2" s="541" t="s">
        <v>582</v>
      </c>
      <c r="GM2" s="538">
        <f>GM15/((GM10*GM12*GM13*(GM5+GM6))+(GM11*GM12))</f>
        <v>5.5552160701290481</v>
      </c>
      <c r="GN2" s="535" t="s">
        <v>18</v>
      </c>
      <c r="GO2" s="532" t="s">
        <v>530</v>
      </c>
      <c r="GP2" s="529">
        <f>GP7</f>
        <v>4.0394256972393228E-8</v>
      </c>
      <c r="GQ2" s="526" t="s">
        <v>12</v>
      </c>
      <c r="GR2" s="523" t="s">
        <v>530</v>
      </c>
      <c r="GS2" s="517">
        <f>GP7/(GS5*GS6*(1/GS7))</f>
        <v>2.084326985159609E-2</v>
      </c>
      <c r="GT2" s="514" t="s">
        <v>13</v>
      </c>
      <c r="GU2" s="520" t="s">
        <v>530</v>
      </c>
      <c r="GV2" s="517">
        <f>(GP7/((GV9)*((GV10*GV12*GV13*(GV5+GV6))+(GV11*GV12))))*GV17</f>
        <v>1.5390808984827952E-4</v>
      </c>
      <c r="GW2" s="514" t="s">
        <v>12</v>
      </c>
      <c r="GX2" s="520" t="s">
        <v>581</v>
      </c>
      <c r="GY2" s="517">
        <f>(GP7/((GY9*((GY10*GY12*GY13*(GY5+GY6))+(GY11*GY12)))))*GV17</f>
        <v>1.5390808984827952E-4</v>
      </c>
      <c r="GZ2" s="514" t="s">
        <v>12</v>
      </c>
      <c r="HA2" s="520" t="s">
        <v>582</v>
      </c>
      <c r="HB2" s="517">
        <f>GP7/((HB10*HB12*HB13*(HB5+HB6))+(HB11*HB12))</f>
        <v>2.6143400482060436E-8</v>
      </c>
      <c r="HC2" s="547" t="s">
        <v>18</v>
      </c>
      <c r="HD2" s="54"/>
      <c r="HE2" s="55"/>
      <c r="HF2" s="56"/>
    </row>
    <row r="3" spans="1:214" ht="13.5" thickTop="1" x14ac:dyDescent="0.2">
      <c r="A3" s="114" t="s">
        <v>302</v>
      </c>
      <c r="B3" s="228">
        <v>2.41E-4</v>
      </c>
      <c r="C3" s="115"/>
      <c r="D3" s="189" t="s">
        <v>15</v>
      </c>
      <c r="E3" s="134">
        <f>1/((1/E19)+(1/E20))</f>
        <v>5.0243403862514397E-13</v>
      </c>
      <c r="F3" s="58" t="s">
        <v>294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6.1084904403887296E-13</v>
      </c>
      <c r="X3" s="62" t="s">
        <v>294</v>
      </c>
      <c r="Y3" s="202" t="s">
        <v>16</v>
      </c>
      <c r="Z3" s="187">
        <f>1/((1/Z18)+(1/Z19))</f>
        <v>6.1084904403887296E-13</v>
      </c>
      <c r="AA3" s="63" t="s">
        <v>294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307"/>
      <c r="AS3" s="304"/>
      <c r="AT3" s="291"/>
      <c r="AU3" s="288"/>
      <c r="AV3" s="304"/>
      <c r="AW3" s="291"/>
      <c r="AX3" s="288"/>
      <c r="AY3" s="304"/>
      <c r="AZ3" s="282"/>
      <c r="BA3" s="307"/>
      <c r="BB3" s="304"/>
      <c r="BC3" s="291"/>
      <c r="BD3" s="288"/>
      <c r="BE3" s="304"/>
      <c r="BF3" s="291"/>
      <c r="BG3" s="288"/>
      <c r="BH3" s="304"/>
      <c r="BI3" s="282"/>
      <c r="BJ3" s="307"/>
      <c r="BK3" s="285"/>
      <c r="BL3" s="291"/>
      <c r="BM3" s="288"/>
      <c r="BN3" s="285"/>
      <c r="BO3" s="291"/>
      <c r="BP3" s="288"/>
      <c r="BQ3" s="285"/>
      <c r="BR3" s="282"/>
      <c r="BS3" s="212" t="s">
        <v>15</v>
      </c>
      <c r="BT3" s="64">
        <f>1/((1/BT18)+(1/BT19))</f>
        <v>6.5773183238200668E-12</v>
      </c>
      <c r="BU3" s="53" t="s">
        <v>294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56"/>
      <c r="CN3" s="259"/>
      <c r="CO3" s="262"/>
      <c r="CP3" s="279"/>
      <c r="CQ3" s="276"/>
      <c r="CR3" s="262"/>
      <c r="CS3" s="265"/>
      <c r="CT3" s="396"/>
      <c r="CU3" s="393"/>
      <c r="CV3" s="390"/>
      <c r="CW3" s="216" t="s">
        <v>15</v>
      </c>
      <c r="CX3" s="65">
        <f>1/((1/CX19)+(1/CX20))</f>
        <v>4.8440143625624333E-13</v>
      </c>
      <c r="CY3" s="66" t="s">
        <v>294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222">
        <f>(HE5*HE14)*(10^-3)*(HE13+(HE10/HE11))*((HE12*HE7)/HE8)</f>
        <v>1.853262316285818E-11</v>
      </c>
      <c r="HF3" s="220" t="s">
        <v>597</v>
      </c>
    </row>
    <row r="4" spans="1:214" ht="13.5" thickBot="1" x14ac:dyDescent="0.25">
      <c r="A4" s="116" t="s">
        <v>54</v>
      </c>
      <c r="B4" s="229">
        <v>0.753</v>
      </c>
      <c r="C4" s="117"/>
      <c r="D4" s="190" t="s">
        <v>16</v>
      </c>
      <c r="E4" s="135">
        <f>1/((1/E21)+(1/E22))</f>
        <v>5.0283714033851962E-13</v>
      </c>
      <c r="F4" s="68" t="s">
        <v>294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6.1035935408458653E-13</v>
      </c>
      <c r="X4" s="76" t="s">
        <v>294</v>
      </c>
      <c r="Y4" s="203" t="s">
        <v>15</v>
      </c>
      <c r="Z4" s="186">
        <f>1/((1/Z16)+(1/Z17))</f>
        <v>6.1035935408458653E-13</v>
      </c>
      <c r="AA4" s="77" t="s">
        <v>294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308"/>
      <c r="AS4" s="305"/>
      <c r="AT4" s="292"/>
      <c r="AU4" s="289"/>
      <c r="AV4" s="305"/>
      <c r="AW4" s="292"/>
      <c r="AX4" s="289"/>
      <c r="AY4" s="305"/>
      <c r="AZ4" s="283"/>
      <c r="BA4" s="308"/>
      <c r="BB4" s="305"/>
      <c r="BC4" s="292"/>
      <c r="BD4" s="289"/>
      <c r="BE4" s="305"/>
      <c r="BF4" s="292"/>
      <c r="BG4" s="289"/>
      <c r="BH4" s="305"/>
      <c r="BI4" s="283"/>
      <c r="BJ4" s="308"/>
      <c r="BK4" s="286"/>
      <c r="BL4" s="292"/>
      <c r="BM4" s="289"/>
      <c r="BN4" s="286"/>
      <c r="BO4" s="292"/>
      <c r="BP4" s="289"/>
      <c r="BQ4" s="286"/>
      <c r="BR4" s="283"/>
      <c r="BS4" s="213" t="s">
        <v>16</v>
      </c>
      <c r="BT4" s="78">
        <f>1/((1/BT20)+(1/BT21))</f>
        <v>6.5825952917042553E-12</v>
      </c>
      <c r="BU4" s="79" t="s">
        <v>294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57"/>
      <c r="CN4" s="260"/>
      <c r="CO4" s="263"/>
      <c r="CP4" s="280"/>
      <c r="CQ4" s="277"/>
      <c r="CR4" s="263"/>
      <c r="CS4" s="266"/>
      <c r="CT4" s="397"/>
      <c r="CU4" s="394"/>
      <c r="CV4" s="391"/>
      <c r="CW4" s="217" t="s">
        <v>16</v>
      </c>
      <c r="CX4" s="80">
        <f>1/((1/CX21)+(1/CX22))</f>
        <v>4.8479007045278546E-13</v>
      </c>
      <c r="CY4" s="81" t="s">
        <v>294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224">
        <f>(HE6*HE14)*10^-3*(HE13+(HE10/HE11))*((HE12*HE7)/(HE8))</f>
        <v>7.842426090853667E-18</v>
      </c>
      <c r="HF4" s="221" t="s">
        <v>598</v>
      </c>
    </row>
    <row r="5" spans="1:214" ht="14.25" thickTop="1" thickBot="1" x14ac:dyDescent="0.25">
      <c r="A5" s="681" t="s">
        <v>241</v>
      </c>
      <c r="B5" s="682"/>
      <c r="C5" s="683"/>
      <c r="D5" s="52" t="s">
        <v>267</v>
      </c>
      <c r="E5" s="136">
        <f>B17</f>
        <v>1</v>
      </c>
      <c r="F5" s="52" t="s">
        <v>344</v>
      </c>
      <c r="G5" s="83" t="s">
        <v>267</v>
      </c>
      <c r="H5" s="136">
        <f>B17</f>
        <v>1</v>
      </c>
      <c r="I5" s="52" t="s">
        <v>344</v>
      </c>
      <c r="J5" s="83" t="s">
        <v>267</v>
      </c>
      <c r="K5" s="136">
        <f>B17</f>
        <v>1</v>
      </c>
      <c r="L5" s="52" t="s">
        <v>344</v>
      </c>
      <c r="M5" s="52" t="s">
        <v>267</v>
      </c>
      <c r="N5" s="136">
        <f>B17</f>
        <v>1</v>
      </c>
      <c r="O5" s="52" t="s">
        <v>344</v>
      </c>
      <c r="P5" s="52" t="s">
        <v>267</v>
      </c>
      <c r="Q5" s="136">
        <f>B17</f>
        <v>1</v>
      </c>
      <c r="R5" s="52" t="s">
        <v>344</v>
      </c>
      <c r="S5" s="52" t="s">
        <v>267</v>
      </c>
      <c r="T5" s="136">
        <f>B17</f>
        <v>1</v>
      </c>
      <c r="U5" s="52" t="s">
        <v>344</v>
      </c>
      <c r="V5" s="52" t="s">
        <v>267</v>
      </c>
      <c r="W5" s="136">
        <f>B17</f>
        <v>1</v>
      </c>
      <c r="X5" s="52" t="s">
        <v>344</v>
      </c>
      <c r="Y5" s="52" t="s">
        <v>267</v>
      </c>
      <c r="Z5" s="136">
        <f>B17</f>
        <v>1</v>
      </c>
      <c r="AA5" s="52" t="s">
        <v>344</v>
      </c>
      <c r="AB5" s="83" t="s">
        <v>267</v>
      </c>
      <c r="AC5" s="136">
        <f>B17</f>
        <v>1</v>
      </c>
      <c r="AD5" s="136">
        <f>B17</f>
        <v>1</v>
      </c>
      <c r="AE5" s="136">
        <f>B17</f>
        <v>1</v>
      </c>
      <c r="AF5" s="136">
        <f>B17</f>
        <v>1</v>
      </c>
      <c r="AG5" s="136">
        <f>B17</f>
        <v>1</v>
      </c>
      <c r="AH5" s="52" t="s">
        <v>344</v>
      </c>
      <c r="AI5" s="52" t="s">
        <v>267</v>
      </c>
      <c r="AJ5" s="136">
        <f>B17</f>
        <v>1</v>
      </c>
      <c r="AK5" s="52" t="s">
        <v>344</v>
      </c>
      <c r="AL5" s="52" t="s">
        <v>267</v>
      </c>
      <c r="AM5" s="136">
        <f>B17</f>
        <v>1</v>
      </c>
      <c r="AN5" s="52" t="s">
        <v>344</v>
      </c>
      <c r="AO5" s="52" t="s">
        <v>267</v>
      </c>
      <c r="AP5" s="136">
        <f>B17</f>
        <v>1</v>
      </c>
      <c r="AQ5" s="52" t="s">
        <v>344</v>
      </c>
      <c r="AR5" s="52" t="s">
        <v>267</v>
      </c>
      <c r="AS5" s="136">
        <f>B17</f>
        <v>1</v>
      </c>
      <c r="AT5" s="52" t="s">
        <v>344</v>
      </c>
      <c r="AU5" s="52" t="s">
        <v>267</v>
      </c>
      <c r="AV5" s="136">
        <f>B17</f>
        <v>1</v>
      </c>
      <c r="AW5" s="52" t="s">
        <v>344</v>
      </c>
      <c r="AX5" s="52" t="s">
        <v>267</v>
      </c>
      <c r="AY5" s="136">
        <f>B17</f>
        <v>1</v>
      </c>
      <c r="AZ5" s="52" t="s">
        <v>344</v>
      </c>
      <c r="BA5" s="52" t="s">
        <v>267</v>
      </c>
      <c r="BB5" s="136">
        <f>B17</f>
        <v>1</v>
      </c>
      <c r="BC5" s="52" t="s">
        <v>344</v>
      </c>
      <c r="BD5" s="52" t="s">
        <v>267</v>
      </c>
      <c r="BE5" s="136">
        <f>B17</f>
        <v>1</v>
      </c>
      <c r="BF5" s="52" t="s">
        <v>344</v>
      </c>
      <c r="BG5" s="52" t="s">
        <v>267</v>
      </c>
      <c r="BH5" s="136">
        <f>B17</f>
        <v>1</v>
      </c>
      <c r="BI5" s="52" t="s">
        <v>344</v>
      </c>
      <c r="BJ5" s="52" t="s">
        <v>267</v>
      </c>
      <c r="BK5" s="136">
        <f>B17</f>
        <v>1</v>
      </c>
      <c r="BL5" s="52" t="s">
        <v>344</v>
      </c>
      <c r="BM5" s="52" t="s">
        <v>267</v>
      </c>
      <c r="BN5" s="136">
        <f>B17</f>
        <v>1</v>
      </c>
      <c r="BO5" s="52" t="s">
        <v>344</v>
      </c>
      <c r="BP5" s="52" t="s">
        <v>267</v>
      </c>
      <c r="BQ5" s="136">
        <f>B17</f>
        <v>1</v>
      </c>
      <c r="BR5" s="52" t="s">
        <v>344</v>
      </c>
      <c r="BS5" s="52" t="s">
        <v>267</v>
      </c>
      <c r="BT5" s="136">
        <f>B17</f>
        <v>1</v>
      </c>
      <c r="BU5" s="52" t="s">
        <v>344</v>
      </c>
      <c r="BV5" s="83" t="s">
        <v>267</v>
      </c>
      <c r="BW5" s="136">
        <f>B17</f>
        <v>1</v>
      </c>
      <c r="BX5" s="52" t="s">
        <v>344</v>
      </c>
      <c r="BY5" s="83" t="s">
        <v>267</v>
      </c>
      <c r="BZ5" s="136">
        <f>B17</f>
        <v>1</v>
      </c>
      <c r="CA5" s="52" t="s">
        <v>344</v>
      </c>
      <c r="CB5" s="52" t="s">
        <v>267</v>
      </c>
      <c r="CC5" s="136">
        <f>B17</f>
        <v>1</v>
      </c>
      <c r="CD5" s="52" t="s">
        <v>344</v>
      </c>
      <c r="CE5" s="52" t="s">
        <v>267</v>
      </c>
      <c r="CF5" s="136">
        <f>B17</f>
        <v>1</v>
      </c>
      <c r="CG5" s="52" t="s">
        <v>344</v>
      </c>
      <c r="CH5" s="52" t="s">
        <v>267</v>
      </c>
      <c r="CI5" s="136">
        <f>B17</f>
        <v>1</v>
      </c>
      <c r="CJ5" s="52" t="s">
        <v>344</v>
      </c>
      <c r="CK5" s="52" t="s">
        <v>267</v>
      </c>
      <c r="CL5" s="136">
        <f>B17</f>
        <v>1</v>
      </c>
      <c r="CM5" s="52" t="s">
        <v>344</v>
      </c>
      <c r="CN5" s="83" t="s">
        <v>228</v>
      </c>
      <c r="CO5" s="136">
        <f>B42</f>
        <v>6.0000000000000001E-3</v>
      </c>
      <c r="CP5" s="52" t="s">
        <v>268</v>
      </c>
      <c r="CQ5" s="83" t="s">
        <v>228</v>
      </c>
      <c r="CR5" s="136">
        <f>CO5</f>
        <v>6.0000000000000001E-3</v>
      </c>
      <c r="CS5" s="52" t="s">
        <v>268</v>
      </c>
      <c r="CT5" s="83" t="s">
        <v>267</v>
      </c>
      <c r="CU5" s="136">
        <f>B17</f>
        <v>1</v>
      </c>
      <c r="CV5" s="52" t="s">
        <v>344</v>
      </c>
      <c r="CW5" s="52" t="s">
        <v>267</v>
      </c>
      <c r="CX5" s="136">
        <f>B17</f>
        <v>1</v>
      </c>
      <c r="CY5" s="52" t="s">
        <v>344</v>
      </c>
      <c r="CZ5" s="83" t="s">
        <v>267</v>
      </c>
      <c r="DA5" s="136">
        <f>B17</f>
        <v>1</v>
      </c>
      <c r="DB5" s="52" t="s">
        <v>344</v>
      </c>
      <c r="DC5" s="83" t="s">
        <v>267</v>
      </c>
      <c r="DD5" s="136">
        <f>B17</f>
        <v>1</v>
      </c>
      <c r="DE5" s="52" t="s">
        <v>344</v>
      </c>
      <c r="DF5" s="52" t="s">
        <v>17</v>
      </c>
      <c r="DG5" s="137">
        <f>(DG8*DG9*DG10*((1-EXP(-DG11*DG12))))/(DG13*DG11)</f>
        <v>6.6877504027585484E-4</v>
      </c>
      <c r="DH5" s="52" t="s">
        <v>18</v>
      </c>
      <c r="DI5" s="83" t="s">
        <v>19</v>
      </c>
      <c r="DJ5" s="161">
        <f>DJ7</f>
        <v>1.914E-5</v>
      </c>
      <c r="DK5" s="83"/>
      <c r="DL5" s="83" t="s">
        <v>19</v>
      </c>
      <c r="DM5" s="161">
        <f>DM7</f>
        <v>1.914E-5</v>
      </c>
      <c r="DO5" s="52" t="s">
        <v>17</v>
      </c>
      <c r="DP5" s="137">
        <f>(DP8*DP9*DP10*((1-EXP(-DP11*DP12))))/(DP13*DP11)</f>
        <v>6.8418630199139872E-4</v>
      </c>
      <c r="DQ5" s="52" t="s">
        <v>18</v>
      </c>
      <c r="DR5" s="83" t="s">
        <v>267</v>
      </c>
      <c r="DS5" s="136">
        <f>B17</f>
        <v>1</v>
      </c>
      <c r="DT5" s="52" t="s">
        <v>344</v>
      </c>
      <c r="DU5" s="83" t="s">
        <v>239</v>
      </c>
      <c r="DV5" s="169">
        <f>B36</f>
        <v>4.2E-7</v>
      </c>
      <c r="DW5" s="52" t="s">
        <v>601</v>
      </c>
      <c r="DX5" s="83" t="s">
        <v>20</v>
      </c>
      <c r="DY5" s="161">
        <f>DY7</f>
        <v>2.1999999999999999E-5</v>
      </c>
      <c r="DZ5" s="83"/>
      <c r="EA5" s="83" t="s">
        <v>20</v>
      </c>
      <c r="EB5" s="161">
        <f>EB7</f>
        <v>2.1999999999999999E-5</v>
      </c>
      <c r="EC5" s="84"/>
      <c r="ED5" s="83" t="s">
        <v>20</v>
      </c>
      <c r="EE5" s="161">
        <f>EE7</f>
        <v>2.1999999999999999E-5</v>
      </c>
      <c r="EF5" s="84"/>
      <c r="EG5" s="83" t="s">
        <v>267</v>
      </c>
      <c r="EH5" s="136">
        <f>B17</f>
        <v>1</v>
      </c>
      <c r="EI5" s="52" t="s">
        <v>344</v>
      </c>
      <c r="EJ5" s="83" t="s">
        <v>236</v>
      </c>
      <c r="EK5" s="169">
        <f>B37</f>
        <v>5.0000000000000001E-4</v>
      </c>
      <c r="EL5" s="52" t="s">
        <v>388</v>
      </c>
      <c r="EM5" s="83" t="s">
        <v>20</v>
      </c>
      <c r="EN5" s="161">
        <f>EN7</f>
        <v>2.1999999999999999E-5</v>
      </c>
      <c r="EO5" s="83"/>
      <c r="EP5" s="83" t="s">
        <v>20</v>
      </c>
      <c r="EQ5" s="161">
        <f>EQ7</f>
        <v>2.1999999999999999E-5</v>
      </c>
      <c r="ER5" s="84"/>
      <c r="ES5" s="83" t="s">
        <v>20</v>
      </c>
      <c r="ET5" s="161">
        <f>ET7</f>
        <v>2.1999999999999999E-5</v>
      </c>
      <c r="EU5" s="84"/>
      <c r="EV5" s="83" t="s">
        <v>267</v>
      </c>
      <c r="EW5" s="136">
        <f>B17</f>
        <v>1</v>
      </c>
      <c r="EX5" s="52" t="s">
        <v>344</v>
      </c>
      <c r="EY5" s="83" t="s">
        <v>171</v>
      </c>
      <c r="EZ5" s="169">
        <f>B39</f>
        <v>3.0000000000000001E-3</v>
      </c>
      <c r="FA5" s="52" t="s">
        <v>388</v>
      </c>
      <c r="FB5" s="83" t="s">
        <v>20</v>
      </c>
      <c r="FC5" s="161">
        <f>FC7</f>
        <v>2.1999999999999999E-5</v>
      </c>
      <c r="FD5" s="83"/>
      <c r="FE5" s="83" t="s">
        <v>20</v>
      </c>
      <c r="FF5" s="161">
        <f>FF7</f>
        <v>2.1999999999999999E-5</v>
      </c>
      <c r="FG5" s="83"/>
      <c r="FH5" s="83" t="s">
        <v>20</v>
      </c>
      <c r="FI5" s="161">
        <f>FI7</f>
        <v>2.1999999999999999E-5</v>
      </c>
      <c r="FJ5" s="84"/>
      <c r="FK5" s="83" t="s">
        <v>267</v>
      </c>
      <c r="FL5" s="136">
        <f>B17</f>
        <v>1</v>
      </c>
      <c r="FM5" s="52" t="s">
        <v>344</v>
      </c>
      <c r="FN5" s="83" t="s">
        <v>105</v>
      </c>
      <c r="FO5" s="161">
        <f>B35</f>
        <v>240</v>
      </c>
      <c r="FP5" s="83" t="s">
        <v>18</v>
      </c>
      <c r="FQ5" s="83" t="s">
        <v>105</v>
      </c>
      <c r="FR5" s="161">
        <f>B35</f>
        <v>240</v>
      </c>
      <c r="FS5" s="83" t="s">
        <v>18</v>
      </c>
      <c r="FT5" s="83" t="s">
        <v>105</v>
      </c>
      <c r="FU5" s="161">
        <f>B35</f>
        <v>240</v>
      </c>
      <c r="FV5" s="83" t="s">
        <v>18</v>
      </c>
      <c r="FW5" s="83" t="s">
        <v>156</v>
      </c>
      <c r="FX5" s="161">
        <f>B45</f>
        <v>4</v>
      </c>
      <c r="FY5" s="88" t="s">
        <v>18</v>
      </c>
      <c r="FZ5" s="83" t="s">
        <v>267</v>
      </c>
      <c r="GA5" s="136">
        <f>B17</f>
        <v>1</v>
      </c>
      <c r="GB5" s="52" t="s">
        <v>344</v>
      </c>
      <c r="GC5" s="83" t="s">
        <v>237</v>
      </c>
      <c r="GD5" s="169">
        <f>B38</f>
        <v>6.0000000000000001E-3</v>
      </c>
      <c r="GE5" s="52" t="s">
        <v>388</v>
      </c>
      <c r="GF5" s="83" t="s">
        <v>20</v>
      </c>
      <c r="GG5" s="161">
        <f>GG7</f>
        <v>2.1999999999999999E-5</v>
      </c>
      <c r="GH5" s="83"/>
      <c r="GI5" s="83" t="s">
        <v>20</v>
      </c>
      <c r="GJ5" s="161">
        <f>GJ7</f>
        <v>2.1999999999999999E-5</v>
      </c>
      <c r="GK5" s="83"/>
      <c r="GL5" s="83" t="s">
        <v>20</v>
      </c>
      <c r="GM5" s="161">
        <f>GM7</f>
        <v>2.1999999999999999E-5</v>
      </c>
      <c r="GN5" s="84"/>
      <c r="GO5" s="83" t="s">
        <v>267</v>
      </c>
      <c r="GP5" s="136">
        <f>B17</f>
        <v>1</v>
      </c>
      <c r="GQ5" s="52" t="s">
        <v>344</v>
      </c>
      <c r="GR5" s="83" t="s">
        <v>238</v>
      </c>
      <c r="GS5" s="169">
        <f>B40</f>
        <v>1.7000000000000001E-4</v>
      </c>
      <c r="GT5" s="52" t="s">
        <v>388</v>
      </c>
      <c r="GU5" s="83" t="s">
        <v>20</v>
      </c>
      <c r="GV5" s="161">
        <f>GV7</f>
        <v>2.1999999999999999E-5</v>
      </c>
      <c r="GW5" s="83"/>
      <c r="GX5" s="83" t="s">
        <v>20</v>
      </c>
      <c r="GY5" s="161">
        <f>GY7</f>
        <v>2.1999999999999999E-5</v>
      </c>
      <c r="GZ5" s="83"/>
      <c r="HA5" s="83" t="s">
        <v>20</v>
      </c>
      <c r="HB5" s="161">
        <f>HB7</f>
        <v>2.1999999999999999E-5</v>
      </c>
      <c r="HC5" s="84"/>
      <c r="HD5" s="89" t="s">
        <v>21</v>
      </c>
      <c r="HE5" s="225">
        <f>B46</f>
        <v>4.4089920000000007E-9</v>
      </c>
      <c r="HF5" s="83" t="s">
        <v>13</v>
      </c>
    </row>
    <row r="6" spans="1:214" ht="13.5" thickTop="1" x14ac:dyDescent="0.2">
      <c r="A6" s="114" t="s">
        <v>339</v>
      </c>
      <c r="B6" s="228">
        <v>1.17E-4</v>
      </c>
      <c r="C6" s="115"/>
      <c r="D6" s="83" t="s">
        <v>22</v>
      </c>
      <c r="E6" s="137">
        <f>0.693/E7</f>
        <v>1.6041666666666665E-3</v>
      </c>
      <c r="G6" s="83" t="s">
        <v>248</v>
      </c>
      <c r="H6" s="136">
        <f>B19</f>
        <v>8.8060000000000005E-4</v>
      </c>
      <c r="I6" s="83" t="s">
        <v>259</v>
      </c>
      <c r="J6" s="83" t="s">
        <v>249</v>
      </c>
      <c r="K6" s="136">
        <f>B20</f>
        <v>8.8060000000000005E-4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1.6041666666666665E-3</v>
      </c>
      <c r="BV6" s="83" t="s">
        <v>248</v>
      </c>
      <c r="BW6" s="136">
        <f>B19</f>
        <v>8.8060000000000005E-4</v>
      </c>
      <c r="BX6" s="83" t="s">
        <v>259</v>
      </c>
      <c r="BY6" s="83" t="s">
        <v>249</v>
      </c>
      <c r="BZ6" s="136">
        <f>B20</f>
        <v>8.8060000000000005E-4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B29</f>
        <v>8.8060000000000005E-4</v>
      </c>
      <c r="CM6" s="91" t="s">
        <v>10</v>
      </c>
      <c r="CN6" s="84" t="s">
        <v>20</v>
      </c>
      <c r="CO6" s="139">
        <f>CO8</f>
        <v>2.1999999999999999E-5</v>
      </c>
      <c r="CQ6" s="84" t="s">
        <v>169</v>
      </c>
      <c r="CR6" s="162">
        <f>B133</f>
        <v>2</v>
      </c>
      <c r="CS6" s="52" t="s">
        <v>28</v>
      </c>
      <c r="CT6" s="83" t="s">
        <v>249</v>
      </c>
      <c r="CU6" s="136">
        <f>B20</f>
        <v>8.8060000000000005E-4</v>
      </c>
      <c r="CV6" s="83" t="s">
        <v>259</v>
      </c>
      <c r="CW6" s="83" t="s">
        <v>22</v>
      </c>
      <c r="CX6" s="137">
        <f>0.693/CX7</f>
        <v>1.6041666666666665E-3</v>
      </c>
      <c r="CZ6" s="83" t="s">
        <v>248</v>
      </c>
      <c r="DA6" s="136">
        <f>B19</f>
        <v>8.8060000000000005E-4</v>
      </c>
      <c r="DB6" s="83" t="s">
        <v>259</v>
      </c>
      <c r="DC6" s="83" t="s">
        <v>258</v>
      </c>
      <c r="DD6" s="136">
        <f>B29</f>
        <v>8.8060000000000005E-4</v>
      </c>
      <c r="DE6" s="92" t="s">
        <v>259</v>
      </c>
      <c r="DF6" s="52" t="s">
        <v>25</v>
      </c>
      <c r="DG6" s="137">
        <f>(DG8*DG9*DG14*((1-EXP(-DG11*DG12))))/(DG13*DG11)</f>
        <v>9.0847184154504852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B29</f>
        <v>8.8060000000000005E-4</v>
      </c>
      <c r="DT6" s="83" t="s">
        <v>259</v>
      </c>
      <c r="DU6" s="83" t="s">
        <v>27</v>
      </c>
      <c r="DV6" s="142">
        <f>B199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B29</f>
        <v>8.8060000000000005E-4</v>
      </c>
      <c r="EI6" s="83" t="s">
        <v>259</v>
      </c>
      <c r="EJ6" s="83" t="s">
        <v>29</v>
      </c>
      <c r="EK6" s="142">
        <f>B205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B29</f>
        <v>8.8060000000000005E-4</v>
      </c>
      <c r="EX6" s="83" t="s">
        <v>259</v>
      </c>
      <c r="EY6" s="83" t="s">
        <v>148</v>
      </c>
      <c r="EZ6" s="164">
        <f>B210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B29</f>
        <v>8.8060000000000005E-4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B45</f>
        <v>4</v>
      </c>
      <c r="FS6" s="83" t="s">
        <v>18</v>
      </c>
      <c r="FT6" s="83" t="s">
        <v>156</v>
      </c>
      <c r="FU6" s="161">
        <f>B45</f>
        <v>4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B29</f>
        <v>8.8060000000000005E-4</v>
      </c>
      <c r="GB6" s="83" t="s">
        <v>259</v>
      </c>
      <c r="GC6" s="83" t="s">
        <v>485</v>
      </c>
      <c r="GD6" s="164">
        <f>B215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B29</f>
        <v>8.8060000000000005E-4</v>
      </c>
      <c r="GQ6" s="83" t="s">
        <v>259</v>
      </c>
      <c r="GR6" s="83" t="s">
        <v>150</v>
      </c>
      <c r="GS6" s="142">
        <f>B220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1.8657474223326543E-15</v>
      </c>
      <c r="HF6" s="83" t="s">
        <v>13</v>
      </c>
    </row>
    <row r="7" spans="1:214" x14ac:dyDescent="0.2">
      <c r="A7" s="116" t="s">
        <v>242</v>
      </c>
      <c r="B7" s="229">
        <v>0.74299999999999999</v>
      </c>
      <c r="C7" s="117"/>
      <c r="D7" s="91" t="s">
        <v>231</v>
      </c>
      <c r="E7" s="136">
        <f>B30</f>
        <v>432</v>
      </c>
      <c r="F7" s="52" t="s">
        <v>60</v>
      </c>
      <c r="G7" s="83" t="s">
        <v>247</v>
      </c>
      <c r="H7" s="139">
        <f>B18</f>
        <v>0.36297000000000001</v>
      </c>
      <c r="I7" s="84" t="s">
        <v>259</v>
      </c>
      <c r="J7" s="83" t="s">
        <v>247</v>
      </c>
      <c r="K7" s="136">
        <f>B18</f>
        <v>0.36297000000000001</v>
      </c>
      <c r="L7" s="84" t="s">
        <v>259</v>
      </c>
      <c r="M7" s="83" t="s">
        <v>22</v>
      </c>
      <c r="N7" s="137">
        <f>0.693/N8</f>
        <v>1.6041666666666665E-3</v>
      </c>
      <c r="P7" s="83" t="s">
        <v>22</v>
      </c>
      <c r="Q7" s="137">
        <f>0.693/Q8</f>
        <v>1.6041666666666665E-3</v>
      </c>
      <c r="S7" s="83" t="s">
        <v>22</v>
      </c>
      <c r="T7" s="137">
        <f>0.693/T8</f>
        <v>1.6041666666666665E-3</v>
      </c>
      <c r="V7" s="83" t="s">
        <v>22</v>
      </c>
      <c r="W7" s="137">
        <f>0.693/W8</f>
        <v>1.6041666666666665E-3</v>
      </c>
      <c r="Y7" s="83" t="s">
        <v>22</v>
      </c>
      <c r="Z7" s="137">
        <f>0.693/Z8</f>
        <v>1.6041666666666665E-3</v>
      </c>
      <c r="AB7" s="83" t="s">
        <v>425</v>
      </c>
      <c r="AC7" s="150">
        <f>B227</f>
        <v>125</v>
      </c>
      <c r="AD7" s="150">
        <f>B237</f>
        <v>125</v>
      </c>
      <c r="AE7" s="150">
        <f>B247</f>
        <v>125</v>
      </c>
      <c r="AF7" s="150">
        <f>B257</f>
        <v>125</v>
      </c>
      <c r="AG7" s="150">
        <f>B269</f>
        <v>125</v>
      </c>
      <c r="AH7" s="83" t="s">
        <v>24</v>
      </c>
      <c r="AI7" s="83" t="s">
        <v>22</v>
      </c>
      <c r="AJ7" s="137">
        <f>0.693/AJ8</f>
        <v>1.6041666666666665E-3</v>
      </c>
      <c r="AL7" s="83" t="s">
        <v>22</v>
      </c>
      <c r="AM7" s="137">
        <f>0.693/AM8</f>
        <v>1.6041666666666665E-3</v>
      </c>
      <c r="AO7" s="83" t="s">
        <v>22</v>
      </c>
      <c r="AP7" s="137">
        <f>0.693/AP8</f>
        <v>1.6041666666666665E-3</v>
      </c>
      <c r="AR7" s="83" t="s">
        <v>22</v>
      </c>
      <c r="AS7" s="137">
        <f>0.693/AS8</f>
        <v>1.6041666666666665E-3</v>
      </c>
      <c r="AU7" s="83" t="s">
        <v>22</v>
      </c>
      <c r="AV7" s="137">
        <f>0.693/AV8</f>
        <v>1.6041666666666665E-3</v>
      </c>
      <c r="AX7" s="83" t="s">
        <v>22</v>
      </c>
      <c r="AY7" s="137">
        <f>0.693/AY8</f>
        <v>1.6041666666666665E-3</v>
      </c>
      <c r="BA7" s="83" t="s">
        <v>22</v>
      </c>
      <c r="BB7" s="137">
        <f>0.693/BB8</f>
        <v>1.6041666666666665E-3</v>
      </c>
      <c r="BD7" s="83" t="s">
        <v>22</v>
      </c>
      <c r="BE7" s="137">
        <f>0.693/BE8</f>
        <v>1.6041666666666665E-3</v>
      </c>
      <c r="BG7" s="83" t="s">
        <v>22</v>
      </c>
      <c r="BH7" s="137">
        <f>0.693/BH8</f>
        <v>1.6041666666666665E-3</v>
      </c>
      <c r="BJ7" s="83" t="s">
        <v>22</v>
      </c>
      <c r="BK7" s="137">
        <f>0.693/BK8</f>
        <v>1.6041666666666665E-3</v>
      </c>
      <c r="BM7" s="83" t="s">
        <v>22</v>
      </c>
      <c r="BN7" s="137">
        <f>0.693/BN8</f>
        <v>1.6041666666666665E-3</v>
      </c>
      <c r="BP7" s="83" t="s">
        <v>22</v>
      </c>
      <c r="BQ7" s="137">
        <f>0.693/BQ8</f>
        <v>1.6041666666666665E-3</v>
      </c>
      <c r="BS7" s="91" t="s">
        <v>231</v>
      </c>
      <c r="BT7" s="136">
        <f>B30</f>
        <v>432</v>
      </c>
      <c r="BU7" s="52" t="s">
        <v>60</v>
      </c>
      <c r="BV7" s="83" t="s">
        <v>247</v>
      </c>
      <c r="BW7" s="139">
        <f>B18</f>
        <v>0.36297000000000001</v>
      </c>
      <c r="BX7" s="84" t="s">
        <v>259</v>
      </c>
      <c r="BY7" s="83" t="s">
        <v>247</v>
      </c>
      <c r="BZ7" s="139">
        <f>B18</f>
        <v>0.36297000000000001</v>
      </c>
      <c r="CA7" s="84" t="s">
        <v>259</v>
      </c>
      <c r="CB7" s="83" t="s">
        <v>22</v>
      </c>
      <c r="CC7" s="137">
        <f>0.693/CC8</f>
        <v>1.6041666666666665E-3</v>
      </c>
      <c r="CE7" s="83" t="s">
        <v>22</v>
      </c>
      <c r="CF7" s="137">
        <f>0.693/CF8</f>
        <v>1.6041666666666665E-3</v>
      </c>
      <c r="CH7" s="83" t="s">
        <v>22</v>
      </c>
      <c r="CI7" s="137">
        <f>0.693/CI8</f>
        <v>1.6041666666666665E-3</v>
      </c>
      <c r="CK7" s="52" t="s">
        <v>140</v>
      </c>
      <c r="CL7" s="138">
        <f>B113</f>
        <v>55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B18</f>
        <v>0.36297000000000001</v>
      </c>
      <c r="CV7" s="84" t="s">
        <v>259</v>
      </c>
      <c r="CW7" s="91" t="s">
        <v>231</v>
      </c>
      <c r="CX7" s="136">
        <f>B30</f>
        <v>432</v>
      </c>
      <c r="CY7" s="52" t="s">
        <v>60</v>
      </c>
      <c r="CZ7" s="84" t="s">
        <v>247</v>
      </c>
      <c r="DA7" s="139">
        <f>B18</f>
        <v>0.36297000000000001</v>
      </c>
      <c r="DB7" s="84" t="s">
        <v>259</v>
      </c>
      <c r="DC7" s="83" t="s">
        <v>260</v>
      </c>
      <c r="DD7" s="166">
        <f>((DD5)/(DD6*(DD8+DD11)*DD19))*DD22*DD23*DJ11</f>
        <v>2.0197128486196614E-8</v>
      </c>
      <c r="DE7" s="92" t="s">
        <v>12</v>
      </c>
      <c r="DF7" s="52" t="s">
        <v>31</v>
      </c>
      <c r="DG7" s="137">
        <f>(DG8*DG9*DG15*DG21*((1-EXP(-DG16*DG17))))/(DG18*DG16)</f>
        <v>3.6421488784670224</v>
      </c>
      <c r="DH7" s="52" t="s">
        <v>18</v>
      </c>
      <c r="DI7" s="83" t="s">
        <v>32</v>
      </c>
      <c r="DJ7" s="136">
        <f>B43</f>
        <v>1.914E-5</v>
      </c>
      <c r="DL7" s="83" t="s">
        <v>32</v>
      </c>
      <c r="DM7" s="136">
        <f>B43</f>
        <v>1.914E-5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(DS5/(DS6*DS8*DS15))*DS19*DS20*DY17</f>
        <v>4.0394256972393228E-8</v>
      </c>
      <c r="DT7" s="52" t="s">
        <v>12</v>
      </c>
      <c r="DV7" s="138"/>
      <c r="DX7" s="83" t="s">
        <v>33</v>
      </c>
      <c r="DY7" s="136">
        <f>B44</f>
        <v>2.1999999999999999E-5</v>
      </c>
      <c r="EA7" s="83" t="s">
        <v>33</v>
      </c>
      <c r="EB7" s="136">
        <f>B44</f>
        <v>2.1999999999999999E-5</v>
      </c>
      <c r="EC7" s="84"/>
      <c r="ED7" s="83" t="s">
        <v>33</v>
      </c>
      <c r="EE7" s="136">
        <f>B44</f>
        <v>2.1999999999999999E-5</v>
      </c>
      <c r="EF7" s="84"/>
      <c r="EG7" s="83" t="s">
        <v>260</v>
      </c>
      <c r="EH7" s="168">
        <f>(EH5/(EH6*EH8*EH15))*EH19*EH20*EN16</f>
        <v>4.0394256972393228E-8</v>
      </c>
      <c r="EI7" s="52" t="s">
        <v>12</v>
      </c>
      <c r="EM7" s="83" t="s">
        <v>33</v>
      </c>
      <c r="EN7" s="136">
        <f>B44</f>
        <v>2.1999999999999999E-5</v>
      </c>
      <c r="EP7" s="83" t="s">
        <v>33</v>
      </c>
      <c r="EQ7" s="136">
        <f>B44</f>
        <v>2.1999999999999999E-5</v>
      </c>
      <c r="ER7" s="84"/>
      <c r="ES7" s="83" t="s">
        <v>33</v>
      </c>
      <c r="ET7" s="136">
        <f>B44</f>
        <v>2.1999999999999999E-5</v>
      </c>
      <c r="EU7" s="84"/>
      <c r="EV7" s="83" t="s">
        <v>260</v>
      </c>
      <c r="EW7" s="168">
        <f>(EW5/(EW6*EW8*EW15))*EW19*EW20*FC16</f>
        <v>4.0394256972393228E-8</v>
      </c>
      <c r="EX7" s="52" t="s">
        <v>12</v>
      </c>
      <c r="EY7" s="83"/>
      <c r="EZ7" s="142">
        <v>1000</v>
      </c>
      <c r="FA7" s="83" t="s">
        <v>132</v>
      </c>
      <c r="FB7" s="83" t="s">
        <v>33</v>
      </c>
      <c r="FC7" s="161">
        <f>B44</f>
        <v>2.1999999999999999E-5</v>
      </c>
      <c r="FD7" s="83"/>
      <c r="FE7" s="83" t="s">
        <v>33</v>
      </c>
      <c r="FF7" s="161">
        <f>B44</f>
        <v>2.1999999999999999E-5</v>
      </c>
      <c r="FG7" s="83"/>
      <c r="FH7" s="83" t="s">
        <v>33</v>
      </c>
      <c r="FI7" s="161">
        <f>B44</f>
        <v>2.1999999999999999E-5</v>
      </c>
      <c r="FJ7" s="84"/>
      <c r="FK7" s="83" t="s">
        <v>260</v>
      </c>
      <c r="FL7" s="168">
        <f>(FL5/(FL6*FL8*FL15))*FL19*FL20*FR9</f>
        <v>4.0394256972393228E-8</v>
      </c>
      <c r="FM7" s="52" t="s">
        <v>12</v>
      </c>
      <c r="FN7" s="83"/>
      <c r="FO7" s="138"/>
      <c r="FQ7" s="52" t="s">
        <v>350</v>
      </c>
      <c r="FR7" s="164">
        <f>B168</f>
        <v>1</v>
      </c>
      <c r="FT7" s="83"/>
      <c r="FU7" s="142"/>
      <c r="FV7" s="83"/>
      <c r="FX7" s="138"/>
      <c r="FZ7" s="83" t="s">
        <v>260</v>
      </c>
      <c r="GA7" s="168">
        <f>(GA5/(GA6*GA8*GA15))*GA19*GA20*GG16</f>
        <v>4.0394256972393228E-8</v>
      </c>
      <c r="GB7" s="52" t="s">
        <v>12</v>
      </c>
      <c r="GC7" s="83"/>
      <c r="GD7" s="142">
        <v>1000</v>
      </c>
      <c r="GE7" s="83" t="s">
        <v>132</v>
      </c>
      <c r="GF7" s="83" t="s">
        <v>33</v>
      </c>
      <c r="GG7" s="161">
        <f>B44</f>
        <v>2.1999999999999999E-5</v>
      </c>
      <c r="GH7" s="83"/>
      <c r="GI7" s="83" t="s">
        <v>33</v>
      </c>
      <c r="GJ7" s="161">
        <f>B44</f>
        <v>2.1999999999999999E-5</v>
      </c>
      <c r="GK7" s="83"/>
      <c r="GL7" s="83" t="s">
        <v>33</v>
      </c>
      <c r="GM7" s="161">
        <f>B44</f>
        <v>2.1999999999999999E-5</v>
      </c>
      <c r="GN7" s="84"/>
      <c r="GO7" s="83" t="s">
        <v>260</v>
      </c>
      <c r="GP7" s="168">
        <f>(GP5/(GP6*GP8*GP14))*GP18*GP19*GV16</f>
        <v>4.0394256972393228E-8</v>
      </c>
      <c r="GQ7" s="52" t="s">
        <v>12</v>
      </c>
      <c r="GR7" s="88"/>
      <c r="GS7" s="142">
        <v>1000</v>
      </c>
      <c r="GT7" s="83" t="s">
        <v>132</v>
      </c>
      <c r="GU7" s="83" t="s">
        <v>33</v>
      </c>
      <c r="GV7" s="161">
        <f>B44</f>
        <v>2.1999999999999999E-5</v>
      </c>
      <c r="GW7" s="83"/>
      <c r="GX7" s="83" t="s">
        <v>33</v>
      </c>
      <c r="GY7" s="161">
        <f>B44</f>
        <v>2.1999999999999999E-5</v>
      </c>
      <c r="GZ7" s="83"/>
      <c r="HA7" s="83" t="s">
        <v>33</v>
      </c>
      <c r="HB7" s="161">
        <f>B44</f>
        <v>2.1999999999999999E-5</v>
      </c>
      <c r="HC7" s="84"/>
      <c r="HD7" s="83" t="s">
        <v>22</v>
      </c>
      <c r="HE7" s="137">
        <f>0.693/HE9</f>
        <v>1.6041666666666665E-3</v>
      </c>
    </row>
    <row r="8" spans="1:214" x14ac:dyDescent="0.2">
      <c r="A8" s="116" t="s">
        <v>340</v>
      </c>
      <c r="B8" s="229">
        <v>1.35E-4</v>
      </c>
      <c r="C8" s="117"/>
      <c r="D8" s="52" t="s">
        <v>382</v>
      </c>
      <c r="E8" s="138">
        <f>B68</f>
        <v>150</v>
      </c>
      <c r="F8" s="52" t="s">
        <v>24</v>
      </c>
      <c r="G8" s="91" t="s">
        <v>257</v>
      </c>
      <c r="H8" s="136">
        <f>B28</f>
        <v>0.28767199999999998</v>
      </c>
      <c r="I8" s="84" t="s">
        <v>259</v>
      </c>
      <c r="J8" s="83" t="s">
        <v>269</v>
      </c>
      <c r="K8" s="136">
        <f>B22</f>
        <v>3.7173200000000003E-2</v>
      </c>
      <c r="L8" s="83" t="s">
        <v>351</v>
      </c>
      <c r="M8" s="91" t="s">
        <v>231</v>
      </c>
      <c r="N8" s="136">
        <f>B30</f>
        <v>432</v>
      </c>
      <c r="O8" s="52" t="s">
        <v>60</v>
      </c>
      <c r="P8" s="91" t="s">
        <v>231</v>
      </c>
      <c r="Q8" s="136">
        <f>B30</f>
        <v>432</v>
      </c>
      <c r="R8" s="52" t="s">
        <v>60</v>
      </c>
      <c r="S8" s="91" t="s">
        <v>231</v>
      </c>
      <c r="T8" s="136">
        <f>B30</f>
        <v>432</v>
      </c>
      <c r="U8" s="52" t="s">
        <v>60</v>
      </c>
      <c r="V8" s="91" t="s">
        <v>231</v>
      </c>
      <c r="W8" s="136">
        <f>B30</f>
        <v>432</v>
      </c>
      <c r="X8" s="52" t="s">
        <v>60</v>
      </c>
      <c r="Y8" s="91" t="s">
        <v>231</v>
      </c>
      <c r="Z8" s="136">
        <f>B30</f>
        <v>432</v>
      </c>
      <c r="AA8" s="52" t="s">
        <v>60</v>
      </c>
      <c r="AB8" s="83" t="s">
        <v>249</v>
      </c>
      <c r="AC8" s="136">
        <f>B21</f>
        <v>7.5480000000000002E-4</v>
      </c>
      <c r="AD8" s="136">
        <f>B21</f>
        <v>7.5480000000000002E-4</v>
      </c>
      <c r="AE8" s="136">
        <f>B21</f>
        <v>7.5480000000000002E-4</v>
      </c>
      <c r="AF8" s="136">
        <f>B21</f>
        <v>7.5480000000000002E-4</v>
      </c>
      <c r="AG8" s="136">
        <f>B21</f>
        <v>7.5480000000000002E-4</v>
      </c>
      <c r="AH8" s="83" t="s">
        <v>259</v>
      </c>
      <c r="AI8" s="91" t="s">
        <v>231</v>
      </c>
      <c r="AJ8" s="136">
        <f>B30</f>
        <v>432</v>
      </c>
      <c r="AK8" s="52" t="s">
        <v>60</v>
      </c>
      <c r="AL8" s="91" t="s">
        <v>231</v>
      </c>
      <c r="AM8" s="136">
        <f>B30</f>
        <v>432</v>
      </c>
      <c r="AN8" s="52" t="s">
        <v>60</v>
      </c>
      <c r="AO8" s="91" t="s">
        <v>231</v>
      </c>
      <c r="AP8" s="136">
        <f>B30</f>
        <v>432</v>
      </c>
      <c r="AQ8" s="52" t="s">
        <v>60</v>
      </c>
      <c r="AR8" s="91" t="s">
        <v>231</v>
      </c>
      <c r="AS8" s="136">
        <f>B30</f>
        <v>432</v>
      </c>
      <c r="AT8" s="52" t="s">
        <v>60</v>
      </c>
      <c r="AU8" s="91" t="s">
        <v>231</v>
      </c>
      <c r="AV8" s="136">
        <f>B30</f>
        <v>432</v>
      </c>
      <c r="AW8" s="52" t="s">
        <v>60</v>
      </c>
      <c r="AX8" s="91" t="s">
        <v>231</v>
      </c>
      <c r="AY8" s="136">
        <f>B30</f>
        <v>432</v>
      </c>
      <c r="AZ8" s="52" t="s">
        <v>60</v>
      </c>
      <c r="BA8" s="91" t="s">
        <v>231</v>
      </c>
      <c r="BB8" s="136">
        <f>B30</f>
        <v>432</v>
      </c>
      <c r="BC8" s="52" t="s">
        <v>60</v>
      </c>
      <c r="BD8" s="91" t="s">
        <v>231</v>
      </c>
      <c r="BE8" s="136">
        <f>B30</f>
        <v>432</v>
      </c>
      <c r="BF8" s="52" t="s">
        <v>60</v>
      </c>
      <c r="BG8" s="91" t="s">
        <v>231</v>
      </c>
      <c r="BH8" s="136">
        <f>B30</f>
        <v>432</v>
      </c>
      <c r="BI8" s="52" t="s">
        <v>60</v>
      </c>
      <c r="BJ8" s="91" t="s">
        <v>231</v>
      </c>
      <c r="BK8" s="136">
        <f>B30</f>
        <v>432</v>
      </c>
      <c r="BL8" s="52" t="s">
        <v>60</v>
      </c>
      <c r="BM8" s="91" t="s">
        <v>231</v>
      </c>
      <c r="BN8" s="136">
        <f>B30</f>
        <v>432</v>
      </c>
      <c r="BO8" s="52" t="s">
        <v>60</v>
      </c>
      <c r="BP8" s="91" t="s">
        <v>231</v>
      </c>
      <c r="BQ8" s="136">
        <f>B30</f>
        <v>432</v>
      </c>
      <c r="BR8" s="52" t="s">
        <v>60</v>
      </c>
      <c r="BS8" s="52" t="s">
        <v>140</v>
      </c>
      <c r="BT8" s="138">
        <f>B113</f>
        <v>55</v>
      </c>
      <c r="BU8" s="52" t="s">
        <v>24</v>
      </c>
      <c r="BV8" s="91" t="s">
        <v>257</v>
      </c>
      <c r="BW8" s="136">
        <f>B28</f>
        <v>0.28767199999999998</v>
      </c>
      <c r="BX8" s="84" t="s">
        <v>259</v>
      </c>
      <c r="BY8" s="83" t="s">
        <v>269</v>
      </c>
      <c r="BZ8" s="136">
        <f>B22</f>
        <v>3.7173200000000003E-2</v>
      </c>
      <c r="CA8" s="83" t="s">
        <v>351</v>
      </c>
      <c r="CB8" s="91" t="s">
        <v>231</v>
      </c>
      <c r="CC8" s="136">
        <f>B30</f>
        <v>432</v>
      </c>
      <c r="CD8" s="52" t="s">
        <v>60</v>
      </c>
      <c r="CE8" s="91" t="s">
        <v>231</v>
      </c>
      <c r="CF8" s="136">
        <f>B30</f>
        <v>432</v>
      </c>
      <c r="CG8" s="52" t="s">
        <v>60</v>
      </c>
      <c r="CH8" s="91" t="s">
        <v>231</v>
      </c>
      <c r="CI8" s="136">
        <f>B30</f>
        <v>432</v>
      </c>
      <c r="CJ8" s="52" t="s">
        <v>60</v>
      </c>
      <c r="CK8" s="52" t="s">
        <v>159</v>
      </c>
      <c r="CL8" s="162">
        <f>B128</f>
        <v>3</v>
      </c>
      <c r="CM8" s="52" t="s">
        <v>221</v>
      </c>
      <c r="CN8" s="84" t="s">
        <v>33</v>
      </c>
      <c r="CO8" s="136">
        <f>B44</f>
        <v>2.1999999999999999E-5</v>
      </c>
      <c r="CT8" s="83" t="s">
        <v>269</v>
      </c>
      <c r="CU8" s="136">
        <f>B22</f>
        <v>3.7173200000000003E-2</v>
      </c>
      <c r="CV8" s="83" t="s">
        <v>351</v>
      </c>
      <c r="CW8" s="52" t="s">
        <v>362</v>
      </c>
      <c r="CX8" s="138">
        <f>B167</f>
        <v>150</v>
      </c>
      <c r="CY8" s="52" t="s">
        <v>24</v>
      </c>
      <c r="CZ8" s="83" t="s">
        <v>270</v>
      </c>
      <c r="DA8" s="165">
        <f>B28</f>
        <v>0.28767199999999998</v>
      </c>
      <c r="DB8" s="83" t="s">
        <v>259</v>
      </c>
      <c r="DC8" s="83" t="s">
        <v>516</v>
      </c>
      <c r="DD8" s="149">
        <f>(DD9*DD15*DD20)+(DD10*DD14*DD21)</f>
        <v>8250</v>
      </c>
      <c r="DE8" s="92" t="s">
        <v>347</v>
      </c>
      <c r="DF8" s="83" t="s">
        <v>36</v>
      </c>
      <c r="DG8" s="138">
        <f>B189</f>
        <v>3.62</v>
      </c>
      <c r="DH8" s="52" t="s">
        <v>37</v>
      </c>
      <c r="DI8" s="83" t="s">
        <v>393</v>
      </c>
      <c r="DJ8" s="138">
        <f>B47</f>
        <v>0.26</v>
      </c>
      <c r="DL8" s="83" t="s">
        <v>393</v>
      </c>
      <c r="DM8" s="138">
        <f>B47</f>
        <v>0.26</v>
      </c>
      <c r="DO8" s="83" t="s">
        <v>36</v>
      </c>
      <c r="DP8" s="138">
        <f>B189</f>
        <v>3.62</v>
      </c>
      <c r="DQ8" s="52" t="s">
        <v>37</v>
      </c>
      <c r="DR8" s="83" t="s">
        <v>147</v>
      </c>
      <c r="DS8" s="149">
        <f>(DS11*DS9*DS17)+(DS12*DS10*DS18)</f>
        <v>8250</v>
      </c>
      <c r="DT8" s="92" t="s">
        <v>347</v>
      </c>
      <c r="DU8" s="52" t="s">
        <v>518</v>
      </c>
      <c r="DV8" s="146">
        <f>B200</f>
        <v>1.03</v>
      </c>
      <c r="DW8" s="52" t="s">
        <v>286</v>
      </c>
      <c r="DX8" s="83" t="s">
        <v>392</v>
      </c>
      <c r="DY8" s="138">
        <f>B48</f>
        <v>0.25</v>
      </c>
      <c r="EA8" s="83" t="s">
        <v>392</v>
      </c>
      <c r="EB8" s="138">
        <f>B48</f>
        <v>0.25</v>
      </c>
      <c r="EC8" s="84"/>
      <c r="ED8" s="83" t="s">
        <v>392</v>
      </c>
      <c r="EE8" s="138">
        <f>B48</f>
        <v>0.25</v>
      </c>
      <c r="EF8" s="84"/>
      <c r="EG8" s="83" t="s">
        <v>519</v>
      </c>
      <c r="EH8" s="149">
        <f>(EH11*EH9*EH17)+(EH12*EH10*EH18)</f>
        <v>8250</v>
      </c>
      <c r="EI8" s="92" t="s">
        <v>347</v>
      </c>
      <c r="EJ8" s="83"/>
      <c r="EM8" s="83" t="s">
        <v>392</v>
      </c>
      <c r="EN8" s="138">
        <f>B48</f>
        <v>0.25</v>
      </c>
      <c r="EP8" s="83" t="s">
        <v>392</v>
      </c>
      <c r="EQ8" s="138">
        <f>B48</f>
        <v>0.25</v>
      </c>
      <c r="ER8" s="84"/>
      <c r="ES8" s="83" t="s">
        <v>392</v>
      </c>
      <c r="ET8" s="138">
        <f>B48</f>
        <v>0.25</v>
      </c>
      <c r="EU8" s="84"/>
      <c r="EV8" s="83" t="s">
        <v>520</v>
      </c>
      <c r="EW8" s="149">
        <f>(EW11*EW9*EW17)+(EW12*EW10*EW18)</f>
        <v>8250</v>
      </c>
      <c r="EX8" s="92" t="s">
        <v>347</v>
      </c>
      <c r="EY8" s="83"/>
      <c r="EZ8" s="142"/>
      <c r="FA8" s="83"/>
      <c r="FB8" s="83" t="s">
        <v>392</v>
      </c>
      <c r="FC8" s="142">
        <f>B48</f>
        <v>0.25</v>
      </c>
      <c r="FD8" s="83"/>
      <c r="FE8" s="83" t="s">
        <v>392</v>
      </c>
      <c r="FF8" s="142">
        <f>B48</f>
        <v>0.25</v>
      </c>
      <c r="FG8" s="83"/>
      <c r="FH8" s="83" t="s">
        <v>392</v>
      </c>
      <c r="FI8" s="142">
        <f>B48</f>
        <v>0.25</v>
      </c>
      <c r="FJ8" s="84"/>
      <c r="FK8" s="83" t="s">
        <v>521</v>
      </c>
      <c r="FL8" s="173">
        <f>(FL9*FL11*FL17)+(FL10*FL12*FL18)</f>
        <v>8250</v>
      </c>
      <c r="FM8" s="92" t="s">
        <v>347</v>
      </c>
      <c r="FN8" s="83"/>
      <c r="FO8" s="142"/>
      <c r="FP8" s="83"/>
      <c r="FQ8" s="83" t="s">
        <v>22</v>
      </c>
      <c r="FR8" s="137">
        <f>0.693/FR9</f>
        <v>1.6041666666666665E-3</v>
      </c>
      <c r="FT8" s="83"/>
      <c r="FU8" s="142"/>
      <c r="FV8" s="83"/>
      <c r="FZ8" s="83" t="s">
        <v>522</v>
      </c>
      <c r="GA8" s="173">
        <f>(GA11*GA9*GA17)+(GA10*GA12*GA18)</f>
        <v>8250</v>
      </c>
      <c r="GB8" s="92" t="s">
        <v>347</v>
      </c>
      <c r="GC8" s="83"/>
      <c r="GD8" s="142"/>
      <c r="GE8" s="83"/>
      <c r="GF8" s="83" t="s">
        <v>392</v>
      </c>
      <c r="GG8" s="142">
        <f>B48</f>
        <v>0.25</v>
      </c>
      <c r="GH8" s="83"/>
      <c r="GI8" s="83" t="s">
        <v>392</v>
      </c>
      <c r="GJ8" s="142">
        <f>B48</f>
        <v>0.25</v>
      </c>
      <c r="GK8" s="83"/>
      <c r="GL8" s="83" t="s">
        <v>392</v>
      </c>
      <c r="GM8" s="142">
        <f>B48</f>
        <v>0.25</v>
      </c>
      <c r="GN8" s="84"/>
      <c r="GO8" s="83" t="s">
        <v>523</v>
      </c>
      <c r="GP8" s="149">
        <f>(GP9*GP11*GP16)+(GP10*GP12*GP17)</f>
        <v>8250</v>
      </c>
      <c r="GQ8" s="92" t="s">
        <v>347</v>
      </c>
      <c r="GR8" s="83"/>
      <c r="GS8" s="142"/>
      <c r="GT8" s="83"/>
      <c r="GU8" s="83" t="s">
        <v>392</v>
      </c>
      <c r="GV8" s="142">
        <f>B48</f>
        <v>0.25</v>
      </c>
      <c r="GW8" s="83"/>
      <c r="GX8" s="83" t="s">
        <v>392</v>
      </c>
      <c r="GY8" s="142">
        <f>B48</f>
        <v>0.25</v>
      </c>
      <c r="GZ8" s="83"/>
      <c r="HA8" s="83" t="s">
        <v>392</v>
      </c>
      <c r="HB8" s="142">
        <f>B48</f>
        <v>0.25</v>
      </c>
      <c r="HC8" s="84"/>
      <c r="HD8" s="52" t="s">
        <v>16</v>
      </c>
      <c r="HE8" s="137">
        <f>1-EXP(-HE7*HE12)</f>
        <v>1.6028806790575612E-3</v>
      </c>
    </row>
    <row r="9" spans="1:214" x14ac:dyDescent="0.2">
      <c r="A9" s="116" t="s">
        <v>243</v>
      </c>
      <c r="B9" s="229">
        <v>0.71099999999999997</v>
      </c>
      <c r="C9" s="117"/>
      <c r="D9" s="52" t="s">
        <v>379</v>
      </c>
      <c r="E9" s="138">
        <f>B65</f>
        <v>1</v>
      </c>
      <c r="F9" s="52" t="s">
        <v>146</v>
      </c>
      <c r="G9" s="83" t="s">
        <v>258</v>
      </c>
      <c r="H9" s="136">
        <f>B29</f>
        <v>8.8060000000000005E-4</v>
      </c>
      <c r="I9" s="92" t="s">
        <v>259</v>
      </c>
      <c r="J9" s="83" t="s">
        <v>258</v>
      </c>
      <c r="K9" s="136">
        <f>B29</f>
        <v>8.8060000000000005E-4</v>
      </c>
      <c r="L9" s="92" t="s">
        <v>259</v>
      </c>
      <c r="M9" s="52" t="s">
        <v>382</v>
      </c>
      <c r="N9" s="138">
        <f>B68</f>
        <v>150</v>
      </c>
      <c r="O9" s="52" t="s">
        <v>24</v>
      </c>
      <c r="P9" s="52" t="s">
        <v>382</v>
      </c>
      <c r="Q9" s="138">
        <f>B68</f>
        <v>150</v>
      </c>
      <c r="R9" s="52" t="s">
        <v>24</v>
      </c>
      <c r="S9" s="52" t="s">
        <v>382</v>
      </c>
      <c r="T9" s="138">
        <f>B68</f>
        <v>150</v>
      </c>
      <c r="U9" s="52" t="s">
        <v>24</v>
      </c>
      <c r="V9" s="52" t="s">
        <v>423</v>
      </c>
      <c r="W9" s="138">
        <f>B247</f>
        <v>125</v>
      </c>
      <c r="X9" s="52" t="s">
        <v>24</v>
      </c>
      <c r="Y9" s="52" t="s">
        <v>316</v>
      </c>
      <c r="Z9" s="138">
        <f>B227</f>
        <v>125</v>
      </c>
      <c r="AA9" s="52" t="s">
        <v>24</v>
      </c>
      <c r="AB9" s="83" t="s">
        <v>34</v>
      </c>
      <c r="AC9" s="146">
        <f>B228</f>
        <v>1</v>
      </c>
      <c r="AD9" s="146">
        <f>B238</f>
        <v>1</v>
      </c>
      <c r="AE9" s="146">
        <f>B248</f>
        <v>1</v>
      </c>
      <c r="AF9" s="146">
        <f>B258</f>
        <v>1</v>
      </c>
      <c r="AG9" s="146">
        <f>B270</f>
        <v>1</v>
      </c>
      <c r="AH9" s="83" t="s">
        <v>60</v>
      </c>
      <c r="AI9" s="52" t="s">
        <v>35</v>
      </c>
      <c r="AJ9" s="138">
        <f>B237</f>
        <v>125</v>
      </c>
      <c r="AK9" s="52" t="s">
        <v>24</v>
      </c>
      <c r="AL9" s="52" t="s">
        <v>35</v>
      </c>
      <c r="AM9" s="138">
        <f>B237</f>
        <v>125</v>
      </c>
      <c r="AN9" s="52" t="s">
        <v>24</v>
      </c>
      <c r="AO9" s="52" t="s">
        <v>35</v>
      </c>
      <c r="AP9" s="138">
        <f>B237</f>
        <v>125</v>
      </c>
      <c r="AQ9" s="52" t="s">
        <v>24</v>
      </c>
      <c r="AR9" s="52" t="s">
        <v>423</v>
      </c>
      <c r="AS9" s="138">
        <f>B247</f>
        <v>125</v>
      </c>
      <c r="AT9" s="52" t="s">
        <v>24</v>
      </c>
      <c r="AU9" s="52" t="s">
        <v>423</v>
      </c>
      <c r="AV9" s="138">
        <f>B247</f>
        <v>125</v>
      </c>
      <c r="AW9" s="52" t="s">
        <v>24</v>
      </c>
      <c r="AX9" s="52" t="s">
        <v>423</v>
      </c>
      <c r="AY9" s="138">
        <f>B247</f>
        <v>125</v>
      </c>
      <c r="AZ9" s="52" t="s">
        <v>24</v>
      </c>
      <c r="BA9" s="52" t="s">
        <v>316</v>
      </c>
      <c r="BB9" s="138">
        <f>B227</f>
        <v>125</v>
      </c>
      <c r="BC9" s="52" t="s">
        <v>24</v>
      </c>
      <c r="BD9" s="52" t="s">
        <v>316</v>
      </c>
      <c r="BE9" s="138">
        <f>B227</f>
        <v>125</v>
      </c>
      <c r="BF9" s="52" t="s">
        <v>24</v>
      </c>
      <c r="BG9" s="52" t="s">
        <v>316</v>
      </c>
      <c r="BH9" s="138">
        <f>B227</f>
        <v>125</v>
      </c>
      <c r="BI9" s="52" t="s">
        <v>24</v>
      </c>
      <c r="BJ9" s="52" t="s">
        <v>191</v>
      </c>
      <c r="BK9" s="138">
        <f>BK10*BK11</f>
        <v>75</v>
      </c>
      <c r="BL9" s="52" t="s">
        <v>24</v>
      </c>
      <c r="BM9" s="52" t="s">
        <v>191</v>
      </c>
      <c r="BN9" s="138">
        <f>BN10*BN11</f>
        <v>75</v>
      </c>
      <c r="BO9" s="52" t="s">
        <v>24</v>
      </c>
      <c r="BP9" s="52" t="s">
        <v>191</v>
      </c>
      <c r="BQ9" s="138">
        <f>BQ10*BQ11</f>
        <v>75</v>
      </c>
      <c r="BR9" s="52" t="s">
        <v>24</v>
      </c>
      <c r="BS9" s="52" t="s">
        <v>247</v>
      </c>
      <c r="BT9" s="139">
        <f>E11</f>
        <v>0.36297000000000001</v>
      </c>
      <c r="BU9" s="84" t="s">
        <v>259</v>
      </c>
      <c r="BV9" s="83" t="s">
        <v>258</v>
      </c>
      <c r="BW9" s="136">
        <f>B29</f>
        <v>8.8060000000000005E-4</v>
      </c>
      <c r="BX9" s="92" t="s">
        <v>259</v>
      </c>
      <c r="BY9" s="83" t="s">
        <v>77</v>
      </c>
      <c r="BZ9" s="136">
        <f>B31</f>
        <v>1359344473.5814338</v>
      </c>
      <c r="CA9" s="83" t="s">
        <v>78</v>
      </c>
      <c r="CB9" s="52" t="s">
        <v>140</v>
      </c>
      <c r="CC9" s="138">
        <f>B113</f>
        <v>55</v>
      </c>
      <c r="CD9" s="52" t="s">
        <v>24</v>
      </c>
      <c r="CE9" s="52" t="s">
        <v>140</v>
      </c>
      <c r="CF9" s="138">
        <f>B113</f>
        <v>55</v>
      </c>
      <c r="CG9" s="52" t="s">
        <v>24</v>
      </c>
      <c r="CH9" s="52" t="s">
        <v>140</v>
      </c>
      <c r="CI9" s="138">
        <f>B113</f>
        <v>55</v>
      </c>
      <c r="CJ9" s="52" t="s">
        <v>24</v>
      </c>
      <c r="CK9" s="94" t="s">
        <v>295</v>
      </c>
      <c r="CL9" s="150">
        <f>B278</f>
        <v>243</v>
      </c>
      <c r="CM9" s="90" t="s">
        <v>296</v>
      </c>
      <c r="CN9" s="84" t="s">
        <v>392</v>
      </c>
      <c r="CO9" s="162">
        <f>B48</f>
        <v>0.25</v>
      </c>
      <c r="CT9" s="83" t="s">
        <v>258</v>
      </c>
      <c r="CU9" s="136">
        <f>B29</f>
        <v>8.8060000000000005E-4</v>
      </c>
      <c r="CV9" s="92" t="s">
        <v>259</v>
      </c>
      <c r="CW9" s="52" t="s">
        <v>363</v>
      </c>
      <c r="CX9" s="138">
        <f>B168</f>
        <v>1</v>
      </c>
      <c r="CY9" s="52" t="s">
        <v>146</v>
      </c>
      <c r="CZ9" s="83" t="s">
        <v>258</v>
      </c>
      <c r="DA9" s="136">
        <f>B29</f>
        <v>8.8060000000000005E-4</v>
      </c>
      <c r="DB9" s="84" t="s">
        <v>259</v>
      </c>
      <c r="DC9" s="83" t="s">
        <v>513</v>
      </c>
      <c r="DD9" s="146">
        <f>B149</f>
        <v>55</v>
      </c>
      <c r="DE9" s="92" t="s">
        <v>221</v>
      </c>
      <c r="DF9" s="83" t="s">
        <v>40</v>
      </c>
      <c r="DG9" s="138">
        <f>B190</f>
        <v>0.25</v>
      </c>
      <c r="DH9" s="52" t="s">
        <v>41</v>
      </c>
      <c r="DI9" s="52" t="s">
        <v>350</v>
      </c>
      <c r="DJ9" s="164">
        <f>B168</f>
        <v>1</v>
      </c>
      <c r="DL9" s="83"/>
      <c r="DM9" s="138"/>
      <c r="DO9" s="83" t="s">
        <v>40</v>
      </c>
      <c r="DP9" s="138">
        <f>B190</f>
        <v>0.25</v>
      </c>
      <c r="DQ9" s="52" t="s">
        <v>41</v>
      </c>
      <c r="DR9" s="83" t="s">
        <v>452</v>
      </c>
      <c r="DS9" s="146">
        <f>B151</f>
        <v>55</v>
      </c>
      <c r="DT9" s="92" t="s">
        <v>221</v>
      </c>
      <c r="DU9" s="83"/>
      <c r="DX9" s="83" t="s">
        <v>517</v>
      </c>
      <c r="DY9" s="136">
        <f>B36</f>
        <v>4.2E-7</v>
      </c>
      <c r="DZ9" s="52" t="s">
        <v>601</v>
      </c>
      <c r="EA9" s="83" t="s">
        <v>517</v>
      </c>
      <c r="EB9" s="136">
        <f>B36</f>
        <v>4.2E-7</v>
      </c>
      <c r="EC9" s="52" t="s">
        <v>601</v>
      </c>
      <c r="ED9" s="83" t="s">
        <v>517</v>
      </c>
      <c r="EE9" s="136">
        <f>B36</f>
        <v>4.2E-7</v>
      </c>
      <c r="EF9" s="52" t="s">
        <v>601</v>
      </c>
      <c r="EG9" s="83" t="s">
        <v>453</v>
      </c>
      <c r="EH9" s="170">
        <f>B153</f>
        <v>55</v>
      </c>
      <c r="EI9" s="92" t="s">
        <v>221</v>
      </c>
      <c r="EJ9" s="83"/>
      <c r="EM9" s="83" t="s">
        <v>236</v>
      </c>
      <c r="EN9" s="136">
        <f>B37</f>
        <v>5.0000000000000001E-4</v>
      </c>
      <c r="EO9" s="52" t="s">
        <v>388</v>
      </c>
      <c r="EP9" s="83" t="s">
        <v>236</v>
      </c>
      <c r="EQ9" s="169">
        <f>B37</f>
        <v>5.0000000000000001E-4</v>
      </c>
      <c r="ER9" s="52" t="s">
        <v>388</v>
      </c>
      <c r="ES9" s="83" t="s">
        <v>236</v>
      </c>
      <c r="ET9" s="169">
        <f>B37</f>
        <v>5.0000000000000001E-4</v>
      </c>
      <c r="EU9" s="52" t="s">
        <v>388</v>
      </c>
      <c r="EV9" s="83" t="s">
        <v>454</v>
      </c>
      <c r="EW9" s="171">
        <f>B155</f>
        <v>55</v>
      </c>
      <c r="EX9" s="92" t="s">
        <v>221</v>
      </c>
      <c r="EY9" s="83"/>
      <c r="EZ9" s="142"/>
      <c r="FA9" s="83"/>
      <c r="FB9" s="83" t="s">
        <v>171</v>
      </c>
      <c r="FC9" s="169">
        <f>B39</f>
        <v>3.0000000000000001E-3</v>
      </c>
      <c r="FD9" s="52" t="s">
        <v>388</v>
      </c>
      <c r="FE9" s="83" t="s">
        <v>171</v>
      </c>
      <c r="FF9" s="169">
        <f>B39</f>
        <v>3.0000000000000001E-3</v>
      </c>
      <c r="FG9" s="52" t="s">
        <v>388</v>
      </c>
      <c r="FH9" s="83" t="s">
        <v>171</v>
      </c>
      <c r="FI9" s="169">
        <f>B39</f>
        <v>3.0000000000000001E-3</v>
      </c>
      <c r="FJ9" s="52" t="s">
        <v>388</v>
      </c>
      <c r="FK9" s="83" t="s">
        <v>471</v>
      </c>
      <c r="FL9" s="150">
        <f>B157</f>
        <v>55</v>
      </c>
      <c r="FM9" s="92" t="s">
        <v>221</v>
      </c>
      <c r="FN9" s="83"/>
      <c r="FO9" s="83"/>
      <c r="FP9" s="83"/>
      <c r="FQ9" s="91" t="s">
        <v>231</v>
      </c>
      <c r="FR9" s="136">
        <f>B30</f>
        <v>432</v>
      </c>
      <c r="FS9" s="52" t="s">
        <v>60</v>
      </c>
      <c r="FT9" s="83"/>
      <c r="FU9" s="164"/>
      <c r="FV9" s="83"/>
      <c r="FW9" s="83"/>
      <c r="FX9" s="93"/>
      <c r="FY9" s="83"/>
      <c r="FZ9" s="83" t="s">
        <v>473</v>
      </c>
      <c r="GA9" s="174">
        <f>B159</f>
        <v>55</v>
      </c>
      <c r="GB9" s="92" t="s">
        <v>221</v>
      </c>
      <c r="GC9" s="83"/>
      <c r="GD9" s="142"/>
      <c r="GE9" s="83"/>
      <c r="GF9" s="83" t="s">
        <v>237</v>
      </c>
      <c r="GG9" s="169">
        <f>B38</f>
        <v>6.0000000000000001E-3</v>
      </c>
      <c r="GH9" s="52" t="s">
        <v>388</v>
      </c>
      <c r="GI9" s="83" t="s">
        <v>237</v>
      </c>
      <c r="GJ9" s="169">
        <f>B38</f>
        <v>6.0000000000000001E-3</v>
      </c>
      <c r="GK9" s="52" t="s">
        <v>388</v>
      </c>
      <c r="GL9" s="83" t="s">
        <v>237</v>
      </c>
      <c r="GM9" s="169">
        <f>B38</f>
        <v>6.0000000000000001E-3</v>
      </c>
      <c r="GN9" s="52" t="s">
        <v>388</v>
      </c>
      <c r="GO9" s="83" t="s">
        <v>455</v>
      </c>
      <c r="GP9" s="150">
        <f>B161</f>
        <v>55</v>
      </c>
      <c r="GQ9" s="92" t="s">
        <v>221</v>
      </c>
      <c r="GR9" s="83"/>
      <c r="GS9" s="142"/>
      <c r="GT9" s="83"/>
      <c r="GU9" s="83" t="s">
        <v>238</v>
      </c>
      <c r="GV9" s="169">
        <f>B40</f>
        <v>1.7000000000000001E-4</v>
      </c>
      <c r="GW9" s="52" t="s">
        <v>388</v>
      </c>
      <c r="GX9" s="83" t="s">
        <v>238</v>
      </c>
      <c r="GY9" s="169">
        <f>B40</f>
        <v>1.7000000000000001E-4</v>
      </c>
      <c r="GZ9" s="52" t="s">
        <v>388</v>
      </c>
      <c r="HA9" s="83" t="s">
        <v>238</v>
      </c>
      <c r="HB9" s="169">
        <f>B40</f>
        <v>1.7000000000000001E-4</v>
      </c>
      <c r="HC9" s="52" t="s">
        <v>388</v>
      </c>
      <c r="HD9" s="91" t="s">
        <v>231</v>
      </c>
      <c r="HE9" s="136">
        <f>B30</f>
        <v>432</v>
      </c>
      <c r="HF9" s="52" t="s">
        <v>60</v>
      </c>
    </row>
    <row r="10" spans="1:214" x14ac:dyDescent="0.2">
      <c r="A10" s="116" t="s">
        <v>341</v>
      </c>
      <c r="B10" s="229">
        <v>2.2599999999999999E-4</v>
      </c>
      <c r="C10" s="117"/>
      <c r="D10" s="52" t="s">
        <v>92</v>
      </c>
      <c r="E10" s="138">
        <f>E9</f>
        <v>1</v>
      </c>
      <c r="G10" s="83" t="s">
        <v>260</v>
      </c>
      <c r="H10" s="143">
        <f>(H5/(H6*H15))*H70*H71*H73</f>
        <v>1.8352547817678198E-9</v>
      </c>
      <c r="I10" s="92" t="s">
        <v>13</v>
      </c>
      <c r="J10" s="83" t="s">
        <v>77</v>
      </c>
      <c r="K10" s="136">
        <f>B31</f>
        <v>1359344473.5814338</v>
      </c>
      <c r="L10" s="83" t="s">
        <v>78</v>
      </c>
      <c r="M10" s="52" t="s">
        <v>379</v>
      </c>
      <c r="N10" s="138">
        <f>B65</f>
        <v>1</v>
      </c>
      <c r="O10" s="52" t="s">
        <v>146</v>
      </c>
      <c r="P10" s="52" t="s">
        <v>379</v>
      </c>
      <c r="Q10" s="138">
        <f>B65</f>
        <v>1</v>
      </c>
      <c r="R10" s="52" t="s">
        <v>146</v>
      </c>
      <c r="S10" s="52" t="s">
        <v>379</v>
      </c>
      <c r="T10" s="138">
        <f>B65</f>
        <v>1</v>
      </c>
      <c r="U10" s="52" t="s">
        <v>146</v>
      </c>
      <c r="V10" s="52" t="s">
        <v>424</v>
      </c>
      <c r="W10" s="138">
        <f>B248</f>
        <v>1</v>
      </c>
      <c r="X10" s="52" t="s">
        <v>146</v>
      </c>
      <c r="Y10" s="52" t="s">
        <v>422</v>
      </c>
      <c r="Z10" s="138">
        <f>B228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B265</f>
        <v>3</v>
      </c>
      <c r="AG10" s="146">
        <f>B276</f>
        <v>3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B238</f>
        <v>1</v>
      </c>
      <c r="AN10" s="52" t="s">
        <v>146</v>
      </c>
      <c r="AO10" s="52" t="s">
        <v>420</v>
      </c>
      <c r="AP10" s="138">
        <f>B238</f>
        <v>1</v>
      </c>
      <c r="AQ10" s="52" t="s">
        <v>146</v>
      </c>
      <c r="AR10" s="52" t="s">
        <v>424</v>
      </c>
      <c r="AS10" s="138">
        <f>B248</f>
        <v>1</v>
      </c>
      <c r="AT10" s="52" t="s">
        <v>146</v>
      </c>
      <c r="AU10" s="52" t="s">
        <v>424</v>
      </c>
      <c r="AV10" s="138">
        <f>B248</f>
        <v>1</v>
      </c>
      <c r="AW10" s="52" t="s">
        <v>146</v>
      </c>
      <c r="AX10" s="52" t="s">
        <v>424</v>
      </c>
      <c r="AY10" s="138">
        <f>B248</f>
        <v>1</v>
      </c>
      <c r="AZ10" s="52" t="s">
        <v>146</v>
      </c>
      <c r="BA10" s="52" t="s">
        <v>422</v>
      </c>
      <c r="BB10" s="138">
        <f>B228</f>
        <v>1</v>
      </c>
      <c r="BC10" s="52" t="s">
        <v>146</v>
      </c>
      <c r="BD10" s="52" t="s">
        <v>422</v>
      </c>
      <c r="BE10" s="138">
        <f>B228</f>
        <v>1</v>
      </c>
      <c r="BF10" s="52" t="s">
        <v>146</v>
      </c>
      <c r="BG10" s="52" t="s">
        <v>422</v>
      </c>
      <c r="BH10" s="138">
        <f>B228</f>
        <v>1</v>
      </c>
      <c r="BI10" s="52" t="s">
        <v>146</v>
      </c>
      <c r="BJ10" s="52" t="s">
        <v>220</v>
      </c>
      <c r="BK10" s="138">
        <f>B266</f>
        <v>25</v>
      </c>
      <c r="BL10" s="52" t="s">
        <v>113</v>
      </c>
      <c r="BM10" s="52" t="s">
        <v>220</v>
      </c>
      <c r="BN10" s="138">
        <f>B266</f>
        <v>25</v>
      </c>
      <c r="BO10" s="52" t="s">
        <v>113</v>
      </c>
      <c r="BP10" s="52" t="s">
        <v>220</v>
      </c>
      <c r="BQ10" s="138">
        <f>B266</f>
        <v>25</v>
      </c>
      <c r="BR10" s="52" t="s">
        <v>113</v>
      </c>
      <c r="BS10" s="83" t="s">
        <v>428</v>
      </c>
      <c r="BT10" s="149">
        <f>(BT22*BT13*(1/24)*BT11*BT25)+(BT23*BT14*(1/24)*BT12*BT26)</f>
        <v>101.40624999999999</v>
      </c>
      <c r="BU10" s="52" t="s">
        <v>426</v>
      </c>
      <c r="BV10" s="83" t="s">
        <v>260</v>
      </c>
      <c r="BW10" s="143">
        <f>(BW5/(BW6*BW13))*BW32*BW33*BW34</f>
        <v>1.2137707761237174E-10</v>
      </c>
      <c r="BX10" s="92" t="s">
        <v>13</v>
      </c>
      <c r="BY10" s="84" t="s">
        <v>16</v>
      </c>
      <c r="BZ10" s="137">
        <f>(BZ30*BZ11)/(1-EXP(-BZ11*BZ30))</f>
        <v>1.0008022977791844</v>
      </c>
      <c r="CB10" s="52" t="s">
        <v>51</v>
      </c>
      <c r="CC10" s="138">
        <f>B127</f>
        <v>1</v>
      </c>
      <c r="CD10" s="52" t="s">
        <v>146</v>
      </c>
      <c r="CE10" s="52" t="s">
        <v>51</v>
      </c>
      <c r="CF10" s="138">
        <f>B127</f>
        <v>1</v>
      </c>
      <c r="CG10" s="52" t="s">
        <v>146</v>
      </c>
      <c r="CH10" s="52" t="s">
        <v>51</v>
      </c>
      <c r="CI10" s="138">
        <f>B127</f>
        <v>1</v>
      </c>
      <c r="CJ10" s="52" t="s">
        <v>146</v>
      </c>
      <c r="CK10" s="84" t="s">
        <v>293</v>
      </c>
      <c r="CL10" s="85">
        <f>B280</f>
        <v>2.7955176153748299E-12</v>
      </c>
      <c r="CN10" s="84" t="s">
        <v>164</v>
      </c>
      <c r="CO10" s="162">
        <f>B129</f>
        <v>2</v>
      </c>
      <c r="CP10" s="52" t="s">
        <v>246</v>
      </c>
      <c r="CT10" s="83" t="s">
        <v>77</v>
      </c>
      <c r="CU10" s="136">
        <f>B31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1.0008022977791844</v>
      </c>
      <c r="DC10" s="83" t="s">
        <v>514</v>
      </c>
      <c r="DD10" s="146">
        <f>B150</f>
        <v>55</v>
      </c>
      <c r="DE10" s="92" t="s">
        <v>221</v>
      </c>
      <c r="DF10" s="92" t="s">
        <v>32</v>
      </c>
      <c r="DG10" s="136">
        <f>B43</f>
        <v>1.914E-5</v>
      </c>
      <c r="DI10" s="83" t="s">
        <v>22</v>
      </c>
      <c r="DJ10" s="137">
        <f>0.693/DJ11</f>
        <v>1.6041666666666665E-3</v>
      </c>
      <c r="DL10" s="92"/>
      <c r="DO10" s="92" t="s">
        <v>32</v>
      </c>
      <c r="DP10" s="136">
        <f>B43</f>
        <v>1.914E-5</v>
      </c>
      <c r="DR10" s="83" t="s">
        <v>461</v>
      </c>
      <c r="DS10" s="146">
        <f>B152</f>
        <v>55</v>
      </c>
      <c r="DT10" s="92" t="s">
        <v>221</v>
      </c>
      <c r="DU10" s="92"/>
      <c r="DX10" s="83" t="s">
        <v>498</v>
      </c>
      <c r="DY10" s="138">
        <f>B201</f>
        <v>20.3</v>
      </c>
      <c r="DZ10" s="52" t="s">
        <v>246</v>
      </c>
      <c r="EA10" s="83" t="s">
        <v>498</v>
      </c>
      <c r="EB10" s="138">
        <f>B201</f>
        <v>20.3</v>
      </c>
      <c r="EC10" s="52" t="s">
        <v>246</v>
      </c>
      <c r="ED10" s="83" t="s">
        <v>498</v>
      </c>
      <c r="EE10" s="138">
        <f>B201</f>
        <v>20.3</v>
      </c>
      <c r="EF10" s="52" t="s">
        <v>246</v>
      </c>
      <c r="EG10" s="83" t="s">
        <v>462</v>
      </c>
      <c r="EH10" s="170">
        <f>B154</f>
        <v>55</v>
      </c>
      <c r="EI10" s="92" t="s">
        <v>221</v>
      </c>
      <c r="EJ10" s="92"/>
      <c r="EM10" s="83" t="s">
        <v>494</v>
      </c>
      <c r="EN10" s="138">
        <f>B206</f>
        <v>11.77</v>
      </c>
      <c r="EO10" s="52" t="s">
        <v>246</v>
      </c>
      <c r="EP10" s="83" t="s">
        <v>494</v>
      </c>
      <c r="EQ10" s="138">
        <f>B206</f>
        <v>11.77</v>
      </c>
      <c r="ER10" s="52" t="s">
        <v>246</v>
      </c>
      <c r="ES10" s="83" t="s">
        <v>494</v>
      </c>
      <c r="ET10" s="138">
        <f>B206</f>
        <v>11.77</v>
      </c>
      <c r="EU10" s="52" t="s">
        <v>246</v>
      </c>
      <c r="EV10" s="83" t="s">
        <v>463</v>
      </c>
      <c r="EW10" s="170">
        <f>B156</f>
        <v>55</v>
      </c>
      <c r="EX10" s="92" t="s">
        <v>221</v>
      </c>
      <c r="EY10" s="83"/>
      <c r="EZ10" s="142"/>
      <c r="FA10" s="83"/>
      <c r="FB10" s="83" t="s">
        <v>152</v>
      </c>
      <c r="FC10" s="142">
        <f>B211</f>
        <v>0.2</v>
      </c>
      <c r="FD10" s="52" t="s">
        <v>246</v>
      </c>
      <c r="FE10" s="83" t="s">
        <v>152</v>
      </c>
      <c r="FF10" s="142">
        <f>B211</f>
        <v>0.2</v>
      </c>
      <c r="FG10" s="52" t="s">
        <v>246</v>
      </c>
      <c r="FH10" s="83" t="s">
        <v>152</v>
      </c>
      <c r="FI10" s="142">
        <f>B211</f>
        <v>0.2</v>
      </c>
      <c r="FJ10" s="52" t="s">
        <v>246</v>
      </c>
      <c r="FK10" s="83" t="s">
        <v>472</v>
      </c>
      <c r="FL10" s="150">
        <f>B158</f>
        <v>55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1.0008022977791844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B160</f>
        <v>55</v>
      </c>
      <c r="GB10" s="92" t="s">
        <v>221</v>
      </c>
      <c r="GC10" s="83"/>
      <c r="GD10" s="83"/>
      <c r="GE10" s="83"/>
      <c r="GF10" s="83" t="s">
        <v>486</v>
      </c>
      <c r="GG10" s="142">
        <f>B216</f>
        <v>0.2</v>
      </c>
      <c r="GH10" s="52" t="s">
        <v>246</v>
      </c>
      <c r="GI10" s="83" t="s">
        <v>486</v>
      </c>
      <c r="GJ10" s="142">
        <f>B216</f>
        <v>0.2</v>
      </c>
      <c r="GK10" s="52" t="s">
        <v>246</v>
      </c>
      <c r="GL10" s="83" t="s">
        <v>486</v>
      </c>
      <c r="GM10" s="142">
        <f>B216</f>
        <v>0.2</v>
      </c>
      <c r="GN10" s="52" t="s">
        <v>246</v>
      </c>
      <c r="GO10" s="83" t="s">
        <v>464</v>
      </c>
      <c r="GP10" s="150">
        <f>B162</f>
        <v>55</v>
      </c>
      <c r="GQ10" s="92" t="s">
        <v>221</v>
      </c>
      <c r="GR10" s="83"/>
      <c r="GS10" s="83"/>
      <c r="GT10" s="83"/>
      <c r="GU10" s="83" t="s">
        <v>490</v>
      </c>
      <c r="GV10" s="142">
        <f>B221</f>
        <v>4.7</v>
      </c>
      <c r="GW10" s="52" t="s">
        <v>246</v>
      </c>
      <c r="GX10" s="83" t="s">
        <v>490</v>
      </c>
      <c r="GY10" s="142">
        <f>B221</f>
        <v>4.7</v>
      </c>
      <c r="GZ10" s="52" t="s">
        <v>246</v>
      </c>
      <c r="HA10" s="83" t="s">
        <v>490</v>
      </c>
      <c r="HB10" s="142">
        <f>B221</f>
        <v>4.7</v>
      </c>
      <c r="HC10" s="52" t="s">
        <v>246</v>
      </c>
      <c r="HD10" s="84" t="s">
        <v>38</v>
      </c>
      <c r="HE10" s="163">
        <f>B93</f>
        <v>0.3</v>
      </c>
    </row>
    <row r="11" spans="1:214" x14ac:dyDescent="0.2">
      <c r="A11" s="116" t="s">
        <v>244</v>
      </c>
      <c r="B11" s="229">
        <v>0.66200000000000003</v>
      </c>
      <c r="C11" s="117"/>
      <c r="D11" s="52" t="s">
        <v>247</v>
      </c>
      <c r="E11" s="139">
        <f>B18</f>
        <v>0.36297000000000001</v>
      </c>
      <c r="F11" s="84" t="s">
        <v>259</v>
      </c>
      <c r="G11" s="83" t="s">
        <v>261</v>
      </c>
      <c r="H11" s="144">
        <f>(H5/(H7*H16*H28))*H70*H71*H73</f>
        <v>1.2200363946593149E-12</v>
      </c>
      <c r="I11" s="92" t="s">
        <v>13</v>
      </c>
      <c r="J11" s="84" t="s">
        <v>16</v>
      </c>
      <c r="K11" s="137">
        <f>(K43*K12)/(1-EXP(-K12*K43))</f>
        <v>1.0008022977791844</v>
      </c>
      <c r="M11" s="52" t="s">
        <v>299</v>
      </c>
      <c r="N11" s="138">
        <f>B73</f>
        <v>1</v>
      </c>
      <c r="P11" s="52" t="s">
        <v>299</v>
      </c>
      <c r="Q11" s="138">
        <f>B73</f>
        <v>1</v>
      </c>
      <c r="S11" s="52" t="s">
        <v>299</v>
      </c>
      <c r="T11" s="138">
        <f>B73</f>
        <v>1</v>
      </c>
      <c r="V11" s="52" t="s">
        <v>247</v>
      </c>
      <c r="W11" s="139">
        <f>B18</f>
        <v>0.36297000000000001</v>
      </c>
      <c r="X11" s="84" t="s">
        <v>39</v>
      </c>
      <c r="Y11" s="52" t="s">
        <v>247</v>
      </c>
      <c r="Z11" s="139">
        <f>B18</f>
        <v>0.36297000000000001</v>
      </c>
      <c r="AA11" s="84" t="s">
        <v>39</v>
      </c>
      <c r="AB11" s="83" t="s">
        <v>220</v>
      </c>
      <c r="AC11" s="146"/>
      <c r="AD11" s="146"/>
      <c r="AE11" s="146"/>
      <c r="AF11" s="146">
        <f>B266</f>
        <v>25</v>
      </c>
      <c r="AG11" s="146">
        <f>B277</f>
        <v>25</v>
      </c>
      <c r="AH11" s="83" t="s">
        <v>113</v>
      </c>
      <c r="AI11" s="52" t="s">
        <v>299</v>
      </c>
      <c r="AJ11" s="138">
        <f>B241</f>
        <v>1</v>
      </c>
      <c r="AL11" s="52" t="s">
        <v>299</v>
      </c>
      <c r="AM11" s="138">
        <f>B241</f>
        <v>1</v>
      </c>
      <c r="AO11" s="52" t="s">
        <v>299</v>
      </c>
      <c r="AP11" s="138">
        <f>B241</f>
        <v>1</v>
      </c>
      <c r="AR11" s="52" t="s">
        <v>299</v>
      </c>
      <c r="AS11" s="138">
        <f>B251</f>
        <v>1</v>
      </c>
      <c r="AU11" s="52" t="s">
        <v>299</v>
      </c>
      <c r="AV11" s="138">
        <f>B251</f>
        <v>1</v>
      </c>
      <c r="AX11" s="52" t="s">
        <v>299</v>
      </c>
      <c r="AY11" s="138">
        <f>B251</f>
        <v>1</v>
      </c>
      <c r="BA11" s="52" t="s">
        <v>299</v>
      </c>
      <c r="BB11" s="138">
        <f>B231</f>
        <v>1</v>
      </c>
      <c r="BD11" s="52" t="s">
        <v>299</v>
      </c>
      <c r="BE11" s="138">
        <f>B231</f>
        <v>1</v>
      </c>
      <c r="BG11" s="52" t="s">
        <v>299</v>
      </c>
      <c r="BH11" s="138">
        <f>B231</f>
        <v>1</v>
      </c>
      <c r="BJ11" s="52" t="s">
        <v>219</v>
      </c>
      <c r="BK11" s="138">
        <f>B265</f>
        <v>3</v>
      </c>
      <c r="BL11" s="52" t="s">
        <v>112</v>
      </c>
      <c r="BM11" s="52" t="s">
        <v>219</v>
      </c>
      <c r="BN11" s="138">
        <f>B265</f>
        <v>3</v>
      </c>
      <c r="BO11" s="52" t="s">
        <v>112</v>
      </c>
      <c r="BP11" s="52" t="s">
        <v>219</v>
      </c>
      <c r="BQ11" s="138">
        <f>B265</f>
        <v>3</v>
      </c>
      <c r="BR11" s="52" t="s">
        <v>112</v>
      </c>
      <c r="BS11" s="83" t="s">
        <v>429</v>
      </c>
      <c r="BT11" s="141">
        <f>B103</f>
        <v>5</v>
      </c>
      <c r="BU11" s="92" t="s">
        <v>407</v>
      </c>
      <c r="BV11" s="83" t="s">
        <v>261</v>
      </c>
      <c r="BW11" s="159"/>
      <c r="BX11" s="92" t="s">
        <v>13</v>
      </c>
      <c r="BY11" s="83" t="s">
        <v>22</v>
      </c>
      <c r="BZ11" s="137">
        <f>0.693/BZ12</f>
        <v>1.6041666666666665E-3</v>
      </c>
      <c r="CB11" s="52" t="s">
        <v>300</v>
      </c>
      <c r="CC11" s="136">
        <f>B3</f>
        <v>2.41E-4</v>
      </c>
      <c r="CE11" s="52" t="s">
        <v>300</v>
      </c>
      <c r="CF11" s="136">
        <f>B6</f>
        <v>1.17E-4</v>
      </c>
      <c r="CH11" s="52" t="s">
        <v>300</v>
      </c>
      <c r="CI11" s="136">
        <f>B10</f>
        <v>2.2599999999999999E-4</v>
      </c>
      <c r="CN11" s="84" t="s">
        <v>161</v>
      </c>
      <c r="CO11" s="162">
        <f>B130</f>
        <v>2</v>
      </c>
      <c r="CP11" s="52" t="s">
        <v>246</v>
      </c>
      <c r="CT11" s="84" t="s">
        <v>16</v>
      </c>
      <c r="CU11" s="137">
        <f>(CU43*CU12)/(1-EXP(-CU12*CU43))</f>
        <v>1.0008022977791844</v>
      </c>
      <c r="CW11" s="52" t="s">
        <v>247</v>
      </c>
      <c r="CX11" s="139">
        <f>B18</f>
        <v>0.36297000000000001</v>
      </c>
      <c r="CY11" s="84" t="s">
        <v>259</v>
      </c>
      <c r="CZ11" s="83" t="s">
        <v>22</v>
      </c>
      <c r="DA11" s="137">
        <f>0.693/DA12</f>
        <v>1.6041666666666665E-3</v>
      </c>
      <c r="DC11" s="83" t="s">
        <v>515</v>
      </c>
      <c r="DD11" s="149">
        <f>(DD12*DD15*DD20)+(DD13*DD14*DD21)</f>
        <v>8250</v>
      </c>
      <c r="DE11" s="92" t="s">
        <v>347</v>
      </c>
      <c r="DF11" s="92" t="s">
        <v>49</v>
      </c>
      <c r="DG11" s="137">
        <f>DG19+DG20</f>
        <v>3.1394977168949772E-5</v>
      </c>
      <c r="DI11" s="91" t="s">
        <v>231</v>
      </c>
      <c r="DJ11" s="136">
        <f>B30</f>
        <v>432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B166</f>
        <v>150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B166</f>
        <v>150</v>
      </c>
      <c r="EI11" s="83" t="s">
        <v>24</v>
      </c>
      <c r="EJ11" s="92"/>
      <c r="EM11" s="83" t="s">
        <v>495</v>
      </c>
      <c r="EN11" s="138">
        <f>B207</f>
        <v>0.5</v>
      </c>
      <c r="EO11" s="52" t="s">
        <v>246</v>
      </c>
      <c r="EP11" s="83" t="s">
        <v>495</v>
      </c>
      <c r="EQ11" s="138">
        <f>B207</f>
        <v>0.5</v>
      </c>
      <c r="ER11" s="52" t="s">
        <v>246</v>
      </c>
      <c r="ES11" s="83" t="s">
        <v>495</v>
      </c>
      <c r="ET11" s="138">
        <f>B207</f>
        <v>0.5</v>
      </c>
      <c r="EU11" s="52" t="s">
        <v>246</v>
      </c>
      <c r="EV11" s="83" t="s">
        <v>456</v>
      </c>
      <c r="EW11" s="150">
        <f>B166</f>
        <v>150</v>
      </c>
      <c r="EX11" s="83" t="s">
        <v>24</v>
      </c>
      <c r="EY11" s="83"/>
      <c r="EZ11" s="83"/>
      <c r="FA11" s="83"/>
      <c r="FB11" s="83" t="s">
        <v>151</v>
      </c>
      <c r="FC11" s="142">
        <f>B212</f>
        <v>2.1999999999999999E-2</v>
      </c>
      <c r="FD11" s="52" t="s">
        <v>246</v>
      </c>
      <c r="FE11" s="83" t="s">
        <v>151</v>
      </c>
      <c r="FF11" s="142">
        <f>B212</f>
        <v>2.1999999999999999E-2</v>
      </c>
      <c r="FG11" s="52" t="s">
        <v>246</v>
      </c>
      <c r="FH11" s="83" t="s">
        <v>151</v>
      </c>
      <c r="FI11" s="142">
        <f>B212</f>
        <v>2.1999999999999999E-2</v>
      </c>
      <c r="FJ11" s="52" t="s">
        <v>246</v>
      </c>
      <c r="FK11" s="83" t="s">
        <v>456</v>
      </c>
      <c r="FL11" s="150">
        <f>B166</f>
        <v>150</v>
      </c>
      <c r="FM11" s="83" t="s">
        <v>24</v>
      </c>
      <c r="FN11" s="83"/>
      <c r="FO11" s="83"/>
      <c r="FP11" s="83"/>
      <c r="FQ11" s="88"/>
      <c r="FR11" s="169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B166</f>
        <v>150</v>
      </c>
      <c r="GB11" s="83" t="s">
        <v>24</v>
      </c>
      <c r="GC11" s="83"/>
      <c r="GD11" s="83"/>
      <c r="GE11" s="83"/>
      <c r="GF11" s="83" t="s">
        <v>487</v>
      </c>
      <c r="GG11" s="142">
        <f>B217</f>
        <v>2.1999999999999999E-2</v>
      </c>
      <c r="GH11" s="52" t="s">
        <v>246</v>
      </c>
      <c r="GI11" s="83" t="s">
        <v>487</v>
      </c>
      <c r="GJ11" s="142">
        <f>B217</f>
        <v>2.1999999999999999E-2</v>
      </c>
      <c r="GK11" s="52" t="s">
        <v>246</v>
      </c>
      <c r="GL11" s="83" t="s">
        <v>487</v>
      </c>
      <c r="GM11" s="142">
        <f>B217</f>
        <v>2.1999999999999999E-2</v>
      </c>
      <c r="GN11" s="52" t="s">
        <v>246</v>
      </c>
      <c r="GO11" s="83" t="s">
        <v>456</v>
      </c>
      <c r="GP11" s="150">
        <f>B166</f>
        <v>150</v>
      </c>
      <c r="GQ11" s="83" t="s">
        <v>24</v>
      </c>
      <c r="GR11" s="83"/>
      <c r="GS11" s="83"/>
      <c r="GT11" s="83"/>
      <c r="GU11" s="83" t="s">
        <v>491</v>
      </c>
      <c r="GV11" s="142">
        <f>B222</f>
        <v>0.37</v>
      </c>
      <c r="GW11" s="52" t="s">
        <v>246</v>
      </c>
      <c r="GX11" s="83" t="s">
        <v>491</v>
      </c>
      <c r="GY11" s="142">
        <f>B222</f>
        <v>0.37</v>
      </c>
      <c r="GZ11" s="52" t="s">
        <v>246</v>
      </c>
      <c r="HA11" s="83" t="s">
        <v>491</v>
      </c>
      <c r="HB11" s="142">
        <f>B222</f>
        <v>0.37</v>
      </c>
      <c r="HC11" s="52" t="s">
        <v>246</v>
      </c>
      <c r="HD11" s="84" t="s">
        <v>42</v>
      </c>
      <c r="HE11" s="150">
        <f>B94</f>
        <v>1.5</v>
      </c>
    </row>
    <row r="12" spans="1:214" x14ac:dyDescent="0.2">
      <c r="A12" s="116" t="s">
        <v>342</v>
      </c>
      <c r="B12" s="229">
        <v>1.5699999999999999E-5</v>
      </c>
      <c r="C12" s="117"/>
      <c r="D12" s="83" t="s">
        <v>43</v>
      </c>
      <c r="E12" s="140">
        <f>((E15/E16)*E23*E13*E25)+((E15/E16)*E24*E14*E26)</f>
        <v>1327.5</v>
      </c>
      <c r="F12" s="52" t="s">
        <v>426</v>
      </c>
      <c r="G12" s="83" t="s">
        <v>266</v>
      </c>
      <c r="H12" s="144">
        <f>(H5/(H8*(1/H43)*H21))*H70*H71*H73</f>
        <v>1.8794015318846294E-8</v>
      </c>
      <c r="I12" s="92" t="s">
        <v>13</v>
      </c>
      <c r="J12" s="83" t="s">
        <v>22</v>
      </c>
      <c r="K12" s="137">
        <f>0.693/K13</f>
        <v>1.6041666666666665E-3</v>
      </c>
      <c r="M12" s="52" t="s">
        <v>300</v>
      </c>
      <c r="N12" s="136">
        <f>B3</f>
        <v>2.41E-4</v>
      </c>
      <c r="P12" s="52" t="s">
        <v>300</v>
      </c>
      <c r="Q12" s="136">
        <f>B6</f>
        <v>1.17E-4</v>
      </c>
      <c r="S12" s="52" t="s">
        <v>300</v>
      </c>
      <c r="T12" s="136">
        <f>B10</f>
        <v>2.2599999999999999E-4</v>
      </c>
      <c r="V12" s="52" t="s">
        <v>44</v>
      </c>
      <c r="W12" s="150">
        <f>B252</f>
        <v>5</v>
      </c>
      <c r="X12" s="84" t="s">
        <v>194</v>
      </c>
      <c r="Y12" s="52" t="s">
        <v>44</v>
      </c>
      <c r="Z12" s="150">
        <f>B233</f>
        <v>5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B262</f>
        <v>5</v>
      </c>
      <c r="AG12" s="150">
        <f>B273</f>
        <v>5</v>
      </c>
      <c r="AH12" s="83" t="s">
        <v>194</v>
      </c>
      <c r="AI12" s="52" t="s">
        <v>300</v>
      </c>
      <c r="AJ12" s="136">
        <f>B3</f>
        <v>2.41E-4</v>
      </c>
      <c r="AL12" s="52" t="s">
        <v>300</v>
      </c>
      <c r="AM12" s="136">
        <f>B6</f>
        <v>1.17E-4</v>
      </c>
      <c r="AO12" s="52" t="s">
        <v>300</v>
      </c>
      <c r="AP12" s="136">
        <f>B10</f>
        <v>2.2599999999999999E-4</v>
      </c>
      <c r="AR12" s="52" t="s">
        <v>300</v>
      </c>
      <c r="AS12" s="136">
        <f>B3</f>
        <v>2.41E-4</v>
      </c>
      <c r="AU12" s="52" t="s">
        <v>300</v>
      </c>
      <c r="AV12" s="136">
        <f>B6</f>
        <v>1.17E-4</v>
      </c>
      <c r="AX12" s="52" t="s">
        <v>300</v>
      </c>
      <c r="AY12" s="136">
        <f>B10</f>
        <v>2.2599999999999999E-4</v>
      </c>
      <c r="BA12" s="52" t="s">
        <v>300</v>
      </c>
      <c r="BB12" s="136">
        <f>B3</f>
        <v>2.41E-4</v>
      </c>
      <c r="BD12" s="52" t="s">
        <v>300</v>
      </c>
      <c r="BE12" s="136">
        <f>B6</f>
        <v>1.17E-4</v>
      </c>
      <c r="BG12" s="52" t="s">
        <v>300</v>
      </c>
      <c r="BH12" s="136">
        <f>B10</f>
        <v>2.2599999999999999E-4</v>
      </c>
      <c r="BJ12" s="52" t="s">
        <v>158</v>
      </c>
      <c r="BK12" s="138">
        <f>B258</f>
        <v>1</v>
      </c>
      <c r="BL12" s="52" t="s">
        <v>146</v>
      </c>
      <c r="BM12" s="52" t="s">
        <v>158</v>
      </c>
      <c r="BN12" s="138">
        <f>B258</f>
        <v>1</v>
      </c>
      <c r="BO12" s="52" t="s">
        <v>146</v>
      </c>
      <c r="BP12" s="52" t="s">
        <v>158</v>
      </c>
      <c r="BQ12" s="138">
        <f>B258</f>
        <v>1</v>
      </c>
      <c r="BR12" s="52" t="s">
        <v>146</v>
      </c>
      <c r="BS12" s="83" t="s">
        <v>430</v>
      </c>
      <c r="BT12" s="141">
        <f>B104</f>
        <v>10</v>
      </c>
      <c r="BU12" s="92" t="s">
        <v>407</v>
      </c>
      <c r="BV12" s="83" t="s">
        <v>266</v>
      </c>
      <c r="BW12" s="145">
        <f>(BW5/(BW8*(1/BW29)*BW16))*BW32*BW33*BW34</f>
        <v>6.5095634877094881E-9</v>
      </c>
      <c r="BX12" s="92" t="s">
        <v>13</v>
      </c>
      <c r="BY12" s="91" t="s">
        <v>231</v>
      </c>
      <c r="BZ12" s="136">
        <f>B30</f>
        <v>432</v>
      </c>
      <c r="CA12" s="52" t="s">
        <v>60</v>
      </c>
      <c r="CB12" s="52" t="s">
        <v>413</v>
      </c>
      <c r="CC12" s="136">
        <f>B4</f>
        <v>0.753</v>
      </c>
      <c r="CE12" s="52" t="s">
        <v>414</v>
      </c>
      <c r="CF12" s="136">
        <f>B7</f>
        <v>0.74299999999999999</v>
      </c>
      <c r="CH12" s="52" t="s">
        <v>416</v>
      </c>
      <c r="CI12" s="136">
        <f>B11</f>
        <v>0.66200000000000003</v>
      </c>
      <c r="CN12" s="84" t="s">
        <v>162</v>
      </c>
      <c r="CO12" s="162">
        <f>B131</f>
        <v>2</v>
      </c>
      <c r="CP12" s="52" t="s">
        <v>41</v>
      </c>
      <c r="CT12" s="83" t="s">
        <v>22</v>
      </c>
      <c r="CU12" s="137">
        <f>0.693/CU13</f>
        <v>1.6041666666666665E-3</v>
      </c>
      <c r="CW12" s="83" t="s">
        <v>506</v>
      </c>
      <c r="CX12" s="140">
        <f>((CX16/24)*CX23*CX13*CX25)+((CX15/24)*CX24*CX14*CX26)</f>
        <v>1387.5</v>
      </c>
      <c r="CY12" s="52" t="s">
        <v>426</v>
      </c>
      <c r="CZ12" s="91" t="s">
        <v>231</v>
      </c>
      <c r="DA12" s="136">
        <f>B30</f>
        <v>432</v>
      </c>
      <c r="DB12" s="52" t="s">
        <v>60</v>
      </c>
      <c r="DC12" s="83" t="s">
        <v>467</v>
      </c>
      <c r="DD12" s="146">
        <f>B147</f>
        <v>55</v>
      </c>
      <c r="DE12" s="92" t="s">
        <v>221</v>
      </c>
      <c r="DF12" s="92" t="s">
        <v>52</v>
      </c>
      <c r="DG12" s="138">
        <f>B191</f>
        <v>10950</v>
      </c>
      <c r="DH12" s="52" t="s">
        <v>53</v>
      </c>
      <c r="DI12" s="84" t="s">
        <v>16</v>
      </c>
      <c r="DJ12" s="137">
        <f>(DJ9*DJ10)/(1-EXP(-DJ10*DJ9))</f>
        <v>1.0008022977791844</v>
      </c>
      <c r="DL12" s="92"/>
      <c r="DO12" s="92" t="s">
        <v>52</v>
      </c>
      <c r="DP12" s="138">
        <f>B191</f>
        <v>10950</v>
      </c>
      <c r="DQ12" s="52" t="s">
        <v>53</v>
      </c>
      <c r="DR12" s="83" t="s">
        <v>465</v>
      </c>
      <c r="DS12" s="150">
        <f>B166</f>
        <v>150</v>
      </c>
      <c r="DT12" s="83" t="s">
        <v>24</v>
      </c>
      <c r="DU12" s="92"/>
      <c r="DX12" s="83" t="s">
        <v>500</v>
      </c>
      <c r="DY12" s="138">
        <f>B203</f>
        <v>1</v>
      </c>
      <c r="EA12" s="83" t="s">
        <v>500</v>
      </c>
      <c r="EB12" s="138">
        <f>B203</f>
        <v>1</v>
      </c>
      <c r="EC12" s="84"/>
      <c r="ED12" s="83" t="s">
        <v>500</v>
      </c>
      <c r="EE12" s="138">
        <f>B203</f>
        <v>1</v>
      </c>
      <c r="EF12" s="84"/>
      <c r="EG12" s="83" t="s">
        <v>465</v>
      </c>
      <c r="EH12" s="150">
        <f>B166</f>
        <v>150</v>
      </c>
      <c r="EI12" s="83" t="s">
        <v>24</v>
      </c>
      <c r="EJ12" s="92"/>
      <c r="EM12" s="83" t="s">
        <v>496</v>
      </c>
      <c r="EN12" s="138">
        <f>B208</f>
        <v>1</v>
      </c>
      <c r="EP12" s="83" t="s">
        <v>496</v>
      </c>
      <c r="EQ12" s="138">
        <f>B208</f>
        <v>1</v>
      </c>
      <c r="ER12" s="84"/>
      <c r="ES12" s="83" t="s">
        <v>496</v>
      </c>
      <c r="ET12" s="138">
        <f>B208</f>
        <v>1</v>
      </c>
      <c r="EU12" s="84"/>
      <c r="EV12" s="83" t="s">
        <v>465</v>
      </c>
      <c r="EW12" s="150">
        <f>B166</f>
        <v>150</v>
      </c>
      <c r="EX12" s="83" t="s">
        <v>24</v>
      </c>
      <c r="EY12" s="83"/>
      <c r="EZ12" s="83"/>
      <c r="FA12" s="83"/>
      <c r="FB12" s="83" t="s">
        <v>153</v>
      </c>
      <c r="FC12" s="164">
        <f>B213</f>
        <v>1</v>
      </c>
      <c r="FD12" s="83"/>
      <c r="FE12" s="83" t="s">
        <v>153</v>
      </c>
      <c r="FF12" s="164">
        <f>B213</f>
        <v>1</v>
      </c>
      <c r="FG12" s="83"/>
      <c r="FH12" s="83" t="s">
        <v>153</v>
      </c>
      <c r="FI12" s="164">
        <f>B213</f>
        <v>1</v>
      </c>
      <c r="FJ12" s="84"/>
      <c r="FK12" s="83" t="s">
        <v>465</v>
      </c>
      <c r="FL12" s="150">
        <f>B166</f>
        <v>150</v>
      </c>
      <c r="FM12" s="83" t="s">
        <v>24</v>
      </c>
      <c r="FN12" s="83"/>
      <c r="FO12" s="83"/>
      <c r="FP12" s="83"/>
      <c r="FQ12" s="88"/>
      <c r="FR12" s="227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B166</f>
        <v>150</v>
      </c>
      <c r="GB12" s="83" t="s">
        <v>24</v>
      </c>
      <c r="GC12" s="83"/>
      <c r="GD12" s="83"/>
      <c r="GE12" s="83"/>
      <c r="GF12" s="83" t="s">
        <v>488</v>
      </c>
      <c r="GG12" s="142">
        <f>B218</f>
        <v>1</v>
      </c>
      <c r="GH12" s="83"/>
      <c r="GI12" s="83" t="s">
        <v>488</v>
      </c>
      <c r="GJ12" s="142">
        <f>B218</f>
        <v>1</v>
      </c>
      <c r="GK12" s="83"/>
      <c r="GL12" s="83" t="s">
        <v>488</v>
      </c>
      <c r="GM12" s="142">
        <f>B218</f>
        <v>1</v>
      </c>
      <c r="GN12" s="84"/>
      <c r="GO12" s="83" t="s">
        <v>465</v>
      </c>
      <c r="GP12" s="150">
        <f>B166</f>
        <v>150</v>
      </c>
      <c r="GQ12" s="83" t="s">
        <v>24</v>
      </c>
      <c r="GR12" s="83"/>
      <c r="GS12" s="83"/>
      <c r="GT12" s="83"/>
      <c r="GU12" s="83" t="s">
        <v>492</v>
      </c>
      <c r="GV12" s="142">
        <f>B223</f>
        <v>1</v>
      </c>
      <c r="GW12" s="83"/>
      <c r="GX12" s="83" t="s">
        <v>492</v>
      </c>
      <c r="GY12" s="142">
        <f>B223</f>
        <v>1</v>
      </c>
      <c r="GZ12" s="83"/>
      <c r="HA12" s="83" t="s">
        <v>492</v>
      </c>
      <c r="HB12" s="142">
        <f>B223</f>
        <v>1</v>
      </c>
      <c r="HC12" s="84"/>
      <c r="HD12" s="84" t="s">
        <v>47</v>
      </c>
      <c r="HE12" s="163">
        <v>1</v>
      </c>
    </row>
    <row r="13" spans="1:214" ht="13.5" thickBot="1" x14ac:dyDescent="0.25">
      <c r="A13" s="118" t="s">
        <v>245</v>
      </c>
      <c r="B13" s="230">
        <v>0.80900000000000005</v>
      </c>
      <c r="C13" s="119"/>
      <c r="D13" s="83" t="s">
        <v>366</v>
      </c>
      <c r="E13" s="141">
        <f>B50</f>
        <v>5</v>
      </c>
      <c r="F13" s="92" t="s">
        <v>407</v>
      </c>
      <c r="G13" s="83" t="s">
        <v>263</v>
      </c>
      <c r="H13" s="144">
        <f>(H14/((1/H40)*(H48+H49+H50)))*H70*H71*H73</f>
        <v>1.865749504300925E-15</v>
      </c>
      <c r="I13" s="92" t="s">
        <v>13</v>
      </c>
      <c r="J13" s="91" t="s">
        <v>231</v>
      </c>
      <c r="K13" s="136">
        <f>B30</f>
        <v>432</v>
      </c>
      <c r="L13" s="52" t="s">
        <v>60</v>
      </c>
      <c r="M13" s="52" t="s">
        <v>54</v>
      </c>
      <c r="N13" s="136">
        <f>B4</f>
        <v>0.753</v>
      </c>
      <c r="P13" s="52" t="s">
        <v>54</v>
      </c>
      <c r="Q13" s="136">
        <f>B7</f>
        <v>0.74299999999999999</v>
      </c>
      <c r="S13" s="52" t="s">
        <v>54</v>
      </c>
      <c r="T13" s="136">
        <f>B11</f>
        <v>0.66200000000000003</v>
      </c>
      <c r="V13" s="52" t="s">
        <v>50</v>
      </c>
      <c r="W13" s="146">
        <f>B246</f>
        <v>50</v>
      </c>
      <c r="X13" s="84" t="s">
        <v>407</v>
      </c>
      <c r="Y13" s="52" t="s">
        <v>50</v>
      </c>
      <c r="Z13" s="146">
        <f>B226</f>
        <v>50</v>
      </c>
      <c r="AA13" s="84" t="s">
        <v>407</v>
      </c>
      <c r="AB13" s="83" t="s">
        <v>349</v>
      </c>
      <c r="AC13" s="146">
        <f>B229</f>
        <v>50</v>
      </c>
      <c r="AD13" s="146">
        <f>B239</f>
        <v>50</v>
      </c>
      <c r="AE13" s="146">
        <f>B249</f>
        <v>50</v>
      </c>
      <c r="AF13" s="146">
        <f>B259</f>
        <v>200</v>
      </c>
      <c r="AG13" s="146">
        <f>B271</f>
        <v>200</v>
      </c>
      <c r="AH13" s="52" t="s">
        <v>48</v>
      </c>
      <c r="AI13" s="52" t="s">
        <v>54</v>
      </c>
      <c r="AJ13" s="136">
        <f>B4</f>
        <v>0.753</v>
      </c>
      <c r="AL13" s="52" t="s">
        <v>54</v>
      </c>
      <c r="AM13" s="136">
        <f>B7</f>
        <v>0.74299999999999999</v>
      </c>
      <c r="AO13" s="52" t="s">
        <v>54</v>
      </c>
      <c r="AP13" s="136">
        <f>B11</f>
        <v>0.66200000000000003</v>
      </c>
      <c r="AR13" s="52" t="s">
        <v>54</v>
      </c>
      <c r="AS13" s="136">
        <f>B4</f>
        <v>0.753</v>
      </c>
      <c r="AU13" s="52" t="s">
        <v>54</v>
      </c>
      <c r="AV13" s="136">
        <f>B7</f>
        <v>0.74299999999999999</v>
      </c>
      <c r="AX13" s="52" t="s">
        <v>54</v>
      </c>
      <c r="AY13" s="136">
        <f>B11</f>
        <v>0.66200000000000003</v>
      </c>
      <c r="BA13" s="52" t="s">
        <v>54</v>
      </c>
      <c r="BB13" s="136">
        <f>B4</f>
        <v>0.753</v>
      </c>
      <c r="BD13" s="52" t="s">
        <v>54</v>
      </c>
      <c r="BE13" s="136">
        <f>B7</f>
        <v>0.74299999999999999</v>
      </c>
      <c r="BG13" s="52" t="s">
        <v>54</v>
      </c>
      <c r="BH13" s="136">
        <f>B11</f>
        <v>0.66200000000000003</v>
      </c>
      <c r="BJ13" s="52" t="s">
        <v>300</v>
      </c>
      <c r="BK13" s="136">
        <f>B3</f>
        <v>2.41E-4</v>
      </c>
      <c r="BM13" s="52" t="s">
        <v>300</v>
      </c>
      <c r="BN13" s="136">
        <f>B6</f>
        <v>1.17E-4</v>
      </c>
      <c r="BP13" s="52" t="s">
        <v>300</v>
      </c>
      <c r="BQ13" s="136">
        <f>B10</f>
        <v>2.2599999999999999E-4</v>
      </c>
      <c r="BS13" s="52" t="s">
        <v>431</v>
      </c>
      <c r="BT13" s="141">
        <f>B116</f>
        <v>5</v>
      </c>
      <c r="BU13" s="52" t="s">
        <v>194</v>
      </c>
      <c r="BV13" s="83" t="s">
        <v>440</v>
      </c>
      <c r="BW13" s="160">
        <f>((BW18*BW20*BW23*BW14*BW30)+(BW19*BW21*BW24*BW15*BW31))</f>
        <v>2750</v>
      </c>
      <c r="BX13" s="83" t="s">
        <v>345</v>
      </c>
      <c r="BY13" s="83" t="s">
        <v>260</v>
      </c>
      <c r="BZ13" s="143">
        <f>((BZ5/(BZ6*BZ16*(1/BZ33)))*BZ10)*BZ36*BZ37*BZ12</f>
        <v>9.8601622426960897E-5</v>
      </c>
      <c r="CA13" s="92" t="s">
        <v>12</v>
      </c>
      <c r="CB13" s="52" t="s">
        <v>90</v>
      </c>
      <c r="CC13" s="138">
        <f>B118</f>
        <v>5</v>
      </c>
      <c r="CD13" s="52" t="s">
        <v>194</v>
      </c>
      <c r="CE13" s="52" t="s">
        <v>90</v>
      </c>
      <c r="CF13" s="138">
        <f>B118</f>
        <v>5</v>
      </c>
      <c r="CG13" s="52" t="s">
        <v>194</v>
      </c>
      <c r="CH13" s="52" t="s">
        <v>90</v>
      </c>
      <c r="CI13" s="138">
        <f>B118</f>
        <v>5</v>
      </c>
      <c r="CJ13" s="52" t="s">
        <v>194</v>
      </c>
      <c r="CN13" s="84" t="s">
        <v>163</v>
      </c>
      <c r="CO13" s="162">
        <f>B132</f>
        <v>2</v>
      </c>
      <c r="CP13" s="52" t="s">
        <v>41</v>
      </c>
      <c r="CT13" s="91" t="s">
        <v>231</v>
      </c>
      <c r="CU13" s="136">
        <f>B30</f>
        <v>432</v>
      </c>
      <c r="CV13" s="52" t="s">
        <v>60</v>
      </c>
      <c r="CW13" s="83" t="s">
        <v>450</v>
      </c>
      <c r="CX13" s="141">
        <f>B145</f>
        <v>5</v>
      </c>
      <c r="CY13" s="92" t="s">
        <v>407</v>
      </c>
      <c r="CZ13" s="83" t="s">
        <v>260</v>
      </c>
      <c r="DA13" s="143">
        <f>(DA5/(DA6*DA24))*DA51*DA52*DA12</f>
        <v>1.6954258460140813E-9</v>
      </c>
      <c r="DB13" s="83" t="s">
        <v>13</v>
      </c>
      <c r="DC13" s="83" t="s">
        <v>468</v>
      </c>
      <c r="DD13" s="146">
        <f>B148</f>
        <v>55</v>
      </c>
      <c r="DE13" s="92" t="s">
        <v>221</v>
      </c>
      <c r="DF13" s="92" t="s">
        <v>55</v>
      </c>
      <c r="DG13" s="138">
        <f>B192</f>
        <v>240</v>
      </c>
      <c r="DH13" s="52" t="s">
        <v>56</v>
      </c>
      <c r="DJ13" s="138"/>
      <c r="DL13" s="92"/>
      <c r="DO13" s="92" t="s">
        <v>55</v>
      </c>
      <c r="DP13" s="138">
        <f>B192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B204</f>
        <v>1</v>
      </c>
      <c r="EA13" s="83" t="s">
        <v>501</v>
      </c>
      <c r="EB13" s="138">
        <f>B204</f>
        <v>1</v>
      </c>
      <c r="EC13" s="84"/>
      <c r="ED13" s="83" t="s">
        <v>501</v>
      </c>
      <c r="EE13" s="138">
        <f>B204</f>
        <v>1</v>
      </c>
      <c r="EF13" s="84"/>
      <c r="EG13" s="83" t="s">
        <v>363</v>
      </c>
      <c r="EH13" s="150">
        <f>B168</f>
        <v>1</v>
      </c>
      <c r="EI13" s="84" t="s">
        <v>60</v>
      </c>
      <c r="EJ13" s="92"/>
      <c r="EM13" s="83" t="s">
        <v>497</v>
      </c>
      <c r="EN13" s="138">
        <f>B209</f>
        <v>1</v>
      </c>
      <c r="EP13" s="83" t="s">
        <v>497</v>
      </c>
      <c r="EQ13" s="138">
        <f>B209</f>
        <v>1</v>
      </c>
      <c r="ER13" s="84"/>
      <c r="ES13" s="83" t="s">
        <v>497</v>
      </c>
      <c r="ET13" s="138">
        <f>B209</f>
        <v>1</v>
      </c>
      <c r="EU13" s="84"/>
      <c r="EV13" s="83" t="s">
        <v>363</v>
      </c>
      <c r="EW13" s="150">
        <f>B168</f>
        <v>1</v>
      </c>
      <c r="EX13" s="84" t="s">
        <v>60</v>
      </c>
      <c r="EY13" s="83"/>
      <c r="EZ13" s="83"/>
      <c r="FA13" s="83"/>
      <c r="FB13" s="83" t="s">
        <v>154</v>
      </c>
      <c r="FC13" s="164">
        <f>B214</f>
        <v>1</v>
      </c>
      <c r="FD13" s="83"/>
      <c r="FE13" s="83" t="s">
        <v>154</v>
      </c>
      <c r="FF13" s="164">
        <f>B214</f>
        <v>1</v>
      </c>
      <c r="FG13" s="83"/>
      <c r="FH13" s="83" t="s">
        <v>154</v>
      </c>
      <c r="FI13" s="164">
        <f>B214</f>
        <v>1</v>
      </c>
      <c r="FJ13" s="84"/>
      <c r="FK13" s="83" t="s">
        <v>363</v>
      </c>
      <c r="FL13" s="141">
        <f>B168</f>
        <v>1</v>
      </c>
      <c r="FM13" s="92" t="s">
        <v>60</v>
      </c>
      <c r="FN13" s="83"/>
      <c r="FO13" s="83"/>
      <c r="FP13" s="83"/>
      <c r="FQ13" s="88"/>
      <c r="FR13" s="227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B168</f>
        <v>1</v>
      </c>
      <c r="GB13" s="92" t="s">
        <v>60</v>
      </c>
      <c r="GC13" s="83"/>
      <c r="GD13" s="83"/>
      <c r="GE13" s="83"/>
      <c r="GF13" s="83" t="s">
        <v>489</v>
      </c>
      <c r="GG13" s="142">
        <f>B219</f>
        <v>1</v>
      </c>
      <c r="GH13" s="83"/>
      <c r="GI13" s="83" t="s">
        <v>489</v>
      </c>
      <c r="GJ13" s="142">
        <f>B219</f>
        <v>1</v>
      </c>
      <c r="GK13" s="83"/>
      <c r="GL13" s="83" t="s">
        <v>489</v>
      </c>
      <c r="GM13" s="142">
        <f>B219</f>
        <v>1</v>
      </c>
      <c r="GN13" s="84"/>
      <c r="GO13" s="83" t="s">
        <v>363</v>
      </c>
      <c r="GP13" s="141">
        <f>B168</f>
        <v>1</v>
      </c>
      <c r="GQ13" s="92" t="s">
        <v>60</v>
      </c>
      <c r="GR13" s="83"/>
      <c r="GS13" s="83"/>
      <c r="GT13" s="83"/>
      <c r="GU13" s="83" t="s">
        <v>493</v>
      </c>
      <c r="GV13" s="142">
        <f>B224</f>
        <v>1</v>
      </c>
      <c r="GW13" s="83"/>
      <c r="GX13" s="83" t="s">
        <v>493</v>
      </c>
      <c r="GY13" s="142">
        <f>B224</f>
        <v>1</v>
      </c>
      <c r="GZ13" s="83"/>
      <c r="HA13" s="83" t="s">
        <v>493</v>
      </c>
      <c r="HB13" s="142">
        <f>B224</f>
        <v>1</v>
      </c>
      <c r="HC13" s="84"/>
      <c r="HD13" s="84" t="s">
        <v>59</v>
      </c>
      <c r="HE13" s="150">
        <f>B45</f>
        <v>4</v>
      </c>
    </row>
    <row r="14" spans="1:214" ht="13.5" thickTop="1" x14ac:dyDescent="0.2">
      <c r="A14" s="372" t="s">
        <v>233</v>
      </c>
      <c r="B14" s="373"/>
      <c r="C14" s="374"/>
      <c r="D14" s="83" t="s">
        <v>367</v>
      </c>
      <c r="E14" s="141">
        <f>B51</f>
        <v>10</v>
      </c>
      <c r="F14" s="92" t="s">
        <v>407</v>
      </c>
      <c r="G14" s="83" t="s">
        <v>264</v>
      </c>
      <c r="H14" s="145">
        <f>(H5/(H9*(H22+H25)*H41))*H70*H72*H73</f>
        <v>8.0788513944786455E-8</v>
      </c>
      <c r="I14" s="92" t="s">
        <v>12</v>
      </c>
      <c r="J14" s="83" t="s">
        <v>260</v>
      </c>
      <c r="K14" s="143">
        <f>((K5/(K6*K19*(1/K46)))*K11)*K53*K54*K13</f>
        <v>3.6153928223218995E-5</v>
      </c>
      <c r="L14" s="92" t="s">
        <v>12</v>
      </c>
      <c r="M14" s="52" t="s">
        <v>408</v>
      </c>
      <c r="N14" s="150">
        <f>B88</f>
        <v>5</v>
      </c>
      <c r="O14" s="52" t="s">
        <v>194</v>
      </c>
      <c r="P14" s="52" t="s">
        <v>408</v>
      </c>
      <c r="Q14" s="150">
        <f>B88</f>
        <v>5</v>
      </c>
      <c r="R14" s="52" t="s">
        <v>194</v>
      </c>
      <c r="S14" s="52" t="s">
        <v>408</v>
      </c>
      <c r="T14" s="150">
        <f>B88</f>
        <v>5</v>
      </c>
      <c r="U14" s="52" t="s">
        <v>194</v>
      </c>
      <c r="V14" s="83" t="s">
        <v>256</v>
      </c>
      <c r="W14" s="136">
        <f>B27</f>
        <v>125.5296</v>
      </c>
      <c r="X14" s="83" t="s">
        <v>343</v>
      </c>
      <c r="Y14" s="83" t="s">
        <v>256</v>
      </c>
      <c r="Z14" s="136">
        <f>B27</f>
        <v>125.5296</v>
      </c>
      <c r="AA14" s="83" t="s">
        <v>343</v>
      </c>
      <c r="AB14" s="83" t="s">
        <v>300</v>
      </c>
      <c r="AC14" s="161">
        <f>B3</f>
        <v>2.41E-4</v>
      </c>
      <c r="AD14" s="161">
        <f>B3</f>
        <v>2.41E-4</v>
      </c>
      <c r="AE14" s="161">
        <f>B3</f>
        <v>2.41E-4</v>
      </c>
      <c r="AF14" s="161">
        <f>B3</f>
        <v>2.41E-4</v>
      </c>
      <c r="AG14" s="161">
        <f>B3</f>
        <v>2.41E-4</v>
      </c>
      <c r="AH14" s="92"/>
      <c r="AI14" s="52" t="s">
        <v>57</v>
      </c>
      <c r="AJ14" s="136">
        <f>B242</f>
        <v>5</v>
      </c>
      <c r="AK14" s="52" t="s">
        <v>194</v>
      </c>
      <c r="AL14" s="52" t="s">
        <v>57</v>
      </c>
      <c r="AM14" s="136">
        <f>B242</f>
        <v>5</v>
      </c>
      <c r="AN14" s="52" t="s">
        <v>194</v>
      </c>
      <c r="AO14" s="52" t="s">
        <v>57</v>
      </c>
      <c r="AP14" s="136">
        <f>B242</f>
        <v>5</v>
      </c>
      <c r="AQ14" s="52" t="s">
        <v>194</v>
      </c>
      <c r="AR14" s="52" t="s">
        <v>57</v>
      </c>
      <c r="AS14" s="136">
        <f>B252</f>
        <v>5</v>
      </c>
      <c r="AT14" s="52" t="s">
        <v>194</v>
      </c>
      <c r="AU14" s="52" t="s">
        <v>57</v>
      </c>
      <c r="AV14" s="136">
        <f>B252</f>
        <v>5</v>
      </c>
      <c r="AW14" s="52" t="s">
        <v>194</v>
      </c>
      <c r="AX14" s="52" t="s">
        <v>57</v>
      </c>
      <c r="AY14" s="136">
        <f>B252</f>
        <v>5</v>
      </c>
      <c r="AZ14" s="52" t="s">
        <v>194</v>
      </c>
      <c r="BA14" s="52" t="s">
        <v>57</v>
      </c>
      <c r="BB14" s="136">
        <f>B232</f>
        <v>5</v>
      </c>
      <c r="BC14" s="52" t="s">
        <v>194</v>
      </c>
      <c r="BD14" s="52" t="s">
        <v>57</v>
      </c>
      <c r="BE14" s="136">
        <f>B232</f>
        <v>5</v>
      </c>
      <c r="BF14" s="52" t="s">
        <v>194</v>
      </c>
      <c r="BG14" s="52" t="s">
        <v>58</v>
      </c>
      <c r="BH14" s="136">
        <f>B232</f>
        <v>5</v>
      </c>
      <c r="BI14" s="52" t="s">
        <v>194</v>
      </c>
      <c r="BJ14" s="52" t="s">
        <v>413</v>
      </c>
      <c r="BK14" s="136">
        <f>B4</f>
        <v>0.753</v>
      </c>
      <c r="BM14" s="52" t="s">
        <v>414</v>
      </c>
      <c r="BN14" s="136">
        <f>B7</f>
        <v>0.74299999999999999</v>
      </c>
      <c r="BP14" s="52" t="s">
        <v>416</v>
      </c>
      <c r="BQ14" s="136">
        <f>B11</f>
        <v>0.66200000000000003</v>
      </c>
      <c r="BS14" s="52" t="s">
        <v>432</v>
      </c>
      <c r="BT14" s="141">
        <f>B117</f>
        <v>5</v>
      </c>
      <c r="BU14" s="52" t="s">
        <v>194</v>
      </c>
      <c r="BV14" s="83" t="s">
        <v>439</v>
      </c>
      <c r="BW14" s="146">
        <f>B105</f>
        <v>2</v>
      </c>
      <c r="BX14" s="83" t="s">
        <v>357</v>
      </c>
      <c r="BY14" s="83" t="s">
        <v>261</v>
      </c>
      <c r="BZ14" s="144">
        <f>((BZ5/(BZ7*BZ17*(1/BZ9)*BZ32))*BZ10)*BZ36*BZ37*BZ12</f>
        <v>1.0846624838055003E-2</v>
      </c>
      <c r="CA14" s="92" t="s">
        <v>12</v>
      </c>
      <c r="CB14" s="52" t="s">
        <v>412</v>
      </c>
      <c r="CC14" s="139">
        <f>B22</f>
        <v>3.7173200000000003E-2</v>
      </c>
      <c r="CD14" s="84" t="s">
        <v>353</v>
      </c>
      <c r="CE14" s="52" t="s">
        <v>415</v>
      </c>
      <c r="CF14" s="139">
        <f>B24</f>
        <v>1.83064E-2</v>
      </c>
      <c r="CG14" s="84" t="s">
        <v>353</v>
      </c>
      <c r="CH14" s="52" t="s">
        <v>417</v>
      </c>
      <c r="CI14" s="139">
        <f>B26</f>
        <v>3.7173200000000003E-2</v>
      </c>
      <c r="CJ14" s="84" t="s">
        <v>353</v>
      </c>
      <c r="CK14" s="84"/>
      <c r="CL14" s="84"/>
      <c r="CM14" s="84"/>
      <c r="CN14" s="52" t="s">
        <v>95</v>
      </c>
      <c r="CO14" s="164">
        <f>B127</f>
        <v>1</v>
      </c>
      <c r="CQ14" s="84"/>
      <c r="CR14" s="84"/>
      <c r="CS14" s="84"/>
      <c r="CT14" s="83" t="s">
        <v>260</v>
      </c>
      <c r="CU14" s="143">
        <f>((CU5/(CU6*CU25*(1/CU46)))*CU11)*CU49*CU50*CU13</f>
        <v>3.8668984099616856E-5</v>
      </c>
      <c r="CV14" s="92" t="s">
        <v>12</v>
      </c>
      <c r="CW14" s="83" t="s">
        <v>459</v>
      </c>
      <c r="CX14" s="141">
        <f>B146</f>
        <v>10</v>
      </c>
      <c r="CY14" s="92" t="s">
        <v>407</v>
      </c>
      <c r="CZ14" s="83" t="s">
        <v>261</v>
      </c>
      <c r="DA14" s="144">
        <f>(DA5/(DA7*DA25*DA45))*DA51*DA52*DA12</f>
        <v>1.1672780640794527E-12</v>
      </c>
      <c r="DB14" s="83" t="s">
        <v>13</v>
      </c>
      <c r="DC14" s="83" t="s">
        <v>465</v>
      </c>
      <c r="DD14" s="146">
        <f>B166</f>
        <v>150</v>
      </c>
      <c r="DE14" s="83" t="s">
        <v>24</v>
      </c>
      <c r="DF14" s="92" t="s">
        <v>393</v>
      </c>
      <c r="DG14" s="138">
        <f>B47</f>
        <v>0.26</v>
      </c>
      <c r="DJ14" s="138"/>
      <c r="DL14" s="92"/>
      <c r="DO14" s="92" t="s">
        <v>393</v>
      </c>
      <c r="DP14" s="138">
        <f>B47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B200</f>
        <v>1.03</v>
      </c>
      <c r="DZ14" s="52" t="s">
        <v>286</v>
      </c>
      <c r="EA14" s="52" t="s">
        <v>518</v>
      </c>
      <c r="EB14" s="146">
        <f>B200</f>
        <v>1.03</v>
      </c>
      <c r="EC14" s="52" t="s">
        <v>286</v>
      </c>
      <c r="ED14" s="92" t="s">
        <v>392</v>
      </c>
      <c r="EE14" s="163">
        <f>B48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B168</f>
        <v>1</v>
      </c>
      <c r="EP14" s="92"/>
      <c r="EQ14" s="163"/>
      <c r="ER14" s="84"/>
      <c r="ES14" s="92" t="s">
        <v>392</v>
      </c>
      <c r="ET14" s="163">
        <f>B48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B168</f>
        <v>1</v>
      </c>
      <c r="FE14" s="83"/>
      <c r="FF14" s="142"/>
      <c r="FG14" s="83"/>
      <c r="FH14" s="83" t="s">
        <v>392</v>
      </c>
      <c r="FI14" s="142">
        <f>B48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227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B168</f>
        <v>1</v>
      </c>
      <c r="GI14" s="83"/>
      <c r="GJ14" s="142"/>
      <c r="GK14" s="83"/>
      <c r="GL14" s="83" t="s">
        <v>392</v>
      </c>
      <c r="GM14" s="142">
        <f>B48</f>
        <v>0.25</v>
      </c>
      <c r="GN14" s="84"/>
      <c r="GO14" s="92" t="s">
        <v>484</v>
      </c>
      <c r="GP14" s="146">
        <f>B188</f>
        <v>1</v>
      </c>
      <c r="GR14" s="83"/>
      <c r="GS14" s="83"/>
      <c r="GT14" s="83"/>
      <c r="GU14" s="52" t="s">
        <v>350</v>
      </c>
      <c r="GV14" s="164">
        <f>B168</f>
        <v>1</v>
      </c>
      <c r="GX14" s="83"/>
      <c r="GY14" s="142"/>
      <c r="GZ14" s="83"/>
      <c r="HA14" s="83" t="s">
        <v>392</v>
      </c>
      <c r="HB14" s="142">
        <f>B48</f>
        <v>0.25</v>
      </c>
      <c r="HC14" s="84"/>
      <c r="HD14" s="52" t="s">
        <v>225</v>
      </c>
      <c r="HE14" s="138">
        <v>1</v>
      </c>
    </row>
    <row r="15" spans="1:214" x14ac:dyDescent="0.2">
      <c r="A15" s="375"/>
      <c r="B15" s="376"/>
      <c r="C15" s="377"/>
      <c r="D15" s="52" t="s">
        <v>384</v>
      </c>
      <c r="E15" s="138">
        <f>B71</f>
        <v>24</v>
      </c>
      <c r="F15" s="52" t="s">
        <v>194</v>
      </c>
      <c r="G15" s="83" t="s">
        <v>395</v>
      </c>
      <c r="H15" s="147">
        <f>(H29*H17*H68)+(H30*H18*H69)</f>
        <v>181.875</v>
      </c>
      <c r="I15" s="83" t="s">
        <v>345</v>
      </c>
      <c r="J15" s="83" t="s">
        <v>261</v>
      </c>
      <c r="K15" s="144">
        <f>((K5/(K7*K20*(1/K10)*K45))*K11)*K53*K54*K13</f>
        <v>8.2856161957364598E-4</v>
      </c>
      <c r="L15" s="92" t="s">
        <v>12</v>
      </c>
      <c r="M15" s="52" t="s">
        <v>412</v>
      </c>
      <c r="N15" s="139">
        <f>B22</f>
        <v>3.7173200000000003E-2</v>
      </c>
      <c r="O15" s="84" t="s">
        <v>353</v>
      </c>
      <c r="P15" s="52" t="s">
        <v>415</v>
      </c>
      <c r="Q15" s="139">
        <f>B24</f>
        <v>1.83064E-2</v>
      </c>
      <c r="R15" s="84" t="s">
        <v>353</v>
      </c>
      <c r="S15" s="52" t="s">
        <v>417</v>
      </c>
      <c r="T15" s="139">
        <f>B26</f>
        <v>3.7173200000000003E-2</v>
      </c>
      <c r="U15" s="84" t="s">
        <v>353</v>
      </c>
      <c r="V15" s="83" t="s">
        <v>301</v>
      </c>
      <c r="W15" s="142">
        <f>B250</f>
        <v>2</v>
      </c>
      <c r="Y15" s="83" t="s">
        <v>301</v>
      </c>
      <c r="Z15" s="142">
        <f>B230</f>
        <v>2</v>
      </c>
      <c r="AB15" s="83" t="s">
        <v>232</v>
      </c>
      <c r="AC15" s="141">
        <f>B226</f>
        <v>50</v>
      </c>
      <c r="AD15" s="141">
        <f>B236</f>
        <v>50</v>
      </c>
      <c r="AE15" s="141">
        <f>B246</f>
        <v>50</v>
      </c>
      <c r="AF15" s="141">
        <f>B256</f>
        <v>50</v>
      </c>
      <c r="AG15" s="141">
        <f>B268</f>
        <v>50</v>
      </c>
      <c r="AH15" s="92" t="s">
        <v>407</v>
      </c>
      <c r="AI15" s="52" t="s">
        <v>412</v>
      </c>
      <c r="AJ15" s="139">
        <f>B22</f>
        <v>3.7173200000000003E-2</v>
      </c>
      <c r="AK15" s="84" t="s">
        <v>353</v>
      </c>
      <c r="AL15" s="52" t="s">
        <v>415</v>
      </c>
      <c r="AM15" s="139">
        <f>B24</f>
        <v>1.83064E-2</v>
      </c>
      <c r="AN15" s="84" t="s">
        <v>353</v>
      </c>
      <c r="AO15" s="52" t="s">
        <v>417</v>
      </c>
      <c r="AP15" s="139">
        <f>B26</f>
        <v>3.7173200000000003E-2</v>
      </c>
      <c r="AQ15" s="84" t="s">
        <v>353</v>
      </c>
      <c r="AR15" s="52" t="s">
        <v>412</v>
      </c>
      <c r="AS15" s="139">
        <f>B22</f>
        <v>3.7173200000000003E-2</v>
      </c>
      <c r="AT15" s="84" t="s">
        <v>353</v>
      </c>
      <c r="AU15" s="52" t="s">
        <v>415</v>
      </c>
      <c r="AV15" s="139">
        <f>B24</f>
        <v>1.83064E-2</v>
      </c>
      <c r="AW15" s="84" t="s">
        <v>353</v>
      </c>
      <c r="AX15" s="52" t="s">
        <v>417</v>
      </c>
      <c r="AY15" s="139">
        <f>B26</f>
        <v>3.7173200000000003E-2</v>
      </c>
      <c r="AZ15" s="84" t="s">
        <v>353</v>
      </c>
      <c r="BA15" s="52" t="s">
        <v>412</v>
      </c>
      <c r="BB15" s="139">
        <f>B22</f>
        <v>3.7173200000000003E-2</v>
      </c>
      <c r="BC15" s="84" t="s">
        <v>353</v>
      </c>
      <c r="BD15" s="52" t="s">
        <v>415</v>
      </c>
      <c r="BE15" s="139">
        <f>B24</f>
        <v>1.83064E-2</v>
      </c>
      <c r="BF15" s="84" t="s">
        <v>353</v>
      </c>
      <c r="BG15" s="52" t="s">
        <v>417</v>
      </c>
      <c r="BH15" s="139">
        <f>B26</f>
        <v>3.7173200000000003E-2</v>
      </c>
      <c r="BI15" s="84" t="s">
        <v>353</v>
      </c>
      <c r="BJ15" s="52" t="s">
        <v>57</v>
      </c>
      <c r="BK15" s="136">
        <f>B262</f>
        <v>5</v>
      </c>
      <c r="BL15" s="52" t="s">
        <v>194</v>
      </c>
      <c r="BM15" s="52" t="s">
        <v>57</v>
      </c>
      <c r="BN15" s="136">
        <f>B262</f>
        <v>5</v>
      </c>
      <c r="BO15" s="52" t="s">
        <v>194</v>
      </c>
      <c r="BP15" s="52" t="s">
        <v>57</v>
      </c>
      <c r="BQ15" s="136">
        <f>B262</f>
        <v>5</v>
      </c>
      <c r="BR15" s="52" t="s">
        <v>194</v>
      </c>
      <c r="BS15" s="52" t="s">
        <v>90</v>
      </c>
      <c r="BT15" s="138">
        <f>B118</f>
        <v>5</v>
      </c>
      <c r="BU15" s="52" t="s">
        <v>194</v>
      </c>
      <c r="BV15" s="83" t="s">
        <v>438</v>
      </c>
      <c r="BW15" s="146">
        <f>B106</f>
        <v>2</v>
      </c>
      <c r="BX15" s="83" t="s">
        <v>357</v>
      </c>
      <c r="BY15" s="83" t="s">
        <v>262</v>
      </c>
      <c r="BZ15" s="145">
        <f>(((BZ5)/(BZ8*BZ22*(1/BZ31)*BZ25*(1/24)*BZ28*BZ29))*BZ10)*BZ36*BZ37*BZ12</f>
        <v>1.3868516025394357</v>
      </c>
      <c r="CA15" s="92" t="s">
        <v>12</v>
      </c>
      <c r="CB15" s="94" t="s">
        <v>295</v>
      </c>
      <c r="CC15" s="150">
        <f>B278</f>
        <v>243</v>
      </c>
      <c r="CD15" s="90" t="s">
        <v>296</v>
      </c>
      <c r="CE15" s="94" t="s">
        <v>295</v>
      </c>
      <c r="CF15" s="150">
        <f>B278</f>
        <v>243</v>
      </c>
      <c r="CG15" s="90" t="s">
        <v>296</v>
      </c>
      <c r="CH15" s="94" t="s">
        <v>295</v>
      </c>
      <c r="CI15" s="150">
        <f>B278</f>
        <v>243</v>
      </c>
      <c r="CJ15" s="90" t="s">
        <v>296</v>
      </c>
      <c r="CN15" s="83" t="s">
        <v>22</v>
      </c>
      <c r="CO15" s="137">
        <f>0.693/CO16</f>
        <v>1.6041666666666665E-3</v>
      </c>
      <c r="CT15" s="83" t="s">
        <v>261</v>
      </c>
      <c r="CU15" s="144">
        <f>((CU5/(CU7*CU26*(1/CU10)*CU45))*CU11)*CU49*CU50*CU13</f>
        <v>7.9273192791640731E-4</v>
      </c>
      <c r="CV15" s="92" t="s">
        <v>12</v>
      </c>
      <c r="CW15" s="52" t="s">
        <v>365</v>
      </c>
      <c r="CX15" s="138">
        <f>B170</f>
        <v>24</v>
      </c>
      <c r="CY15" s="52" t="s">
        <v>194</v>
      </c>
      <c r="CZ15" s="83" t="s">
        <v>266</v>
      </c>
      <c r="DA15" s="153">
        <f>(DA5/(DA8*DA26*(DA46/DA47)))*DA51*DA52*DA12</f>
        <v>1.5702894378246574E-8</v>
      </c>
      <c r="DB15" s="83" t="s">
        <v>13</v>
      </c>
      <c r="DC15" s="83" t="s">
        <v>456</v>
      </c>
      <c r="DD15" s="146">
        <f>B165</f>
        <v>150</v>
      </c>
      <c r="DE15" s="83" t="s">
        <v>24</v>
      </c>
      <c r="DF15" s="92" t="s">
        <v>61</v>
      </c>
      <c r="DG15" s="138">
        <f>B193</f>
        <v>0.42</v>
      </c>
      <c r="DH15" s="52" t="s">
        <v>41</v>
      </c>
      <c r="DL15" s="92"/>
      <c r="DO15" s="92" t="s">
        <v>61</v>
      </c>
      <c r="DP15" s="138">
        <f>B193</f>
        <v>0.42</v>
      </c>
      <c r="DQ15" s="52" t="s">
        <v>41</v>
      </c>
      <c r="DR15" s="92" t="s">
        <v>479</v>
      </c>
      <c r="DS15" s="146">
        <f>B183</f>
        <v>1</v>
      </c>
      <c r="DU15" s="92"/>
      <c r="DX15" s="52" t="s">
        <v>350</v>
      </c>
      <c r="DY15" s="164">
        <f>B168</f>
        <v>1</v>
      </c>
      <c r="EA15" s="92"/>
      <c r="EB15" s="84"/>
      <c r="EC15" s="84"/>
      <c r="ED15" s="83" t="s">
        <v>27</v>
      </c>
      <c r="EE15" s="142">
        <f>B199</f>
        <v>92</v>
      </c>
      <c r="EF15" s="83" t="s">
        <v>28</v>
      </c>
      <c r="EG15" s="92" t="s">
        <v>480</v>
      </c>
      <c r="EH15" s="146">
        <f>B184</f>
        <v>1</v>
      </c>
      <c r="EJ15" s="92"/>
      <c r="EM15" s="83" t="s">
        <v>22</v>
      </c>
      <c r="EN15" s="137">
        <f>0.693/EN16</f>
        <v>1.6041666666666665E-3</v>
      </c>
      <c r="EP15" s="92"/>
      <c r="EQ15" s="84"/>
      <c r="ER15" s="84"/>
      <c r="ES15" s="83" t="s">
        <v>29</v>
      </c>
      <c r="ET15" s="142">
        <f>B205</f>
        <v>53</v>
      </c>
      <c r="EU15" s="83" t="s">
        <v>28</v>
      </c>
      <c r="EV15" s="92" t="s">
        <v>481</v>
      </c>
      <c r="EW15" s="146">
        <f>B185</f>
        <v>1</v>
      </c>
      <c r="EY15" s="83"/>
      <c r="EZ15" s="83"/>
      <c r="FA15" s="83"/>
      <c r="FB15" s="83" t="s">
        <v>22</v>
      </c>
      <c r="FC15" s="137">
        <f>0.693/FC16</f>
        <v>1.6041666666666665E-3</v>
      </c>
      <c r="FE15" s="83"/>
      <c r="FF15" s="83"/>
      <c r="FG15" s="83"/>
      <c r="FH15" s="83" t="s">
        <v>148</v>
      </c>
      <c r="FI15" s="164">
        <f>B210</f>
        <v>0.4</v>
      </c>
      <c r="FJ15" s="83" t="s">
        <v>28</v>
      </c>
      <c r="FK15" s="92" t="s">
        <v>482</v>
      </c>
      <c r="FL15" s="146">
        <f>B186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B187</f>
        <v>1</v>
      </c>
      <c r="GC15" s="83"/>
      <c r="GD15" s="83"/>
      <c r="GE15" s="83"/>
      <c r="GF15" s="83" t="s">
        <v>22</v>
      </c>
      <c r="GG15" s="137">
        <f>0.693/GG16</f>
        <v>1.6041666666666665E-3</v>
      </c>
      <c r="GI15" s="83"/>
      <c r="GJ15" s="83"/>
      <c r="GK15" s="83"/>
      <c r="GL15" s="83" t="s">
        <v>149</v>
      </c>
      <c r="GM15" s="164">
        <f>B215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1.6041666666666665E-3</v>
      </c>
      <c r="GX15" s="83"/>
      <c r="GY15" s="83"/>
      <c r="GZ15" s="83"/>
      <c r="HA15" s="83" t="s">
        <v>150</v>
      </c>
      <c r="HB15" s="142">
        <f>B220</f>
        <v>11.4</v>
      </c>
      <c r="HC15" s="83" t="s">
        <v>28</v>
      </c>
      <c r="HD15" s="84"/>
      <c r="HE15" s="138"/>
    </row>
    <row r="16" spans="1:214" s="83" customFormat="1" ht="13.5" thickBot="1" x14ac:dyDescent="0.25">
      <c r="A16" s="378"/>
      <c r="B16" s="379"/>
      <c r="C16" s="380"/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1327.5</v>
      </c>
      <c r="I16" s="83" t="s">
        <v>426</v>
      </c>
      <c r="J16" s="83" t="s">
        <v>262</v>
      </c>
      <c r="K16" s="144">
        <f>((K5/(K8*K42*((K37*K41*(1/K35))+(K38*K40*(1/K35)))*K32*(1/K44)*K33))*K11)*K53*K54*K13</f>
        <v>6.126834380343907E-5</v>
      </c>
      <c r="L16" s="92" t="s">
        <v>12</v>
      </c>
      <c r="M16" s="52" t="s">
        <v>409</v>
      </c>
      <c r="N16" s="150">
        <f>B89</f>
        <v>25</v>
      </c>
      <c r="O16" s="52" t="s">
        <v>194</v>
      </c>
      <c r="P16" s="52" t="s">
        <v>409</v>
      </c>
      <c r="Q16" s="150">
        <f>B89</f>
        <v>25</v>
      </c>
      <c r="R16" s="52" t="s">
        <v>194</v>
      </c>
      <c r="S16" s="52" t="s">
        <v>409</v>
      </c>
      <c r="T16" s="150">
        <f>B89</f>
        <v>25</v>
      </c>
      <c r="U16" s="52" t="s">
        <v>194</v>
      </c>
      <c r="V16" s="52" t="s">
        <v>261</v>
      </c>
      <c r="W16" s="143">
        <f>((W5)/((W12/24)*W9*W10*W11*W13))*W20*W21*W8</f>
        <v>6.2192575254153225E-13</v>
      </c>
      <c r="X16" s="52" t="s">
        <v>15</v>
      </c>
      <c r="Y16" s="52" t="s">
        <v>261</v>
      </c>
      <c r="Z16" s="143">
        <f>((Z5)/((Z12/24)*Z9*Z10*Z11*Z13))*Z20*Z21*Z8</f>
        <v>6.2192575254153225E-13</v>
      </c>
      <c r="AA16" s="52" t="s">
        <v>15</v>
      </c>
      <c r="AB16" s="83" t="s">
        <v>299</v>
      </c>
      <c r="AC16" s="141">
        <f>B231</f>
        <v>1</v>
      </c>
      <c r="AD16" s="141">
        <f>B241</f>
        <v>1</v>
      </c>
      <c r="AE16" s="141">
        <f>B251</f>
        <v>1</v>
      </c>
      <c r="AF16" s="141">
        <f>B261</f>
        <v>1</v>
      </c>
      <c r="AG16" s="141">
        <f>B272</f>
        <v>1</v>
      </c>
      <c r="AH16" s="92"/>
      <c r="AI16" s="52" t="s">
        <v>69</v>
      </c>
      <c r="AJ16" s="136">
        <f>B243</f>
        <v>5</v>
      </c>
      <c r="AK16" s="52" t="s">
        <v>194</v>
      </c>
      <c r="AL16" s="52" t="s">
        <v>69</v>
      </c>
      <c r="AM16" s="136">
        <f>B243</f>
        <v>5</v>
      </c>
      <c r="AN16" s="52" t="s">
        <v>194</v>
      </c>
      <c r="AO16" s="52" t="s">
        <v>69</v>
      </c>
      <c r="AP16" s="136">
        <f>B243</f>
        <v>5</v>
      </c>
      <c r="AQ16" s="52" t="s">
        <v>194</v>
      </c>
      <c r="AR16" s="52" t="s">
        <v>69</v>
      </c>
      <c r="AS16" s="136">
        <f>B253</f>
        <v>5</v>
      </c>
      <c r="AT16" s="52" t="s">
        <v>194</v>
      </c>
      <c r="AU16" s="52" t="s">
        <v>69</v>
      </c>
      <c r="AV16" s="136">
        <f>B253</f>
        <v>5</v>
      </c>
      <c r="AW16" s="52" t="s">
        <v>194</v>
      </c>
      <c r="AX16" s="52" t="s">
        <v>69</v>
      </c>
      <c r="AY16" s="136">
        <f>B253</f>
        <v>5</v>
      </c>
      <c r="AZ16" s="52" t="s">
        <v>194</v>
      </c>
      <c r="BA16" s="52" t="s">
        <v>69</v>
      </c>
      <c r="BB16" s="136">
        <f>B233</f>
        <v>5</v>
      </c>
      <c r="BC16" s="52" t="s">
        <v>194</v>
      </c>
      <c r="BD16" s="52" t="s">
        <v>69</v>
      </c>
      <c r="BE16" s="136">
        <f>B233</f>
        <v>5</v>
      </c>
      <c r="BF16" s="52" t="s">
        <v>194</v>
      </c>
      <c r="BG16" s="52" t="s">
        <v>69</v>
      </c>
      <c r="BH16" s="136">
        <f>B233</f>
        <v>5</v>
      </c>
      <c r="BI16" s="52" t="s">
        <v>194</v>
      </c>
      <c r="BJ16" s="52" t="s">
        <v>412</v>
      </c>
      <c r="BK16" s="139">
        <f>B22</f>
        <v>3.7173200000000003E-2</v>
      </c>
      <c r="BL16" s="84" t="s">
        <v>353</v>
      </c>
      <c r="BM16" s="52" t="s">
        <v>415</v>
      </c>
      <c r="BN16" s="139">
        <f>B24</f>
        <v>1.83064E-2</v>
      </c>
      <c r="BO16" s="84" t="s">
        <v>353</v>
      </c>
      <c r="BP16" s="52" t="s">
        <v>417</v>
      </c>
      <c r="BQ16" s="139">
        <f>B26</f>
        <v>3.7173200000000003E-2</v>
      </c>
      <c r="BR16" s="84" t="s">
        <v>353</v>
      </c>
      <c r="BS16" s="83" t="s">
        <v>256</v>
      </c>
      <c r="BT16" s="136">
        <f>E17</f>
        <v>125.5296</v>
      </c>
      <c r="BU16" s="83" t="s">
        <v>343</v>
      </c>
      <c r="BV16" s="83" t="s">
        <v>437</v>
      </c>
      <c r="BW16" s="140">
        <f>((BW18*BW20*BW23*BW30)+(BW19*BW21*BW24*BW31))</f>
        <v>1375</v>
      </c>
      <c r="BX16" s="83" t="s">
        <v>356</v>
      </c>
      <c r="BY16" s="83" t="s">
        <v>46</v>
      </c>
      <c r="BZ16" s="149">
        <f>(BZ18*BZ22*BZ34)+(BZ19*BZ23*BZ35)</f>
        <v>3382.5</v>
      </c>
      <c r="CA16" s="83" t="s">
        <v>346</v>
      </c>
      <c r="CB16" s="84" t="s">
        <v>293</v>
      </c>
      <c r="CC16" s="85">
        <f>B280</f>
        <v>2.7955176153748299E-12</v>
      </c>
      <c r="CD16" s="52"/>
      <c r="CE16" s="84" t="s">
        <v>293</v>
      </c>
      <c r="CF16" s="85">
        <f>B280</f>
        <v>2.7955176153748299E-12</v>
      </c>
      <c r="CG16" s="52"/>
      <c r="CH16" s="84" t="s">
        <v>293</v>
      </c>
      <c r="CI16" s="85">
        <f>B280</f>
        <v>2.7955176153748299E-12</v>
      </c>
      <c r="CJ16" s="52"/>
      <c r="CN16" s="91" t="s">
        <v>231</v>
      </c>
      <c r="CO16" s="136">
        <f>B30</f>
        <v>432</v>
      </c>
      <c r="CP16" s="52" t="s">
        <v>60</v>
      </c>
      <c r="CT16" s="83" t="s">
        <v>262</v>
      </c>
      <c r="CU16" s="144">
        <f>((CU5/(CU8*CU42*((CU37*CU41*(1/24))+(CU38*CU40*(1/24)))*CU32*(1/CU44)))*CU11)*CU49*CU50*CU13</f>
        <v>1.2246291259193084E-4</v>
      </c>
      <c r="CV16" s="92" t="s">
        <v>12</v>
      </c>
      <c r="CW16" s="52" t="s">
        <v>364</v>
      </c>
      <c r="CX16" s="138">
        <f>B169</f>
        <v>24</v>
      </c>
      <c r="CY16" s="52" t="s">
        <v>194</v>
      </c>
      <c r="CZ16" s="83" t="s">
        <v>512</v>
      </c>
      <c r="DA16" s="153">
        <f>DG2</f>
        <v>1.5868844037658648E-6</v>
      </c>
      <c r="DB16" s="83" t="s">
        <v>13</v>
      </c>
      <c r="DC16" s="83" t="s">
        <v>363</v>
      </c>
      <c r="DD16" s="146">
        <f>B168</f>
        <v>1</v>
      </c>
      <c r="DE16" s="83" t="s">
        <v>60</v>
      </c>
      <c r="DF16" s="92" t="s">
        <v>63</v>
      </c>
      <c r="DG16" s="151">
        <f>DG20+(0.693/DG22)</f>
        <v>4.9504394977168943E-2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1.6041666666666665E-3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B30</f>
        <v>432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B30</f>
        <v>432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B30</f>
        <v>432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B163</f>
        <v>0.15</v>
      </c>
      <c r="GQ16" s="52"/>
      <c r="GU16" s="91" t="s">
        <v>231</v>
      </c>
      <c r="GV16" s="136">
        <f>B30</f>
        <v>432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  <c r="HE16" s="142"/>
    </row>
    <row r="17" spans="1:214" ht="14.25" thickTop="1" thickBot="1" x14ac:dyDescent="0.25">
      <c r="A17" s="52" t="s">
        <v>267</v>
      </c>
      <c r="B17" s="129">
        <v>1</v>
      </c>
      <c r="C17" s="52" t="s">
        <v>344</v>
      </c>
      <c r="D17" s="83" t="s">
        <v>256</v>
      </c>
      <c r="E17" s="136">
        <f>B27</f>
        <v>125.5296</v>
      </c>
      <c r="F17" s="83" t="s">
        <v>343</v>
      </c>
      <c r="G17" s="83" t="s">
        <v>370</v>
      </c>
      <c r="H17" s="146">
        <f>B54</f>
        <v>0.25</v>
      </c>
      <c r="I17" s="52" t="s">
        <v>28</v>
      </c>
      <c r="J17" s="83" t="s">
        <v>263</v>
      </c>
      <c r="K17" s="153">
        <f>((K18/(K47+K48))*K11)*K53*K54*K13</f>
        <v>9.1252516402209155E-14</v>
      </c>
      <c r="L17" s="92" t="s">
        <v>12</v>
      </c>
      <c r="M17" s="84" t="s">
        <v>295</v>
      </c>
      <c r="N17" s="150">
        <f>B278</f>
        <v>243</v>
      </c>
      <c r="O17" s="52" t="s">
        <v>296</v>
      </c>
      <c r="P17" s="84" t="s">
        <v>295</v>
      </c>
      <c r="Q17" s="150">
        <f>B278</f>
        <v>243</v>
      </c>
      <c r="R17" s="52" t="s">
        <v>296</v>
      </c>
      <c r="S17" s="84" t="s">
        <v>295</v>
      </c>
      <c r="T17" s="150">
        <f>B278</f>
        <v>243</v>
      </c>
      <c r="U17" s="52" t="s">
        <v>296</v>
      </c>
      <c r="V17" s="52" t="s">
        <v>271</v>
      </c>
      <c r="W17" s="144">
        <f>((W5)/((W12/24)*W9*W14*(1/365)))*W20*W21*W8</f>
        <v>3.281904925053533E-11</v>
      </c>
      <c r="X17" s="52" t="s">
        <v>15</v>
      </c>
      <c r="Y17" s="52" t="s">
        <v>271</v>
      </c>
      <c r="Z17" s="144">
        <f>((Z5)/((Z12/24)*Z9*Z14*(1/365)))*Z20*Z21*Z8</f>
        <v>3.281904925053533E-11</v>
      </c>
      <c r="AA17" s="52" t="s">
        <v>15</v>
      </c>
      <c r="AB17" s="83" t="s">
        <v>413</v>
      </c>
      <c r="AC17" s="161">
        <f>B4</f>
        <v>0.753</v>
      </c>
      <c r="AD17" s="161">
        <f>B4</f>
        <v>0.753</v>
      </c>
      <c r="AE17" s="161">
        <f>B4</f>
        <v>0.753</v>
      </c>
      <c r="AF17" s="161">
        <f>B4</f>
        <v>0.753</v>
      </c>
      <c r="AG17" s="161">
        <f>B4</f>
        <v>0.753</v>
      </c>
      <c r="AH17" s="92"/>
      <c r="AI17" s="84" t="s">
        <v>295</v>
      </c>
      <c r="AJ17" s="236">
        <f>B278</f>
        <v>243</v>
      </c>
      <c r="AK17" s="52" t="s">
        <v>296</v>
      </c>
      <c r="AL17" s="84" t="s">
        <v>295</v>
      </c>
      <c r="AM17" s="150">
        <f>B278</f>
        <v>243</v>
      </c>
      <c r="AN17" s="90" t="s">
        <v>296</v>
      </c>
      <c r="AO17" s="94" t="s">
        <v>295</v>
      </c>
      <c r="AP17" s="150">
        <f>B278</f>
        <v>243</v>
      </c>
      <c r="AQ17" s="90" t="s">
        <v>296</v>
      </c>
      <c r="AR17" s="94" t="s">
        <v>295</v>
      </c>
      <c r="AS17" s="150">
        <f>B278</f>
        <v>243</v>
      </c>
      <c r="AT17" s="90" t="s">
        <v>296</v>
      </c>
      <c r="AU17" s="94" t="s">
        <v>295</v>
      </c>
      <c r="AV17" s="150">
        <f>B278</f>
        <v>243</v>
      </c>
      <c r="AW17" s="90" t="s">
        <v>296</v>
      </c>
      <c r="AX17" s="94" t="s">
        <v>295</v>
      </c>
      <c r="AY17" s="150">
        <f>B278</f>
        <v>243</v>
      </c>
      <c r="AZ17" s="90" t="s">
        <v>296</v>
      </c>
      <c r="BA17" s="94" t="s">
        <v>295</v>
      </c>
      <c r="BB17" s="150">
        <f>B278</f>
        <v>243</v>
      </c>
      <c r="BC17" s="90" t="s">
        <v>296</v>
      </c>
      <c r="BD17" s="94" t="s">
        <v>295</v>
      </c>
      <c r="BE17" s="150">
        <f>B278</f>
        <v>243</v>
      </c>
      <c r="BF17" s="90" t="s">
        <v>296</v>
      </c>
      <c r="BG17" s="94" t="s">
        <v>295</v>
      </c>
      <c r="BH17" s="150">
        <f>B278</f>
        <v>243</v>
      </c>
      <c r="BI17" s="90" t="s">
        <v>296</v>
      </c>
      <c r="BJ17" s="94" t="s">
        <v>295</v>
      </c>
      <c r="BK17" s="150">
        <f>B278</f>
        <v>243</v>
      </c>
      <c r="BL17" s="90" t="s">
        <v>296</v>
      </c>
      <c r="BM17" s="94" t="s">
        <v>295</v>
      </c>
      <c r="BN17" s="150">
        <f>B278</f>
        <v>243</v>
      </c>
      <c r="BO17" s="90" t="s">
        <v>296</v>
      </c>
      <c r="BP17" s="94" t="s">
        <v>295</v>
      </c>
      <c r="BQ17" s="150">
        <f>B278</f>
        <v>243</v>
      </c>
      <c r="BR17" s="90" t="s">
        <v>296</v>
      </c>
      <c r="BS17" s="83" t="s">
        <v>301</v>
      </c>
      <c r="BT17" s="142">
        <f>B121</f>
        <v>2</v>
      </c>
      <c r="BV17" s="83" t="s">
        <v>65</v>
      </c>
      <c r="BW17" s="141">
        <f>B126</f>
        <v>0.5</v>
      </c>
      <c r="BX17" s="52" t="s">
        <v>66</v>
      </c>
      <c r="BY17" s="83" t="s">
        <v>43</v>
      </c>
      <c r="BZ17" s="149">
        <f>(BZ24*BZ20*(BZ26/24)*BZ34)+(BZ23*BZ21*(BZ27/24)*BZ35)</f>
        <v>101.40625</v>
      </c>
      <c r="CA17" s="52" t="s">
        <v>426</v>
      </c>
      <c r="CN17" s="84" t="s">
        <v>16</v>
      </c>
      <c r="CO17" s="137">
        <f>(CO14*CO15)/(1-EXP(-CO15*CO14))</f>
        <v>1.0008022977791844</v>
      </c>
      <c r="CT17" s="83" t="s">
        <v>263</v>
      </c>
      <c r="CU17" s="153">
        <f>DJ2</f>
        <v>7.7737864210792302E-8</v>
      </c>
      <c r="CV17" s="92" t="s">
        <v>12</v>
      </c>
      <c r="CW17" s="83" t="s">
        <v>256</v>
      </c>
      <c r="CX17" s="136">
        <f>B27</f>
        <v>125.5296</v>
      </c>
      <c r="CY17" s="83" t="s">
        <v>343</v>
      </c>
      <c r="CZ17" s="83" t="s">
        <v>511</v>
      </c>
      <c r="DA17" s="153">
        <f>DD2</f>
        <v>2.0197128486196614E-8</v>
      </c>
      <c r="DB17" s="83" t="s">
        <v>12</v>
      </c>
      <c r="DC17" s="93"/>
      <c r="DD17" s="136">
        <v>9.9999999999999995E-7</v>
      </c>
      <c r="DE17" s="88"/>
      <c r="DF17" s="92" t="s">
        <v>67</v>
      </c>
      <c r="DG17" s="142">
        <f>B194</f>
        <v>60</v>
      </c>
      <c r="DH17" s="83" t="s">
        <v>53</v>
      </c>
      <c r="DL17" s="92"/>
      <c r="DM17" s="83"/>
      <c r="DN17" s="83"/>
      <c r="DO17" s="92" t="s">
        <v>67</v>
      </c>
      <c r="DP17" s="142">
        <f>B194</f>
        <v>60</v>
      </c>
      <c r="DQ17" s="83" t="s">
        <v>53</v>
      </c>
      <c r="DR17" s="83" t="s">
        <v>475</v>
      </c>
      <c r="DS17" s="146">
        <f>B163</f>
        <v>0.15</v>
      </c>
      <c r="DU17" s="92"/>
      <c r="DV17" s="87"/>
      <c r="DW17" s="83"/>
      <c r="DX17" s="91" t="s">
        <v>231</v>
      </c>
      <c r="DY17" s="136">
        <f>B30</f>
        <v>432</v>
      </c>
      <c r="DZ17" s="52" t="s">
        <v>60</v>
      </c>
      <c r="EA17" s="92"/>
      <c r="EB17" s="83"/>
      <c r="EC17" s="83"/>
      <c r="ED17" s="92" t="s">
        <v>67</v>
      </c>
      <c r="EE17" s="142">
        <f>B194</f>
        <v>60</v>
      </c>
      <c r="EF17" s="83" t="s">
        <v>53</v>
      </c>
      <c r="EG17" s="83" t="s">
        <v>475</v>
      </c>
      <c r="EH17" s="146">
        <f>B163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1.0008022977791844</v>
      </c>
      <c r="EP17" s="92"/>
      <c r="EQ17" s="83"/>
      <c r="ER17" s="83"/>
      <c r="ES17" s="92" t="s">
        <v>67</v>
      </c>
      <c r="ET17" s="142">
        <f>B194</f>
        <v>60</v>
      </c>
      <c r="EU17" s="83" t="s">
        <v>53</v>
      </c>
      <c r="EV17" s="83" t="s">
        <v>475</v>
      </c>
      <c r="EW17" s="141">
        <f>B163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1.0008022977791844</v>
      </c>
      <c r="FE17" s="83"/>
      <c r="FF17" s="83"/>
      <c r="FG17" s="83"/>
      <c r="FH17" s="83" t="s">
        <v>67</v>
      </c>
      <c r="FI17" s="142">
        <f>B194</f>
        <v>60</v>
      </c>
      <c r="FJ17" s="83" t="s">
        <v>53</v>
      </c>
      <c r="FK17" s="83" t="s">
        <v>475</v>
      </c>
      <c r="FL17" s="141">
        <f>B163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B163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1.0008022977791844</v>
      </c>
      <c r="GI17" s="83"/>
      <c r="GJ17" s="83"/>
      <c r="GK17" s="83"/>
      <c r="GL17" s="83" t="s">
        <v>67</v>
      </c>
      <c r="GM17" s="142">
        <f>B194</f>
        <v>60</v>
      </c>
      <c r="GN17" s="83" t="s">
        <v>53</v>
      </c>
      <c r="GO17" s="83" t="s">
        <v>476</v>
      </c>
      <c r="GP17" s="141">
        <f>B164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1.0008022977791844</v>
      </c>
      <c r="GX17" s="83"/>
      <c r="GY17" s="83"/>
      <c r="GZ17" s="83"/>
      <c r="HA17" s="83" t="s">
        <v>67</v>
      </c>
      <c r="HB17" s="142">
        <f>B194</f>
        <v>60</v>
      </c>
      <c r="HC17" s="83" t="s">
        <v>53</v>
      </c>
      <c r="HD17" s="84"/>
      <c r="HE17" s="163"/>
    </row>
    <row r="18" spans="1:214" ht="19.5" thickTop="1" thickBot="1" x14ac:dyDescent="0.25">
      <c r="A18" s="83" t="s">
        <v>247</v>
      </c>
      <c r="B18" s="184">
        <v>0.36297000000000001</v>
      </c>
      <c r="C18" s="84" t="s">
        <v>259</v>
      </c>
      <c r="D18" s="83" t="s">
        <v>301</v>
      </c>
      <c r="E18" s="142">
        <f>B72</f>
        <v>2</v>
      </c>
      <c r="G18" s="83" t="s">
        <v>371</v>
      </c>
      <c r="H18" s="146">
        <f>B55</f>
        <v>1.5</v>
      </c>
      <c r="I18" s="52" t="s">
        <v>28</v>
      </c>
      <c r="J18" s="83" t="s">
        <v>264</v>
      </c>
      <c r="K18" s="154">
        <f>(K5/(K9*(K25+K28)*K36))*K53*K54*K13</f>
        <v>8.0788513944786455E-8</v>
      </c>
      <c r="L18" s="92" t="s">
        <v>12</v>
      </c>
      <c r="M18" s="84" t="s">
        <v>293</v>
      </c>
      <c r="N18" s="85">
        <f>B280</f>
        <v>2.7955176153748299E-12</v>
      </c>
      <c r="P18" s="84" t="s">
        <v>293</v>
      </c>
      <c r="Q18" s="85">
        <f>B280</f>
        <v>2.7955176153748299E-12</v>
      </c>
      <c r="S18" s="84" t="s">
        <v>293</v>
      </c>
      <c r="T18" s="85">
        <f>B280</f>
        <v>2.7955176153748299E-12</v>
      </c>
      <c r="V18" s="52" t="s">
        <v>261</v>
      </c>
      <c r="W18" s="144">
        <f>((W5*W7*W6)/((W12/24)*(1-EXP(-W7*W10))*W11*W13*W9*W10))*W20*W21*W8</f>
        <v>6.2242472219161387E-13</v>
      </c>
      <c r="X18" s="52" t="s">
        <v>16</v>
      </c>
      <c r="Y18" s="52" t="s">
        <v>261</v>
      </c>
      <c r="Z18" s="144">
        <f>((Z5*Z7*Z6)/((Z12/24)*(1-EXP(-Z7*Z10))*Z11*Z13*Z9*Z10))*Z20*Z21*Z8</f>
        <v>6.2242472219161387E-13</v>
      </c>
      <c r="AA18" s="52" t="s">
        <v>16</v>
      </c>
      <c r="AB18" s="83" t="s">
        <v>412</v>
      </c>
      <c r="AC18" s="136">
        <f>B22</f>
        <v>3.7173200000000003E-2</v>
      </c>
      <c r="AD18" s="136">
        <f>B22</f>
        <v>3.7173200000000003E-2</v>
      </c>
      <c r="AE18" s="136">
        <f>B22</f>
        <v>3.7173200000000003E-2</v>
      </c>
      <c r="AF18" s="136">
        <f>B22</f>
        <v>3.7173200000000003E-2</v>
      </c>
      <c r="AG18" s="136">
        <f>B22</f>
        <v>3.7173200000000003E-2</v>
      </c>
      <c r="AH18" s="83" t="s">
        <v>351</v>
      </c>
      <c r="AI18" s="84" t="s">
        <v>293</v>
      </c>
      <c r="AJ18" s="85">
        <f>B280</f>
        <v>2.7955176153748299E-12</v>
      </c>
      <c r="AL18" s="84" t="s">
        <v>293</v>
      </c>
      <c r="AM18" s="85">
        <f>B280</f>
        <v>2.7955176153748299E-12</v>
      </c>
      <c r="AO18" s="84" t="s">
        <v>293</v>
      </c>
      <c r="AP18" s="85">
        <f>B280</f>
        <v>2.7955176153748299E-12</v>
      </c>
      <c r="AR18" s="84" t="s">
        <v>293</v>
      </c>
      <c r="AS18" s="85">
        <f>B280</f>
        <v>2.7955176153748299E-12</v>
      </c>
      <c r="AU18" s="84" t="s">
        <v>293</v>
      </c>
      <c r="AV18" s="85">
        <f>B280</f>
        <v>2.7955176153748299E-12</v>
      </c>
      <c r="AX18" s="84" t="s">
        <v>293</v>
      </c>
      <c r="AY18" s="85">
        <f>B280</f>
        <v>2.7955176153748299E-12</v>
      </c>
      <c r="BA18" s="84" t="s">
        <v>293</v>
      </c>
      <c r="BB18" s="85">
        <f>B280</f>
        <v>2.7955176153748299E-12</v>
      </c>
      <c r="BD18" s="84" t="s">
        <v>293</v>
      </c>
      <c r="BE18" s="85">
        <f>B280</f>
        <v>2.7955176153748299E-12</v>
      </c>
      <c r="BG18" s="84" t="s">
        <v>293</v>
      </c>
      <c r="BH18" s="85">
        <f>B280</f>
        <v>2.7955176153748299E-12</v>
      </c>
      <c r="BJ18" s="84" t="s">
        <v>293</v>
      </c>
      <c r="BK18" s="85">
        <f>B280</f>
        <v>2.7955176153748299E-12</v>
      </c>
      <c r="BM18" s="84" t="s">
        <v>293</v>
      </c>
      <c r="BN18" s="85">
        <f>B280</f>
        <v>2.7955176153748299E-12</v>
      </c>
      <c r="BP18" s="84" t="s">
        <v>293</v>
      </c>
      <c r="BQ18" s="85">
        <f>B280</f>
        <v>2.7955176153748299E-12</v>
      </c>
      <c r="BS18" s="52" t="s">
        <v>261</v>
      </c>
      <c r="BT18" s="143">
        <f>((BT5)/(BT9*BT10))*BT27*BT28*BT7</f>
        <v>7.985692765042788E-12</v>
      </c>
      <c r="BU18" s="52" t="s">
        <v>15</v>
      </c>
      <c r="BV18" s="83" t="s">
        <v>433</v>
      </c>
      <c r="BW18" s="150">
        <f>B122</f>
        <v>55</v>
      </c>
      <c r="BX18" s="83" t="s">
        <v>24</v>
      </c>
      <c r="BY18" s="83" t="s">
        <v>441</v>
      </c>
      <c r="BZ18" s="146">
        <f>B107</f>
        <v>100</v>
      </c>
      <c r="CA18" s="84" t="s">
        <v>48</v>
      </c>
      <c r="CB18" s="274" t="s">
        <v>572</v>
      </c>
      <c r="CC18" s="270"/>
      <c r="CD18" s="270"/>
      <c r="CE18" s="271" t="s">
        <v>573</v>
      </c>
      <c r="CF18" s="270"/>
      <c r="CG18" s="273"/>
      <c r="CH18" s="83"/>
      <c r="CI18" s="83"/>
      <c r="CJ18" s="83"/>
      <c r="CT18" s="83" t="s">
        <v>264</v>
      </c>
      <c r="CU18" s="153">
        <f>DD2</f>
        <v>2.0197128486196614E-8</v>
      </c>
      <c r="CV18" s="92" t="s">
        <v>12</v>
      </c>
      <c r="CW18" s="83" t="s">
        <v>301</v>
      </c>
      <c r="CX18" s="142">
        <f>B176</f>
        <v>2</v>
      </c>
      <c r="CZ18" s="91" t="s">
        <v>272</v>
      </c>
      <c r="DA18" s="144">
        <f>EZ2</f>
        <v>3.3661880810327685E-2</v>
      </c>
      <c r="DB18" s="83" t="s">
        <v>12</v>
      </c>
      <c r="DC18" s="88"/>
      <c r="DD18" s="136">
        <v>1000</v>
      </c>
      <c r="DE18" s="92" t="s">
        <v>99</v>
      </c>
      <c r="DF18" s="92" t="s">
        <v>68</v>
      </c>
      <c r="DG18" s="142">
        <f>B195</f>
        <v>2</v>
      </c>
      <c r="DH18" s="83" t="s">
        <v>56</v>
      </c>
      <c r="DL18" s="92"/>
      <c r="DM18" s="83"/>
      <c r="DN18" s="83"/>
      <c r="DO18" s="92" t="s">
        <v>68</v>
      </c>
      <c r="DP18" s="142">
        <f>B195</f>
        <v>2</v>
      </c>
      <c r="DQ18" s="83" t="s">
        <v>56</v>
      </c>
      <c r="DR18" s="83" t="s">
        <v>476</v>
      </c>
      <c r="DS18" s="146">
        <f>B164</f>
        <v>0.85</v>
      </c>
      <c r="DU18" s="92"/>
      <c r="DV18" s="83"/>
      <c r="DW18" s="83"/>
      <c r="DX18" s="84" t="s">
        <v>16</v>
      </c>
      <c r="DY18" s="137">
        <f>(DY15*DY16)/(1-EXP(-DY16*DY15))</f>
        <v>1.0008022977791844</v>
      </c>
      <c r="EA18" s="92"/>
      <c r="EB18" s="83"/>
      <c r="EC18" s="83"/>
      <c r="ED18" s="92" t="s">
        <v>68</v>
      </c>
      <c r="EE18" s="142">
        <f>B195</f>
        <v>2</v>
      </c>
      <c r="EF18" s="83" t="s">
        <v>56</v>
      </c>
      <c r="EG18" s="83" t="s">
        <v>476</v>
      </c>
      <c r="EH18" s="146">
        <f>B164</f>
        <v>0.85</v>
      </c>
      <c r="EJ18" s="92"/>
      <c r="EK18" s="83"/>
      <c r="EL18" s="83"/>
      <c r="EN18" s="138"/>
      <c r="EP18" s="92"/>
      <c r="EQ18" s="83"/>
      <c r="ER18" s="83"/>
      <c r="ES18" s="92" t="s">
        <v>68</v>
      </c>
      <c r="ET18" s="142">
        <f>B195</f>
        <v>2</v>
      </c>
      <c r="EU18" s="83" t="s">
        <v>56</v>
      </c>
      <c r="EV18" s="83" t="s">
        <v>476</v>
      </c>
      <c r="EW18" s="141">
        <f>B164</f>
        <v>0.85</v>
      </c>
      <c r="EX18" s="92"/>
      <c r="EY18" s="83"/>
      <c r="EZ18" s="83"/>
      <c r="FA18" s="83"/>
      <c r="FB18" s="83"/>
      <c r="FC18" s="142"/>
      <c r="FD18" s="83"/>
      <c r="FE18" s="83"/>
      <c r="FF18" s="83"/>
      <c r="FG18" s="83"/>
      <c r="FH18" s="83" t="s">
        <v>68</v>
      </c>
      <c r="FI18" s="142">
        <f>B195</f>
        <v>2</v>
      </c>
      <c r="FJ18" s="83" t="s">
        <v>56</v>
      </c>
      <c r="FK18" s="83" t="s">
        <v>476</v>
      </c>
      <c r="FL18" s="141">
        <f>B164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B164</f>
        <v>0.85</v>
      </c>
      <c r="GB18" s="92"/>
      <c r="GC18" s="83"/>
      <c r="GD18" s="83"/>
      <c r="GE18" s="83"/>
      <c r="GF18" s="83"/>
      <c r="GG18" s="142"/>
      <c r="GH18" s="83"/>
      <c r="GI18" s="83"/>
      <c r="GJ18" s="83"/>
      <c r="GK18" s="83"/>
      <c r="GL18" s="83" t="s">
        <v>68</v>
      </c>
      <c r="GM18" s="142">
        <f>B195</f>
        <v>2</v>
      </c>
      <c r="GN18" s="83" t="s">
        <v>56</v>
      </c>
      <c r="GO18" s="94" t="s">
        <v>295</v>
      </c>
      <c r="GP18" s="150">
        <f>B278</f>
        <v>243</v>
      </c>
      <c r="GQ18" s="90" t="s">
        <v>296</v>
      </c>
      <c r="GR18" s="83"/>
      <c r="GS18" s="83"/>
      <c r="GT18" s="83"/>
      <c r="GU18" s="83"/>
      <c r="GV18" s="142"/>
      <c r="GW18" s="83"/>
      <c r="GX18" s="83"/>
      <c r="GY18" s="83"/>
      <c r="GZ18" s="83"/>
      <c r="HA18" s="83" t="s">
        <v>68</v>
      </c>
      <c r="HB18" s="142">
        <f>B195</f>
        <v>2</v>
      </c>
      <c r="HC18" s="83" t="s">
        <v>56</v>
      </c>
    </row>
    <row r="19" spans="1:214" ht="19.5" thickTop="1" thickBot="1" x14ac:dyDescent="0.25">
      <c r="A19" s="83" t="s">
        <v>248</v>
      </c>
      <c r="B19" s="183">
        <v>8.8060000000000005E-4</v>
      </c>
      <c r="C19" s="84" t="s">
        <v>259</v>
      </c>
      <c r="D19" s="52" t="s">
        <v>261</v>
      </c>
      <c r="E19" s="143">
        <f>((E5)/((E15/E16)*E11*E12))*E27*E28*E7</f>
        <v>6.1001819732965745E-13</v>
      </c>
      <c r="F19" s="52" t="s">
        <v>15</v>
      </c>
      <c r="G19" s="83" t="s">
        <v>366</v>
      </c>
      <c r="H19" s="146">
        <f>B50</f>
        <v>5</v>
      </c>
      <c r="I19" s="52" t="s">
        <v>407</v>
      </c>
      <c r="J19" s="83" t="s">
        <v>445</v>
      </c>
      <c r="K19" s="155">
        <f>K21*K31*K51+K22*K32*K52</f>
        <v>9225</v>
      </c>
      <c r="L19" s="83" t="s">
        <v>346</v>
      </c>
      <c r="V19" s="52" t="s">
        <v>271</v>
      </c>
      <c r="W19" s="145">
        <f>((W5*W7*W6)/((W12/24)*(1-EXP(-W7*W6))*W14*W9*(1/365)))*W20*W21*W8</f>
        <v>3.2845379900863978E-11</v>
      </c>
      <c r="X19" s="52" t="s">
        <v>16</v>
      </c>
      <c r="Y19" s="52" t="s">
        <v>271</v>
      </c>
      <c r="Z19" s="145">
        <f>((Z5*Z7*Z6)/((Z12/24)*(1-EXP(-Z7*Z6))*Z14*Z9*(1/365)))*Z20*Z21*Z8</f>
        <v>3.2845379900863978E-11</v>
      </c>
      <c r="AA19" s="52" t="s">
        <v>16</v>
      </c>
      <c r="AB19" s="83" t="s">
        <v>247</v>
      </c>
      <c r="AC19" s="139">
        <f>B18</f>
        <v>0.36297000000000001</v>
      </c>
      <c r="AD19" s="139">
        <f>B18</f>
        <v>0.36297000000000001</v>
      </c>
      <c r="AE19" s="139">
        <f>B18</f>
        <v>0.36297000000000001</v>
      </c>
      <c r="AF19" s="139">
        <f>B18</f>
        <v>0.36297000000000001</v>
      </c>
      <c r="AG19" s="139">
        <f>B18</f>
        <v>0.36297000000000001</v>
      </c>
      <c r="AH19" s="84" t="s">
        <v>259</v>
      </c>
      <c r="BS19" s="52" t="s">
        <v>271</v>
      </c>
      <c r="BT19" s="144">
        <f>((BT5)/(BT16*BT8*(1/365)*BT15*(1/24)*BT17))*BT27*BT28*BT7</f>
        <v>3.729437414833561E-11</v>
      </c>
      <c r="BU19" s="52" t="s">
        <v>15</v>
      </c>
      <c r="BV19" s="83" t="s">
        <v>434</v>
      </c>
      <c r="BW19" s="150">
        <f>B123</f>
        <v>55</v>
      </c>
      <c r="BX19" s="83" t="s">
        <v>24</v>
      </c>
      <c r="BY19" s="83" t="s">
        <v>442</v>
      </c>
      <c r="BZ19" s="146">
        <f>B108</f>
        <v>50</v>
      </c>
      <c r="CA19" s="84" t="s">
        <v>48</v>
      </c>
      <c r="CB19" s="267" t="s">
        <v>537</v>
      </c>
      <c r="CC19" s="261">
        <f>((CC22*CC23*CC24)/((1-EXP(-CC24*CC23))*CC31*(CC26/365)*CC29*(CC30/24)*CC28))*CC32*CC33*CC25</f>
        <v>28.903656079505613</v>
      </c>
      <c r="CD19" s="278" t="s">
        <v>12</v>
      </c>
      <c r="CE19" s="258" t="s">
        <v>537</v>
      </c>
      <c r="CF19" s="261">
        <f>((CF22*CF23*CF24)/((1-EXP(-CF24*CF23))*CF31*(CF26/365)*CF29*(CF30/24)*CF28))*CF32*CF33*CF25</f>
        <v>2.8204602944807067</v>
      </c>
      <c r="CG19" s="264" t="s">
        <v>12</v>
      </c>
      <c r="CK19" s="274" t="s">
        <v>576</v>
      </c>
      <c r="CL19" s="270"/>
      <c r="CM19" s="270"/>
      <c r="CN19" s="271" t="s">
        <v>576</v>
      </c>
      <c r="CO19" s="270"/>
      <c r="CP19" s="270"/>
      <c r="CQ19" s="271" t="s">
        <v>576</v>
      </c>
      <c r="CR19" s="270"/>
      <c r="CS19" s="273"/>
      <c r="CT19" s="91" t="s">
        <v>272</v>
      </c>
      <c r="CU19" s="144">
        <f>FC2</f>
        <v>1.8714905012774211E-4</v>
      </c>
      <c r="CV19" s="92" t="s">
        <v>12</v>
      </c>
      <c r="CW19" s="52" t="s">
        <v>261</v>
      </c>
      <c r="CX19" s="143">
        <f>((CX5)/((CX15/CX16)*CX11*CX12))*CX27*CX28*CX7</f>
        <v>5.8363903203972633E-13</v>
      </c>
      <c r="CY19" s="52" t="s">
        <v>15</v>
      </c>
      <c r="CZ19" s="91" t="s">
        <v>273</v>
      </c>
      <c r="DA19" s="144">
        <f>GS2</f>
        <v>2.084326985159609E-2</v>
      </c>
      <c r="DB19" s="83" t="s">
        <v>12</v>
      </c>
      <c r="DC19" s="92" t="s">
        <v>72</v>
      </c>
      <c r="DD19" s="146">
        <f>B182</f>
        <v>1</v>
      </c>
      <c r="DE19" s="93"/>
      <c r="DF19" s="92" t="s">
        <v>70</v>
      </c>
      <c r="DG19" s="138">
        <f>B196</f>
        <v>2.6999999999999999E-5</v>
      </c>
      <c r="DH19" s="52" t="s">
        <v>64</v>
      </c>
      <c r="DL19" s="92"/>
      <c r="DO19" s="92" t="s">
        <v>70</v>
      </c>
      <c r="DP19" s="138">
        <f>B196</f>
        <v>2.6999999999999999E-5</v>
      </c>
      <c r="DQ19" s="52" t="s">
        <v>64</v>
      </c>
      <c r="DR19" s="94" t="s">
        <v>295</v>
      </c>
      <c r="DS19" s="150">
        <f>B278</f>
        <v>243</v>
      </c>
      <c r="DT19" s="90" t="s">
        <v>296</v>
      </c>
      <c r="DU19" s="92"/>
      <c r="EA19" s="92"/>
      <c r="EB19" s="84"/>
      <c r="EC19" s="84"/>
      <c r="ED19" s="92" t="s">
        <v>70</v>
      </c>
      <c r="EE19" s="163">
        <f>B196</f>
        <v>2.6999999999999999E-5</v>
      </c>
      <c r="EF19" s="84" t="s">
        <v>64</v>
      </c>
      <c r="EG19" s="94" t="s">
        <v>295</v>
      </c>
      <c r="EH19" s="150">
        <f>B278</f>
        <v>243</v>
      </c>
      <c r="EI19" s="90" t="s">
        <v>296</v>
      </c>
      <c r="EJ19" s="92"/>
      <c r="EP19" s="92"/>
      <c r="EQ19" s="84"/>
      <c r="ER19" s="84"/>
      <c r="ES19" s="92" t="s">
        <v>70</v>
      </c>
      <c r="ET19" s="163">
        <f>B196</f>
        <v>2.6999999999999999E-5</v>
      </c>
      <c r="EU19" s="84" t="s">
        <v>64</v>
      </c>
      <c r="EV19" s="94" t="s">
        <v>295</v>
      </c>
      <c r="EW19" s="150">
        <f>B278</f>
        <v>243</v>
      </c>
      <c r="EX19" s="90" t="s">
        <v>296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B196</f>
        <v>2.6999999999999999E-5</v>
      </c>
      <c r="FJ19" s="84" t="s">
        <v>64</v>
      </c>
      <c r="FK19" s="94" t="s">
        <v>295</v>
      </c>
      <c r="FL19" s="150">
        <f>B278</f>
        <v>243</v>
      </c>
      <c r="FM19" s="90" t="s">
        <v>296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94" t="s">
        <v>295</v>
      </c>
      <c r="GA19" s="150">
        <f>B278</f>
        <v>243</v>
      </c>
      <c r="GB19" s="90" t="s">
        <v>296</v>
      </c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B196</f>
        <v>2.6999999999999999E-5</v>
      </c>
      <c r="GN19" s="84" t="s">
        <v>64</v>
      </c>
      <c r="GO19" s="84" t="s">
        <v>293</v>
      </c>
      <c r="GP19" s="85">
        <f>B280</f>
        <v>2.7955176153748299E-12</v>
      </c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B196</f>
        <v>2.6999999999999999E-5</v>
      </c>
      <c r="HC19" s="84" t="s">
        <v>64</v>
      </c>
    </row>
    <row r="20" spans="1:214" ht="19.5" thickTop="1" thickBot="1" x14ac:dyDescent="0.25">
      <c r="A20" s="83" t="s">
        <v>249</v>
      </c>
      <c r="B20" s="183">
        <v>8.8060000000000005E-4</v>
      </c>
      <c r="C20" s="83" t="s">
        <v>259</v>
      </c>
      <c r="D20" s="52" t="s">
        <v>271</v>
      </c>
      <c r="E20" s="144">
        <f>((E5)/((E15/E16)*E8*E17*(1/365)*E18))*E27*E28*E7</f>
        <v>2.8488758029978587E-12</v>
      </c>
      <c r="F20" s="52" t="s">
        <v>15</v>
      </c>
      <c r="G20" s="83" t="s">
        <v>367</v>
      </c>
      <c r="H20" s="146">
        <f>B51</f>
        <v>10</v>
      </c>
      <c r="I20" s="52" t="s">
        <v>407</v>
      </c>
      <c r="J20" s="83" t="s">
        <v>396</v>
      </c>
      <c r="K20" s="155">
        <f>(K31*K23*(K34/24)*K51)+(K32*K24*(K35/24)*K52)</f>
        <v>1327.5</v>
      </c>
      <c r="L20" s="52" t="s">
        <v>407</v>
      </c>
      <c r="M20" s="325" t="s">
        <v>566</v>
      </c>
      <c r="N20" s="326"/>
      <c r="O20" s="326"/>
      <c r="P20" s="327" t="s">
        <v>536</v>
      </c>
      <c r="Q20" s="326"/>
      <c r="R20" s="329"/>
      <c r="V20" s="84" t="s">
        <v>295</v>
      </c>
      <c r="W20" s="150">
        <f>B278</f>
        <v>243</v>
      </c>
      <c r="X20" s="52" t="s">
        <v>296</v>
      </c>
      <c r="Y20" s="84" t="s">
        <v>295</v>
      </c>
      <c r="Z20" s="150">
        <f>B278</f>
        <v>243</v>
      </c>
      <c r="AA20" s="52" t="s">
        <v>296</v>
      </c>
      <c r="AB20" s="83" t="s">
        <v>83</v>
      </c>
      <c r="AC20" s="139">
        <f>B232</f>
        <v>5</v>
      </c>
      <c r="AD20" s="139">
        <f>B242</f>
        <v>5</v>
      </c>
      <c r="AE20" s="139">
        <f>B252</f>
        <v>5</v>
      </c>
      <c r="AF20" s="139">
        <f>B262</f>
        <v>5</v>
      </c>
      <c r="AG20" s="139">
        <f>B273</f>
        <v>5</v>
      </c>
      <c r="AH20" s="84" t="s">
        <v>194</v>
      </c>
      <c r="AI20" s="296" t="s">
        <v>558</v>
      </c>
      <c r="AJ20" s="294"/>
      <c r="AK20" s="297"/>
      <c r="AL20" s="293" t="s">
        <v>545</v>
      </c>
      <c r="AM20" s="294"/>
      <c r="AN20" s="295"/>
      <c r="AR20" s="296" t="s">
        <v>560</v>
      </c>
      <c r="AS20" s="294"/>
      <c r="AT20" s="297"/>
      <c r="AU20" s="293" t="s">
        <v>550</v>
      </c>
      <c r="AV20" s="294"/>
      <c r="AW20" s="295"/>
      <c r="BA20" s="296" t="s">
        <v>562</v>
      </c>
      <c r="BB20" s="294"/>
      <c r="BC20" s="297"/>
      <c r="BD20" s="293" t="s">
        <v>553</v>
      </c>
      <c r="BE20" s="294"/>
      <c r="BF20" s="295"/>
      <c r="BJ20" s="296" t="s">
        <v>563</v>
      </c>
      <c r="BK20" s="294"/>
      <c r="BL20" s="297"/>
      <c r="BM20" s="293" t="s">
        <v>556</v>
      </c>
      <c r="BN20" s="294"/>
      <c r="BO20" s="295"/>
      <c r="BS20" s="52" t="s">
        <v>261</v>
      </c>
      <c r="BT20" s="144">
        <f>((BT5*BT24*BT6)/((1-EXP(-BT6*BT24))*BT9*BT10))*BT27*BT28*BT7</f>
        <v>7.9920996686134298E-12</v>
      </c>
      <c r="BU20" s="52" t="s">
        <v>16</v>
      </c>
      <c r="BV20" s="52" t="s">
        <v>443</v>
      </c>
      <c r="BW20" s="138">
        <f>B119</f>
        <v>5</v>
      </c>
      <c r="BX20" s="52" t="s">
        <v>89</v>
      </c>
      <c r="BY20" s="83" t="s">
        <v>429</v>
      </c>
      <c r="BZ20" s="141">
        <f>B103</f>
        <v>5</v>
      </c>
      <c r="CA20" s="92" t="s">
        <v>407</v>
      </c>
      <c r="CB20" s="268"/>
      <c r="CC20" s="262"/>
      <c r="CD20" s="279"/>
      <c r="CE20" s="259"/>
      <c r="CF20" s="262"/>
      <c r="CG20" s="265"/>
      <c r="CK20" s="267" t="s">
        <v>530</v>
      </c>
      <c r="CL20" s="261">
        <f>(CL23/(CL24*CL25*CL26))*CL27*CL28*CO33</f>
        <v>2.0197128486196609E-6</v>
      </c>
      <c r="CM20" s="255" t="s">
        <v>12</v>
      </c>
      <c r="CN20" s="258" t="s">
        <v>7</v>
      </c>
      <c r="CO20" s="261">
        <f>(CL20/(CO23*((CO28*CO30*CO31*(CO24+CO25))+(CO29*CO30))))*CO34</f>
        <v>6.7429839962154987E-4</v>
      </c>
      <c r="CP20" s="255" t="s">
        <v>12</v>
      </c>
      <c r="CQ20" s="258" t="s">
        <v>6</v>
      </c>
      <c r="CR20" s="261">
        <f>CL20/(CR23*CR24*(1/CR25))</f>
        <v>2.0197128486196609</v>
      </c>
      <c r="CS20" s="264" t="s">
        <v>12</v>
      </c>
      <c r="CT20" s="91" t="s">
        <v>273</v>
      </c>
      <c r="CU20" s="144">
        <f>GV2</f>
        <v>1.5390808984827952E-4</v>
      </c>
      <c r="CV20" s="92" t="s">
        <v>12</v>
      </c>
      <c r="CW20" s="52" t="s">
        <v>271</v>
      </c>
      <c r="CX20" s="144">
        <f>((CX5)/((CX15/CX16)*CX8*CX17*(1/365)*CX18))*CX27*CX28*CX7</f>
        <v>2.8488758029978587E-12</v>
      </c>
      <c r="CY20" s="52" t="s">
        <v>15</v>
      </c>
      <c r="CZ20" s="91" t="s">
        <v>274</v>
      </c>
      <c r="DA20" s="144">
        <f>EK2</f>
        <v>1.5243115838638954E-6</v>
      </c>
      <c r="DB20" s="83" t="s">
        <v>12</v>
      </c>
      <c r="DC20" s="83" t="s">
        <v>475</v>
      </c>
      <c r="DD20" s="146">
        <f>B163</f>
        <v>0.15</v>
      </c>
      <c r="DF20" s="92" t="s">
        <v>71</v>
      </c>
      <c r="DG20" s="137">
        <f>0.693/DG23</f>
        <v>4.3949771689497717E-6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R20" s="84" t="s">
        <v>293</v>
      </c>
      <c r="DS20" s="85">
        <f>B280</f>
        <v>2.7955176153748299E-12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G20" s="84" t="s">
        <v>293</v>
      </c>
      <c r="EH20" s="85">
        <f>B280</f>
        <v>2.7955176153748299E-12</v>
      </c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V20" s="84" t="s">
        <v>293</v>
      </c>
      <c r="EW20" s="85">
        <f>B280</f>
        <v>2.7955176153748299E-12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K20" s="84" t="s">
        <v>293</v>
      </c>
      <c r="FL20" s="85">
        <f>B280</f>
        <v>2.7955176153748299E-12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FZ20" s="84" t="s">
        <v>293</v>
      </c>
      <c r="GA20" s="85">
        <f>B280</f>
        <v>2.7955176153748299E-12</v>
      </c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83" t="s">
        <v>250</v>
      </c>
      <c r="B21" s="183">
        <v>7.5480000000000002E-4</v>
      </c>
      <c r="C21" s="83" t="s">
        <v>259</v>
      </c>
      <c r="D21" s="52" t="s">
        <v>261</v>
      </c>
      <c r="E21" s="144">
        <f>((E5*E10*E6)/((1-EXP(-E6*E10))*E11*E12))*E27*E28*E7</f>
        <v>6.1050761357463719E-13</v>
      </c>
      <c r="F21" s="52" t="s">
        <v>16</v>
      </c>
      <c r="G21" s="83" t="s">
        <v>397</v>
      </c>
      <c r="H21" s="148">
        <f>(H29*H36*H32*H68)+(H30*H37*H33*H69)</f>
        <v>476.25</v>
      </c>
      <c r="I21" s="83" t="s">
        <v>356</v>
      </c>
      <c r="J21" s="83" t="s">
        <v>368</v>
      </c>
      <c r="K21" s="146">
        <f>B52</f>
        <v>100</v>
      </c>
      <c r="L21" s="84" t="s">
        <v>48</v>
      </c>
      <c r="M21" s="330" t="s">
        <v>537</v>
      </c>
      <c r="N21" s="333">
        <f>((N24*N25*N26)/((1-EXP(-N26*N25))*N34*N32*(N28/365)*(((N33/24)*N31)+((N35/24)*N30))))*N36*N37*N27</f>
        <v>3.3277638207753491E-5</v>
      </c>
      <c r="O21" s="336" t="s">
        <v>298</v>
      </c>
      <c r="P21" s="339" t="s">
        <v>537</v>
      </c>
      <c r="Q21" s="333">
        <f>((Q24*Q25*Q26)/((1-EXP(-Q26*Q25))*Q34*Q32*(Q28/365)*(((Q33/24)*Q31)+((Q35/24)*Q30))))*Q36*Q37*Q27</f>
        <v>2.7921803026677278E-5</v>
      </c>
      <c r="R21" s="342" t="s">
        <v>12</v>
      </c>
      <c r="V21" s="84" t="s">
        <v>293</v>
      </c>
      <c r="W21" s="85">
        <f>B279</f>
        <v>2.8000000000000001E-15</v>
      </c>
      <c r="Y21" s="84" t="s">
        <v>293</v>
      </c>
      <c r="Z21" s="85">
        <f>B279</f>
        <v>2.8000000000000001E-15</v>
      </c>
      <c r="AB21" s="83" t="s">
        <v>85</v>
      </c>
      <c r="AC21" s="139">
        <f>B233</f>
        <v>5</v>
      </c>
      <c r="AD21" s="139">
        <f>B243</f>
        <v>5</v>
      </c>
      <c r="AE21" s="139">
        <f>B253</f>
        <v>5</v>
      </c>
      <c r="AF21" s="139">
        <f>B263</f>
        <v>5</v>
      </c>
      <c r="AG21" s="139">
        <f>B274</f>
        <v>5</v>
      </c>
      <c r="AH21" s="84" t="s">
        <v>194</v>
      </c>
      <c r="AI21" s="306" t="s">
        <v>537</v>
      </c>
      <c r="AJ21" s="303">
        <f>((AJ24*AJ25*AJ26)/((1-EXP(-AJ26*AJ25))*AJ34*(AJ28/365)*AJ29*(AJ35/24)*AJ30*AJ32))*AJ36*AJ37*AJ27</f>
        <v>1.9966645619722475E-4</v>
      </c>
      <c r="AK21" s="290" t="s">
        <v>298</v>
      </c>
      <c r="AL21" s="287" t="s">
        <v>537</v>
      </c>
      <c r="AM21" s="303">
        <f>((AM24*AM25*AM26)/((1-EXP(-AM26*AM25))*AM34*(AM28/365)*AM29*(AM35/24)*AM30*AM32))*AM36*AM37*AM27</f>
        <v>1.6753534149215396E-4</v>
      </c>
      <c r="AN21" s="281" t="s">
        <v>12</v>
      </c>
      <c r="AR21" s="306" t="s">
        <v>537</v>
      </c>
      <c r="AS21" s="303">
        <f>((AS24*AS25*AS26)/((1-EXP(-AS26*AS25))*AS34*(AS28/365)*AS29*(AS33/24)*AS31*AS32))*AS36*AS37*AS27</f>
        <v>12.717608674982472</v>
      </c>
      <c r="AT21" s="290" t="s">
        <v>298</v>
      </c>
      <c r="AU21" s="287" t="s">
        <v>537</v>
      </c>
      <c r="AV21" s="303">
        <f>((AV24*AV25*AV26)/((1-EXP(-AV26*AV25))*AV34*(AV28/365)*AV29*(AV33/24)*AV31*AV32))*AV36*AV37*AV27</f>
        <v>1.2410025295715108</v>
      </c>
      <c r="AW21" s="281" t="s">
        <v>12</v>
      </c>
      <c r="BA21" s="306" t="s">
        <v>537</v>
      </c>
      <c r="BB21" s="303">
        <f>((BB24*BB25*BB26)/((1-EXP(-BB26*BB25))*BB34*(BB28/365)*(BB33/24)*BB31*BB32))*BB36*BB37*BB27</f>
        <v>12.717608674982472</v>
      </c>
      <c r="BC21" s="290" t="s">
        <v>298</v>
      </c>
      <c r="BD21" s="287" t="s">
        <v>537</v>
      </c>
      <c r="BE21" s="303">
        <f>((BE24*BE25*BE26)/((1-EXP(-BE26*BE25))*BE34*(BE28/365)*(BE33/24)*BE31*BE32))*BE36*BE37*BE27</f>
        <v>1.2410025295715108</v>
      </c>
      <c r="BF21" s="281" t="s">
        <v>12</v>
      </c>
      <c r="BJ21" s="306" t="s">
        <v>537</v>
      </c>
      <c r="BK21" s="284">
        <f>((BK24*BK25*BK26)/((1-EXP(-BK26*BK25))*BK35*(BK28/365)*(BK34/24)*BK32*BK33))*BK36*BK37*BK27</f>
        <v>21.196014458304116</v>
      </c>
      <c r="BL21" s="290" t="s">
        <v>298</v>
      </c>
      <c r="BM21" s="287" t="s">
        <v>537</v>
      </c>
      <c r="BN21" s="284">
        <f>((BN24*BN25*BN26)/((1-EXP(-BN26*BN25))*BN35*(BN28/365)*(BN34/24)*BN32*BN33))*BN36*BN37*BN27</f>
        <v>2.068337549285852</v>
      </c>
      <c r="BO21" s="281" t="s">
        <v>12</v>
      </c>
      <c r="BS21" s="52" t="s">
        <v>271</v>
      </c>
      <c r="BT21" s="145">
        <f>((BT5*BT24*BT6)/((1-EXP(-BT6*BT24))*BT16*BT8*(1/365)*BT15*(1/24)*BT17))*BT27*BT28*BT7</f>
        <v>3.7324295341890883E-11</v>
      </c>
      <c r="BU21" s="52" t="s">
        <v>16</v>
      </c>
      <c r="BV21" s="52" t="s">
        <v>444</v>
      </c>
      <c r="BW21" s="138">
        <f>B120</f>
        <v>5</v>
      </c>
      <c r="BX21" s="52" t="s">
        <v>89</v>
      </c>
      <c r="BY21" s="83" t="s">
        <v>430</v>
      </c>
      <c r="BZ21" s="141">
        <f>B104</f>
        <v>10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56"/>
      <c r="CN21" s="259"/>
      <c r="CO21" s="262"/>
      <c r="CP21" s="256"/>
      <c r="CQ21" s="259"/>
      <c r="CR21" s="262"/>
      <c r="CS21" s="265"/>
      <c r="CT21" s="91" t="s">
        <v>274</v>
      </c>
      <c r="CU21" s="144">
        <f>EN2</f>
        <v>2.3485039701939737E-5</v>
      </c>
      <c r="CV21" s="92" t="s">
        <v>12</v>
      </c>
      <c r="CW21" s="52" t="s">
        <v>261</v>
      </c>
      <c r="CX21" s="144">
        <f>((CX5*CX10*CX6)/((CX15/CX16)*(1-EXP(-CX6*CX9))*CX11*CX12))*CX27*CX28*CX7</f>
        <v>5.8410728433897702E-13</v>
      </c>
      <c r="CY21" s="52" t="s">
        <v>16</v>
      </c>
      <c r="CZ21" s="91" t="s">
        <v>509</v>
      </c>
      <c r="DA21" s="144">
        <f>DV2</f>
        <v>1.0767620259204198</v>
      </c>
      <c r="DB21" s="83" t="s">
        <v>12</v>
      </c>
      <c r="DC21" s="83" t="s">
        <v>476</v>
      </c>
      <c r="DD21" s="146">
        <f>B164</f>
        <v>0.85</v>
      </c>
      <c r="DF21" s="92" t="s">
        <v>73</v>
      </c>
      <c r="DG21" s="138">
        <f>B197</f>
        <v>1</v>
      </c>
      <c r="DH21" s="52" t="s">
        <v>41</v>
      </c>
      <c r="DL21" s="92"/>
      <c r="DO21" s="92" t="s">
        <v>73</v>
      </c>
      <c r="DP21" s="138">
        <f>B197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B197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B197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B197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B197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B197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83" t="s">
        <v>251</v>
      </c>
      <c r="B22" s="183">
        <v>3.7173200000000003E-2</v>
      </c>
      <c r="C22" s="83" t="s">
        <v>351</v>
      </c>
      <c r="D22" s="52" t="s">
        <v>271</v>
      </c>
      <c r="E22" s="145">
        <f>((E5*E10*E6)/((E15/E16)*E8*(1-EXP(-E6*E10))*E17*(1/365)*E18))*E27*E28*E7</f>
        <v>2.8511614497277758E-12</v>
      </c>
      <c r="F22" s="52" t="s">
        <v>16</v>
      </c>
      <c r="G22" s="83" t="s">
        <v>398</v>
      </c>
      <c r="H22" s="149">
        <f>(H29*H23*H68)+(H30*H24*H69)</f>
        <v>8250</v>
      </c>
      <c r="I22" s="92" t="s">
        <v>347</v>
      </c>
      <c r="J22" s="83" t="s">
        <v>369</v>
      </c>
      <c r="K22" s="146">
        <f>B53</f>
        <v>50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B234</f>
        <v>0.4</v>
      </c>
      <c r="AD22" s="150">
        <f>B244</f>
        <v>0.4</v>
      </c>
      <c r="AE22" s="150">
        <f>B254</f>
        <v>0.4</v>
      </c>
      <c r="AF22" s="150">
        <f>B264</f>
        <v>0.4</v>
      </c>
      <c r="AG22" s="150">
        <f>B275</f>
        <v>0.4</v>
      </c>
      <c r="AI22" s="307"/>
      <c r="AJ22" s="304"/>
      <c r="AK22" s="291"/>
      <c r="AL22" s="288"/>
      <c r="AM22" s="304"/>
      <c r="AN22" s="282"/>
      <c r="AR22" s="307"/>
      <c r="AS22" s="304"/>
      <c r="AT22" s="291"/>
      <c r="AU22" s="288"/>
      <c r="AV22" s="304"/>
      <c r="AW22" s="282"/>
      <c r="BA22" s="307"/>
      <c r="BB22" s="304"/>
      <c r="BC22" s="291"/>
      <c r="BD22" s="288"/>
      <c r="BE22" s="304"/>
      <c r="BF22" s="282"/>
      <c r="BJ22" s="307"/>
      <c r="BK22" s="285"/>
      <c r="BL22" s="291"/>
      <c r="BM22" s="288"/>
      <c r="BN22" s="285"/>
      <c r="BO22" s="282"/>
      <c r="BS22" s="52" t="s">
        <v>433</v>
      </c>
      <c r="BT22" s="138">
        <f>B114</f>
        <v>55</v>
      </c>
      <c r="BU22" s="52" t="s">
        <v>24</v>
      </c>
      <c r="BV22" s="83" t="s">
        <v>90</v>
      </c>
      <c r="BW22" s="150">
        <f>B118</f>
        <v>5</v>
      </c>
      <c r="BX22" s="52" t="s">
        <v>194</v>
      </c>
      <c r="BY22" s="83" t="s">
        <v>140</v>
      </c>
      <c r="BZ22" s="150">
        <f>B113</f>
        <v>55</v>
      </c>
      <c r="CA22" s="83" t="s">
        <v>24</v>
      </c>
      <c r="CB22" s="52" t="s">
        <v>267</v>
      </c>
      <c r="CC22" s="136">
        <f>B17</f>
        <v>1</v>
      </c>
      <c r="CD22" s="52" t="s">
        <v>344</v>
      </c>
      <c r="CE22" s="52" t="s">
        <v>267</v>
      </c>
      <c r="CF22" s="136">
        <f>B17</f>
        <v>1</v>
      </c>
      <c r="CG22" s="52" t="s">
        <v>344</v>
      </c>
      <c r="CK22" s="269"/>
      <c r="CL22" s="263"/>
      <c r="CM22" s="257"/>
      <c r="CN22" s="260"/>
      <c r="CO22" s="263"/>
      <c r="CP22" s="257"/>
      <c r="CQ22" s="260"/>
      <c r="CR22" s="263"/>
      <c r="CS22" s="266"/>
      <c r="CT22" s="91" t="s">
        <v>275</v>
      </c>
      <c r="CU22" s="144">
        <f>DY2</f>
        <v>1.8106574848640176E-2</v>
      </c>
      <c r="CV22" s="92" t="s">
        <v>12</v>
      </c>
      <c r="CW22" s="52" t="s">
        <v>271</v>
      </c>
      <c r="CX22" s="145">
        <f>((CX5*CX10*CX6)/((CX15/CX16)*CX8*(1-EXP(-CX6*CX10))*CX17*(1/365)*CX18))*CX27*CX28*CX7</f>
        <v>2.8511614497277758E-12</v>
      </c>
      <c r="CY22" s="52" t="s">
        <v>16</v>
      </c>
      <c r="CZ22" s="91" t="s">
        <v>510</v>
      </c>
      <c r="DA22" s="144">
        <f>GD2</f>
        <v>1.6830940405163843E-2</v>
      </c>
      <c r="DB22" s="83" t="s">
        <v>12</v>
      </c>
      <c r="DC22" s="94" t="s">
        <v>295</v>
      </c>
      <c r="DD22" s="150">
        <f>B278</f>
        <v>243</v>
      </c>
      <c r="DE22" s="90" t="s">
        <v>296</v>
      </c>
      <c r="DF22" s="92" t="s">
        <v>74</v>
      </c>
      <c r="DG22" s="138">
        <f>B198</f>
        <v>14</v>
      </c>
      <c r="DH22" s="52" t="s">
        <v>75</v>
      </c>
      <c r="DL22" s="92"/>
      <c r="DO22" s="92" t="s">
        <v>74</v>
      </c>
      <c r="DP22" s="138">
        <f>B198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B198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B198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B198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B198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B198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252</v>
      </c>
      <c r="B23" s="183">
        <v>2.5484199999999999E-2</v>
      </c>
      <c r="C23" s="83" t="s">
        <v>352</v>
      </c>
      <c r="D23" s="52" t="s">
        <v>380</v>
      </c>
      <c r="E23" s="138">
        <f>B66</f>
        <v>150</v>
      </c>
      <c r="F23" s="52" t="s">
        <v>24</v>
      </c>
      <c r="G23" s="83" t="s">
        <v>399</v>
      </c>
      <c r="H23" s="146">
        <f>B147</f>
        <v>55</v>
      </c>
      <c r="I23" s="92" t="s">
        <v>221</v>
      </c>
      <c r="J23" s="83" t="s">
        <v>366</v>
      </c>
      <c r="K23" s="141">
        <f>B50</f>
        <v>5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308"/>
      <c r="AS23" s="305"/>
      <c r="AT23" s="292"/>
      <c r="AU23" s="289"/>
      <c r="AV23" s="305"/>
      <c r="AW23" s="283"/>
      <c r="BA23" s="308"/>
      <c r="BB23" s="305"/>
      <c r="BC23" s="292"/>
      <c r="BD23" s="289"/>
      <c r="BE23" s="305"/>
      <c r="BF23" s="283"/>
      <c r="BJ23" s="308"/>
      <c r="BK23" s="286"/>
      <c r="BL23" s="292"/>
      <c r="BM23" s="289"/>
      <c r="BN23" s="286"/>
      <c r="BO23" s="283"/>
      <c r="BS23" s="52" t="s">
        <v>434</v>
      </c>
      <c r="BT23" s="138">
        <f>B115</f>
        <v>55</v>
      </c>
      <c r="BU23" s="52" t="s">
        <v>24</v>
      </c>
      <c r="BV23" s="83" t="s">
        <v>435</v>
      </c>
      <c r="BW23" s="138">
        <f>B124</f>
        <v>5</v>
      </c>
      <c r="BX23" s="52" t="s">
        <v>80</v>
      </c>
      <c r="BY23" s="83" t="s">
        <v>434</v>
      </c>
      <c r="BZ23" s="150">
        <f>B115</f>
        <v>55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B17</f>
        <v>1</v>
      </c>
      <c r="CM23" s="52" t="s">
        <v>344</v>
      </c>
      <c r="CN23" s="52" t="s">
        <v>229</v>
      </c>
      <c r="CO23" s="136">
        <f>B41</f>
        <v>5.0000000000000001E-4</v>
      </c>
      <c r="CP23" s="52" t="s">
        <v>268</v>
      </c>
      <c r="CQ23" s="83" t="s">
        <v>229</v>
      </c>
      <c r="CR23" s="136">
        <f>CO23</f>
        <v>5.0000000000000001E-4</v>
      </c>
      <c r="CS23" s="52" t="s">
        <v>268</v>
      </c>
      <c r="CT23" s="91" t="s">
        <v>276</v>
      </c>
      <c r="CU23" s="144">
        <f>GG2</f>
        <v>9.3574525063871053E-5</v>
      </c>
      <c r="CV23" s="92" t="s">
        <v>12</v>
      </c>
      <c r="CW23" s="52" t="s">
        <v>456</v>
      </c>
      <c r="CX23" s="138">
        <f>B165</f>
        <v>150</v>
      </c>
      <c r="CY23" s="52" t="s">
        <v>24</v>
      </c>
      <c r="CZ23" s="91" t="s">
        <v>277</v>
      </c>
      <c r="DA23" s="145">
        <f>FO2</f>
        <v>1.6830940405163845E-7</v>
      </c>
      <c r="DB23" s="83" t="s">
        <v>12</v>
      </c>
      <c r="DC23" s="84" t="s">
        <v>293</v>
      </c>
      <c r="DD23" s="85">
        <f>B280</f>
        <v>2.7955176153748299E-12</v>
      </c>
      <c r="DF23" s="83" t="s">
        <v>267</v>
      </c>
      <c r="DG23" s="136">
        <f>B34</f>
        <v>157680</v>
      </c>
      <c r="DH23" s="52" t="s">
        <v>222</v>
      </c>
      <c r="DO23" s="83" t="s">
        <v>19</v>
      </c>
      <c r="DP23" s="161">
        <f>DP25</f>
        <v>1.914E-5</v>
      </c>
      <c r="EA23" s="83"/>
      <c r="EB23" s="83"/>
      <c r="EC23" s="84"/>
      <c r="ED23" s="83" t="s">
        <v>19</v>
      </c>
      <c r="EE23" s="161">
        <f>EE25</f>
        <v>2.1999999999999999E-5</v>
      </c>
      <c r="EF23" s="84"/>
      <c r="EP23" s="83"/>
      <c r="EQ23" s="83"/>
      <c r="ER23" s="84"/>
      <c r="ES23" s="83" t="s">
        <v>19</v>
      </c>
      <c r="ET23" s="161">
        <f>ET25</f>
        <v>2.1999999999999999E-5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2.1999999999999999E-5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2.1999999999999999E-5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2.1999999999999999E-5</v>
      </c>
      <c r="HC23" s="84"/>
      <c r="HD23" s="67" t="s">
        <v>14</v>
      </c>
      <c r="HE23" s="222">
        <f>((HE25*HE42)*HE38*HE33*10^-3*HE32*HE27)/(HE31*HE41*(1-EXP(-HE27*HE32)))</f>
        <v>2.3429658835547073E-11</v>
      </c>
      <c r="HF23" s="220" t="s">
        <v>597</v>
      </c>
    </row>
    <row r="24" spans="1:214" ht="14.25" thickTop="1" thickBot="1" x14ac:dyDescent="0.25">
      <c r="A24" s="83" t="s">
        <v>253</v>
      </c>
      <c r="B24" s="183">
        <v>1.83064E-2</v>
      </c>
      <c r="C24" s="83" t="s">
        <v>351</v>
      </c>
      <c r="D24" s="52" t="s">
        <v>381</v>
      </c>
      <c r="E24" s="138">
        <f>B67</f>
        <v>150</v>
      </c>
      <c r="F24" s="52" t="s">
        <v>24</v>
      </c>
      <c r="G24" s="83" t="s">
        <v>310</v>
      </c>
      <c r="H24" s="146">
        <f>B58</f>
        <v>55</v>
      </c>
      <c r="I24" s="92" t="s">
        <v>221</v>
      </c>
      <c r="J24" s="83" t="s">
        <v>367</v>
      </c>
      <c r="K24" s="141">
        <f>B51</f>
        <v>10</v>
      </c>
      <c r="L24" s="52" t="s">
        <v>407</v>
      </c>
      <c r="M24" s="52" t="s">
        <v>267</v>
      </c>
      <c r="N24" s="136">
        <f>B17</f>
        <v>1</v>
      </c>
      <c r="O24" s="52" t="s">
        <v>344</v>
      </c>
      <c r="P24" s="52" t="s">
        <v>267</v>
      </c>
      <c r="Q24" s="136">
        <f>B17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1.6041666666666665E-3</v>
      </c>
      <c r="AD24" s="137">
        <f>0.693/AD25</f>
        <v>1.6041666666666665E-3</v>
      </c>
      <c r="AE24" s="137">
        <f>0.693/AE25</f>
        <v>1.6041666666666665E-3</v>
      </c>
      <c r="AF24" s="137">
        <f>0.693/AF25</f>
        <v>1.6041666666666665E-3</v>
      </c>
      <c r="AG24" s="137">
        <f>0.693/AG25</f>
        <v>1.6041666666666665E-3</v>
      </c>
      <c r="AI24" s="52" t="s">
        <v>267</v>
      </c>
      <c r="AJ24" s="136">
        <f>B17</f>
        <v>1</v>
      </c>
      <c r="AK24" s="52" t="s">
        <v>344</v>
      </c>
      <c r="AL24" s="52" t="s">
        <v>267</v>
      </c>
      <c r="AM24" s="136">
        <f>B17</f>
        <v>1</v>
      </c>
      <c r="AN24" s="52" t="s">
        <v>344</v>
      </c>
      <c r="AR24" s="52" t="s">
        <v>267</v>
      </c>
      <c r="AS24" s="136">
        <f>B17</f>
        <v>1</v>
      </c>
      <c r="AT24" s="52" t="s">
        <v>344</v>
      </c>
      <c r="AU24" s="52" t="s">
        <v>267</v>
      </c>
      <c r="AV24" s="136">
        <f>B17</f>
        <v>1</v>
      </c>
      <c r="AW24" s="52" t="s">
        <v>344</v>
      </c>
      <c r="BA24" s="52" t="s">
        <v>267</v>
      </c>
      <c r="BB24" s="136">
        <f>B17</f>
        <v>1</v>
      </c>
      <c r="BC24" s="52" t="s">
        <v>344</v>
      </c>
      <c r="BD24" s="52" t="s">
        <v>267</v>
      </c>
      <c r="BE24" s="136">
        <f>B17</f>
        <v>1</v>
      </c>
      <c r="BF24" s="52" t="s">
        <v>344</v>
      </c>
      <c r="BJ24" s="52" t="s">
        <v>267</v>
      </c>
      <c r="BK24" s="136">
        <f>B17</f>
        <v>1</v>
      </c>
      <c r="BL24" s="52" t="s">
        <v>344</v>
      </c>
      <c r="BM24" s="52" t="s">
        <v>267</v>
      </c>
      <c r="BN24" s="136">
        <f>B17</f>
        <v>1</v>
      </c>
      <c r="BO24" s="52" t="s">
        <v>344</v>
      </c>
      <c r="BS24" s="91" t="s">
        <v>95</v>
      </c>
      <c r="BT24" s="158">
        <f>B127</f>
        <v>1</v>
      </c>
      <c r="BU24" s="91" t="s">
        <v>60</v>
      </c>
      <c r="BV24" s="83" t="s">
        <v>436</v>
      </c>
      <c r="BW24" s="138">
        <f>B125</f>
        <v>5</v>
      </c>
      <c r="BX24" s="52" t="s">
        <v>80</v>
      </c>
      <c r="BY24" s="83" t="s">
        <v>433</v>
      </c>
      <c r="BZ24" s="150">
        <f>B114</f>
        <v>55</v>
      </c>
      <c r="CA24" s="83" t="s">
        <v>24</v>
      </c>
      <c r="CB24" s="83" t="s">
        <v>22</v>
      </c>
      <c r="CC24" s="137">
        <f>0.693/CC25</f>
        <v>1.6041666666666665E-3</v>
      </c>
      <c r="CE24" s="83" t="s">
        <v>22</v>
      </c>
      <c r="CF24" s="137">
        <f>0.693/CF25</f>
        <v>1.6041666666666665E-3</v>
      </c>
      <c r="CK24" s="52" t="s">
        <v>258</v>
      </c>
      <c r="CL24" s="136">
        <f>B29</f>
        <v>8.8060000000000005E-4</v>
      </c>
      <c r="CM24" s="91" t="s">
        <v>10</v>
      </c>
      <c r="CN24" s="52" t="s">
        <v>20</v>
      </c>
      <c r="CO24" s="139">
        <f>CO26</f>
        <v>2.1999999999999999E-5</v>
      </c>
      <c r="CQ24" s="84" t="s">
        <v>170</v>
      </c>
      <c r="CR24" s="162">
        <f>B139</f>
        <v>2</v>
      </c>
      <c r="CS24" s="52" t="s">
        <v>28</v>
      </c>
      <c r="CT24" s="91" t="s">
        <v>277</v>
      </c>
      <c r="CU24" s="145">
        <f>FR2</f>
        <v>6.7377775325089976E-10</v>
      </c>
      <c r="CV24" s="92" t="s">
        <v>12</v>
      </c>
      <c r="CW24" s="52" t="s">
        <v>465</v>
      </c>
      <c r="CX24" s="138">
        <f>B166</f>
        <v>150</v>
      </c>
      <c r="CY24" s="52" t="s">
        <v>24</v>
      </c>
      <c r="CZ24" s="83" t="s">
        <v>45</v>
      </c>
      <c r="DA24" s="149">
        <f>(DA35*DA27*DA49)+(DA36*DA28*DA50)</f>
        <v>196.875</v>
      </c>
      <c r="DB24" s="52" t="s">
        <v>345</v>
      </c>
      <c r="DD24" s="138"/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223">
        <f>((HE26*HE42)*HE38*HE33*10^-3*HE32*HE27)/(HE31*HE41*(1-EXP(-HE27*HE32)))</f>
        <v>9.9146983207398519E-18</v>
      </c>
      <c r="HF24" s="221" t="s">
        <v>598</v>
      </c>
    </row>
    <row r="25" spans="1:214" ht="15" thickTop="1" x14ac:dyDescent="0.2">
      <c r="A25" s="83" t="s">
        <v>254</v>
      </c>
      <c r="B25" s="183">
        <v>3.4557999999999998E-2</v>
      </c>
      <c r="C25" s="83" t="s">
        <v>351</v>
      </c>
      <c r="D25" s="83" t="s">
        <v>376</v>
      </c>
      <c r="E25" s="146">
        <f>B61</f>
        <v>0.23</v>
      </c>
      <c r="G25" s="83" t="s">
        <v>400</v>
      </c>
      <c r="H25" s="149">
        <f>(H29*H26*H68)+(H30*H27*H69)</f>
        <v>8250</v>
      </c>
      <c r="I25" s="92" t="s">
        <v>347</v>
      </c>
      <c r="J25" s="83" t="s">
        <v>446</v>
      </c>
      <c r="K25" s="149">
        <f>(K31*K26*K51)+(K32*K27*K52)</f>
        <v>8250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6.1084904403887296E-13</v>
      </c>
      <c r="X25" s="62" t="s">
        <v>294</v>
      </c>
      <c r="Y25" s="202" t="s">
        <v>16</v>
      </c>
      <c r="Z25" s="187">
        <f>1/((1/Z41)+(1/Z40))</f>
        <v>6.1084904403887296E-13</v>
      </c>
      <c r="AA25" s="63" t="s">
        <v>294</v>
      </c>
      <c r="AB25" s="91" t="s">
        <v>231</v>
      </c>
      <c r="AC25" s="136">
        <f>B30</f>
        <v>432</v>
      </c>
      <c r="AD25" s="136">
        <f>B30</f>
        <v>432</v>
      </c>
      <c r="AE25" s="136">
        <f>B30</f>
        <v>432</v>
      </c>
      <c r="AF25" s="136">
        <f>B30</f>
        <v>432</v>
      </c>
      <c r="AG25" s="136">
        <f>B30</f>
        <v>432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B111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B118</f>
        <v>5</v>
      </c>
      <c r="CA25" s="94" t="s">
        <v>194</v>
      </c>
      <c r="CB25" s="91" t="s">
        <v>231</v>
      </c>
      <c r="CC25" s="136">
        <f>B30</f>
        <v>432</v>
      </c>
      <c r="CD25" s="52" t="s">
        <v>60</v>
      </c>
      <c r="CE25" s="91" t="s">
        <v>231</v>
      </c>
      <c r="CF25" s="136">
        <f>B30</f>
        <v>432</v>
      </c>
      <c r="CG25" s="52" t="s">
        <v>60</v>
      </c>
      <c r="CK25" s="52" t="s">
        <v>140</v>
      </c>
      <c r="CL25" s="138">
        <f>B113</f>
        <v>55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8625</v>
      </c>
      <c r="CV25" s="83" t="s">
        <v>346</v>
      </c>
      <c r="CW25" s="83" t="s">
        <v>475</v>
      </c>
      <c r="CX25" s="146">
        <f>B163</f>
        <v>0.15</v>
      </c>
      <c r="CZ25" s="83" t="s">
        <v>43</v>
      </c>
      <c r="DA25" s="140">
        <f>(DA35*DA29*(DA38/24)*DA49)+(DA36*DA30*(DA39/24)*DA50)</f>
        <v>1387.5</v>
      </c>
      <c r="DB25" s="83" t="s">
        <v>426</v>
      </c>
      <c r="DF25" s="52" t="s">
        <v>33</v>
      </c>
      <c r="DG25" s="136">
        <f>B44</f>
        <v>2.1999999999999999E-5</v>
      </c>
      <c r="DO25" s="83" t="s">
        <v>32</v>
      </c>
      <c r="DP25" s="136">
        <f>B43</f>
        <v>1.914E-5</v>
      </c>
      <c r="EA25" s="83"/>
      <c r="EC25" s="84"/>
      <c r="ED25" s="83" t="s">
        <v>33</v>
      </c>
      <c r="EE25" s="136">
        <f>B44</f>
        <v>2.1999999999999999E-5</v>
      </c>
      <c r="EF25" s="84"/>
      <c r="EP25" s="83"/>
      <c r="ER25" s="84"/>
      <c r="ES25" s="83" t="s">
        <v>33</v>
      </c>
      <c r="ET25" s="136">
        <f>B44</f>
        <v>2.1999999999999999E-5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B44</f>
        <v>2.1999999999999999E-5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B44</f>
        <v>2.1999999999999999E-5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B44</f>
        <v>2.1999999999999999E-5</v>
      </c>
      <c r="HC25" s="84"/>
      <c r="HD25" s="89" t="s">
        <v>21</v>
      </c>
      <c r="HE25" s="139">
        <f>B46</f>
        <v>4.4089920000000007E-9</v>
      </c>
      <c r="HF25" s="83" t="s">
        <v>13</v>
      </c>
    </row>
    <row r="26" spans="1:214" ht="13.5" thickBot="1" x14ac:dyDescent="0.25">
      <c r="A26" s="83" t="s">
        <v>255</v>
      </c>
      <c r="B26" s="183">
        <v>3.7173200000000003E-2</v>
      </c>
      <c r="C26" s="83" t="s">
        <v>351</v>
      </c>
      <c r="D26" s="83" t="s">
        <v>377</v>
      </c>
      <c r="E26" s="146">
        <f>B62</f>
        <v>0.77</v>
      </c>
      <c r="G26" s="83" t="s">
        <v>401</v>
      </c>
      <c r="H26" s="146">
        <f>B149</f>
        <v>55</v>
      </c>
      <c r="I26" s="92" t="s">
        <v>221</v>
      </c>
      <c r="J26" s="83" t="s">
        <v>399</v>
      </c>
      <c r="K26" s="146">
        <f>B57</f>
        <v>55</v>
      </c>
      <c r="L26" s="92" t="s">
        <v>221</v>
      </c>
      <c r="M26" s="83" t="s">
        <v>22</v>
      </c>
      <c r="N26" s="137">
        <f>0.693/N27</f>
        <v>1.6041666666666665E-3</v>
      </c>
      <c r="P26" s="83" t="s">
        <v>22</v>
      </c>
      <c r="Q26" s="137">
        <f>0.693/Q27</f>
        <v>1.6041666666666665E-3</v>
      </c>
      <c r="V26" s="201" t="s">
        <v>15</v>
      </c>
      <c r="W26" s="75">
        <f>1/((1/W38)+(1/W39))</f>
        <v>6.1035935408458653E-13</v>
      </c>
      <c r="X26" s="76" t="s">
        <v>294</v>
      </c>
      <c r="Y26" s="203" t="s">
        <v>15</v>
      </c>
      <c r="Z26" s="185">
        <f>1/((1/Z38)+(1/Z39))</f>
        <v>6.1035935408458653E-13</v>
      </c>
      <c r="AA26" s="77" t="s">
        <v>294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1.6041666666666665E-3</v>
      </c>
      <c r="AL26" s="83" t="s">
        <v>22</v>
      </c>
      <c r="AM26" s="137">
        <f>0.693/AM27</f>
        <v>1.6041666666666665E-3</v>
      </c>
      <c r="AR26" s="83" t="s">
        <v>22</v>
      </c>
      <c r="AS26" s="137">
        <f>0.693/AS27</f>
        <v>1.6041666666666665E-3</v>
      </c>
      <c r="AU26" s="83" t="s">
        <v>22</v>
      </c>
      <c r="AV26" s="137">
        <f>0.693/AV27</f>
        <v>1.6041666666666665E-3</v>
      </c>
      <c r="BA26" s="83" t="s">
        <v>22</v>
      </c>
      <c r="BB26" s="137">
        <f>0.693/BB27</f>
        <v>1.6041666666666665E-3</v>
      </c>
      <c r="BD26" s="83" t="s">
        <v>22</v>
      </c>
      <c r="BE26" s="137">
        <f>0.693/BE27</f>
        <v>1.6041666666666665E-3</v>
      </c>
      <c r="BJ26" s="83" t="s">
        <v>22</v>
      </c>
      <c r="BK26" s="137">
        <f>0.693/BK27</f>
        <v>1.6041666666666665E-3</v>
      </c>
      <c r="BM26" s="83" t="s">
        <v>22</v>
      </c>
      <c r="BN26" s="137">
        <f>0.693/BN27</f>
        <v>1.6041666666666665E-3</v>
      </c>
      <c r="BS26" s="91" t="s">
        <v>309</v>
      </c>
      <c r="BT26" s="177">
        <f>B112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B116</f>
        <v>5</v>
      </c>
      <c r="CA26" s="94" t="s">
        <v>194</v>
      </c>
      <c r="CB26" s="52" t="s">
        <v>140</v>
      </c>
      <c r="CC26" s="138">
        <f>B113</f>
        <v>55</v>
      </c>
      <c r="CD26" s="52" t="s">
        <v>24</v>
      </c>
      <c r="CE26" s="52" t="s">
        <v>140</v>
      </c>
      <c r="CF26" s="138">
        <f>B113</f>
        <v>55</v>
      </c>
      <c r="CG26" s="52" t="s">
        <v>24</v>
      </c>
      <c r="CK26" s="52" t="s">
        <v>160</v>
      </c>
      <c r="CL26" s="162">
        <f>B134</f>
        <v>3</v>
      </c>
      <c r="CM26" s="52" t="s">
        <v>221</v>
      </c>
      <c r="CN26" s="52" t="s">
        <v>33</v>
      </c>
      <c r="CO26" s="136">
        <f>B44</f>
        <v>2.1999999999999999E-5</v>
      </c>
      <c r="CT26" s="83" t="s">
        <v>506</v>
      </c>
      <c r="CU26" s="155">
        <f>((CU31*CU29*CU47)+(CU32*CU30*CU48))</f>
        <v>1387.5</v>
      </c>
      <c r="CV26" s="52" t="s">
        <v>426</v>
      </c>
      <c r="CW26" s="83" t="s">
        <v>476</v>
      </c>
      <c r="CX26" s="141">
        <f>B164</f>
        <v>0.85</v>
      </c>
      <c r="CY26" s="83"/>
      <c r="CZ26" s="83" t="s">
        <v>142</v>
      </c>
      <c r="DA26" s="149">
        <f>(DA35*DA40*DA42*DA49)+(DA36*DA41*DA43*DA50)</f>
        <v>570</v>
      </c>
      <c r="DB26" s="52" t="s">
        <v>356</v>
      </c>
      <c r="DG26" s="138"/>
      <c r="DO26" s="83" t="s">
        <v>393</v>
      </c>
      <c r="DP26" s="138">
        <f>B47</f>
        <v>0.26</v>
      </c>
      <c r="EA26" s="83"/>
      <c r="EB26" s="84"/>
      <c r="EC26" s="84"/>
      <c r="ED26" s="83" t="s">
        <v>392</v>
      </c>
      <c r="EE26" s="163">
        <f>B48</f>
        <v>0.25</v>
      </c>
      <c r="EF26" s="84"/>
      <c r="EP26" s="83"/>
      <c r="EQ26" s="84"/>
      <c r="ER26" s="84"/>
      <c r="ES26" s="83" t="s">
        <v>392</v>
      </c>
      <c r="ET26" s="163">
        <f>B48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B48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B48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B48</f>
        <v>0.25</v>
      </c>
      <c r="HC26" s="84"/>
      <c r="HD26" s="84" t="s">
        <v>265</v>
      </c>
      <c r="HE26" s="139">
        <f>H2</f>
        <v>1.8657474223326543E-15</v>
      </c>
      <c r="HF26" s="83" t="s">
        <v>13</v>
      </c>
    </row>
    <row r="27" spans="1:214" ht="13.5" thickTop="1" x14ac:dyDescent="0.2">
      <c r="A27" s="83" t="s">
        <v>256</v>
      </c>
      <c r="B27" s="183">
        <v>125.5296</v>
      </c>
      <c r="C27" s="83" t="s">
        <v>351</v>
      </c>
      <c r="D27" s="84" t="s">
        <v>295</v>
      </c>
      <c r="E27" s="150">
        <f>B278</f>
        <v>243</v>
      </c>
      <c r="F27" s="52" t="s">
        <v>296</v>
      </c>
      <c r="G27" s="83" t="s">
        <v>402</v>
      </c>
      <c r="H27" s="146">
        <f>B60</f>
        <v>55</v>
      </c>
      <c r="I27" s="92" t="s">
        <v>221</v>
      </c>
      <c r="J27" s="83" t="s">
        <v>310</v>
      </c>
      <c r="K27" s="146">
        <f>B58</f>
        <v>55</v>
      </c>
      <c r="L27" s="92" t="s">
        <v>221</v>
      </c>
      <c r="M27" s="91" t="s">
        <v>231</v>
      </c>
      <c r="N27" s="136">
        <f>B30</f>
        <v>432</v>
      </c>
      <c r="O27" s="52" t="s">
        <v>60</v>
      </c>
      <c r="P27" s="91" t="s">
        <v>231</v>
      </c>
      <c r="Q27" s="136">
        <f>B30</f>
        <v>432</v>
      </c>
      <c r="R27" s="52" t="s">
        <v>60</v>
      </c>
      <c r="V27" s="52" t="s">
        <v>267</v>
      </c>
      <c r="W27" s="136">
        <f>B17</f>
        <v>1</v>
      </c>
      <c r="X27" s="52" t="s">
        <v>344</v>
      </c>
      <c r="Y27" s="52" t="s">
        <v>267</v>
      </c>
      <c r="Z27" s="136">
        <f>B17</f>
        <v>1</v>
      </c>
      <c r="AA27" s="52" t="s">
        <v>344</v>
      </c>
      <c r="AB27" s="84" t="s">
        <v>16</v>
      </c>
      <c r="AC27" s="156">
        <f>(AC23*AC24)/(1-EXP(-AC24*AC23))</f>
        <v>1.0008022977791844</v>
      </c>
      <c r="AD27" s="156">
        <f>(AD23*AD24)/(1-EXP(-AD24*AD23))</f>
        <v>1.0008022977791844</v>
      </c>
      <c r="AE27" s="156">
        <f>(AE23*AE24)/(1-EXP(-AE24*AE23))</f>
        <v>1.0008022977791844</v>
      </c>
      <c r="AF27" s="156">
        <f>(AF23*AF24)/(1-EXP(-AF24*AF23))</f>
        <v>1.0008022977791844</v>
      </c>
      <c r="AG27" s="156">
        <f>(AG23*AG24)/(1-EXP(-AG24*AG23))</f>
        <v>1.0008022977791844</v>
      </c>
      <c r="AI27" s="91" t="s">
        <v>231</v>
      </c>
      <c r="AJ27" s="136">
        <f>B30</f>
        <v>432</v>
      </c>
      <c r="AK27" s="52" t="s">
        <v>60</v>
      </c>
      <c r="AL27" s="91" t="s">
        <v>231</v>
      </c>
      <c r="AM27" s="136">
        <f>B30</f>
        <v>432</v>
      </c>
      <c r="AN27" s="52" t="s">
        <v>60</v>
      </c>
      <c r="AR27" s="91" t="s">
        <v>231</v>
      </c>
      <c r="AS27" s="136">
        <f>B30</f>
        <v>432</v>
      </c>
      <c r="AT27" s="52" t="s">
        <v>60</v>
      </c>
      <c r="AU27" s="91" t="s">
        <v>231</v>
      </c>
      <c r="AV27" s="136">
        <f>B30</f>
        <v>432</v>
      </c>
      <c r="AW27" s="52" t="s">
        <v>60</v>
      </c>
      <c r="BA27" s="91" t="s">
        <v>231</v>
      </c>
      <c r="BB27" s="136">
        <f>B30</f>
        <v>432</v>
      </c>
      <c r="BC27" s="52" t="s">
        <v>60</v>
      </c>
      <c r="BD27" s="91" t="s">
        <v>231</v>
      </c>
      <c r="BE27" s="136">
        <f>B30</f>
        <v>432</v>
      </c>
      <c r="BF27" s="52" t="s">
        <v>60</v>
      </c>
      <c r="BJ27" s="91" t="s">
        <v>231</v>
      </c>
      <c r="BK27" s="136">
        <f>B30</f>
        <v>432</v>
      </c>
      <c r="BL27" s="52" t="s">
        <v>60</v>
      </c>
      <c r="BM27" s="91" t="s">
        <v>231</v>
      </c>
      <c r="BN27" s="136">
        <f>B30</f>
        <v>432</v>
      </c>
      <c r="BO27" s="52" t="s">
        <v>60</v>
      </c>
      <c r="BS27" s="94" t="s">
        <v>295</v>
      </c>
      <c r="BT27" s="150">
        <f>B278</f>
        <v>243</v>
      </c>
      <c r="BU27" s="90" t="s">
        <v>296</v>
      </c>
      <c r="BW27" s="138">
        <v>1000</v>
      </c>
      <c r="BX27" s="52" t="s">
        <v>218</v>
      </c>
      <c r="BY27" s="83" t="s">
        <v>90</v>
      </c>
      <c r="BZ27" s="150">
        <f>B117</f>
        <v>5</v>
      </c>
      <c r="CA27" s="52" t="s">
        <v>194</v>
      </c>
      <c r="CB27" s="52" t="s">
        <v>51</v>
      </c>
      <c r="CC27" s="138">
        <f>B127</f>
        <v>1</v>
      </c>
      <c r="CD27" s="52" t="s">
        <v>146</v>
      </c>
      <c r="CE27" s="52" t="s">
        <v>51</v>
      </c>
      <c r="CF27" s="138">
        <f>B127</f>
        <v>1</v>
      </c>
      <c r="CG27" s="52" t="s">
        <v>146</v>
      </c>
      <c r="CK27" s="94" t="s">
        <v>295</v>
      </c>
      <c r="CL27" s="150">
        <f>B278</f>
        <v>243</v>
      </c>
      <c r="CM27" s="90" t="s">
        <v>296</v>
      </c>
      <c r="CN27" s="52" t="s">
        <v>392</v>
      </c>
      <c r="CO27" s="162">
        <f>B48</f>
        <v>0.25</v>
      </c>
      <c r="CT27" s="83" t="s">
        <v>449</v>
      </c>
      <c r="CU27" s="146">
        <f>B141</f>
        <v>100</v>
      </c>
      <c r="CV27" s="84" t="s">
        <v>48</v>
      </c>
      <c r="CW27" s="94" t="s">
        <v>295</v>
      </c>
      <c r="CX27" s="150">
        <f>B278</f>
        <v>243</v>
      </c>
      <c r="CY27" s="90" t="s">
        <v>296</v>
      </c>
      <c r="CZ27" s="92" t="s">
        <v>451</v>
      </c>
      <c r="DA27" s="142">
        <f t="shared" ref="DA27:DA34" si="0">B143</f>
        <v>0.25</v>
      </c>
      <c r="DB27" s="83" t="s">
        <v>28</v>
      </c>
      <c r="DG27" s="138"/>
      <c r="DW27" s="88"/>
      <c r="DX27" s="88"/>
      <c r="DY27" s="88"/>
      <c r="DZ27" s="88"/>
      <c r="EA27" s="83"/>
      <c r="EB27" s="85"/>
      <c r="ED27" s="83" t="s">
        <v>517</v>
      </c>
      <c r="EE27" s="136">
        <f>B36</f>
        <v>4.2E-7</v>
      </c>
      <c r="EF27" s="52" t="s">
        <v>601</v>
      </c>
      <c r="EP27" s="83"/>
      <c r="EQ27" s="86"/>
      <c r="ES27" s="83" t="s">
        <v>236</v>
      </c>
      <c r="ET27" s="169">
        <f>B37</f>
        <v>5.0000000000000001E-4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B39</f>
        <v>3.0000000000000001E-3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B38</f>
        <v>6.0000000000000001E-3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B40</f>
        <v>1.7000000000000001E-4</v>
      </c>
      <c r="HC27" s="52" t="s">
        <v>388</v>
      </c>
      <c r="HD27" s="83" t="s">
        <v>22</v>
      </c>
      <c r="HE27" s="137">
        <f>0.693/HE29</f>
        <v>1.6041666666666665E-3</v>
      </c>
    </row>
    <row r="28" spans="1:214" x14ac:dyDescent="0.2">
      <c r="A28" s="91" t="s">
        <v>257</v>
      </c>
      <c r="B28" s="183">
        <v>0.28767199999999998</v>
      </c>
      <c r="C28" s="84" t="s">
        <v>259</v>
      </c>
      <c r="D28" s="84" t="s">
        <v>293</v>
      </c>
      <c r="E28" s="85">
        <f>B279</f>
        <v>2.8000000000000001E-15</v>
      </c>
      <c r="G28" s="83" t="s">
        <v>65</v>
      </c>
      <c r="H28" s="141">
        <f>B75</f>
        <v>0.5</v>
      </c>
      <c r="I28" s="52" t="s">
        <v>66</v>
      </c>
      <c r="J28" s="83" t="s">
        <v>447</v>
      </c>
      <c r="K28" s="149">
        <f>(K31*K29*K51)+(K32*K30*K52)</f>
        <v>8250</v>
      </c>
      <c r="L28" s="92" t="s">
        <v>347</v>
      </c>
      <c r="M28" s="52" t="s">
        <v>382</v>
      </c>
      <c r="N28" s="138">
        <f>B68</f>
        <v>150</v>
      </c>
      <c r="O28" s="52" t="s">
        <v>24</v>
      </c>
      <c r="P28" s="52" t="s">
        <v>382</v>
      </c>
      <c r="Q28" s="138">
        <f>B68</f>
        <v>150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B237</f>
        <v>125</v>
      </c>
      <c r="AK28" s="52" t="s">
        <v>24</v>
      </c>
      <c r="AL28" s="52" t="s">
        <v>35</v>
      </c>
      <c r="AM28" s="138">
        <f>B237</f>
        <v>125</v>
      </c>
      <c r="AN28" s="52" t="s">
        <v>24</v>
      </c>
      <c r="AR28" s="52" t="s">
        <v>423</v>
      </c>
      <c r="AS28" s="138">
        <f>B247</f>
        <v>125</v>
      </c>
      <c r="AT28" s="52" t="s">
        <v>24</v>
      </c>
      <c r="AU28" s="52" t="s">
        <v>423</v>
      </c>
      <c r="AV28" s="138">
        <f>B247</f>
        <v>125</v>
      </c>
      <c r="AW28" s="52" t="s">
        <v>24</v>
      </c>
      <c r="BA28" s="52" t="s">
        <v>316</v>
      </c>
      <c r="BB28" s="138">
        <f>B227</f>
        <v>125</v>
      </c>
      <c r="BC28" s="52" t="s">
        <v>24</v>
      </c>
      <c r="BD28" s="52" t="s">
        <v>316</v>
      </c>
      <c r="BE28" s="138">
        <f>B227</f>
        <v>125</v>
      </c>
      <c r="BF28" s="52" t="s">
        <v>24</v>
      </c>
      <c r="BJ28" s="52" t="s">
        <v>191</v>
      </c>
      <c r="BK28" s="138">
        <f>BK29*BK30</f>
        <v>75</v>
      </c>
      <c r="BL28" s="52" t="s">
        <v>24</v>
      </c>
      <c r="BM28" s="52" t="s">
        <v>191</v>
      </c>
      <c r="BN28" s="138">
        <f>BN29*BN30</f>
        <v>75</v>
      </c>
      <c r="BO28" s="52" t="s">
        <v>24</v>
      </c>
      <c r="BS28" s="84" t="s">
        <v>293</v>
      </c>
      <c r="BT28" s="85">
        <f>B279</f>
        <v>2.8000000000000001E-15</v>
      </c>
      <c r="BV28" s="83"/>
      <c r="BW28" s="146">
        <v>365</v>
      </c>
      <c r="BX28" s="84" t="s">
        <v>24</v>
      </c>
      <c r="BY28" s="83" t="s">
        <v>302</v>
      </c>
      <c r="BZ28" s="161">
        <f>B3</f>
        <v>2.41E-4</v>
      </c>
      <c r="CB28" s="52" t="s">
        <v>300</v>
      </c>
      <c r="CC28" s="136">
        <f>B12</f>
        <v>1.5699999999999999E-5</v>
      </c>
      <c r="CE28" s="52" t="s">
        <v>300</v>
      </c>
      <c r="CF28" s="136">
        <f>B8</f>
        <v>1.35E-4</v>
      </c>
      <c r="CK28" s="84" t="s">
        <v>293</v>
      </c>
      <c r="CL28" s="85">
        <f>B280</f>
        <v>2.7955176153748299E-12</v>
      </c>
      <c r="CN28" s="52" t="s">
        <v>165</v>
      </c>
      <c r="CO28" s="162">
        <f>B135</f>
        <v>2</v>
      </c>
      <c r="CP28" s="52" t="s">
        <v>246</v>
      </c>
      <c r="CT28" s="83" t="s">
        <v>458</v>
      </c>
      <c r="CU28" s="146">
        <f>B142</f>
        <v>50</v>
      </c>
      <c r="CV28" s="84" t="s">
        <v>48</v>
      </c>
      <c r="CW28" s="84" t="s">
        <v>293</v>
      </c>
      <c r="CX28" s="85">
        <f>B279</f>
        <v>2.8000000000000001E-15</v>
      </c>
      <c r="CZ28" s="92" t="s">
        <v>460</v>
      </c>
      <c r="DA28" s="142">
        <f t="shared" si="0"/>
        <v>1.5</v>
      </c>
      <c r="DB28" s="83" t="s">
        <v>28</v>
      </c>
      <c r="DW28" s="88"/>
      <c r="DX28" s="88"/>
      <c r="DY28" s="88"/>
      <c r="DZ28" s="88"/>
      <c r="ET28" s="138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227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D28" s="52" t="s">
        <v>16</v>
      </c>
      <c r="HE28" s="137">
        <f>1-EXP(-HE27*HE32)</f>
        <v>1.6028806790575612E-3</v>
      </c>
    </row>
    <row r="29" spans="1:214" ht="15.75" thickBot="1" x14ac:dyDescent="0.25">
      <c r="A29" s="83" t="s">
        <v>258</v>
      </c>
      <c r="B29" s="183">
        <v>8.8060000000000005E-4</v>
      </c>
      <c r="C29" s="92" t="s">
        <v>259</v>
      </c>
      <c r="G29" s="83" t="s">
        <v>380</v>
      </c>
      <c r="H29" s="150">
        <f>B66</f>
        <v>150</v>
      </c>
      <c r="I29" s="83" t="s">
        <v>24</v>
      </c>
      <c r="J29" s="83" t="s">
        <v>401</v>
      </c>
      <c r="K29" s="146">
        <f>B59</f>
        <v>55</v>
      </c>
      <c r="L29" s="92" t="s">
        <v>221</v>
      </c>
      <c r="M29" s="52" t="s">
        <v>379</v>
      </c>
      <c r="N29" s="138">
        <f>B65</f>
        <v>1</v>
      </c>
      <c r="O29" s="52" t="s">
        <v>146</v>
      </c>
      <c r="P29" s="52" t="s">
        <v>379</v>
      </c>
      <c r="Q29" s="138">
        <f>B65</f>
        <v>1</v>
      </c>
      <c r="R29" s="52" t="s">
        <v>146</v>
      </c>
      <c r="V29" s="83" t="s">
        <v>22</v>
      </c>
      <c r="W29" s="137">
        <f>0.693/W30</f>
        <v>1.6041666666666665E-3</v>
      </c>
      <c r="Y29" s="83" t="s">
        <v>22</v>
      </c>
      <c r="Z29" s="137">
        <f>0.693/Z30</f>
        <v>1.6041666666666665E-3</v>
      </c>
      <c r="AB29" s="83" t="s">
        <v>260</v>
      </c>
      <c r="AC29" s="143">
        <f>((AC5/(AC8*AC13*AC7*AC9*(1/AC6)))*AC27)*AC35*AC36*AC25</f>
        <v>6.2257064400383122E-5</v>
      </c>
      <c r="AD29" s="143">
        <f>((AD5/(AD8*AD13*AD7*AD9*(1/AD6)))*AD27)*AD35*AD36*AD25</f>
        <v>6.2257064400383122E-5</v>
      </c>
      <c r="AE29" s="143">
        <f>((AE5/(AE8*AE13*AE7*AE9*(1/AE6)))*AE27)*AE35*AE36*AE25</f>
        <v>6.2257064400383122E-5</v>
      </c>
      <c r="AF29" s="143">
        <f>((AF5*AF23*AF24)/((1-EXP(-AF24*AF23))*AF8*AF7*AF9*AF13*(1/AF28)))*AF35*AF36*AF25</f>
        <v>1.5564266100095777E-5</v>
      </c>
      <c r="AG29" s="143">
        <f>((AG5*AG23*AG24)/((1-EXP(-AG24*AG23))*AG8*AG7*AG9*AG13*(1/AG28)))*AG35*AG36*AG25</f>
        <v>1.5564266100095777E-5</v>
      </c>
      <c r="AH29" s="83" t="s">
        <v>12</v>
      </c>
      <c r="AI29" s="52" t="s">
        <v>420</v>
      </c>
      <c r="AJ29" s="138">
        <f>B238</f>
        <v>1</v>
      </c>
      <c r="AK29" s="52" t="s">
        <v>146</v>
      </c>
      <c r="AL29" s="52" t="s">
        <v>420</v>
      </c>
      <c r="AM29" s="138">
        <f>B238</f>
        <v>1</v>
      </c>
      <c r="AN29" s="52" t="s">
        <v>146</v>
      </c>
      <c r="AR29" s="52" t="s">
        <v>424</v>
      </c>
      <c r="AS29" s="138">
        <f>B248</f>
        <v>1</v>
      </c>
      <c r="AT29" s="52" t="s">
        <v>146</v>
      </c>
      <c r="AU29" s="52" t="s">
        <v>424</v>
      </c>
      <c r="AV29" s="138">
        <f>B248</f>
        <v>1</v>
      </c>
      <c r="AW29" s="52" t="s">
        <v>146</v>
      </c>
      <c r="BA29" s="52" t="s">
        <v>422</v>
      </c>
      <c r="BB29" s="138">
        <f>B228</f>
        <v>1</v>
      </c>
      <c r="BC29" s="52" t="s">
        <v>146</v>
      </c>
      <c r="BD29" s="52" t="s">
        <v>422</v>
      </c>
      <c r="BE29" s="138">
        <f>B228</f>
        <v>1</v>
      </c>
      <c r="BF29" s="52" t="s">
        <v>146</v>
      </c>
      <c r="BJ29" s="52" t="s">
        <v>220</v>
      </c>
      <c r="BK29" s="138">
        <f>B266</f>
        <v>25</v>
      </c>
      <c r="BL29" s="52" t="s">
        <v>113</v>
      </c>
      <c r="BM29" s="52" t="s">
        <v>220</v>
      </c>
      <c r="BN29" s="138">
        <f>B266</f>
        <v>25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61">
        <f>B4</f>
        <v>0.753</v>
      </c>
      <c r="CB29" s="52" t="s">
        <v>411</v>
      </c>
      <c r="CC29" s="136">
        <f>B13</f>
        <v>0.80900000000000005</v>
      </c>
      <c r="CE29" s="52" t="s">
        <v>418</v>
      </c>
      <c r="CF29" s="136">
        <f>B9</f>
        <v>0.71099999999999997</v>
      </c>
      <c r="CN29" s="52" t="s">
        <v>166</v>
      </c>
      <c r="CO29" s="162">
        <f>B136</f>
        <v>2</v>
      </c>
      <c r="CP29" s="52" t="s">
        <v>246</v>
      </c>
      <c r="CT29" s="83" t="s">
        <v>450</v>
      </c>
      <c r="CU29" s="141">
        <f>B145</f>
        <v>5</v>
      </c>
      <c r="CV29" s="92" t="s">
        <v>407</v>
      </c>
      <c r="CZ29" s="92" t="s">
        <v>450</v>
      </c>
      <c r="DA29" s="142">
        <f t="shared" si="0"/>
        <v>5</v>
      </c>
      <c r="DB29" s="83" t="s">
        <v>143</v>
      </c>
      <c r="DW29" s="88"/>
      <c r="DX29" s="88"/>
      <c r="DY29" s="88"/>
      <c r="DZ29" s="88"/>
      <c r="ET29" s="13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B30</f>
        <v>432</v>
      </c>
      <c r="HF29" s="52" t="s">
        <v>60</v>
      </c>
    </row>
    <row r="30" spans="1:214" ht="19.5" thickTop="1" thickBot="1" x14ac:dyDescent="0.25">
      <c r="A30" s="91" t="s">
        <v>231</v>
      </c>
      <c r="B30" s="183">
        <v>432</v>
      </c>
      <c r="C30" s="52" t="s">
        <v>235</v>
      </c>
      <c r="D30" s="353" t="s">
        <v>528</v>
      </c>
      <c r="E30" s="354"/>
      <c r="F30" s="355"/>
      <c r="G30" s="83" t="s">
        <v>381</v>
      </c>
      <c r="H30" s="150">
        <f>B67</f>
        <v>150</v>
      </c>
      <c r="I30" s="83" t="s">
        <v>24</v>
      </c>
      <c r="J30" s="83" t="s">
        <v>402</v>
      </c>
      <c r="K30" s="146">
        <f>B60</f>
        <v>55</v>
      </c>
      <c r="L30" s="92" t="s">
        <v>221</v>
      </c>
      <c r="M30" s="52" t="s">
        <v>299</v>
      </c>
      <c r="N30" s="138">
        <f>B73</f>
        <v>1</v>
      </c>
      <c r="P30" s="52" t="s">
        <v>299</v>
      </c>
      <c r="Q30" s="138">
        <f>B73</f>
        <v>1</v>
      </c>
      <c r="V30" s="91" t="s">
        <v>231</v>
      </c>
      <c r="W30" s="136">
        <f>B30</f>
        <v>432</v>
      </c>
      <c r="X30" s="52" t="s">
        <v>60</v>
      </c>
      <c r="Y30" s="91" t="s">
        <v>231</v>
      </c>
      <c r="Z30" s="136">
        <f>B30</f>
        <v>432</v>
      </c>
      <c r="AA30" s="52" t="s">
        <v>60</v>
      </c>
      <c r="AB30" s="83" t="s">
        <v>261</v>
      </c>
      <c r="AC30" s="144">
        <f>((AC5/(AC19*AC15*AC7*AC9*(1/AC32)*((8/1)/(24/1))*AC28))*AC27)*AC35*AC36*AC25</f>
        <v>5.2795946399232714E-4</v>
      </c>
      <c r="AD30" s="144">
        <f>((AD5/(AD19*AD15*AD7*((8/1)/(24/1))*AD9*(1/AD32)*AD28))*AD27)*AD35*AD36*AD25</f>
        <v>5.2795946399232714E-4</v>
      </c>
      <c r="AE30" s="144">
        <f>((AE5/(AE19*AE15*AE7*((8/1)/(24/1))*AE9*(1/AE32)*AE28))*AE27)*AE35*AE36*AE25</f>
        <v>5.2795946399232714E-4</v>
      </c>
      <c r="AF30" s="144">
        <f>((AF5*AF23*AF24)/((1-EXP(-AF24*AF23))*AF19*AF7*AF9*(AF12/24)*AF15*(1/AF33)*AF28))*AF35*AF36*AF25</f>
        <v>4.8230878820941273E-7</v>
      </c>
      <c r="AG30" s="144">
        <f>((AG5*AG23*AG24)/((1-EXP(-AG24*AG23))*AG19*AG7*AG9*(AG12/24)*AG15*(1/AG34)*AG28))*AG35*AG36*AG25</f>
        <v>4.3225040744875458E-5</v>
      </c>
      <c r="AH30" s="83" t="s">
        <v>12</v>
      </c>
      <c r="AI30" s="52" t="s">
        <v>299</v>
      </c>
      <c r="AJ30" s="138">
        <f>B241</f>
        <v>1</v>
      </c>
      <c r="AL30" s="52" t="s">
        <v>299</v>
      </c>
      <c r="AM30" s="138">
        <f>B241</f>
        <v>1</v>
      </c>
      <c r="AR30" s="52" t="s">
        <v>299</v>
      </c>
      <c r="AS30" s="138">
        <f>B251</f>
        <v>1</v>
      </c>
      <c r="AV30" s="138"/>
      <c r="BA30" s="52" t="s">
        <v>299</v>
      </c>
      <c r="BB30" s="138">
        <f>B231</f>
        <v>1</v>
      </c>
      <c r="BD30" s="52" t="s">
        <v>299</v>
      </c>
      <c r="BE30" s="138">
        <f>B231</f>
        <v>1</v>
      </c>
      <c r="BJ30" s="52" t="s">
        <v>219</v>
      </c>
      <c r="BK30" s="138">
        <f>B265</f>
        <v>3</v>
      </c>
      <c r="BL30" s="52" t="s">
        <v>112</v>
      </c>
      <c r="BM30" s="52" t="s">
        <v>219</v>
      </c>
      <c r="BN30" s="138">
        <f>B265</f>
        <v>3</v>
      </c>
      <c r="BO30" s="52" t="s">
        <v>112</v>
      </c>
      <c r="BS30" s="91"/>
      <c r="BT30" s="97"/>
      <c r="BU30" s="91"/>
      <c r="BV30" s="91" t="s">
        <v>308</v>
      </c>
      <c r="BW30" s="146">
        <f>B111</f>
        <v>0.23</v>
      </c>
      <c r="BY30" s="94" t="s">
        <v>95</v>
      </c>
      <c r="BZ30" s="150">
        <f>B127</f>
        <v>1</v>
      </c>
      <c r="CA30" s="94" t="s">
        <v>60</v>
      </c>
      <c r="CB30" s="52" t="s">
        <v>90</v>
      </c>
      <c r="CC30" s="138">
        <f>B118</f>
        <v>5</v>
      </c>
      <c r="CD30" s="52" t="s">
        <v>194</v>
      </c>
      <c r="CE30" s="52" t="s">
        <v>90</v>
      </c>
      <c r="CF30" s="138">
        <f>B118</f>
        <v>5</v>
      </c>
      <c r="CG30" s="52" t="s">
        <v>194</v>
      </c>
      <c r="CM30" s="83"/>
      <c r="CN30" s="93" t="s">
        <v>167</v>
      </c>
      <c r="CO30" s="162">
        <f>B137</f>
        <v>2</v>
      </c>
      <c r="CP30" s="52" t="s">
        <v>41</v>
      </c>
      <c r="CQ30" s="88"/>
      <c r="CR30" s="83"/>
      <c r="CS30" s="83"/>
      <c r="CT30" s="83" t="s">
        <v>459</v>
      </c>
      <c r="CU30" s="141">
        <f>B146</f>
        <v>10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10</v>
      </c>
      <c r="DB30" s="83" t="s">
        <v>143</v>
      </c>
      <c r="DW30" s="88"/>
      <c r="DX30" s="88"/>
      <c r="DY30" s="88"/>
      <c r="DZ30" s="88"/>
      <c r="ET30" s="13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B93</f>
        <v>0.3</v>
      </c>
    </row>
    <row r="31" spans="1:214" x14ac:dyDescent="0.2">
      <c r="A31" s="91" t="s">
        <v>77</v>
      </c>
      <c r="B31" s="183">
        <f>PEF!D3</f>
        <v>1359344473.5814338</v>
      </c>
      <c r="C31" s="52" t="s">
        <v>524</v>
      </c>
      <c r="D31" s="323" t="s">
        <v>530</v>
      </c>
      <c r="E31" s="347">
        <f>E38</f>
        <v>6.3476689528046484E-8</v>
      </c>
      <c r="F31" s="345" t="s">
        <v>12</v>
      </c>
      <c r="G31" s="83" t="s">
        <v>379</v>
      </c>
      <c r="H31" s="150">
        <f>B65</f>
        <v>1</v>
      </c>
      <c r="I31" s="84" t="s">
        <v>60</v>
      </c>
      <c r="J31" s="83" t="s">
        <v>380</v>
      </c>
      <c r="K31" s="150">
        <f>B66</f>
        <v>150</v>
      </c>
      <c r="L31" s="83" t="s">
        <v>24</v>
      </c>
      <c r="M31" s="52" t="s">
        <v>300</v>
      </c>
      <c r="N31" s="136">
        <f>B12</f>
        <v>1.5699999999999999E-5</v>
      </c>
      <c r="P31" s="52" t="s">
        <v>300</v>
      </c>
      <c r="Q31" s="136">
        <f>B8</f>
        <v>1.35E-4</v>
      </c>
      <c r="V31" s="52" t="s">
        <v>35</v>
      </c>
      <c r="W31" s="138">
        <f>B237</f>
        <v>125</v>
      </c>
      <c r="X31" s="52" t="s">
        <v>24</v>
      </c>
      <c r="Y31" s="52" t="s">
        <v>191</v>
      </c>
      <c r="Z31" s="138">
        <f>B257</f>
        <v>125</v>
      </c>
      <c r="AA31" s="52" t="s">
        <v>24</v>
      </c>
      <c r="AB31" s="83" t="s">
        <v>262</v>
      </c>
      <c r="AC31" s="145">
        <f>((AC5*AC23*AC24)/((1-EXP(-AC24*AC23))*AC18*AC7*(1/365)*AC12*(1/24)*AC14*AC17))*AC35*AC36*AC25</f>
        <v>0.38138419069834478</v>
      </c>
      <c r="AD31" s="145">
        <f>((AD5*AD23*AD24)/((1-EXP(-AD24*AD23))*AD18*AD7*(1/365)*AD12*(1/24)*AD16*AD17))*AD35*AD36*AD25</f>
        <v>9.191358995830111E-5</v>
      </c>
      <c r="AE31" s="145">
        <f>((AE5*AE23*AE24)/((1-EXP(-AE24*AE23))*AE18*AE7*(1/365)*AE12*(1/24)*AE14*AE17))*AE35*AE36*AE25</f>
        <v>0.38138419069834478</v>
      </c>
      <c r="AF31" s="145">
        <f>((AF5*AF23*AF24)/((1-EXP(-AF24*AF23))*AF18*(AF11*AF10)*(1/365)*AF12*(1/24)*AF14*AF17))*AF35*AF36*AF25</f>
        <v>1.0170245085289196</v>
      </c>
      <c r="AG31" s="145">
        <f>((AG5*AG23*AG24)/((1-EXP(-AG24*AG23))*AG18*AG7*(1/365)*AG9*(AG12/24)*AG14*AG17))*AG35*AG36*AG25</f>
        <v>0.61021470511735176</v>
      </c>
      <c r="AH31" s="83" t="s">
        <v>12</v>
      </c>
      <c r="AI31" s="52" t="s">
        <v>300</v>
      </c>
      <c r="AJ31" s="136">
        <f>B12</f>
        <v>1.5699999999999999E-5</v>
      </c>
      <c r="AL31" s="52" t="s">
        <v>300</v>
      </c>
      <c r="AM31" s="136">
        <f>B8</f>
        <v>1.35E-4</v>
      </c>
      <c r="AR31" s="52" t="s">
        <v>300</v>
      </c>
      <c r="AS31" s="136">
        <f>B12</f>
        <v>1.5699999999999999E-5</v>
      </c>
      <c r="AU31" s="52" t="s">
        <v>300</v>
      </c>
      <c r="AV31" s="136">
        <f>B8</f>
        <v>1.35E-4</v>
      </c>
      <c r="BA31" s="52" t="s">
        <v>300</v>
      </c>
      <c r="BB31" s="136">
        <f>B12</f>
        <v>1.5699999999999999E-5</v>
      </c>
      <c r="BD31" s="52" t="s">
        <v>300</v>
      </c>
      <c r="BE31" s="136">
        <f>B8</f>
        <v>1.35E-4</v>
      </c>
      <c r="BJ31" s="52" t="s">
        <v>158</v>
      </c>
      <c r="BK31" s="138">
        <f>B258</f>
        <v>1</v>
      </c>
      <c r="BL31" s="52" t="s">
        <v>146</v>
      </c>
      <c r="BM31" s="52" t="s">
        <v>158</v>
      </c>
      <c r="BN31" s="138">
        <f>B258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B112</f>
        <v>0.77</v>
      </c>
      <c r="BZ31" s="150">
        <v>365</v>
      </c>
      <c r="CA31" s="52" t="s">
        <v>24</v>
      </c>
      <c r="CB31" s="52" t="s">
        <v>410</v>
      </c>
      <c r="CC31" s="139">
        <f>B23</f>
        <v>2.5484199999999999E-2</v>
      </c>
      <c r="CD31" s="84" t="s">
        <v>353</v>
      </c>
      <c r="CE31" s="52" t="s">
        <v>419</v>
      </c>
      <c r="CF31" s="139">
        <f>B25</f>
        <v>3.4557999999999998E-2</v>
      </c>
      <c r="CG31" s="84" t="s">
        <v>353</v>
      </c>
      <c r="CM31" s="83"/>
      <c r="CN31" s="83" t="s">
        <v>168</v>
      </c>
      <c r="CO31" s="162">
        <f>B138</f>
        <v>2</v>
      </c>
      <c r="CP31" s="52" t="s">
        <v>41</v>
      </c>
      <c r="CQ31" s="83"/>
      <c r="CR31" s="83"/>
      <c r="CS31" s="83"/>
      <c r="CT31" s="83" t="s">
        <v>456</v>
      </c>
      <c r="CU31" s="150">
        <f>B165</f>
        <v>150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55</v>
      </c>
      <c r="DB31" s="83" t="s">
        <v>221</v>
      </c>
      <c r="DW31" s="88"/>
      <c r="DX31" s="88"/>
      <c r="DY31" s="88"/>
      <c r="DZ31" s="88"/>
      <c r="ET31" s="13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B94</f>
        <v>1.5</v>
      </c>
    </row>
    <row r="32" spans="1:214" ht="13.5" thickBot="1" x14ac:dyDescent="0.25">
      <c r="A32" s="91" t="s">
        <v>103</v>
      </c>
      <c r="B32" s="183">
        <f>PEF!G3</f>
        <v>776129.4078035407</v>
      </c>
      <c r="C32" s="52" t="s">
        <v>524</v>
      </c>
      <c r="D32" s="324"/>
      <c r="E32" s="348"/>
      <c r="F32" s="346"/>
      <c r="G32" s="52" t="s">
        <v>403</v>
      </c>
      <c r="H32" s="138">
        <f>B69</f>
        <v>0.25</v>
      </c>
      <c r="I32" s="52" t="s">
        <v>89</v>
      </c>
      <c r="J32" s="83" t="s">
        <v>381</v>
      </c>
      <c r="K32" s="150">
        <f>B67</f>
        <v>150</v>
      </c>
      <c r="L32" s="83" t="s">
        <v>24</v>
      </c>
      <c r="M32" s="52" t="s">
        <v>54</v>
      </c>
      <c r="N32" s="136">
        <f>B13</f>
        <v>0.80900000000000005</v>
      </c>
      <c r="P32" s="52" t="s">
        <v>54</v>
      </c>
      <c r="Q32" s="136">
        <f>B9</f>
        <v>0.71099999999999997</v>
      </c>
      <c r="V32" s="52" t="s">
        <v>420</v>
      </c>
      <c r="W32" s="138">
        <f>B238</f>
        <v>1</v>
      </c>
      <c r="X32" s="52" t="s">
        <v>146</v>
      </c>
      <c r="Y32" s="52" t="s">
        <v>158</v>
      </c>
      <c r="Z32" s="138">
        <f>B258</f>
        <v>1</v>
      </c>
      <c r="AA32" s="52" t="s">
        <v>146</v>
      </c>
      <c r="AB32" s="83" t="s">
        <v>77</v>
      </c>
      <c r="AC32" s="136">
        <f>B31</f>
        <v>1359344473.5814338</v>
      </c>
      <c r="AD32" s="136">
        <f>B31</f>
        <v>1359344473.5814338</v>
      </c>
      <c r="AE32" s="136">
        <f>B31</f>
        <v>1359344473.5814338</v>
      </c>
      <c r="AF32" s="136"/>
      <c r="AG32" s="136"/>
      <c r="AH32" s="104" t="s">
        <v>78</v>
      </c>
      <c r="AI32" s="52" t="s">
        <v>54</v>
      </c>
      <c r="AJ32" s="136">
        <f>B13</f>
        <v>0.80900000000000005</v>
      </c>
      <c r="AL32" s="52" t="s">
        <v>54</v>
      </c>
      <c r="AM32" s="136">
        <f>B9</f>
        <v>0.71099999999999997</v>
      </c>
      <c r="AR32" s="52" t="s">
        <v>54</v>
      </c>
      <c r="AS32" s="136">
        <f>B13</f>
        <v>0.80900000000000005</v>
      </c>
      <c r="AU32" s="52" t="s">
        <v>54</v>
      </c>
      <c r="AV32" s="136">
        <f>B9</f>
        <v>0.71099999999999997</v>
      </c>
      <c r="BA32" s="52" t="s">
        <v>54</v>
      </c>
      <c r="BB32" s="136">
        <f>B13</f>
        <v>0.80900000000000005</v>
      </c>
      <c r="BD32" s="52" t="s">
        <v>54</v>
      </c>
      <c r="BE32" s="136">
        <f>B9</f>
        <v>0.71099999999999997</v>
      </c>
      <c r="BJ32" s="52" t="s">
        <v>300</v>
      </c>
      <c r="BK32" s="136">
        <f>B12</f>
        <v>1.5699999999999999E-5</v>
      </c>
      <c r="BM32" s="52" t="s">
        <v>300</v>
      </c>
      <c r="BN32" s="136">
        <f>B8</f>
        <v>1.35E-4</v>
      </c>
      <c r="BS32" s="91"/>
      <c r="BT32" s="99"/>
      <c r="BU32" s="100"/>
      <c r="BV32" s="94" t="s">
        <v>295</v>
      </c>
      <c r="BW32" s="150">
        <f>B278</f>
        <v>243</v>
      </c>
      <c r="BX32" s="90" t="s">
        <v>296</v>
      </c>
      <c r="BZ32" s="138">
        <v>1000</v>
      </c>
      <c r="CA32" s="52" t="s">
        <v>99</v>
      </c>
      <c r="CB32" s="94" t="s">
        <v>295</v>
      </c>
      <c r="CC32" s="150">
        <f>B278</f>
        <v>243</v>
      </c>
      <c r="CD32" s="90" t="s">
        <v>296</v>
      </c>
      <c r="CE32" s="94" t="s">
        <v>295</v>
      </c>
      <c r="CF32" s="150">
        <f>B278</f>
        <v>243</v>
      </c>
      <c r="CG32" s="90" t="s">
        <v>296</v>
      </c>
      <c r="CM32" s="83"/>
      <c r="CN32" s="83" t="s">
        <v>22</v>
      </c>
      <c r="CO32" s="137">
        <f>0.693/CO33</f>
        <v>1.6041666666666665E-3</v>
      </c>
      <c r="CR32" s="83"/>
      <c r="CS32" s="83"/>
      <c r="CT32" s="83" t="s">
        <v>465</v>
      </c>
      <c r="CU32" s="150">
        <f>B166</f>
        <v>150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55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5" thickTop="1" x14ac:dyDescent="0.2">
      <c r="A33" s="91" t="s">
        <v>104</v>
      </c>
      <c r="B33" s="183">
        <f>PEF!J3</f>
        <v>69557565.807898715</v>
      </c>
      <c r="C33" s="52" t="s">
        <v>524</v>
      </c>
      <c r="D33" s="83" t="s">
        <v>267</v>
      </c>
      <c r="E33" s="136">
        <f>B17</f>
        <v>1</v>
      </c>
      <c r="F33" s="52" t="s">
        <v>344</v>
      </c>
      <c r="G33" s="52" t="s">
        <v>404</v>
      </c>
      <c r="H33" s="138">
        <f>B70</f>
        <v>0.75</v>
      </c>
      <c r="I33" s="52" t="s">
        <v>89</v>
      </c>
      <c r="J33" s="83" t="s">
        <v>379</v>
      </c>
      <c r="K33" s="141">
        <f>B65</f>
        <v>1</v>
      </c>
      <c r="L33" s="92" t="s">
        <v>60</v>
      </c>
      <c r="M33" s="52" t="s">
        <v>408</v>
      </c>
      <c r="N33" s="150">
        <f>B88</f>
        <v>5</v>
      </c>
      <c r="O33" s="52" t="s">
        <v>194</v>
      </c>
      <c r="P33" s="52" t="s">
        <v>408</v>
      </c>
      <c r="Q33" s="150">
        <f>B88</f>
        <v>5</v>
      </c>
      <c r="R33" s="52" t="s">
        <v>194</v>
      </c>
      <c r="V33" s="52" t="s">
        <v>247</v>
      </c>
      <c r="W33" s="139">
        <f>B18</f>
        <v>0.36297000000000001</v>
      </c>
      <c r="X33" s="84" t="s">
        <v>39</v>
      </c>
      <c r="Y33" s="52" t="s">
        <v>247</v>
      </c>
      <c r="Z33" s="139">
        <f>B18</f>
        <v>0.36297000000000001</v>
      </c>
      <c r="AA33" s="84" t="s">
        <v>39</v>
      </c>
      <c r="AB33" s="104" t="s">
        <v>103</v>
      </c>
      <c r="AC33" s="136"/>
      <c r="AD33" s="136"/>
      <c r="AE33" s="136"/>
      <c r="AF33" s="157">
        <f>B32</f>
        <v>776129.4078035407</v>
      </c>
      <c r="AG33" s="136"/>
      <c r="AH33" s="104" t="s">
        <v>78</v>
      </c>
      <c r="AI33" s="52" t="s">
        <v>57</v>
      </c>
      <c r="AJ33" s="136">
        <f>B242</f>
        <v>5</v>
      </c>
      <c r="AK33" s="52" t="s">
        <v>194</v>
      </c>
      <c r="AL33" s="52" t="s">
        <v>57</v>
      </c>
      <c r="AM33" s="136">
        <f>B242</f>
        <v>5</v>
      </c>
      <c r="AN33" s="52" t="s">
        <v>194</v>
      </c>
      <c r="AR33" s="52" t="s">
        <v>57</v>
      </c>
      <c r="AS33" s="136">
        <f>B252</f>
        <v>5</v>
      </c>
      <c r="AT33" s="52" t="s">
        <v>194</v>
      </c>
      <c r="AU33" s="52" t="s">
        <v>57</v>
      </c>
      <c r="AV33" s="136">
        <f>B252</f>
        <v>5</v>
      </c>
      <c r="AW33" s="52" t="s">
        <v>194</v>
      </c>
      <c r="BA33" s="52" t="s">
        <v>58</v>
      </c>
      <c r="BB33" s="136">
        <f>B232</f>
        <v>5</v>
      </c>
      <c r="BC33" s="52" t="s">
        <v>194</v>
      </c>
      <c r="BD33" s="52" t="s">
        <v>57</v>
      </c>
      <c r="BE33" s="136">
        <f>B232</f>
        <v>5</v>
      </c>
      <c r="BF33" s="52" t="s">
        <v>194</v>
      </c>
      <c r="BJ33" s="52" t="s">
        <v>411</v>
      </c>
      <c r="BK33" s="136">
        <f>B13</f>
        <v>0.80900000000000005</v>
      </c>
      <c r="BM33" s="52" t="s">
        <v>418</v>
      </c>
      <c r="BN33" s="136">
        <f>B9</f>
        <v>0.71099999999999997</v>
      </c>
      <c r="BS33" s="91"/>
      <c r="BT33" s="99"/>
      <c r="BU33" s="100"/>
      <c r="BV33" s="84" t="s">
        <v>293</v>
      </c>
      <c r="BW33" s="85">
        <f>B279</f>
        <v>2.8000000000000001E-15</v>
      </c>
      <c r="BZ33" s="146">
        <v>1000</v>
      </c>
      <c r="CA33" s="52" t="s">
        <v>23</v>
      </c>
      <c r="CB33" s="84" t="s">
        <v>293</v>
      </c>
      <c r="CC33" s="85">
        <f>B280</f>
        <v>2.7955176153748299E-12</v>
      </c>
      <c r="CE33" s="84" t="s">
        <v>293</v>
      </c>
      <c r="CF33" s="85">
        <f>B280</f>
        <v>2.7955176153748299E-12</v>
      </c>
      <c r="CM33" s="83"/>
      <c r="CN33" s="91" t="s">
        <v>231</v>
      </c>
      <c r="CO33" s="136">
        <f>B30</f>
        <v>432</v>
      </c>
      <c r="CP33" s="52" t="s">
        <v>60</v>
      </c>
      <c r="CR33" s="83"/>
      <c r="CS33" s="83"/>
      <c r="CT33" s="83" t="s">
        <v>363</v>
      </c>
      <c r="CU33" s="141">
        <f t="shared" ref="CU33:CU40" si="1">B168</f>
        <v>1</v>
      </c>
      <c r="CV33" s="92" t="s">
        <v>60</v>
      </c>
      <c r="CZ33" s="92" t="s">
        <v>513</v>
      </c>
      <c r="DA33" s="141">
        <f t="shared" si="0"/>
        <v>55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B92</f>
        <v>70</v>
      </c>
    </row>
    <row r="34" spans="1:214" x14ac:dyDescent="0.2">
      <c r="A34" s="91" t="s">
        <v>231</v>
      </c>
      <c r="B34" s="183">
        <f>B30*365</f>
        <v>157680</v>
      </c>
      <c r="C34" s="52" t="s">
        <v>222</v>
      </c>
      <c r="D34" s="83" t="s">
        <v>382</v>
      </c>
      <c r="E34" s="150">
        <f>B68</f>
        <v>150</v>
      </c>
      <c r="F34" s="83" t="s">
        <v>24</v>
      </c>
      <c r="G34" s="83" t="s">
        <v>383</v>
      </c>
      <c r="H34" s="150">
        <f>B71</f>
        <v>24</v>
      </c>
      <c r="I34" s="94" t="s">
        <v>194</v>
      </c>
      <c r="J34" s="83" t="s">
        <v>383</v>
      </c>
      <c r="K34" s="150">
        <f>B71</f>
        <v>24</v>
      </c>
      <c r="L34" s="94" t="s">
        <v>194</v>
      </c>
      <c r="M34" s="52" t="s">
        <v>410</v>
      </c>
      <c r="N34" s="139">
        <f>B23</f>
        <v>2.5484199999999999E-2</v>
      </c>
      <c r="O34" s="84" t="s">
        <v>354</v>
      </c>
      <c r="P34" s="52" t="s">
        <v>419</v>
      </c>
      <c r="Q34" s="139">
        <f>B25</f>
        <v>3.4557999999999998E-2</v>
      </c>
      <c r="R34" s="84" t="s">
        <v>353</v>
      </c>
      <c r="V34" s="52" t="s">
        <v>421</v>
      </c>
      <c r="W34" s="150">
        <f>B243</f>
        <v>5</v>
      </c>
      <c r="X34" s="84" t="s">
        <v>194</v>
      </c>
      <c r="Y34" s="52" t="s">
        <v>192</v>
      </c>
      <c r="Z34" s="150">
        <f>B262</f>
        <v>5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B33</f>
        <v>69557565.807898715</v>
      </c>
      <c r="AH34" s="104" t="s">
        <v>78</v>
      </c>
      <c r="AI34" s="52" t="s">
        <v>410</v>
      </c>
      <c r="AJ34" s="139">
        <f>B23</f>
        <v>2.5484199999999999E-2</v>
      </c>
      <c r="AK34" s="84" t="s">
        <v>353</v>
      </c>
      <c r="AL34" s="52" t="s">
        <v>419</v>
      </c>
      <c r="AM34" s="139">
        <f>B25</f>
        <v>3.4557999999999998E-2</v>
      </c>
      <c r="AN34" s="84" t="s">
        <v>353</v>
      </c>
      <c r="AR34" s="52" t="s">
        <v>410</v>
      </c>
      <c r="AS34" s="139">
        <f>B23</f>
        <v>2.5484199999999999E-2</v>
      </c>
      <c r="AT34" s="84" t="s">
        <v>353</v>
      </c>
      <c r="AU34" s="52" t="s">
        <v>419</v>
      </c>
      <c r="AV34" s="139">
        <f>B25</f>
        <v>3.4557999999999998E-2</v>
      </c>
      <c r="AW34" s="84" t="s">
        <v>353</v>
      </c>
      <c r="BA34" s="52" t="s">
        <v>410</v>
      </c>
      <c r="BB34" s="139">
        <f>B23</f>
        <v>2.5484199999999999E-2</v>
      </c>
      <c r="BC34" s="84" t="s">
        <v>353</v>
      </c>
      <c r="BD34" s="52" t="s">
        <v>419</v>
      </c>
      <c r="BE34" s="139">
        <f>B25</f>
        <v>3.4557999999999998E-2</v>
      </c>
      <c r="BF34" s="84" t="s">
        <v>353</v>
      </c>
      <c r="BJ34" s="52" t="s">
        <v>57</v>
      </c>
      <c r="BK34" s="136">
        <f>B262</f>
        <v>5</v>
      </c>
      <c r="BL34" s="52" t="s">
        <v>194</v>
      </c>
      <c r="BM34" s="52" t="s">
        <v>57</v>
      </c>
      <c r="BN34" s="136">
        <f>B262</f>
        <v>5</v>
      </c>
      <c r="BO34" s="52" t="s">
        <v>194</v>
      </c>
      <c r="BT34" s="102"/>
      <c r="BU34" s="91"/>
      <c r="BV34" s="91" t="s">
        <v>231</v>
      </c>
      <c r="BW34" s="136">
        <f>B30</f>
        <v>432</v>
      </c>
      <c r="BX34" s="52" t="s">
        <v>60</v>
      </c>
      <c r="BY34" s="91" t="s">
        <v>308</v>
      </c>
      <c r="BZ34" s="146">
        <f>B111</f>
        <v>0.23</v>
      </c>
      <c r="CM34" s="83"/>
      <c r="CN34" s="84" t="s">
        <v>16</v>
      </c>
      <c r="CO34" s="137">
        <f>(CO31*CO32)/(1-EXP(-CO32*CO31))</f>
        <v>1.00160502445007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55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B45</f>
        <v>4</v>
      </c>
    </row>
    <row r="35" spans="1:214" x14ac:dyDescent="0.2">
      <c r="A35" s="83" t="s">
        <v>105</v>
      </c>
      <c r="B35" s="182">
        <v>240</v>
      </c>
      <c r="C35" s="84" t="s">
        <v>18</v>
      </c>
      <c r="D35" s="83" t="s">
        <v>258</v>
      </c>
      <c r="E35" s="136">
        <f>B29</f>
        <v>8.8060000000000005E-4</v>
      </c>
      <c r="F35" s="83" t="s">
        <v>87</v>
      </c>
      <c r="G35" s="83" t="s">
        <v>384</v>
      </c>
      <c r="H35" s="150">
        <f>B71</f>
        <v>24</v>
      </c>
      <c r="I35" s="52" t="s">
        <v>194</v>
      </c>
      <c r="J35" s="83" t="s">
        <v>384</v>
      </c>
      <c r="K35" s="150">
        <f>B71</f>
        <v>24</v>
      </c>
      <c r="L35" s="52" t="s">
        <v>194</v>
      </c>
      <c r="M35" s="52" t="s">
        <v>409</v>
      </c>
      <c r="N35" s="150">
        <f>B89</f>
        <v>25</v>
      </c>
      <c r="O35" s="52" t="s">
        <v>194</v>
      </c>
      <c r="P35" s="52" t="s">
        <v>409</v>
      </c>
      <c r="Q35" s="150">
        <f>B89</f>
        <v>25</v>
      </c>
      <c r="R35" s="52" t="s">
        <v>194</v>
      </c>
      <c r="V35" s="52" t="s">
        <v>304</v>
      </c>
      <c r="W35" s="146">
        <f>B236</f>
        <v>50</v>
      </c>
      <c r="X35" s="84" t="s">
        <v>407</v>
      </c>
      <c r="Y35" s="52" t="s">
        <v>348</v>
      </c>
      <c r="Z35" s="146">
        <f>B256</f>
        <v>50</v>
      </c>
      <c r="AA35" s="84" t="s">
        <v>407</v>
      </c>
      <c r="AB35" s="84" t="s">
        <v>295</v>
      </c>
      <c r="AC35" s="150">
        <f>B278</f>
        <v>243</v>
      </c>
      <c r="AD35" s="150">
        <f>B278</f>
        <v>243</v>
      </c>
      <c r="AE35" s="150">
        <f>B278</f>
        <v>243</v>
      </c>
      <c r="AF35" s="150">
        <f>B278</f>
        <v>243</v>
      </c>
      <c r="AG35" s="150">
        <f>B278</f>
        <v>243</v>
      </c>
      <c r="AH35" s="52" t="s">
        <v>296</v>
      </c>
      <c r="AI35" s="52" t="s">
        <v>69</v>
      </c>
      <c r="AJ35" s="136">
        <f>B243</f>
        <v>5</v>
      </c>
      <c r="AK35" s="52" t="s">
        <v>194</v>
      </c>
      <c r="AL35" s="52" t="s">
        <v>69</v>
      </c>
      <c r="AM35" s="136">
        <f>B243</f>
        <v>5</v>
      </c>
      <c r="AN35" s="52" t="s">
        <v>194</v>
      </c>
      <c r="AR35" s="52" t="s">
        <v>69</v>
      </c>
      <c r="AS35" s="136">
        <f>B253</f>
        <v>5</v>
      </c>
      <c r="AT35" s="52" t="s">
        <v>194</v>
      </c>
      <c r="AU35" s="52" t="s">
        <v>69</v>
      </c>
      <c r="AV35" s="136">
        <f>B253</f>
        <v>5</v>
      </c>
      <c r="AW35" s="52" t="s">
        <v>194</v>
      </c>
      <c r="BA35" s="52" t="s">
        <v>69</v>
      </c>
      <c r="BB35" s="136">
        <f>B233</f>
        <v>5</v>
      </c>
      <c r="BC35" s="52" t="s">
        <v>194</v>
      </c>
      <c r="BD35" s="52" t="s">
        <v>69</v>
      </c>
      <c r="BE35" s="136">
        <f>B233</f>
        <v>5</v>
      </c>
      <c r="BF35" s="52" t="s">
        <v>194</v>
      </c>
      <c r="BJ35" s="52" t="s">
        <v>410</v>
      </c>
      <c r="BK35" s="139">
        <f>B23</f>
        <v>2.5484199999999999E-2</v>
      </c>
      <c r="BL35" s="84" t="s">
        <v>353</v>
      </c>
      <c r="BM35" s="52" t="s">
        <v>419</v>
      </c>
      <c r="BN35" s="139">
        <f>B25</f>
        <v>3.4557999999999998E-2</v>
      </c>
      <c r="BO35" s="84" t="s">
        <v>353</v>
      </c>
      <c r="BY35" s="91" t="s">
        <v>309</v>
      </c>
      <c r="BZ35" s="146">
        <f>B112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B165</f>
        <v>150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B75</f>
        <v>0.5</v>
      </c>
      <c r="HF35" s="52" t="s">
        <v>355</v>
      </c>
    </row>
    <row r="36" spans="1:214" x14ac:dyDescent="0.2">
      <c r="A36" s="83" t="s">
        <v>239</v>
      </c>
      <c r="B36" s="183">
        <v>4.2E-7</v>
      </c>
      <c r="C36" s="52" t="s">
        <v>601</v>
      </c>
      <c r="D36" s="83" t="s">
        <v>389</v>
      </c>
      <c r="E36" s="146">
        <f>B90</f>
        <v>1</v>
      </c>
      <c r="G36" s="83" t="s">
        <v>405</v>
      </c>
      <c r="H36" s="138">
        <f>B76</f>
        <v>5</v>
      </c>
      <c r="I36" s="52" t="s">
        <v>80</v>
      </c>
      <c r="J36" s="83" t="s">
        <v>390</v>
      </c>
      <c r="K36" s="141">
        <f>B78</f>
        <v>0.25</v>
      </c>
      <c r="M36" s="84" t="s">
        <v>295</v>
      </c>
      <c r="N36" s="150">
        <f>B278</f>
        <v>243</v>
      </c>
      <c r="O36" s="52" t="s">
        <v>296</v>
      </c>
      <c r="P36" s="84" t="s">
        <v>295</v>
      </c>
      <c r="Q36" s="150">
        <f>B278</f>
        <v>243</v>
      </c>
      <c r="R36" s="52" t="s">
        <v>296</v>
      </c>
      <c r="V36" s="83" t="s">
        <v>256</v>
      </c>
      <c r="W36" s="136">
        <f>B27</f>
        <v>125.5296</v>
      </c>
      <c r="X36" s="83" t="s">
        <v>343</v>
      </c>
      <c r="Y36" s="83" t="s">
        <v>256</v>
      </c>
      <c r="Z36" s="136">
        <f>B27</f>
        <v>125.5296</v>
      </c>
      <c r="AA36" s="83" t="s">
        <v>343</v>
      </c>
      <c r="AB36" s="84" t="s">
        <v>293</v>
      </c>
      <c r="AC36" s="136">
        <f>B280</f>
        <v>2.7955176153748299E-12</v>
      </c>
      <c r="AD36" s="136">
        <f>B280</f>
        <v>2.7955176153748299E-12</v>
      </c>
      <c r="AE36" s="136">
        <f>B280</f>
        <v>2.7955176153748299E-12</v>
      </c>
      <c r="AF36" s="136">
        <f>B280</f>
        <v>2.7955176153748299E-12</v>
      </c>
      <c r="AG36" s="136">
        <f>B280</f>
        <v>2.7955176153748299E-12</v>
      </c>
      <c r="AI36" s="84" t="s">
        <v>295</v>
      </c>
      <c r="AJ36" s="150">
        <f>B278</f>
        <v>243</v>
      </c>
      <c r="AK36" s="90" t="s">
        <v>296</v>
      </c>
      <c r="AL36" s="94" t="s">
        <v>295</v>
      </c>
      <c r="AM36" s="150">
        <f>B278</f>
        <v>243</v>
      </c>
      <c r="AN36" s="90" t="s">
        <v>296</v>
      </c>
      <c r="AO36" s="90"/>
      <c r="AP36" s="90"/>
      <c r="AQ36" s="90"/>
      <c r="AR36" s="94" t="s">
        <v>295</v>
      </c>
      <c r="AS36" s="150">
        <f>B278</f>
        <v>243</v>
      </c>
      <c r="AT36" s="90" t="s">
        <v>296</v>
      </c>
      <c r="AU36" s="94" t="s">
        <v>295</v>
      </c>
      <c r="AV36" s="150">
        <f>B278</f>
        <v>243</v>
      </c>
      <c r="AW36" s="90" t="s">
        <v>296</v>
      </c>
      <c r="BA36" s="94" t="s">
        <v>295</v>
      </c>
      <c r="BB36" s="150">
        <f>B278</f>
        <v>243</v>
      </c>
      <c r="BC36" s="90" t="s">
        <v>296</v>
      </c>
      <c r="BD36" s="94" t="s">
        <v>295</v>
      </c>
      <c r="BE36" s="150">
        <f>B278</f>
        <v>243</v>
      </c>
      <c r="BF36" s="90" t="s">
        <v>296</v>
      </c>
      <c r="BJ36" s="94" t="s">
        <v>295</v>
      </c>
      <c r="BK36" s="150">
        <f>B278</f>
        <v>243</v>
      </c>
      <c r="BL36" s="90" t="s">
        <v>296</v>
      </c>
      <c r="BM36" s="94" t="s">
        <v>295</v>
      </c>
      <c r="BN36" s="150">
        <f>B278</f>
        <v>243</v>
      </c>
      <c r="BO36" s="90" t="s">
        <v>296</v>
      </c>
      <c r="BS36" s="100"/>
      <c r="BT36" s="100"/>
      <c r="BU36" s="91"/>
      <c r="BY36" s="94" t="s">
        <v>295</v>
      </c>
      <c r="BZ36" s="150">
        <f>B278</f>
        <v>243</v>
      </c>
      <c r="CA36" s="90" t="s">
        <v>296</v>
      </c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B166</f>
        <v>150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B97</f>
        <v>5</v>
      </c>
      <c r="HF36" s="52" t="s">
        <v>94</v>
      </c>
    </row>
    <row r="37" spans="1:214" x14ac:dyDescent="0.2">
      <c r="A37" s="83" t="s">
        <v>236</v>
      </c>
      <c r="B37" s="183">
        <v>5.0000000000000001E-4</v>
      </c>
      <c r="C37" s="52" t="s">
        <v>388</v>
      </c>
      <c r="D37" s="83" t="s">
        <v>394</v>
      </c>
      <c r="E37" s="146">
        <f>B56</f>
        <v>35</v>
      </c>
      <c r="F37" s="52" t="s">
        <v>48</v>
      </c>
      <c r="G37" s="83" t="s">
        <v>406</v>
      </c>
      <c r="H37" s="138">
        <f>B77</f>
        <v>5</v>
      </c>
      <c r="I37" s="52" t="s">
        <v>80</v>
      </c>
      <c r="J37" s="83" t="s">
        <v>408</v>
      </c>
      <c r="K37" s="150">
        <f>B88</f>
        <v>5</v>
      </c>
      <c r="L37" s="84" t="s">
        <v>194</v>
      </c>
      <c r="M37" s="84" t="s">
        <v>293</v>
      </c>
      <c r="N37" s="85">
        <f>B280</f>
        <v>2.7955176153748299E-12</v>
      </c>
      <c r="P37" s="84" t="s">
        <v>293</v>
      </c>
      <c r="Q37" s="85">
        <f>B280</f>
        <v>2.7955176153748299E-12</v>
      </c>
      <c r="V37" s="83" t="s">
        <v>301</v>
      </c>
      <c r="W37" s="142">
        <f>B240</f>
        <v>2</v>
      </c>
      <c r="Y37" s="83" t="s">
        <v>301</v>
      </c>
      <c r="Z37" s="142">
        <f>B260</f>
        <v>2</v>
      </c>
      <c r="AI37" s="84" t="s">
        <v>293</v>
      </c>
      <c r="AJ37" s="85">
        <f>B280</f>
        <v>2.7955176153748299E-12</v>
      </c>
      <c r="AL37" s="84" t="s">
        <v>293</v>
      </c>
      <c r="AM37" s="85">
        <f>B280</f>
        <v>2.7955176153748299E-12</v>
      </c>
      <c r="AR37" s="84" t="s">
        <v>293</v>
      </c>
      <c r="AS37" s="85">
        <f>B280</f>
        <v>2.7955176153748299E-12</v>
      </c>
      <c r="AU37" s="84" t="s">
        <v>293</v>
      </c>
      <c r="AV37" s="85">
        <f>B280</f>
        <v>2.7955176153748299E-12</v>
      </c>
      <c r="BA37" s="84" t="s">
        <v>293</v>
      </c>
      <c r="BB37" s="85">
        <f>B280</f>
        <v>2.7955176153748299E-12</v>
      </c>
      <c r="BD37" s="84" t="s">
        <v>293</v>
      </c>
      <c r="BE37" s="85">
        <f>B280</f>
        <v>2.7955176153748299E-12</v>
      </c>
      <c r="BJ37" s="84" t="s">
        <v>293</v>
      </c>
      <c r="BK37" s="85">
        <f>B280</f>
        <v>2.7955176153748299E-12</v>
      </c>
      <c r="BM37" s="84" t="s">
        <v>293</v>
      </c>
      <c r="BN37" s="85">
        <f>B280</f>
        <v>2.7955176153748299E-12</v>
      </c>
      <c r="BS37" s="91"/>
      <c r="BT37" s="91"/>
      <c r="BU37" s="91"/>
      <c r="BY37" s="84" t="s">
        <v>293</v>
      </c>
      <c r="BZ37" s="85">
        <f>B280</f>
        <v>2.7955176153748299E-12</v>
      </c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15</v>
      </c>
      <c r="CV37" s="84" t="s">
        <v>194</v>
      </c>
      <c r="CZ37" s="92" t="s">
        <v>363</v>
      </c>
      <c r="DA37" s="141">
        <f>B168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4.25" x14ac:dyDescent="0.2">
      <c r="A38" s="83" t="s">
        <v>237</v>
      </c>
      <c r="B38" s="183">
        <v>6.0000000000000001E-3</v>
      </c>
      <c r="C38" s="52" t="s">
        <v>388</v>
      </c>
      <c r="D38" s="83" t="s">
        <v>260</v>
      </c>
      <c r="E38" s="152">
        <f>(E33/(E35*E34*E37*E36))*E39*E40*E41</f>
        <v>6.3476689528046484E-8</v>
      </c>
      <c r="F38" s="84" t="s">
        <v>12</v>
      </c>
      <c r="H38" s="138">
        <f>1/1000</f>
        <v>1E-3</v>
      </c>
      <c r="I38" s="52" t="s">
        <v>82</v>
      </c>
      <c r="J38" s="83" t="s">
        <v>409</v>
      </c>
      <c r="K38" s="150">
        <f>B89</f>
        <v>25</v>
      </c>
      <c r="L38" s="84" t="s">
        <v>194</v>
      </c>
      <c r="V38" s="52" t="s">
        <v>261</v>
      </c>
      <c r="W38" s="143">
        <f>((W27)/((W34/24)*W31*W32*W33*W35))*W42*W43*W30</f>
        <v>6.2192575254153225E-13</v>
      </c>
      <c r="X38" s="52" t="s">
        <v>15</v>
      </c>
      <c r="Y38" s="52" t="s">
        <v>261</v>
      </c>
      <c r="Z38" s="143">
        <f>((Z27)/((Z34/24)*Z31*Z32*Z33*Z35))*Z45*Z46*Z30</f>
        <v>6.2192575254153225E-13</v>
      </c>
      <c r="AA38" s="52" t="s">
        <v>15</v>
      </c>
      <c r="AE38" s="352" t="s">
        <v>226</v>
      </c>
      <c r="AF38" s="352"/>
      <c r="AG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5</v>
      </c>
      <c r="CV38" s="84" t="s">
        <v>194</v>
      </c>
      <c r="CZ38" s="92" t="s">
        <v>364</v>
      </c>
      <c r="DA38" s="141">
        <f>B169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B98</f>
        <v>0.18</v>
      </c>
      <c r="HF38" s="52" t="s">
        <v>355</v>
      </c>
    </row>
    <row r="39" spans="1:214" x14ac:dyDescent="0.2">
      <c r="A39" s="83" t="s">
        <v>171</v>
      </c>
      <c r="B39" s="183">
        <v>3.0000000000000001E-3</v>
      </c>
      <c r="C39" s="52" t="s">
        <v>388</v>
      </c>
      <c r="D39" s="84" t="s">
        <v>295</v>
      </c>
      <c r="E39" s="150">
        <f>B278</f>
        <v>243</v>
      </c>
      <c r="F39" s="52" t="s">
        <v>296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((W27)/((W34/24)*W31*W36*(1/365)))*W42*W43*W30</f>
        <v>3.281904925053533E-11</v>
      </c>
      <c r="X39" s="52" t="s">
        <v>15</v>
      </c>
      <c r="Y39" s="52" t="s">
        <v>271</v>
      </c>
      <c r="Z39" s="144">
        <f>((Z27)/((Z34/24)*Z31*Z36*(1/365)))*Z45*Z46*Z30</f>
        <v>3.281904925053533E-11</v>
      </c>
      <c r="AA39" s="52" t="s">
        <v>15</v>
      </c>
      <c r="AE39" s="352"/>
      <c r="AF39" s="352"/>
      <c r="AG39" s="352"/>
      <c r="BK39" s="352" t="s">
        <v>230</v>
      </c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B170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B99</f>
        <v>55</v>
      </c>
      <c r="HF39" s="52" t="s">
        <v>97</v>
      </c>
    </row>
    <row r="40" spans="1:214" x14ac:dyDescent="0.2">
      <c r="A40" s="83" t="s">
        <v>238</v>
      </c>
      <c r="B40" s="183">
        <v>1.7000000000000001E-4</v>
      </c>
      <c r="C40" s="52" t="s">
        <v>388</v>
      </c>
      <c r="D40" s="84" t="s">
        <v>293</v>
      </c>
      <c r="E40" s="85">
        <f>B280</f>
        <v>2.7955176153748299E-12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((W27*W29*W28)/((W34/24)*(1-EXP(-W29*W32))*W33*W35*W31*W32))*W42*W43*W30</f>
        <v>6.2242472219161387E-13</v>
      </c>
      <c r="X40" s="52" t="s">
        <v>16</v>
      </c>
      <c r="Y40" s="52" t="s">
        <v>261</v>
      </c>
      <c r="Z40" s="144">
        <f>((Z27*Z29*Z28)/((Z34/24)*(1-EXP(-Z29*Z32))*Z33*Z35*Z31*Z32))*Z45*Z46*Z30</f>
        <v>6.2242472219161387E-13</v>
      </c>
      <c r="AA40" s="52" t="s">
        <v>16</v>
      </c>
      <c r="AE40" s="352"/>
      <c r="AF40" s="352"/>
      <c r="AG40" s="352"/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1</v>
      </c>
      <c r="CZ40" s="92" t="s">
        <v>457</v>
      </c>
      <c r="DA40" s="141">
        <f>B177</f>
        <v>5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B100</f>
        <v>5</v>
      </c>
      <c r="HF40" s="52" t="s">
        <v>97</v>
      </c>
    </row>
    <row r="41" spans="1:214" x14ac:dyDescent="0.2">
      <c r="A41" s="52" t="s">
        <v>229</v>
      </c>
      <c r="B41" s="183">
        <v>5.0000000000000001E-4</v>
      </c>
      <c r="C41" s="52" t="s">
        <v>388</v>
      </c>
      <c r="D41" s="91" t="s">
        <v>231</v>
      </c>
      <c r="E41" s="85">
        <f>B30</f>
        <v>432</v>
      </c>
      <c r="F41" s="52" t="s">
        <v>235</v>
      </c>
      <c r="G41" s="83" t="s">
        <v>390</v>
      </c>
      <c r="H41" s="141">
        <f>B78</f>
        <v>0.25</v>
      </c>
      <c r="I41" s="84"/>
      <c r="J41" s="83" t="s">
        <v>302</v>
      </c>
      <c r="K41" s="161">
        <f>B3</f>
        <v>2.41E-4</v>
      </c>
      <c r="V41" s="52" t="s">
        <v>271</v>
      </c>
      <c r="W41" s="145">
        <f>((W27*W29*W28)/((W34/24)*(1-EXP(-W29*W28))*W36*W31*(1/365)))*W42*W43*W30</f>
        <v>3.2845379900863978E-11</v>
      </c>
      <c r="X41" s="52" t="s">
        <v>16</v>
      </c>
      <c r="Y41" s="52" t="s">
        <v>271</v>
      </c>
      <c r="Z41" s="145">
        <f>((Z27*Z29*Z28)/((Z34/24)*(1-EXP(-Z29*Z28))*Z36*Z31*(1/365)))*Z45*Z46*Z30</f>
        <v>3.2845379900863978E-11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61">
        <f>B3</f>
        <v>2.41E-4</v>
      </c>
      <c r="CZ41" s="92" t="s">
        <v>466</v>
      </c>
      <c r="DA41" s="141">
        <f>B178</f>
        <v>5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B101</f>
        <v>5</v>
      </c>
      <c r="HF41" s="52" t="s">
        <v>97</v>
      </c>
    </row>
    <row r="42" spans="1:214" ht="13.5" thickBot="1" x14ac:dyDescent="0.25">
      <c r="A42" s="83" t="s">
        <v>228</v>
      </c>
      <c r="B42" s="183">
        <v>6.0000000000000001E-3</v>
      </c>
      <c r="C42" s="52" t="s">
        <v>388</v>
      </c>
      <c r="G42" s="83"/>
      <c r="H42" s="146">
        <v>365</v>
      </c>
      <c r="I42" s="84" t="s">
        <v>24</v>
      </c>
      <c r="J42" s="83" t="s">
        <v>413</v>
      </c>
      <c r="K42" s="161">
        <f>B4</f>
        <v>0.753</v>
      </c>
      <c r="V42" s="84" t="s">
        <v>295</v>
      </c>
      <c r="W42" s="150">
        <f>B278</f>
        <v>243</v>
      </c>
      <c r="X42" s="52" t="s">
        <v>296</v>
      </c>
      <c r="Y42" s="52" t="s">
        <v>220</v>
      </c>
      <c r="Z42" s="138">
        <f>B266</f>
        <v>25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61">
        <f>B4</f>
        <v>0.753</v>
      </c>
      <c r="CW42" s="84"/>
      <c r="CX42" s="84"/>
      <c r="CY42" s="84"/>
      <c r="CZ42" s="52" t="s">
        <v>477</v>
      </c>
      <c r="DA42" s="141">
        <f>B179</f>
        <v>0.25</v>
      </c>
      <c r="DB42" s="92" t="s">
        <v>358</v>
      </c>
      <c r="DW42" s="88"/>
      <c r="DX42" s="88"/>
      <c r="DY42" s="88"/>
      <c r="DZ42" s="88"/>
      <c r="HD42" s="52" t="s">
        <v>225</v>
      </c>
      <c r="HE42" s="136">
        <f>1+((HE35*HE36*HE37)/(HE38*HE39))</f>
        <v>3.1605966718331597</v>
      </c>
    </row>
    <row r="43" spans="1:214" ht="19.5" thickTop="1" thickBot="1" x14ac:dyDescent="0.25">
      <c r="A43" s="84" t="s">
        <v>32</v>
      </c>
      <c r="B43" s="183">
        <f>0.00001914</f>
        <v>1.914E-5</v>
      </c>
      <c r="D43" s="353" t="s">
        <v>529</v>
      </c>
      <c r="E43" s="354"/>
      <c r="F43" s="355"/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V43" s="84" t="s">
        <v>293</v>
      </c>
      <c r="W43" s="85">
        <f>B279</f>
        <v>2.8000000000000001E-15</v>
      </c>
      <c r="Y43" s="52" t="s">
        <v>219</v>
      </c>
      <c r="Z43" s="138">
        <f>B265</f>
        <v>3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B180</f>
        <v>0.85</v>
      </c>
      <c r="DB43" s="92" t="s">
        <v>358</v>
      </c>
      <c r="DW43" s="88"/>
      <c r="DX43" s="88"/>
      <c r="DY43" s="88"/>
      <c r="DZ43" s="88"/>
    </row>
    <row r="44" spans="1:214" x14ac:dyDescent="0.2">
      <c r="A44" s="52" t="s">
        <v>33</v>
      </c>
      <c r="B44" s="183">
        <v>2.1999999999999999E-5</v>
      </c>
      <c r="D44" s="323" t="s">
        <v>530</v>
      </c>
      <c r="E44" s="347">
        <f>E54</f>
        <v>2.6491028843970014E-10</v>
      </c>
      <c r="F44" s="345" t="s">
        <v>13</v>
      </c>
      <c r="G44" s="52" t="s">
        <v>19</v>
      </c>
      <c r="H44" s="136">
        <f>H46</f>
        <v>1.914E-5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5.75" thickBot="1" x14ac:dyDescent="0.25">
      <c r="A45" s="83" t="s">
        <v>156</v>
      </c>
      <c r="B45" s="182">
        <v>4</v>
      </c>
      <c r="C45" s="83" t="s">
        <v>18</v>
      </c>
      <c r="D45" s="324"/>
      <c r="E45" s="348"/>
      <c r="F45" s="346"/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Y45" s="84" t="s">
        <v>295</v>
      </c>
      <c r="Z45" s="150">
        <f>B278</f>
        <v>243</v>
      </c>
      <c r="AA45" s="52" t="s">
        <v>296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B181</f>
        <v>0.5</v>
      </c>
      <c r="DB45" s="92" t="s">
        <v>145</v>
      </c>
      <c r="DW45" s="88"/>
      <c r="DX45" s="88"/>
      <c r="DY45" s="88"/>
      <c r="DZ45" s="88"/>
    </row>
    <row r="46" spans="1:214" ht="13.5" thickTop="1" x14ac:dyDescent="0.2">
      <c r="A46" s="84" t="s">
        <v>21</v>
      </c>
      <c r="B46" s="188">
        <f>15*B278*B279*B30</f>
        <v>4.4089920000000007E-9</v>
      </c>
      <c r="C46" s="52" t="s">
        <v>13</v>
      </c>
      <c r="D46" s="83" t="s">
        <v>267</v>
      </c>
      <c r="E46" s="136">
        <f>B17</f>
        <v>1</v>
      </c>
      <c r="F46" s="52" t="s">
        <v>344</v>
      </c>
      <c r="G46" s="84" t="s">
        <v>32</v>
      </c>
      <c r="H46" s="139">
        <f>B43</f>
        <v>1.914E-5</v>
      </c>
      <c r="K46" s="146">
        <v>1000</v>
      </c>
      <c r="L46" s="52" t="s">
        <v>23</v>
      </c>
      <c r="Y46" s="84" t="s">
        <v>293</v>
      </c>
      <c r="Z46" s="85">
        <f>B279</f>
        <v>2.8000000000000001E-15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52" t="s">
        <v>393</v>
      </c>
      <c r="B47" s="131">
        <v>0.26</v>
      </c>
      <c r="D47" s="83" t="s">
        <v>382</v>
      </c>
      <c r="E47" s="150">
        <f>B68</f>
        <v>150</v>
      </c>
      <c r="F47" s="83" t="s">
        <v>24</v>
      </c>
      <c r="G47" s="83" t="s">
        <v>393</v>
      </c>
      <c r="H47" s="142">
        <f>B47</f>
        <v>0.26</v>
      </c>
      <c r="J47" s="52" t="s">
        <v>19</v>
      </c>
      <c r="K47" s="136">
        <f>K49</f>
        <v>1.914E-5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B163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52" t="s">
        <v>392</v>
      </c>
      <c r="B48" s="131">
        <v>0.25</v>
      </c>
      <c r="D48" s="83" t="s">
        <v>258</v>
      </c>
      <c r="E48" s="136">
        <f>B29</f>
        <v>8.8060000000000005E-4</v>
      </c>
      <c r="F48" s="83" t="s">
        <v>87</v>
      </c>
      <c r="G48" s="52" t="s">
        <v>17</v>
      </c>
      <c r="H48" s="137">
        <f>((H51*H52*H53)*((1-EXP(-H54*H55))))/(H56*H54)</f>
        <v>6.6877504027585484E-4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B164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381" t="s">
        <v>2</v>
      </c>
      <c r="B49" s="382"/>
      <c r="C49" s="383"/>
      <c r="D49" s="83" t="s">
        <v>379</v>
      </c>
      <c r="E49" s="146">
        <f>B65</f>
        <v>1</v>
      </c>
      <c r="F49" s="52" t="s">
        <v>60</v>
      </c>
      <c r="G49" s="52" t="s">
        <v>25</v>
      </c>
      <c r="H49" s="137">
        <f>(H51*H52*H57*((1-EXP(-H54*H55))))/(H56*H54)</f>
        <v>9.0847184154504852</v>
      </c>
      <c r="I49" s="52" t="s">
        <v>18</v>
      </c>
      <c r="J49" s="84" t="s">
        <v>32</v>
      </c>
      <c r="K49" s="139">
        <f>B43</f>
        <v>1.914E-5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T49" s="94" t="s">
        <v>295</v>
      </c>
      <c r="CU49" s="150">
        <f>B278</f>
        <v>243</v>
      </c>
      <c r="CV49" s="90" t="s">
        <v>296</v>
      </c>
      <c r="CZ49" s="83" t="s">
        <v>475</v>
      </c>
      <c r="DA49" s="146">
        <f>B163</f>
        <v>0.15</v>
      </c>
      <c r="DW49" s="88"/>
      <c r="DX49" s="88"/>
      <c r="DY49" s="88"/>
      <c r="DZ49" s="88"/>
    </row>
    <row r="50" spans="1:130" x14ac:dyDescent="0.2">
      <c r="A50" s="83" t="s">
        <v>366</v>
      </c>
      <c r="B50" s="130">
        <v>5</v>
      </c>
      <c r="C50" s="92" t="s">
        <v>407</v>
      </c>
      <c r="D50" s="83" t="s">
        <v>394</v>
      </c>
      <c r="E50" s="146">
        <f>B56</f>
        <v>35</v>
      </c>
      <c r="F50" s="52" t="s">
        <v>48</v>
      </c>
      <c r="G50" s="52" t="s">
        <v>31</v>
      </c>
      <c r="H50" s="137">
        <f>(H51*H52*H58*H64*((1-EXP(-H59*H60))))/(H61*H59)</f>
        <v>3.6421488784670224</v>
      </c>
      <c r="I50" s="52" t="s">
        <v>18</v>
      </c>
      <c r="J50" s="83" t="s">
        <v>393</v>
      </c>
      <c r="K50" s="142">
        <f>B47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T50" s="84" t="s">
        <v>293</v>
      </c>
      <c r="CU50" s="85">
        <f>B280</f>
        <v>2.7955176153748299E-12</v>
      </c>
      <c r="CZ50" s="83" t="s">
        <v>476</v>
      </c>
      <c r="DA50" s="146">
        <f>B164</f>
        <v>0.85</v>
      </c>
      <c r="DW50" s="88"/>
      <c r="DX50" s="88"/>
      <c r="DY50" s="88"/>
      <c r="DZ50" s="88"/>
    </row>
    <row r="51" spans="1:130" x14ac:dyDescent="0.2">
      <c r="A51" s="83" t="s">
        <v>367</v>
      </c>
      <c r="B51" s="130">
        <v>10</v>
      </c>
      <c r="C51" s="92" t="s">
        <v>407</v>
      </c>
      <c r="D51" s="83"/>
      <c r="E51" s="150">
        <v>1000</v>
      </c>
      <c r="F51" s="84" t="s">
        <v>99</v>
      </c>
      <c r="G51" s="83" t="s">
        <v>36</v>
      </c>
      <c r="H51" s="138">
        <f>B79</f>
        <v>3.62</v>
      </c>
      <c r="I51" s="52" t="s">
        <v>37</v>
      </c>
      <c r="J51" s="83" t="s">
        <v>376</v>
      </c>
      <c r="K51" s="146">
        <f>B61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CZ51" s="94" t="s">
        <v>295</v>
      </c>
      <c r="DA51" s="150">
        <f>B278</f>
        <v>243</v>
      </c>
      <c r="DB51" s="90" t="s">
        <v>296</v>
      </c>
      <c r="DW51" s="88"/>
      <c r="DX51" s="88"/>
      <c r="DY51" s="88"/>
      <c r="DZ51" s="88"/>
    </row>
    <row r="52" spans="1:130" x14ac:dyDescent="0.2">
      <c r="A52" s="83" t="s">
        <v>368</v>
      </c>
      <c r="B52" s="130">
        <v>100</v>
      </c>
      <c r="C52" s="84" t="s">
        <v>48</v>
      </c>
      <c r="D52" s="83" t="s">
        <v>105</v>
      </c>
      <c r="E52" s="150">
        <f>B35</f>
        <v>240</v>
      </c>
      <c r="F52" s="84" t="s">
        <v>18</v>
      </c>
      <c r="G52" s="83" t="s">
        <v>40</v>
      </c>
      <c r="H52" s="138">
        <f>B80</f>
        <v>0.25</v>
      </c>
      <c r="I52" s="52" t="s">
        <v>41</v>
      </c>
      <c r="J52" s="83" t="s">
        <v>377</v>
      </c>
      <c r="K52" s="146">
        <f>B62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CZ52" s="84" t="s">
        <v>293</v>
      </c>
      <c r="DA52" s="85">
        <f>B279</f>
        <v>2.8000000000000001E-15</v>
      </c>
      <c r="DW52" s="88"/>
      <c r="DX52" s="88"/>
      <c r="DY52" s="88"/>
      <c r="DZ52" s="88"/>
    </row>
    <row r="53" spans="1:130" x14ac:dyDescent="0.2">
      <c r="A53" s="83" t="s">
        <v>369</v>
      </c>
      <c r="B53" s="130">
        <v>50</v>
      </c>
      <c r="C53" s="84" t="s">
        <v>48</v>
      </c>
      <c r="D53" s="83" t="s">
        <v>107</v>
      </c>
      <c r="E53" s="138">
        <f>B74</f>
        <v>1</v>
      </c>
      <c r="F53" s="84" t="s">
        <v>108</v>
      </c>
      <c r="G53" s="92" t="s">
        <v>32</v>
      </c>
      <c r="H53" s="136">
        <f>B43</f>
        <v>1.914E-5</v>
      </c>
      <c r="J53" s="84" t="s">
        <v>295</v>
      </c>
      <c r="K53" s="150">
        <f>B278</f>
        <v>243</v>
      </c>
      <c r="L53" s="52" t="s">
        <v>296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83" t="s">
        <v>370</v>
      </c>
      <c r="B54" s="130">
        <v>0.25</v>
      </c>
      <c r="C54" s="83" t="s">
        <v>28</v>
      </c>
      <c r="D54" s="83" t="s">
        <v>260</v>
      </c>
      <c r="E54" s="152">
        <f>(E46/(E48*E47*E49*E50*E52*E53*(1/E51)))*E55*E56*E57</f>
        <v>2.6491028843970014E-10</v>
      </c>
      <c r="F54" s="52" t="s">
        <v>13</v>
      </c>
      <c r="G54" s="92" t="s">
        <v>49</v>
      </c>
      <c r="H54" s="137">
        <f>H62+H63</f>
        <v>3.1394977168949772E-5</v>
      </c>
      <c r="J54" s="84" t="s">
        <v>293</v>
      </c>
      <c r="K54" s="85">
        <f>B280</f>
        <v>2.7955176153748299E-12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83" t="s">
        <v>371</v>
      </c>
      <c r="B55" s="130">
        <v>1.5</v>
      </c>
      <c r="C55" s="52" t="s">
        <v>28</v>
      </c>
      <c r="D55" s="84" t="s">
        <v>295</v>
      </c>
      <c r="E55" s="150">
        <f>B278</f>
        <v>243</v>
      </c>
      <c r="F55" s="52" t="s">
        <v>296</v>
      </c>
      <c r="G55" s="92" t="s">
        <v>52</v>
      </c>
      <c r="H55" s="138">
        <f>B81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83" t="s">
        <v>310</v>
      </c>
      <c r="B56" s="130">
        <v>35</v>
      </c>
      <c r="C56" s="52" t="s">
        <v>48</v>
      </c>
      <c r="D56" s="84" t="s">
        <v>293</v>
      </c>
      <c r="E56" s="85">
        <f>B279</f>
        <v>2.8000000000000001E-15</v>
      </c>
      <c r="G56" s="92" t="s">
        <v>55</v>
      </c>
      <c r="H56" s="138">
        <f>B82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83" t="s">
        <v>372</v>
      </c>
      <c r="B57" s="130">
        <v>55</v>
      </c>
      <c r="C57" s="92" t="s">
        <v>221</v>
      </c>
      <c r="D57" s="91" t="s">
        <v>231</v>
      </c>
      <c r="E57" s="85">
        <f>B30</f>
        <v>432</v>
      </c>
      <c r="F57" s="52" t="s">
        <v>235</v>
      </c>
      <c r="G57" s="92" t="s">
        <v>393</v>
      </c>
      <c r="H57" s="138">
        <f>B47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83" t="s">
        <v>373</v>
      </c>
      <c r="B58" s="130">
        <v>55</v>
      </c>
      <c r="C58" s="92" t="s">
        <v>221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83" t="s">
        <v>374</v>
      </c>
      <c r="B59" s="130">
        <v>55</v>
      </c>
      <c r="C59" s="92" t="s">
        <v>221</v>
      </c>
      <c r="G59" s="92" t="s">
        <v>63</v>
      </c>
      <c r="H59" s="151">
        <f>H63+(0.693/H65)</f>
        <v>4.9504394977168943E-2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83" t="s">
        <v>375</v>
      </c>
      <c r="B60" s="130">
        <v>55</v>
      </c>
      <c r="C60" s="92" t="s">
        <v>221</v>
      </c>
      <c r="G60" s="92" t="s">
        <v>67</v>
      </c>
      <c r="H60" s="142">
        <f>B83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83" t="s">
        <v>376</v>
      </c>
      <c r="B61" s="130">
        <v>0.23</v>
      </c>
      <c r="G61" s="92" t="s">
        <v>68</v>
      </c>
      <c r="H61" s="142">
        <f>B84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83" t="s">
        <v>377</v>
      </c>
      <c r="B62" s="130">
        <v>0.77</v>
      </c>
      <c r="G62" s="92" t="s">
        <v>70</v>
      </c>
      <c r="H62" s="138">
        <f>B85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378</v>
      </c>
      <c r="B63" s="131">
        <v>1</v>
      </c>
      <c r="C63" s="52" t="s">
        <v>60</v>
      </c>
      <c r="G63" s="92" t="s">
        <v>71</v>
      </c>
      <c r="H63" s="137">
        <f>0.693/H67</f>
        <v>4.3949771689497717E-6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52" t="s">
        <v>448</v>
      </c>
      <c r="B64" s="131">
        <v>1</v>
      </c>
      <c r="C64" s="52" t="s">
        <v>60</v>
      </c>
      <c r="G64" s="92" t="s">
        <v>73</v>
      </c>
      <c r="H64" s="138">
        <f>B86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379</v>
      </c>
      <c r="B65" s="131">
        <v>1</v>
      </c>
      <c r="C65" s="52" t="s">
        <v>60</v>
      </c>
      <c r="G65" s="92" t="s">
        <v>74</v>
      </c>
      <c r="H65" s="138">
        <f>B87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380</v>
      </c>
      <c r="B66" s="131">
        <v>150</v>
      </c>
      <c r="C66" s="83" t="s">
        <v>24</v>
      </c>
      <c r="G66" s="52" t="s">
        <v>33</v>
      </c>
      <c r="H66" s="136">
        <f>B44</f>
        <v>2.1999999999999999E-5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381</v>
      </c>
      <c r="B67" s="131">
        <v>150</v>
      </c>
      <c r="C67" s="83" t="s">
        <v>24</v>
      </c>
      <c r="G67" s="83" t="s">
        <v>234</v>
      </c>
      <c r="H67" s="136">
        <f>B34</f>
        <v>157680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382</v>
      </c>
      <c r="B68" s="131">
        <v>150</v>
      </c>
      <c r="C68" s="83" t="s">
        <v>24</v>
      </c>
      <c r="G68" s="83" t="s">
        <v>376</v>
      </c>
      <c r="H68" s="146">
        <f>B61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52" t="s">
        <v>403</v>
      </c>
      <c r="B69" s="131">
        <v>0.25</v>
      </c>
      <c r="C69" s="52" t="s">
        <v>89</v>
      </c>
      <c r="G69" s="83" t="s">
        <v>377</v>
      </c>
      <c r="H69" s="146">
        <f>B62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52" t="s">
        <v>404</v>
      </c>
      <c r="B70" s="131">
        <v>0.75</v>
      </c>
      <c r="C70" s="52" t="s">
        <v>89</v>
      </c>
      <c r="G70" s="84" t="s">
        <v>295</v>
      </c>
      <c r="H70" s="150">
        <f>B278</f>
        <v>243</v>
      </c>
      <c r="I70" s="52" t="s">
        <v>296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52" t="s">
        <v>385</v>
      </c>
      <c r="B71" s="131">
        <v>24</v>
      </c>
      <c r="C71" s="52" t="s">
        <v>194</v>
      </c>
      <c r="G71" s="84" t="s">
        <v>293</v>
      </c>
      <c r="H71" s="85">
        <f>B279</f>
        <v>2.8000000000000001E-15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52" t="s">
        <v>318</v>
      </c>
      <c r="B72" s="131">
        <v>2</v>
      </c>
      <c r="G72" s="52" t="s">
        <v>293</v>
      </c>
      <c r="H72" s="85">
        <f>B280</f>
        <v>2.7955176153748299E-12</v>
      </c>
      <c r="AF72" s="109"/>
      <c r="AG72" s="106"/>
      <c r="AH72" s="106"/>
      <c r="AI72" s="106"/>
      <c r="AJ72" s="106"/>
      <c r="AK72" s="106"/>
    </row>
    <row r="73" spans="1:105" x14ac:dyDescent="0.2">
      <c r="A73" s="52" t="s">
        <v>303</v>
      </c>
      <c r="B73" s="131">
        <v>1</v>
      </c>
      <c r="G73" s="91" t="s">
        <v>231</v>
      </c>
      <c r="H73" s="85">
        <f>B30</f>
        <v>432</v>
      </c>
      <c r="I73" s="52" t="s">
        <v>235</v>
      </c>
      <c r="AF73" s="109"/>
      <c r="AG73" s="106"/>
      <c r="AH73" s="106"/>
      <c r="AI73" s="106"/>
      <c r="AJ73" s="106"/>
      <c r="AK73" s="106"/>
    </row>
    <row r="74" spans="1:105" x14ac:dyDescent="0.2">
      <c r="A74" s="83" t="s">
        <v>107</v>
      </c>
      <c r="B74" s="131">
        <v>1</v>
      </c>
      <c r="C74" s="84" t="s">
        <v>108</v>
      </c>
      <c r="AF74" s="109"/>
      <c r="AG74" s="106"/>
      <c r="AH74" s="106"/>
      <c r="AI74" s="106"/>
      <c r="AJ74" s="106"/>
      <c r="AK74" s="106"/>
    </row>
    <row r="75" spans="1:105" x14ac:dyDescent="0.2">
      <c r="A75" s="52" t="s">
        <v>65</v>
      </c>
      <c r="B75" s="131">
        <v>0.5</v>
      </c>
      <c r="C75" s="52" t="s">
        <v>66</v>
      </c>
      <c r="AF75" s="108"/>
      <c r="AG75" s="106"/>
      <c r="AH75" s="106"/>
      <c r="AI75" s="106"/>
      <c r="AJ75" s="106"/>
      <c r="AK75" s="106"/>
    </row>
    <row r="76" spans="1:105" x14ac:dyDescent="0.2">
      <c r="A76" s="52" t="s">
        <v>79</v>
      </c>
      <c r="B76" s="131">
        <v>5</v>
      </c>
      <c r="C76" s="52" t="s">
        <v>80</v>
      </c>
      <c r="AF76" s="109"/>
      <c r="AG76" s="106"/>
      <c r="AH76" s="106"/>
      <c r="AI76" s="106"/>
      <c r="AJ76" s="106"/>
      <c r="AK76" s="106"/>
    </row>
    <row r="77" spans="1:105" x14ac:dyDescent="0.2">
      <c r="A77" s="52" t="s">
        <v>81</v>
      </c>
      <c r="B77" s="131">
        <v>5</v>
      </c>
      <c r="C77" s="52" t="s">
        <v>80</v>
      </c>
      <c r="AF77" s="109"/>
      <c r="AG77" s="106"/>
      <c r="AH77" s="106"/>
      <c r="AI77" s="106"/>
      <c r="AJ77" s="106"/>
      <c r="AK77" s="106"/>
    </row>
    <row r="78" spans="1:105" x14ac:dyDescent="0.2">
      <c r="A78" s="52" t="s">
        <v>390</v>
      </c>
      <c r="B78" s="131">
        <v>0.25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36</v>
      </c>
      <c r="B79" s="131">
        <v>3.62</v>
      </c>
      <c r="C79" s="52" t="s">
        <v>37</v>
      </c>
      <c r="AF79" s="109"/>
      <c r="AG79" s="106"/>
    </row>
    <row r="80" spans="1:105" x14ac:dyDescent="0.2">
      <c r="A80" s="83" t="s">
        <v>40</v>
      </c>
      <c r="B80" s="131">
        <v>0.25</v>
      </c>
      <c r="C80" s="52" t="s">
        <v>41</v>
      </c>
      <c r="AF80" s="109"/>
      <c r="AG80" s="106"/>
      <c r="AH80" s="106"/>
      <c r="AI80" s="106"/>
      <c r="AJ80" s="106"/>
      <c r="AK80" s="106"/>
    </row>
    <row r="81" spans="1:37" x14ac:dyDescent="0.2">
      <c r="A81" s="92" t="s">
        <v>52</v>
      </c>
      <c r="B81" s="131">
        <v>10950</v>
      </c>
      <c r="C81" s="52" t="s">
        <v>53</v>
      </c>
      <c r="AF81" s="109"/>
      <c r="AG81" s="106"/>
      <c r="AH81" s="106"/>
      <c r="AI81" s="106"/>
      <c r="AJ81" s="106"/>
      <c r="AK81" s="106"/>
    </row>
    <row r="82" spans="1:37" x14ac:dyDescent="0.2">
      <c r="A82" s="92" t="s">
        <v>55</v>
      </c>
      <c r="B82" s="131">
        <v>240</v>
      </c>
      <c r="C82" s="52" t="s">
        <v>56</v>
      </c>
      <c r="AF82" s="109"/>
      <c r="AG82" s="106"/>
      <c r="AH82" s="106"/>
      <c r="AI82" s="106"/>
      <c r="AJ82" s="106"/>
      <c r="AK82" s="106"/>
    </row>
    <row r="83" spans="1:37" x14ac:dyDescent="0.2">
      <c r="A83" s="92" t="s">
        <v>67</v>
      </c>
      <c r="B83" s="131">
        <v>60</v>
      </c>
      <c r="C83" s="83" t="s">
        <v>53</v>
      </c>
      <c r="AF83" s="109"/>
      <c r="AG83" s="106"/>
      <c r="AH83" s="106"/>
      <c r="AI83" s="106"/>
      <c r="AJ83" s="106"/>
      <c r="AK83" s="106"/>
    </row>
    <row r="84" spans="1:37" x14ac:dyDescent="0.2">
      <c r="A84" s="92" t="s">
        <v>68</v>
      </c>
      <c r="B84" s="131">
        <v>2</v>
      </c>
      <c r="C84" s="83" t="s">
        <v>56</v>
      </c>
      <c r="AF84" s="108"/>
      <c r="AG84" s="106"/>
    </row>
    <row r="85" spans="1:37" x14ac:dyDescent="0.2">
      <c r="A85" s="92" t="s">
        <v>70</v>
      </c>
      <c r="B85" s="131">
        <v>2.6999999999999999E-5</v>
      </c>
      <c r="C85" s="52" t="s">
        <v>64</v>
      </c>
      <c r="AF85" s="108"/>
      <c r="AG85" s="106"/>
      <c r="AH85" s="106"/>
      <c r="AI85" s="106"/>
      <c r="AJ85" s="106"/>
      <c r="AK85" s="106"/>
    </row>
    <row r="86" spans="1:37" x14ac:dyDescent="0.2">
      <c r="A86" s="92" t="s">
        <v>73</v>
      </c>
      <c r="B86" s="131">
        <v>1</v>
      </c>
      <c r="C86" s="52" t="s">
        <v>41</v>
      </c>
      <c r="AF86" s="108"/>
      <c r="AG86" s="106"/>
    </row>
    <row r="87" spans="1:37" x14ac:dyDescent="0.2">
      <c r="A87" s="92" t="s">
        <v>74</v>
      </c>
      <c r="B87" s="131">
        <v>14</v>
      </c>
      <c r="C87" s="52" t="s">
        <v>75</v>
      </c>
      <c r="AH87" s="108"/>
      <c r="AI87" s="108"/>
      <c r="AJ87" s="108"/>
      <c r="AK87" s="108"/>
    </row>
    <row r="88" spans="1:37" x14ac:dyDescent="0.2">
      <c r="A88" s="83" t="s">
        <v>408</v>
      </c>
      <c r="B88" s="130">
        <v>5</v>
      </c>
      <c r="C88" s="84" t="s">
        <v>194</v>
      </c>
    </row>
    <row r="89" spans="1:37" x14ac:dyDescent="0.2">
      <c r="A89" s="83" t="s">
        <v>409</v>
      </c>
      <c r="B89" s="130">
        <v>25</v>
      </c>
      <c r="C89" s="84" t="s">
        <v>194</v>
      </c>
    </row>
    <row r="90" spans="1:37" x14ac:dyDescent="0.2">
      <c r="A90" s="83" t="s">
        <v>389</v>
      </c>
      <c r="B90" s="130">
        <v>1</v>
      </c>
      <c r="C90" s="84"/>
    </row>
    <row r="91" spans="1:37" x14ac:dyDescent="0.2">
      <c r="A91" s="385" t="s">
        <v>387</v>
      </c>
      <c r="B91" s="385"/>
      <c r="C91" s="385"/>
    </row>
    <row r="92" spans="1:37" x14ac:dyDescent="0.2">
      <c r="A92" s="52" t="s">
        <v>34</v>
      </c>
      <c r="B92" s="131">
        <v>70</v>
      </c>
      <c r="C92" s="52" t="s">
        <v>60</v>
      </c>
    </row>
    <row r="93" spans="1:37" x14ac:dyDescent="0.2">
      <c r="A93" s="84" t="s">
        <v>38</v>
      </c>
      <c r="B93" s="131">
        <v>0.3</v>
      </c>
      <c r="C93" s="52" t="s">
        <v>391</v>
      </c>
    </row>
    <row r="94" spans="1:37" x14ac:dyDescent="0.2">
      <c r="A94" s="84" t="s">
        <v>42</v>
      </c>
      <c r="B94" s="130">
        <v>1.5</v>
      </c>
      <c r="C94" s="52" t="s">
        <v>286</v>
      </c>
    </row>
    <row r="95" spans="1:37" x14ac:dyDescent="0.2">
      <c r="A95" s="84" t="s">
        <v>47</v>
      </c>
      <c r="B95" s="131">
        <v>1</v>
      </c>
      <c r="C95" s="52" t="s">
        <v>60</v>
      </c>
    </row>
    <row r="96" spans="1:37" x14ac:dyDescent="0.2">
      <c r="A96" s="84" t="s">
        <v>225</v>
      </c>
      <c r="B96" s="130">
        <v>1</v>
      </c>
    </row>
    <row r="97" spans="1:3" x14ac:dyDescent="0.2">
      <c r="A97" s="52" t="s">
        <v>93</v>
      </c>
      <c r="B97" s="130">
        <v>5</v>
      </c>
      <c r="C97" s="52" t="s">
        <v>94</v>
      </c>
    </row>
    <row r="98" spans="1:3" x14ac:dyDescent="0.2">
      <c r="A98" s="52" t="s">
        <v>98</v>
      </c>
      <c r="B98" s="130">
        <v>0.18</v>
      </c>
      <c r="C98" s="52" t="s">
        <v>355</v>
      </c>
    </row>
    <row r="99" spans="1:3" x14ac:dyDescent="0.2">
      <c r="A99" s="52" t="s">
        <v>100</v>
      </c>
      <c r="B99" s="130">
        <v>55</v>
      </c>
      <c r="C99" s="52" t="s">
        <v>97</v>
      </c>
    </row>
    <row r="100" spans="1:3" x14ac:dyDescent="0.2">
      <c r="A100" s="52" t="s">
        <v>101</v>
      </c>
      <c r="B100" s="130">
        <v>5</v>
      </c>
      <c r="C100" s="52" t="s">
        <v>97</v>
      </c>
    </row>
    <row r="101" spans="1:3" x14ac:dyDescent="0.2">
      <c r="A101" s="52" t="s">
        <v>102</v>
      </c>
      <c r="B101" s="130">
        <v>5</v>
      </c>
      <c r="C101" s="52" t="s">
        <v>97</v>
      </c>
    </row>
    <row r="102" spans="1:3" x14ac:dyDescent="0.2">
      <c r="A102" s="384" t="s">
        <v>5</v>
      </c>
      <c r="B102" s="384"/>
      <c r="C102" s="384"/>
    </row>
    <row r="103" spans="1:3" x14ac:dyDescent="0.2">
      <c r="A103" s="83" t="s">
        <v>429</v>
      </c>
      <c r="B103" s="131">
        <v>5</v>
      </c>
      <c r="C103" s="92" t="s">
        <v>407</v>
      </c>
    </row>
    <row r="104" spans="1:3" x14ac:dyDescent="0.2">
      <c r="A104" s="83" t="s">
        <v>430</v>
      </c>
      <c r="B104" s="131">
        <v>10</v>
      </c>
      <c r="C104" s="92" t="s">
        <v>407</v>
      </c>
    </row>
    <row r="105" spans="1:3" x14ac:dyDescent="0.2">
      <c r="A105" s="83" t="s">
        <v>439</v>
      </c>
      <c r="B105" s="130">
        <v>2</v>
      </c>
      <c r="C105" s="83" t="s">
        <v>357</v>
      </c>
    </row>
    <row r="106" spans="1:3" x14ac:dyDescent="0.2">
      <c r="A106" s="83" t="s">
        <v>438</v>
      </c>
      <c r="B106" s="130">
        <v>2</v>
      </c>
      <c r="C106" s="83" t="s">
        <v>357</v>
      </c>
    </row>
    <row r="107" spans="1:3" x14ac:dyDescent="0.2">
      <c r="A107" s="83" t="s">
        <v>441</v>
      </c>
      <c r="B107" s="131">
        <v>100</v>
      </c>
      <c r="C107" s="84" t="s">
        <v>48</v>
      </c>
    </row>
    <row r="108" spans="1:3" x14ac:dyDescent="0.2">
      <c r="A108" s="83" t="s">
        <v>442</v>
      </c>
      <c r="B108" s="131">
        <v>50</v>
      </c>
      <c r="C108" s="84" t="s">
        <v>48</v>
      </c>
    </row>
    <row r="109" spans="1:3" x14ac:dyDescent="0.2">
      <c r="A109" s="52" t="s">
        <v>159</v>
      </c>
      <c r="B109" s="131">
        <v>3</v>
      </c>
      <c r="C109" s="52" t="s">
        <v>221</v>
      </c>
    </row>
    <row r="110" spans="1:3" x14ac:dyDescent="0.2">
      <c r="A110" s="52" t="s">
        <v>160</v>
      </c>
      <c r="B110" s="131">
        <v>3</v>
      </c>
      <c r="C110" s="52" t="s">
        <v>221</v>
      </c>
    </row>
    <row r="111" spans="1:3" x14ac:dyDescent="0.2">
      <c r="A111" s="83" t="s">
        <v>308</v>
      </c>
      <c r="B111" s="130">
        <v>0.23</v>
      </c>
    </row>
    <row r="112" spans="1:3" x14ac:dyDescent="0.2">
      <c r="A112" s="83" t="s">
        <v>309</v>
      </c>
      <c r="B112" s="130">
        <v>0.77</v>
      </c>
    </row>
    <row r="113" spans="1:3" x14ac:dyDescent="0.2">
      <c r="A113" s="52" t="s">
        <v>140</v>
      </c>
      <c r="B113" s="131">
        <v>55</v>
      </c>
      <c r="C113" s="52" t="s">
        <v>24</v>
      </c>
    </row>
    <row r="114" spans="1:3" x14ac:dyDescent="0.2">
      <c r="A114" s="52" t="s">
        <v>433</v>
      </c>
      <c r="B114" s="131">
        <v>55</v>
      </c>
      <c r="C114" s="52" t="s">
        <v>24</v>
      </c>
    </row>
    <row r="115" spans="1:3" x14ac:dyDescent="0.2">
      <c r="A115" s="52" t="s">
        <v>434</v>
      </c>
      <c r="B115" s="131">
        <v>55</v>
      </c>
      <c r="C115" s="52" t="s">
        <v>24</v>
      </c>
    </row>
    <row r="116" spans="1:3" x14ac:dyDescent="0.2">
      <c r="A116" s="52" t="s">
        <v>431</v>
      </c>
      <c r="B116" s="130">
        <v>5</v>
      </c>
      <c r="C116" s="52" t="s">
        <v>194</v>
      </c>
    </row>
    <row r="117" spans="1:3" x14ac:dyDescent="0.2">
      <c r="A117" s="52" t="s">
        <v>432</v>
      </c>
      <c r="B117" s="130">
        <v>5</v>
      </c>
      <c r="C117" s="52" t="s">
        <v>194</v>
      </c>
    </row>
    <row r="118" spans="1:3" x14ac:dyDescent="0.2">
      <c r="A118" s="52" t="s">
        <v>90</v>
      </c>
      <c r="B118" s="131">
        <v>5</v>
      </c>
      <c r="C118" s="52" t="s">
        <v>194</v>
      </c>
    </row>
    <row r="119" spans="1:3" x14ac:dyDescent="0.2">
      <c r="A119" s="52" t="s">
        <v>443</v>
      </c>
      <c r="B119" s="131">
        <v>5</v>
      </c>
      <c r="C119" s="52" t="s">
        <v>89</v>
      </c>
    </row>
    <row r="120" spans="1:3" x14ac:dyDescent="0.2">
      <c r="A120" s="52" t="s">
        <v>444</v>
      </c>
      <c r="B120" s="131">
        <v>5</v>
      </c>
      <c r="C120" s="52" t="s">
        <v>89</v>
      </c>
    </row>
    <row r="121" spans="1:3" x14ac:dyDescent="0.2">
      <c r="A121" s="83" t="s">
        <v>301</v>
      </c>
      <c r="B121" s="131">
        <v>2</v>
      </c>
    </row>
    <row r="122" spans="1:3" x14ac:dyDescent="0.2">
      <c r="A122" s="83" t="s">
        <v>433</v>
      </c>
      <c r="B122" s="130">
        <v>55</v>
      </c>
      <c r="C122" s="83" t="s">
        <v>24</v>
      </c>
    </row>
    <row r="123" spans="1:3" x14ac:dyDescent="0.2">
      <c r="A123" s="83" t="s">
        <v>434</v>
      </c>
      <c r="B123" s="130">
        <v>55</v>
      </c>
      <c r="C123" s="83" t="s">
        <v>24</v>
      </c>
    </row>
    <row r="124" spans="1:3" x14ac:dyDescent="0.2">
      <c r="A124" s="83" t="s">
        <v>435</v>
      </c>
      <c r="B124" s="131">
        <v>5</v>
      </c>
      <c r="C124" s="52" t="s">
        <v>80</v>
      </c>
    </row>
    <row r="125" spans="1:3" x14ac:dyDescent="0.2">
      <c r="A125" s="83" t="s">
        <v>436</v>
      </c>
      <c r="B125" s="131">
        <v>5</v>
      </c>
      <c r="C125" s="52" t="s">
        <v>80</v>
      </c>
    </row>
    <row r="126" spans="1:3" x14ac:dyDescent="0.2">
      <c r="A126" s="83" t="s">
        <v>65</v>
      </c>
      <c r="B126" s="130">
        <v>0.5</v>
      </c>
      <c r="C126" s="52" t="s">
        <v>66</v>
      </c>
    </row>
    <row r="127" spans="1:3" x14ac:dyDescent="0.2">
      <c r="A127" s="52" t="s">
        <v>51</v>
      </c>
      <c r="B127" s="131">
        <v>1</v>
      </c>
      <c r="C127" s="52" t="s">
        <v>60</v>
      </c>
    </row>
    <row r="128" spans="1:3" x14ac:dyDescent="0.2">
      <c r="A128" s="52" t="s">
        <v>159</v>
      </c>
      <c r="B128" s="130">
        <v>3</v>
      </c>
      <c r="C128" s="52" t="s">
        <v>221</v>
      </c>
    </row>
    <row r="129" spans="1:3" x14ac:dyDescent="0.2">
      <c r="A129" s="84" t="s">
        <v>164</v>
      </c>
      <c r="B129" s="130">
        <v>2</v>
      </c>
      <c r="C129" s="52" t="s">
        <v>246</v>
      </c>
    </row>
    <row r="130" spans="1:3" x14ac:dyDescent="0.2">
      <c r="A130" s="84" t="s">
        <v>161</v>
      </c>
      <c r="B130" s="130">
        <v>2</v>
      </c>
      <c r="C130" s="52" t="s">
        <v>246</v>
      </c>
    </row>
    <row r="131" spans="1:3" x14ac:dyDescent="0.2">
      <c r="A131" s="84" t="s">
        <v>162</v>
      </c>
      <c r="B131" s="130">
        <v>2</v>
      </c>
      <c r="C131" s="52" t="s">
        <v>41</v>
      </c>
    </row>
    <row r="132" spans="1:3" x14ac:dyDescent="0.2">
      <c r="A132" s="84" t="s">
        <v>163</v>
      </c>
      <c r="B132" s="130">
        <v>2</v>
      </c>
      <c r="C132" s="52" t="s">
        <v>41</v>
      </c>
    </row>
    <row r="133" spans="1:3" x14ac:dyDescent="0.2">
      <c r="A133" s="84" t="s">
        <v>169</v>
      </c>
      <c r="B133" s="130">
        <v>2</v>
      </c>
      <c r="C133" s="52" t="s">
        <v>28</v>
      </c>
    </row>
    <row r="134" spans="1:3" x14ac:dyDescent="0.2">
      <c r="A134" s="52" t="s">
        <v>160</v>
      </c>
      <c r="B134" s="130">
        <v>3</v>
      </c>
      <c r="C134" s="52" t="s">
        <v>221</v>
      </c>
    </row>
    <row r="135" spans="1:3" x14ac:dyDescent="0.2">
      <c r="A135" s="52" t="s">
        <v>165</v>
      </c>
      <c r="B135" s="130">
        <v>2</v>
      </c>
      <c r="C135" s="52" t="s">
        <v>246</v>
      </c>
    </row>
    <row r="136" spans="1:3" x14ac:dyDescent="0.2">
      <c r="A136" s="52" t="s">
        <v>166</v>
      </c>
      <c r="B136" s="130">
        <v>2</v>
      </c>
      <c r="C136" s="52" t="s">
        <v>246</v>
      </c>
    </row>
    <row r="137" spans="1:3" x14ac:dyDescent="0.2">
      <c r="A137" s="93" t="s">
        <v>167</v>
      </c>
      <c r="B137" s="130">
        <v>2</v>
      </c>
      <c r="C137" s="52" t="s">
        <v>41</v>
      </c>
    </row>
    <row r="138" spans="1:3" x14ac:dyDescent="0.2">
      <c r="A138" s="83" t="s">
        <v>168</v>
      </c>
      <c r="B138" s="130">
        <v>2</v>
      </c>
      <c r="C138" s="52" t="s">
        <v>41</v>
      </c>
    </row>
    <row r="139" spans="1:3" x14ac:dyDescent="0.2">
      <c r="A139" s="84" t="s">
        <v>170</v>
      </c>
      <c r="B139" s="130">
        <v>2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100</v>
      </c>
      <c r="C141" s="84" t="s">
        <v>48</v>
      </c>
    </row>
    <row r="142" spans="1:3" x14ac:dyDescent="0.2">
      <c r="A142" s="83" t="s">
        <v>458</v>
      </c>
      <c r="B142" s="130">
        <v>50</v>
      </c>
      <c r="C142" s="84" t="s">
        <v>48</v>
      </c>
    </row>
    <row r="143" spans="1:3" x14ac:dyDescent="0.2">
      <c r="A143" s="92" t="s">
        <v>451</v>
      </c>
      <c r="B143" s="131">
        <v>0.25</v>
      </c>
      <c r="C143" s="83" t="s">
        <v>28</v>
      </c>
    </row>
    <row r="144" spans="1:3" x14ac:dyDescent="0.2">
      <c r="A144" s="92" t="s">
        <v>460</v>
      </c>
      <c r="B144" s="131">
        <v>1.5</v>
      </c>
      <c r="C144" s="83" t="s">
        <v>28</v>
      </c>
    </row>
    <row r="145" spans="1:3" ht="15" x14ac:dyDescent="0.2">
      <c r="A145" s="92" t="s">
        <v>450</v>
      </c>
      <c r="B145" s="131">
        <v>5</v>
      </c>
      <c r="C145" s="83" t="s">
        <v>143</v>
      </c>
    </row>
    <row r="146" spans="1:3" ht="15" x14ac:dyDescent="0.2">
      <c r="A146" s="92" t="s">
        <v>459</v>
      </c>
      <c r="B146" s="131">
        <v>10</v>
      </c>
      <c r="C146" s="83" t="s">
        <v>143</v>
      </c>
    </row>
    <row r="147" spans="1:3" x14ac:dyDescent="0.2">
      <c r="A147" s="83" t="s">
        <v>467</v>
      </c>
      <c r="B147" s="130">
        <v>55</v>
      </c>
      <c r="C147" s="92" t="s">
        <v>221</v>
      </c>
    </row>
    <row r="148" spans="1:3" x14ac:dyDescent="0.2">
      <c r="A148" s="83" t="s">
        <v>468</v>
      </c>
      <c r="B148" s="130">
        <v>55</v>
      </c>
      <c r="C148" s="92" t="s">
        <v>221</v>
      </c>
    </row>
    <row r="149" spans="1:3" x14ac:dyDescent="0.2">
      <c r="A149" s="83" t="s">
        <v>469</v>
      </c>
      <c r="B149" s="130">
        <v>55</v>
      </c>
      <c r="C149" s="92" t="s">
        <v>221</v>
      </c>
    </row>
    <row r="150" spans="1:3" x14ac:dyDescent="0.2">
      <c r="A150" s="83" t="s">
        <v>470</v>
      </c>
      <c r="B150" s="130">
        <v>55</v>
      </c>
      <c r="C150" s="92" t="s">
        <v>221</v>
      </c>
    </row>
    <row r="151" spans="1:3" x14ac:dyDescent="0.2">
      <c r="A151" s="83" t="s">
        <v>452</v>
      </c>
      <c r="B151" s="130">
        <v>55</v>
      </c>
      <c r="C151" s="92" t="s">
        <v>221</v>
      </c>
    </row>
    <row r="152" spans="1:3" x14ac:dyDescent="0.2">
      <c r="A152" s="83" t="s">
        <v>461</v>
      </c>
      <c r="B152" s="130">
        <v>55</v>
      </c>
      <c r="C152" s="92" t="s">
        <v>221</v>
      </c>
    </row>
    <row r="153" spans="1:3" x14ac:dyDescent="0.2">
      <c r="A153" s="83" t="s">
        <v>453</v>
      </c>
      <c r="B153" s="130">
        <v>55</v>
      </c>
      <c r="C153" s="92" t="s">
        <v>221</v>
      </c>
    </row>
    <row r="154" spans="1:3" x14ac:dyDescent="0.2">
      <c r="A154" s="83" t="s">
        <v>462</v>
      </c>
      <c r="B154" s="130">
        <v>55</v>
      </c>
      <c r="C154" s="92" t="s">
        <v>221</v>
      </c>
    </row>
    <row r="155" spans="1:3" x14ac:dyDescent="0.2">
      <c r="A155" s="83" t="s">
        <v>454</v>
      </c>
      <c r="B155" s="130">
        <v>55</v>
      </c>
      <c r="C155" s="92" t="s">
        <v>221</v>
      </c>
    </row>
    <row r="156" spans="1:3" x14ac:dyDescent="0.2">
      <c r="A156" s="83" t="s">
        <v>463</v>
      </c>
      <c r="B156" s="130">
        <v>55</v>
      </c>
      <c r="C156" s="92" t="s">
        <v>221</v>
      </c>
    </row>
    <row r="157" spans="1:3" x14ac:dyDescent="0.2">
      <c r="A157" s="83" t="s">
        <v>471</v>
      </c>
      <c r="B157" s="130">
        <v>55</v>
      </c>
      <c r="C157" s="92" t="s">
        <v>221</v>
      </c>
    </row>
    <row r="158" spans="1:3" x14ac:dyDescent="0.2">
      <c r="A158" s="83" t="s">
        <v>472</v>
      </c>
      <c r="B158" s="130">
        <v>55</v>
      </c>
      <c r="C158" s="92" t="s">
        <v>221</v>
      </c>
    </row>
    <row r="159" spans="1:3" x14ac:dyDescent="0.2">
      <c r="A159" s="83" t="s">
        <v>473</v>
      </c>
      <c r="B159" s="130">
        <v>55</v>
      </c>
      <c r="C159" s="92" t="s">
        <v>221</v>
      </c>
    </row>
    <row r="160" spans="1:3" x14ac:dyDescent="0.2">
      <c r="A160" s="83" t="s">
        <v>474</v>
      </c>
      <c r="B160" s="130">
        <v>55</v>
      </c>
      <c r="C160" s="92" t="s">
        <v>221</v>
      </c>
    </row>
    <row r="161" spans="1:3" x14ac:dyDescent="0.2">
      <c r="A161" s="83" t="s">
        <v>455</v>
      </c>
      <c r="B161" s="130">
        <v>55</v>
      </c>
      <c r="C161" s="92" t="s">
        <v>221</v>
      </c>
    </row>
    <row r="162" spans="1:3" x14ac:dyDescent="0.2">
      <c r="A162" s="83" t="s">
        <v>464</v>
      </c>
      <c r="B162" s="130">
        <v>55</v>
      </c>
      <c r="C162" s="92" t="s">
        <v>221</v>
      </c>
    </row>
    <row r="163" spans="1:3" x14ac:dyDescent="0.2">
      <c r="A163" s="83" t="s">
        <v>475</v>
      </c>
      <c r="B163" s="130">
        <v>0.15</v>
      </c>
      <c r="C163" s="88"/>
    </row>
    <row r="164" spans="1:3" x14ac:dyDescent="0.2">
      <c r="A164" s="83" t="s">
        <v>476</v>
      </c>
      <c r="B164" s="130">
        <v>0.85</v>
      </c>
      <c r="C164" s="88"/>
    </row>
    <row r="165" spans="1:3" x14ac:dyDescent="0.2">
      <c r="A165" s="83" t="s">
        <v>456</v>
      </c>
      <c r="B165" s="130">
        <v>150</v>
      </c>
      <c r="C165" s="83" t="s">
        <v>24</v>
      </c>
    </row>
    <row r="166" spans="1:3" x14ac:dyDescent="0.2">
      <c r="A166" s="83" t="s">
        <v>465</v>
      </c>
      <c r="B166" s="130">
        <v>150</v>
      </c>
      <c r="C166" s="83" t="s">
        <v>24</v>
      </c>
    </row>
    <row r="167" spans="1:3" x14ac:dyDescent="0.2">
      <c r="A167" s="52" t="s">
        <v>362</v>
      </c>
      <c r="B167" s="131">
        <v>150</v>
      </c>
      <c r="C167" s="83" t="s">
        <v>24</v>
      </c>
    </row>
    <row r="168" spans="1:3" x14ac:dyDescent="0.2">
      <c r="A168" s="83" t="s">
        <v>363</v>
      </c>
      <c r="B168" s="130">
        <v>1</v>
      </c>
      <c r="C168" s="92" t="s">
        <v>60</v>
      </c>
    </row>
    <row r="169" spans="1:3" x14ac:dyDescent="0.2">
      <c r="A169" s="83" t="s">
        <v>364</v>
      </c>
      <c r="B169" s="130">
        <v>24</v>
      </c>
      <c r="C169" s="94" t="s">
        <v>194</v>
      </c>
    </row>
    <row r="170" spans="1:3" x14ac:dyDescent="0.2">
      <c r="A170" s="83" t="s">
        <v>365</v>
      </c>
      <c r="B170" s="130">
        <v>24</v>
      </c>
      <c r="C170" s="52" t="s">
        <v>194</v>
      </c>
    </row>
    <row r="171" spans="1:3" x14ac:dyDescent="0.2">
      <c r="A171" s="83" t="s">
        <v>361</v>
      </c>
      <c r="B171" s="130">
        <v>1</v>
      </c>
    </row>
    <row r="172" spans="1:3" x14ac:dyDescent="0.2">
      <c r="A172" s="83" t="s">
        <v>507</v>
      </c>
      <c r="B172" s="130">
        <v>15</v>
      </c>
      <c r="C172" s="84" t="s">
        <v>194</v>
      </c>
    </row>
    <row r="173" spans="1:3" x14ac:dyDescent="0.2">
      <c r="A173" s="83" t="s">
        <v>508</v>
      </c>
      <c r="B173" s="130">
        <v>5</v>
      </c>
      <c r="C173" s="84" t="s">
        <v>194</v>
      </c>
    </row>
    <row r="174" spans="1:3" x14ac:dyDescent="0.2">
      <c r="A174" s="83" t="s">
        <v>88</v>
      </c>
      <c r="B174" s="130">
        <v>0.4</v>
      </c>
    </row>
    <row r="175" spans="1:3" x14ac:dyDescent="0.2">
      <c r="A175" s="83" t="s">
        <v>303</v>
      </c>
      <c r="B175" s="130">
        <v>1</v>
      </c>
    </row>
    <row r="176" spans="1:3" x14ac:dyDescent="0.2">
      <c r="A176" s="83" t="s">
        <v>301</v>
      </c>
      <c r="B176" s="131">
        <v>2</v>
      </c>
    </row>
    <row r="177" spans="1:3" x14ac:dyDescent="0.2">
      <c r="A177" s="92" t="s">
        <v>457</v>
      </c>
      <c r="B177" s="130">
        <v>5</v>
      </c>
      <c r="C177" s="92" t="s">
        <v>144</v>
      </c>
    </row>
    <row r="178" spans="1:3" x14ac:dyDescent="0.2">
      <c r="A178" s="92" t="s">
        <v>466</v>
      </c>
      <c r="B178" s="130">
        <v>5</v>
      </c>
      <c r="C178" s="92" t="s">
        <v>144</v>
      </c>
    </row>
    <row r="179" spans="1:3" x14ac:dyDescent="0.2">
      <c r="A179" s="52" t="s">
        <v>477</v>
      </c>
      <c r="B179" s="130">
        <v>0.25</v>
      </c>
      <c r="C179" s="92" t="s">
        <v>358</v>
      </c>
    </row>
    <row r="180" spans="1:3" x14ac:dyDescent="0.2">
      <c r="A180" s="52" t="s">
        <v>478</v>
      </c>
      <c r="B180" s="130">
        <v>0.85</v>
      </c>
      <c r="C180" s="92" t="s">
        <v>358</v>
      </c>
    </row>
    <row r="181" spans="1:3" x14ac:dyDescent="0.2">
      <c r="A181" s="84" t="s">
        <v>65</v>
      </c>
      <c r="B181" s="130">
        <v>0.5</v>
      </c>
      <c r="C181" s="92" t="s">
        <v>600</v>
      </c>
    </row>
    <row r="182" spans="1:3" x14ac:dyDescent="0.2">
      <c r="A182" s="92" t="s">
        <v>361</v>
      </c>
      <c r="B182" s="130">
        <v>1</v>
      </c>
    </row>
    <row r="183" spans="1:3" x14ac:dyDescent="0.2">
      <c r="A183" s="92" t="s">
        <v>479</v>
      </c>
      <c r="B183" s="130">
        <v>1</v>
      </c>
    </row>
    <row r="184" spans="1:3" x14ac:dyDescent="0.2">
      <c r="A184" s="92" t="s">
        <v>480</v>
      </c>
      <c r="B184" s="130">
        <v>1</v>
      </c>
    </row>
    <row r="185" spans="1:3" x14ac:dyDescent="0.2">
      <c r="A185" s="92" t="s">
        <v>481</v>
      </c>
      <c r="B185" s="130">
        <v>1</v>
      </c>
    </row>
    <row r="186" spans="1:3" x14ac:dyDescent="0.2">
      <c r="A186" s="92" t="s">
        <v>482</v>
      </c>
      <c r="B186" s="130">
        <v>1</v>
      </c>
    </row>
    <row r="187" spans="1:3" x14ac:dyDescent="0.2">
      <c r="A187" s="92" t="s">
        <v>483</v>
      </c>
      <c r="B187" s="130">
        <v>1</v>
      </c>
    </row>
    <row r="188" spans="1:3" x14ac:dyDescent="0.2">
      <c r="A188" s="92" t="s">
        <v>484</v>
      </c>
      <c r="B188" s="131">
        <v>1</v>
      </c>
    </row>
    <row r="189" spans="1:3" x14ac:dyDescent="0.2">
      <c r="A189" s="83" t="s">
        <v>36</v>
      </c>
      <c r="B189" s="131">
        <v>3.62</v>
      </c>
      <c r="C189" s="52" t="s">
        <v>37</v>
      </c>
    </row>
    <row r="190" spans="1:3" x14ac:dyDescent="0.2">
      <c r="A190" s="83" t="s">
        <v>40</v>
      </c>
      <c r="B190" s="131">
        <v>0.25</v>
      </c>
      <c r="C190" s="52" t="s">
        <v>41</v>
      </c>
    </row>
    <row r="191" spans="1:3" x14ac:dyDescent="0.2">
      <c r="A191" s="92" t="s">
        <v>52</v>
      </c>
      <c r="B191" s="131">
        <v>10950</v>
      </c>
      <c r="C191" s="52" t="s">
        <v>53</v>
      </c>
    </row>
    <row r="192" spans="1:3" x14ac:dyDescent="0.2">
      <c r="A192" s="92" t="s">
        <v>55</v>
      </c>
      <c r="B192" s="131">
        <v>240</v>
      </c>
      <c r="C192" s="52" t="s">
        <v>56</v>
      </c>
    </row>
    <row r="193" spans="1:3" x14ac:dyDescent="0.2">
      <c r="A193" s="92" t="s">
        <v>61</v>
      </c>
      <c r="B193" s="131">
        <v>0.42</v>
      </c>
      <c r="C193" s="52" t="s">
        <v>41</v>
      </c>
    </row>
    <row r="194" spans="1:3" x14ac:dyDescent="0.2">
      <c r="A194" s="92" t="s">
        <v>67</v>
      </c>
      <c r="B194" s="131">
        <v>60</v>
      </c>
      <c r="C194" s="83" t="s">
        <v>53</v>
      </c>
    </row>
    <row r="195" spans="1:3" x14ac:dyDescent="0.2">
      <c r="A195" s="92" t="s">
        <v>68</v>
      </c>
      <c r="B195" s="131">
        <v>2</v>
      </c>
      <c r="C195" s="83" t="s">
        <v>56</v>
      </c>
    </row>
    <row r="196" spans="1:3" x14ac:dyDescent="0.2">
      <c r="A196" s="92" t="s">
        <v>70</v>
      </c>
      <c r="B196" s="131">
        <v>2.6999999999999999E-5</v>
      </c>
      <c r="C196" s="52" t="s">
        <v>64</v>
      </c>
    </row>
    <row r="197" spans="1:3" x14ac:dyDescent="0.2">
      <c r="A197" s="92" t="s">
        <v>73</v>
      </c>
      <c r="B197" s="131">
        <v>1</v>
      </c>
      <c r="C197" s="52" t="s">
        <v>41</v>
      </c>
    </row>
    <row r="198" spans="1:3" x14ac:dyDescent="0.2">
      <c r="A198" s="92" t="s">
        <v>74</v>
      </c>
      <c r="B198" s="131">
        <v>14</v>
      </c>
      <c r="C198" s="52" t="s">
        <v>75</v>
      </c>
    </row>
    <row r="199" spans="1:3" x14ac:dyDescent="0.2">
      <c r="A199" s="83" t="s">
        <v>27</v>
      </c>
      <c r="B199" s="131">
        <v>92</v>
      </c>
      <c r="C199" s="83" t="s">
        <v>28</v>
      </c>
    </row>
    <row r="200" spans="1:3" x14ac:dyDescent="0.2">
      <c r="A200" s="52" t="s">
        <v>285</v>
      </c>
      <c r="B200" s="130">
        <v>1.03</v>
      </c>
      <c r="C200" s="52" t="s">
        <v>286</v>
      </c>
    </row>
    <row r="201" spans="1:3" x14ac:dyDescent="0.2">
      <c r="A201" s="83" t="s">
        <v>498</v>
      </c>
      <c r="B201" s="131">
        <v>20.3</v>
      </c>
      <c r="C201" s="52" t="s">
        <v>246</v>
      </c>
    </row>
    <row r="202" spans="1:3" x14ac:dyDescent="0.2">
      <c r="A202" s="83" t="s">
        <v>499</v>
      </c>
      <c r="B202" s="131">
        <v>0.04</v>
      </c>
      <c r="C202" s="52" t="s">
        <v>246</v>
      </c>
    </row>
    <row r="203" spans="1:3" x14ac:dyDescent="0.2">
      <c r="A203" s="83" t="s">
        <v>500</v>
      </c>
      <c r="B203" s="131">
        <v>1</v>
      </c>
    </row>
    <row r="204" spans="1:3" x14ac:dyDescent="0.2">
      <c r="A204" s="83" t="s">
        <v>501</v>
      </c>
      <c r="B204" s="131">
        <v>1</v>
      </c>
    </row>
    <row r="205" spans="1:3" x14ac:dyDescent="0.2">
      <c r="A205" s="83" t="s">
        <v>29</v>
      </c>
      <c r="B205" s="131">
        <v>53</v>
      </c>
      <c r="C205" s="83" t="s">
        <v>28</v>
      </c>
    </row>
    <row r="206" spans="1:3" x14ac:dyDescent="0.2">
      <c r="A206" s="83" t="s">
        <v>494</v>
      </c>
      <c r="B206" s="131">
        <v>11.77</v>
      </c>
      <c r="C206" s="52" t="s">
        <v>246</v>
      </c>
    </row>
    <row r="207" spans="1:3" x14ac:dyDescent="0.2">
      <c r="A207" s="83" t="s">
        <v>495</v>
      </c>
      <c r="B207" s="131">
        <v>0.5</v>
      </c>
      <c r="C207" s="52" t="s">
        <v>246</v>
      </c>
    </row>
    <row r="208" spans="1:3" x14ac:dyDescent="0.2">
      <c r="A208" s="83" t="s">
        <v>496</v>
      </c>
      <c r="B208" s="131">
        <v>1</v>
      </c>
    </row>
    <row r="209" spans="1:3" x14ac:dyDescent="0.2">
      <c r="A209" s="83" t="s">
        <v>497</v>
      </c>
      <c r="B209" s="131">
        <v>1</v>
      </c>
    </row>
    <row r="210" spans="1:3" x14ac:dyDescent="0.2">
      <c r="A210" s="83" t="s">
        <v>148</v>
      </c>
      <c r="B210" s="130">
        <v>0.4</v>
      </c>
      <c r="C210" s="83" t="s">
        <v>28</v>
      </c>
    </row>
    <row r="211" spans="1:3" x14ac:dyDescent="0.2">
      <c r="A211" s="83" t="s">
        <v>152</v>
      </c>
      <c r="B211" s="131">
        <v>0.2</v>
      </c>
      <c r="C211" s="52" t="s">
        <v>246</v>
      </c>
    </row>
    <row r="212" spans="1:3" x14ac:dyDescent="0.2">
      <c r="A212" s="83" t="s">
        <v>151</v>
      </c>
      <c r="B212" s="131">
        <v>2.1999999999999999E-2</v>
      </c>
      <c r="C212" s="52" t="s">
        <v>246</v>
      </c>
    </row>
    <row r="213" spans="1:3" x14ac:dyDescent="0.2">
      <c r="A213" s="83" t="s">
        <v>153</v>
      </c>
      <c r="B213" s="130">
        <v>1</v>
      </c>
    </row>
    <row r="214" spans="1:3" x14ac:dyDescent="0.2">
      <c r="A214" s="83" t="s">
        <v>154</v>
      </c>
      <c r="B214" s="130">
        <v>1</v>
      </c>
    </row>
    <row r="215" spans="1:3" x14ac:dyDescent="0.2">
      <c r="A215" s="83" t="s">
        <v>485</v>
      </c>
      <c r="B215" s="130">
        <v>0.4</v>
      </c>
      <c r="C215" s="83" t="s">
        <v>28</v>
      </c>
    </row>
    <row r="216" spans="1:3" x14ac:dyDescent="0.2">
      <c r="A216" s="83" t="s">
        <v>486</v>
      </c>
      <c r="B216" s="131">
        <v>0.2</v>
      </c>
      <c r="C216" s="52" t="s">
        <v>246</v>
      </c>
    </row>
    <row r="217" spans="1:3" x14ac:dyDescent="0.2">
      <c r="A217" s="83" t="s">
        <v>487</v>
      </c>
      <c r="B217" s="131">
        <v>2.1999999999999999E-2</v>
      </c>
      <c r="C217" s="52" t="s">
        <v>246</v>
      </c>
    </row>
    <row r="218" spans="1:3" x14ac:dyDescent="0.2">
      <c r="A218" s="83" t="s">
        <v>488</v>
      </c>
      <c r="B218" s="131">
        <v>1</v>
      </c>
    </row>
    <row r="219" spans="1:3" x14ac:dyDescent="0.2">
      <c r="A219" s="83" t="s">
        <v>489</v>
      </c>
      <c r="B219" s="131">
        <v>1</v>
      </c>
    </row>
    <row r="220" spans="1:3" x14ac:dyDescent="0.2">
      <c r="A220" s="83" t="s">
        <v>150</v>
      </c>
      <c r="B220" s="131">
        <v>11.4</v>
      </c>
      <c r="C220" s="83" t="s">
        <v>28</v>
      </c>
    </row>
    <row r="221" spans="1:3" x14ac:dyDescent="0.2">
      <c r="A221" s="83" t="s">
        <v>490</v>
      </c>
      <c r="B221" s="131">
        <v>4.7</v>
      </c>
      <c r="C221" s="52" t="s">
        <v>246</v>
      </c>
    </row>
    <row r="222" spans="1:3" x14ac:dyDescent="0.2">
      <c r="A222" s="83" t="s">
        <v>491</v>
      </c>
      <c r="B222" s="131">
        <v>0.37</v>
      </c>
      <c r="C222" s="52" t="s">
        <v>246</v>
      </c>
    </row>
    <row r="223" spans="1:3" x14ac:dyDescent="0.2">
      <c r="A223" s="83" t="s">
        <v>492</v>
      </c>
      <c r="B223" s="131">
        <v>1</v>
      </c>
    </row>
    <row r="224" spans="1:3" x14ac:dyDescent="0.2">
      <c r="A224" s="83" t="s">
        <v>493</v>
      </c>
      <c r="B224" s="131">
        <v>1</v>
      </c>
    </row>
    <row r="225" spans="1:3" x14ac:dyDescent="0.2">
      <c r="A225" s="370" t="s">
        <v>311</v>
      </c>
      <c r="B225" s="370"/>
      <c r="C225" s="370"/>
    </row>
    <row r="226" spans="1:3" x14ac:dyDescent="0.2">
      <c r="A226" s="52" t="s">
        <v>504</v>
      </c>
      <c r="B226" s="130">
        <v>50</v>
      </c>
      <c r="C226" s="84" t="s">
        <v>407</v>
      </c>
    </row>
    <row r="227" spans="1:3" x14ac:dyDescent="0.2">
      <c r="A227" s="83" t="s">
        <v>316</v>
      </c>
      <c r="B227" s="130">
        <v>125</v>
      </c>
      <c r="C227" s="52" t="s">
        <v>24</v>
      </c>
    </row>
    <row r="228" spans="1:3" x14ac:dyDescent="0.2">
      <c r="A228" s="83" t="s">
        <v>422</v>
      </c>
      <c r="B228" s="131">
        <v>1</v>
      </c>
      <c r="C228" s="52" t="s">
        <v>60</v>
      </c>
    </row>
    <row r="229" spans="1:3" x14ac:dyDescent="0.2">
      <c r="A229" s="83" t="s">
        <v>317</v>
      </c>
      <c r="B229" s="130">
        <v>50</v>
      </c>
      <c r="C229" s="84" t="s">
        <v>48</v>
      </c>
    </row>
    <row r="230" spans="1:3" x14ac:dyDescent="0.2">
      <c r="A230" s="52" t="s">
        <v>318</v>
      </c>
      <c r="B230" s="131">
        <v>2</v>
      </c>
    </row>
    <row r="231" spans="1:3" x14ac:dyDescent="0.2">
      <c r="A231" s="83" t="s">
        <v>299</v>
      </c>
      <c r="B231" s="131">
        <v>1</v>
      </c>
    </row>
    <row r="232" spans="1:3" x14ac:dyDescent="0.2">
      <c r="A232" s="83" t="s">
        <v>83</v>
      </c>
      <c r="B232" s="130">
        <v>5</v>
      </c>
      <c r="C232" s="52" t="s">
        <v>194</v>
      </c>
    </row>
    <row r="233" spans="1:3" x14ac:dyDescent="0.2">
      <c r="A233" s="83" t="s">
        <v>85</v>
      </c>
      <c r="B233" s="130">
        <v>5</v>
      </c>
      <c r="C233" s="52" t="s">
        <v>194</v>
      </c>
    </row>
    <row r="234" spans="1:3" x14ac:dyDescent="0.2">
      <c r="A234" s="83" t="s">
        <v>88</v>
      </c>
      <c r="B234" s="130">
        <v>0.4</v>
      </c>
    </row>
    <row r="235" spans="1:3" x14ac:dyDescent="0.2">
      <c r="A235" s="370" t="s">
        <v>312</v>
      </c>
      <c r="B235" s="370"/>
      <c r="C235" s="370"/>
    </row>
    <row r="236" spans="1:3" x14ac:dyDescent="0.2">
      <c r="A236" s="52" t="s">
        <v>304</v>
      </c>
      <c r="B236" s="130">
        <v>50</v>
      </c>
      <c r="C236" s="84" t="s">
        <v>407</v>
      </c>
    </row>
    <row r="237" spans="1:3" x14ac:dyDescent="0.2">
      <c r="A237" s="83" t="s">
        <v>35</v>
      </c>
      <c r="B237" s="130">
        <v>125</v>
      </c>
      <c r="C237" s="52" t="s">
        <v>24</v>
      </c>
    </row>
    <row r="238" spans="1:3" x14ac:dyDescent="0.2">
      <c r="A238" s="83" t="s">
        <v>420</v>
      </c>
      <c r="B238" s="131">
        <v>1</v>
      </c>
      <c r="C238" s="52" t="s">
        <v>60</v>
      </c>
    </row>
    <row r="239" spans="1:3" x14ac:dyDescent="0.2">
      <c r="A239" s="83" t="s">
        <v>62</v>
      </c>
      <c r="B239" s="130">
        <v>50</v>
      </c>
      <c r="C239" s="84" t="s">
        <v>48</v>
      </c>
    </row>
    <row r="240" spans="1:3" x14ac:dyDescent="0.2">
      <c r="A240" s="52" t="s">
        <v>318</v>
      </c>
      <c r="B240" s="131">
        <v>2</v>
      </c>
    </row>
    <row r="241" spans="1:3" x14ac:dyDescent="0.2">
      <c r="A241" s="83" t="s">
        <v>299</v>
      </c>
      <c r="B241" s="131">
        <v>1</v>
      </c>
    </row>
    <row r="242" spans="1:3" x14ac:dyDescent="0.2">
      <c r="A242" s="83" t="s">
        <v>83</v>
      </c>
      <c r="B242" s="130">
        <v>5</v>
      </c>
      <c r="C242" s="52" t="s">
        <v>194</v>
      </c>
    </row>
    <row r="243" spans="1:3" x14ac:dyDescent="0.2">
      <c r="A243" s="83" t="s">
        <v>85</v>
      </c>
      <c r="B243" s="130">
        <v>5</v>
      </c>
      <c r="C243" s="52" t="s">
        <v>194</v>
      </c>
    </row>
    <row r="244" spans="1:3" x14ac:dyDescent="0.2">
      <c r="A244" s="83" t="s">
        <v>88</v>
      </c>
      <c r="B244" s="130">
        <v>0.4</v>
      </c>
    </row>
    <row r="245" spans="1:3" x14ac:dyDescent="0.2">
      <c r="A245" s="370" t="s">
        <v>313</v>
      </c>
      <c r="B245" s="370"/>
      <c r="C245" s="370"/>
    </row>
    <row r="246" spans="1:3" x14ac:dyDescent="0.2">
      <c r="A246" s="52" t="s">
        <v>50</v>
      </c>
      <c r="B246" s="130">
        <v>50</v>
      </c>
      <c r="C246" s="84" t="s">
        <v>407</v>
      </c>
    </row>
    <row r="247" spans="1:3" x14ac:dyDescent="0.2">
      <c r="A247" s="83" t="s">
        <v>423</v>
      </c>
      <c r="B247" s="130">
        <v>125</v>
      </c>
      <c r="C247" s="52" t="s">
        <v>24</v>
      </c>
    </row>
    <row r="248" spans="1:3" x14ac:dyDescent="0.2">
      <c r="A248" s="83" t="s">
        <v>424</v>
      </c>
      <c r="B248" s="131">
        <v>1</v>
      </c>
      <c r="C248" s="52" t="s">
        <v>60</v>
      </c>
    </row>
    <row r="249" spans="1:3" x14ac:dyDescent="0.2">
      <c r="A249" s="83" t="s">
        <v>503</v>
      </c>
      <c r="B249" s="130">
        <v>50</v>
      </c>
      <c r="C249" s="84" t="s">
        <v>48</v>
      </c>
    </row>
    <row r="250" spans="1:3" x14ac:dyDescent="0.2">
      <c r="A250" s="52" t="s">
        <v>318</v>
      </c>
      <c r="B250" s="131">
        <v>2</v>
      </c>
    </row>
    <row r="251" spans="1:3" x14ac:dyDescent="0.2">
      <c r="A251" s="83" t="s">
        <v>299</v>
      </c>
      <c r="B251" s="131">
        <v>1</v>
      </c>
    </row>
    <row r="252" spans="1:3" x14ac:dyDescent="0.2">
      <c r="A252" s="83" t="s">
        <v>83</v>
      </c>
      <c r="B252" s="130">
        <v>5</v>
      </c>
      <c r="C252" s="52" t="s">
        <v>194</v>
      </c>
    </row>
    <row r="253" spans="1:3" x14ac:dyDescent="0.2">
      <c r="A253" s="83" t="s">
        <v>85</v>
      </c>
      <c r="B253" s="130">
        <v>5</v>
      </c>
      <c r="C253" s="52" t="s">
        <v>194</v>
      </c>
    </row>
    <row r="254" spans="1:3" x14ac:dyDescent="0.2">
      <c r="A254" s="83" t="s">
        <v>88</v>
      </c>
      <c r="B254" s="130">
        <v>0.4</v>
      </c>
    </row>
    <row r="255" spans="1:3" x14ac:dyDescent="0.2">
      <c r="A255" s="370" t="s">
        <v>314</v>
      </c>
      <c r="B255" s="370"/>
      <c r="C255" s="370"/>
    </row>
    <row r="256" spans="1:3" x14ac:dyDescent="0.2">
      <c r="A256" s="52" t="s">
        <v>348</v>
      </c>
      <c r="B256" s="130">
        <v>50</v>
      </c>
      <c r="C256" s="84" t="s">
        <v>407</v>
      </c>
    </row>
    <row r="257" spans="1:3" x14ac:dyDescent="0.2">
      <c r="A257" s="83" t="s">
        <v>191</v>
      </c>
      <c r="B257" s="130">
        <v>125</v>
      </c>
      <c r="C257" s="52" t="s">
        <v>24</v>
      </c>
    </row>
    <row r="258" spans="1:3" x14ac:dyDescent="0.2">
      <c r="A258" s="83" t="s">
        <v>158</v>
      </c>
      <c r="B258" s="131">
        <v>1</v>
      </c>
      <c r="C258" s="52" t="s">
        <v>60</v>
      </c>
    </row>
    <row r="259" spans="1:3" x14ac:dyDescent="0.2">
      <c r="A259" s="83" t="s">
        <v>502</v>
      </c>
      <c r="B259" s="130">
        <v>200</v>
      </c>
      <c r="C259" s="84" t="s">
        <v>48</v>
      </c>
    </row>
    <row r="260" spans="1:3" x14ac:dyDescent="0.2">
      <c r="A260" s="52" t="s">
        <v>318</v>
      </c>
      <c r="B260" s="131">
        <v>2</v>
      </c>
    </row>
    <row r="261" spans="1:3" x14ac:dyDescent="0.2">
      <c r="A261" s="83" t="s">
        <v>299</v>
      </c>
      <c r="B261" s="131">
        <v>1</v>
      </c>
    </row>
    <row r="262" spans="1:3" x14ac:dyDescent="0.2">
      <c r="A262" s="83" t="s">
        <v>83</v>
      </c>
      <c r="B262" s="130">
        <v>5</v>
      </c>
      <c r="C262" s="52" t="s">
        <v>194</v>
      </c>
    </row>
    <row r="263" spans="1:3" x14ac:dyDescent="0.2">
      <c r="A263" s="83" t="s">
        <v>85</v>
      </c>
      <c r="B263" s="130">
        <v>5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83" t="s">
        <v>219</v>
      </c>
      <c r="B265" s="130">
        <v>3</v>
      </c>
      <c r="C265" s="52" t="s">
        <v>112</v>
      </c>
    </row>
    <row r="266" spans="1:3" x14ac:dyDescent="0.2">
      <c r="A266" s="83" t="s">
        <v>220</v>
      </c>
      <c r="B266" s="130">
        <v>25</v>
      </c>
      <c r="C266" s="52" t="s">
        <v>113</v>
      </c>
    </row>
    <row r="267" spans="1:3" x14ac:dyDescent="0.2">
      <c r="A267" s="370" t="s">
        <v>315</v>
      </c>
      <c r="B267" s="370"/>
      <c r="C267" s="370"/>
    </row>
    <row r="268" spans="1:3" x14ac:dyDescent="0.2">
      <c r="A268" s="52" t="s">
        <v>348</v>
      </c>
      <c r="B268" s="130">
        <v>50</v>
      </c>
      <c r="C268" s="84" t="s">
        <v>407</v>
      </c>
    </row>
    <row r="269" spans="1:3" x14ac:dyDescent="0.2">
      <c r="A269" s="83" t="s">
        <v>191</v>
      </c>
      <c r="B269" s="130">
        <v>125</v>
      </c>
      <c r="C269" s="52" t="s">
        <v>24</v>
      </c>
    </row>
    <row r="270" spans="1:3" x14ac:dyDescent="0.2">
      <c r="A270" s="83" t="s">
        <v>158</v>
      </c>
      <c r="B270" s="131">
        <v>1</v>
      </c>
      <c r="C270" s="52" t="s">
        <v>60</v>
      </c>
    </row>
    <row r="271" spans="1:3" x14ac:dyDescent="0.2">
      <c r="A271" s="83" t="s">
        <v>502</v>
      </c>
      <c r="B271" s="130">
        <v>200</v>
      </c>
      <c r="C271" s="84" t="s">
        <v>48</v>
      </c>
    </row>
    <row r="272" spans="1:3" x14ac:dyDescent="0.2">
      <c r="A272" s="83" t="s">
        <v>299</v>
      </c>
      <c r="B272" s="131">
        <v>1</v>
      </c>
    </row>
    <row r="273" spans="1:3" x14ac:dyDescent="0.2">
      <c r="A273" s="83" t="s">
        <v>83</v>
      </c>
      <c r="B273" s="130">
        <v>5</v>
      </c>
      <c r="C273" s="52" t="s">
        <v>194</v>
      </c>
    </row>
    <row r="274" spans="1:3" x14ac:dyDescent="0.2">
      <c r="A274" s="83" t="s">
        <v>85</v>
      </c>
      <c r="B274" s="130">
        <v>5</v>
      </c>
      <c r="C274" s="52" t="s">
        <v>194</v>
      </c>
    </row>
    <row r="275" spans="1:3" x14ac:dyDescent="0.2">
      <c r="A275" s="83" t="s">
        <v>88</v>
      </c>
      <c r="B275" s="130">
        <v>0.4</v>
      </c>
    </row>
    <row r="276" spans="1:3" x14ac:dyDescent="0.2">
      <c r="A276" s="83" t="s">
        <v>219</v>
      </c>
      <c r="B276" s="130">
        <v>3</v>
      </c>
      <c r="C276" s="52" t="s">
        <v>112</v>
      </c>
    </row>
    <row r="277" spans="1:3" x14ac:dyDescent="0.2">
      <c r="A277" s="83" t="s">
        <v>220</v>
      </c>
      <c r="B277" s="130">
        <v>25</v>
      </c>
      <c r="C277" s="52" t="s">
        <v>113</v>
      </c>
    </row>
    <row r="278" spans="1:3" x14ac:dyDescent="0.2">
      <c r="A278" s="84" t="s">
        <v>295</v>
      </c>
      <c r="B278" s="235">
        <v>243</v>
      </c>
      <c r="C278" s="84" t="s">
        <v>296</v>
      </c>
    </row>
    <row r="279" spans="1:3" x14ac:dyDescent="0.2">
      <c r="A279" s="84" t="s">
        <v>293</v>
      </c>
      <c r="B279" s="129">
        <f>2.8*(10^(-15))</f>
        <v>2.8000000000000001E-15</v>
      </c>
      <c r="C279" s="84"/>
    </row>
    <row r="280" spans="1:3" x14ac:dyDescent="0.2">
      <c r="A280" s="83" t="s">
        <v>293</v>
      </c>
      <c r="B280" s="129">
        <v>2.7955176153748299E-12</v>
      </c>
      <c r="C280" s="84"/>
    </row>
  </sheetData>
  <mergeCells count="348">
    <mergeCell ref="CC35:CG38"/>
    <mergeCell ref="BK39:BO42"/>
    <mergeCell ref="D43:F43"/>
    <mergeCell ref="HD21:HF21"/>
    <mergeCell ref="V23:X23"/>
    <mergeCell ref="Y23:AA23"/>
    <mergeCell ref="D30:F30"/>
    <mergeCell ref="BJ21:BJ23"/>
    <mergeCell ref="BK21:BK23"/>
    <mergeCell ref="BL21:BL23"/>
    <mergeCell ref="BM21:BM23"/>
    <mergeCell ref="BN21:BN23"/>
    <mergeCell ref="BB21:BB23"/>
    <mergeCell ref="BC21:BC23"/>
    <mergeCell ref="BD21:BD23"/>
    <mergeCell ref="BE21:BE23"/>
    <mergeCell ref="BF21:BF23"/>
    <mergeCell ref="AT21:AT23"/>
    <mergeCell ref="AU21:AU23"/>
    <mergeCell ref="AV21:AV23"/>
    <mergeCell ref="AW21:AW23"/>
    <mergeCell ref="BA21:BA23"/>
    <mergeCell ref="CR20:CR22"/>
    <mergeCell ref="CS20:CS22"/>
    <mergeCell ref="M21:M23"/>
    <mergeCell ref="N21:N23"/>
    <mergeCell ref="BM20:BO20"/>
    <mergeCell ref="CK20:CK22"/>
    <mergeCell ref="CL20:CL22"/>
    <mergeCell ref="CB19:CB21"/>
    <mergeCell ref="CC19:CC21"/>
    <mergeCell ref="CD19:CD21"/>
    <mergeCell ref="CE19:CE21"/>
    <mergeCell ref="CF19:CF21"/>
    <mergeCell ref="O21:O23"/>
    <mergeCell ref="P21:P23"/>
    <mergeCell ref="Q21:Q23"/>
    <mergeCell ref="R21:R23"/>
    <mergeCell ref="AI21:AI23"/>
    <mergeCell ref="AJ21:AJ23"/>
    <mergeCell ref="AK21:AK23"/>
    <mergeCell ref="AL21:AL23"/>
    <mergeCell ref="AM21:AM23"/>
    <mergeCell ref="BO21:BO23"/>
    <mergeCell ref="AI20:AK20"/>
    <mergeCell ref="AL20:AN20"/>
    <mergeCell ref="AR20:AT20"/>
    <mergeCell ref="AU20:AW20"/>
    <mergeCell ref="CM20:CM22"/>
    <mergeCell ref="CN20:CN22"/>
    <mergeCell ref="CO20:CO22"/>
    <mergeCell ref="CP20:CP22"/>
    <mergeCell ref="CQ20:CQ22"/>
    <mergeCell ref="CG19:CG21"/>
    <mergeCell ref="CK19:CM19"/>
    <mergeCell ref="CN19:CP19"/>
    <mergeCell ref="CQ19:CS19"/>
    <mergeCell ref="BA20:BC20"/>
    <mergeCell ref="BD20:BF20"/>
    <mergeCell ref="BJ20:BL20"/>
    <mergeCell ref="AN21:AN23"/>
    <mergeCell ref="AR21:AR23"/>
    <mergeCell ref="AS21:AS23"/>
    <mergeCell ref="HC2:HC4"/>
    <mergeCell ref="A5:C5"/>
    <mergeCell ref="A14:C16"/>
    <mergeCell ref="CB18:CD18"/>
    <mergeCell ref="CE18:CG18"/>
    <mergeCell ref="GX2:GX4"/>
    <mergeCell ref="GY2:GY4"/>
    <mergeCell ref="GZ2:GZ4"/>
    <mergeCell ref="HA2:HA4"/>
    <mergeCell ref="HB2:HB4"/>
    <mergeCell ref="GS2:GS4"/>
    <mergeCell ref="GT2:GT4"/>
    <mergeCell ref="GU2:GU4"/>
    <mergeCell ref="GV2:GV4"/>
    <mergeCell ref="GW2:GW4"/>
    <mergeCell ref="GN2:GN4"/>
    <mergeCell ref="GO2:GO4"/>
    <mergeCell ref="GP2:GP4"/>
    <mergeCell ref="GQ2:GQ4"/>
    <mergeCell ref="GR2:GR4"/>
    <mergeCell ref="GI2:GI4"/>
    <mergeCell ref="GJ2:GJ4"/>
    <mergeCell ref="GK2:GK4"/>
    <mergeCell ref="GL2:GL4"/>
    <mergeCell ref="GM2:GM4"/>
    <mergeCell ref="GD2:GD4"/>
    <mergeCell ref="GE2:GE4"/>
    <mergeCell ref="GF2:GF4"/>
    <mergeCell ref="GG2:GG4"/>
    <mergeCell ref="GH2:GH4"/>
    <mergeCell ref="FY2:FY4"/>
    <mergeCell ref="FZ2:FZ4"/>
    <mergeCell ref="GA2:GA4"/>
    <mergeCell ref="GB2:GB4"/>
    <mergeCell ref="GC2:GC4"/>
    <mergeCell ref="FT2:FT4"/>
    <mergeCell ref="FU2:FU4"/>
    <mergeCell ref="FV2:FV4"/>
    <mergeCell ref="FW2:FW4"/>
    <mergeCell ref="FX2:FX4"/>
    <mergeCell ref="FO2:FO4"/>
    <mergeCell ref="FP2:FP4"/>
    <mergeCell ref="FQ2:FQ4"/>
    <mergeCell ref="FR2:FR4"/>
    <mergeCell ref="FS2:FS4"/>
    <mergeCell ref="FJ2:FJ4"/>
    <mergeCell ref="FK2:FK4"/>
    <mergeCell ref="FL2:FL4"/>
    <mergeCell ref="FM2:FM4"/>
    <mergeCell ref="FN2:FN4"/>
    <mergeCell ref="FE2:FE4"/>
    <mergeCell ref="FF2:FF4"/>
    <mergeCell ref="FG2:FG4"/>
    <mergeCell ref="FH2:FH4"/>
    <mergeCell ref="FI2:FI4"/>
    <mergeCell ref="EZ2:EZ4"/>
    <mergeCell ref="FA2:FA4"/>
    <mergeCell ref="FB2:FB4"/>
    <mergeCell ref="FC2:FC4"/>
    <mergeCell ref="FD2:FD4"/>
    <mergeCell ref="EU2:EU4"/>
    <mergeCell ref="EV2:EV4"/>
    <mergeCell ref="EW2:EW4"/>
    <mergeCell ref="EX2:EX4"/>
    <mergeCell ref="EY2:EY4"/>
    <mergeCell ref="EP2:EP4"/>
    <mergeCell ref="EQ2:EQ4"/>
    <mergeCell ref="ER2:ER4"/>
    <mergeCell ref="ES2:ES4"/>
    <mergeCell ref="ET2:ET4"/>
    <mergeCell ref="EK2:EK4"/>
    <mergeCell ref="EL2:EL4"/>
    <mergeCell ref="EM2:EM4"/>
    <mergeCell ref="EN2:EN4"/>
    <mergeCell ref="EO2:EO4"/>
    <mergeCell ref="EF2:EF4"/>
    <mergeCell ref="EG2:EG4"/>
    <mergeCell ref="EH2:EH4"/>
    <mergeCell ref="EI2:EI4"/>
    <mergeCell ref="EJ2:EJ4"/>
    <mergeCell ref="EA2:EA4"/>
    <mergeCell ref="EB2:EB4"/>
    <mergeCell ref="EC2:EC4"/>
    <mergeCell ref="ED2:ED4"/>
    <mergeCell ref="EE2:EE4"/>
    <mergeCell ref="DV2:DV4"/>
    <mergeCell ref="DW2:DW4"/>
    <mergeCell ref="DX2:DX4"/>
    <mergeCell ref="DY2:DY4"/>
    <mergeCell ref="DZ2:DZ4"/>
    <mergeCell ref="DQ2:DQ4"/>
    <mergeCell ref="DR2:DR4"/>
    <mergeCell ref="DS2:DS4"/>
    <mergeCell ref="DT2:DT4"/>
    <mergeCell ref="DU2:DU4"/>
    <mergeCell ref="DL2:DL4"/>
    <mergeCell ref="DM2:DM4"/>
    <mergeCell ref="DN2:DN4"/>
    <mergeCell ref="DO2:DO4"/>
    <mergeCell ref="DP2:DP4"/>
    <mergeCell ref="DG2:DG4"/>
    <mergeCell ref="DH2:DH4"/>
    <mergeCell ref="DI2:DI4"/>
    <mergeCell ref="DJ2:DJ4"/>
    <mergeCell ref="DK2:DK4"/>
    <mergeCell ref="DB2:DB4"/>
    <mergeCell ref="DC2:DC4"/>
    <mergeCell ref="DD2:DD4"/>
    <mergeCell ref="DE2:DE4"/>
    <mergeCell ref="DF2:DF4"/>
    <mergeCell ref="CT2:CT4"/>
    <mergeCell ref="CU2:CU4"/>
    <mergeCell ref="CV2:CV4"/>
    <mergeCell ref="CZ2:CZ4"/>
    <mergeCell ref="DA2:DA4"/>
    <mergeCell ref="CO2:CO4"/>
    <mergeCell ref="CP2:CP4"/>
    <mergeCell ref="CQ2:CQ4"/>
    <mergeCell ref="CR2:CR4"/>
    <mergeCell ref="CS2:CS4"/>
    <mergeCell ref="CJ2:CJ4"/>
    <mergeCell ref="CK2:CK4"/>
    <mergeCell ref="CL2:CL4"/>
    <mergeCell ref="CM2:CM4"/>
    <mergeCell ref="CN2:CN4"/>
    <mergeCell ref="CE2:CE4"/>
    <mergeCell ref="CF2:CF4"/>
    <mergeCell ref="CG2:CG4"/>
    <mergeCell ref="CH2:CH4"/>
    <mergeCell ref="CI2:CI4"/>
    <mergeCell ref="BZ2:BZ4"/>
    <mergeCell ref="CA2:CA4"/>
    <mergeCell ref="CB2:CB4"/>
    <mergeCell ref="CC2:CC4"/>
    <mergeCell ref="CD2:CD4"/>
    <mergeCell ref="BV2:BV4"/>
    <mergeCell ref="BW2:BW4"/>
    <mergeCell ref="BX2:BX4"/>
    <mergeCell ref="BY2:BY4"/>
    <mergeCell ref="BR2:BR4"/>
    <mergeCell ref="BA2:BA4"/>
    <mergeCell ref="BB2:BB4"/>
    <mergeCell ref="AS2:AS4"/>
    <mergeCell ref="AT2:AT4"/>
    <mergeCell ref="AU2:AU4"/>
    <mergeCell ref="AV2:AV4"/>
    <mergeCell ref="AW2:AW4"/>
    <mergeCell ref="BH2:BH4"/>
    <mergeCell ref="BI2:BI4"/>
    <mergeCell ref="BM2:BM4"/>
    <mergeCell ref="BN2:BN4"/>
    <mergeCell ref="BO2:BO4"/>
    <mergeCell ref="BP2:BP4"/>
    <mergeCell ref="BQ2:BQ4"/>
    <mergeCell ref="BJ2:BJ4"/>
    <mergeCell ref="BK2:BK4"/>
    <mergeCell ref="BL2:BL4"/>
    <mergeCell ref="BC2:BC4"/>
    <mergeCell ref="BD2:BD4"/>
    <mergeCell ref="BE2:BE4"/>
    <mergeCell ref="BF2:BF4"/>
    <mergeCell ref="BG2:BG4"/>
    <mergeCell ref="AR2:AR4"/>
    <mergeCell ref="AI2:AI4"/>
    <mergeCell ref="AJ2:AJ4"/>
    <mergeCell ref="AK2:AK4"/>
    <mergeCell ref="AL2:AL4"/>
    <mergeCell ref="AM2:AM4"/>
    <mergeCell ref="AX2:AX4"/>
    <mergeCell ref="AY2:AY4"/>
    <mergeCell ref="AZ2:AZ4"/>
    <mergeCell ref="GU1:GW1"/>
    <mergeCell ref="GX1:GZ1"/>
    <mergeCell ref="HA1:HC1"/>
    <mergeCell ref="HD1:HF1"/>
    <mergeCell ref="A2:C2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GF1:GH1"/>
    <mergeCell ref="GI1:GK1"/>
    <mergeCell ref="GL1:GN1"/>
    <mergeCell ref="GO1:GQ1"/>
    <mergeCell ref="GR1:GT1"/>
    <mergeCell ref="FQ1:FS1"/>
    <mergeCell ref="FT1:FV1"/>
    <mergeCell ref="FW1:FX1"/>
    <mergeCell ref="FZ1:GB1"/>
    <mergeCell ref="GC1:GE1"/>
    <mergeCell ref="FB1:FD1"/>
    <mergeCell ref="FE1:FG1"/>
    <mergeCell ref="FH1:FJ1"/>
    <mergeCell ref="FK1:FM1"/>
    <mergeCell ref="FN1:FP1"/>
    <mergeCell ref="EM1:EO1"/>
    <mergeCell ref="EP1:ER1"/>
    <mergeCell ref="ES1:EU1"/>
    <mergeCell ref="EV1:EX1"/>
    <mergeCell ref="EY1:FA1"/>
    <mergeCell ref="DX1:DZ1"/>
    <mergeCell ref="EA1:EC1"/>
    <mergeCell ref="ED1:EF1"/>
    <mergeCell ref="EG1:EI1"/>
    <mergeCell ref="EJ1:EL1"/>
    <mergeCell ref="DI1:DK1"/>
    <mergeCell ref="DL1:DN1"/>
    <mergeCell ref="DO1:DQ1"/>
    <mergeCell ref="DR1:DT1"/>
    <mergeCell ref="DU1:DW1"/>
    <mergeCell ref="CT1:CV1"/>
    <mergeCell ref="CW1:CY1"/>
    <mergeCell ref="CZ1:DB1"/>
    <mergeCell ref="DC1:DE1"/>
    <mergeCell ref="DF1:DH1"/>
    <mergeCell ref="CE1:CG1"/>
    <mergeCell ref="CH1:CJ1"/>
    <mergeCell ref="CK1:CM1"/>
    <mergeCell ref="CN1:CP1"/>
    <mergeCell ref="CQ1:CS1"/>
    <mergeCell ref="BP1:BR1"/>
    <mergeCell ref="BS1:BU1"/>
    <mergeCell ref="BV1:BX1"/>
    <mergeCell ref="BY1:CA1"/>
    <mergeCell ref="CB1:CD1"/>
    <mergeCell ref="BA1:BC1"/>
    <mergeCell ref="BD1:BF1"/>
    <mergeCell ref="BG1:BI1"/>
    <mergeCell ref="BJ1:BL1"/>
    <mergeCell ref="BM1:BO1"/>
    <mergeCell ref="AL1:AN1"/>
    <mergeCell ref="AO1:AQ1"/>
    <mergeCell ref="AR1:AT1"/>
    <mergeCell ref="AU1:AW1"/>
    <mergeCell ref="AX1:AZ1"/>
    <mergeCell ref="A102:C102"/>
    <mergeCell ref="A140:C140"/>
    <mergeCell ref="A225:C225"/>
    <mergeCell ref="A235:C235"/>
    <mergeCell ref="AI1:AK1"/>
    <mergeCell ref="AD2:AD4"/>
    <mergeCell ref="AE2:AE4"/>
    <mergeCell ref="AF2:AF4"/>
    <mergeCell ref="AG2:AG4"/>
    <mergeCell ref="AH2:AH4"/>
    <mergeCell ref="R2:R4"/>
    <mergeCell ref="S2:S4"/>
    <mergeCell ref="T2:T4"/>
    <mergeCell ref="U2:U4"/>
    <mergeCell ref="AC2:AC4"/>
    <mergeCell ref="AN2:AN4"/>
    <mergeCell ref="AO2:AO4"/>
    <mergeCell ref="AP2:AP4"/>
    <mergeCell ref="AQ2:AQ4"/>
    <mergeCell ref="A245:C245"/>
    <mergeCell ref="A255:C255"/>
    <mergeCell ref="A267:C267"/>
    <mergeCell ref="A1:C1"/>
    <mergeCell ref="AE38:AG40"/>
    <mergeCell ref="D1:F1"/>
    <mergeCell ref="G1:I1"/>
    <mergeCell ref="J1:L1"/>
    <mergeCell ref="M1:O1"/>
    <mergeCell ref="P1:R1"/>
    <mergeCell ref="S1:U1"/>
    <mergeCell ref="V1:X1"/>
    <mergeCell ref="Y1:AA1"/>
    <mergeCell ref="AB1:AB4"/>
    <mergeCell ref="M20:O20"/>
    <mergeCell ref="P20:R20"/>
    <mergeCell ref="D44:D45"/>
    <mergeCell ref="E44:E45"/>
    <mergeCell ref="F44:F45"/>
    <mergeCell ref="A49:C49"/>
    <mergeCell ref="A91:C91"/>
    <mergeCell ref="D31:D32"/>
    <mergeCell ref="E31:E32"/>
    <mergeCell ref="F31:F3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80"/>
  <sheetViews>
    <sheetView zoomScale="80" zoomScaleNormal="80" workbookViewId="0">
      <selection activeCell="B21" sqref="B21"/>
    </sheetView>
  </sheetViews>
  <sheetFormatPr defaultRowHeight="12.75" x14ac:dyDescent="0.2"/>
  <cols>
    <col min="1" max="1" width="15" style="52" bestFit="1" customWidth="1"/>
    <col min="2" max="2" width="9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28515625" style="52" bestFit="1" customWidth="1"/>
    <col min="79" max="79" width="18.85546875" style="52" bestFit="1" customWidth="1"/>
    <col min="80" max="80" width="11" style="52" bestFit="1" customWidth="1"/>
    <col min="81" max="81" width="9.28515625" style="52" bestFit="1" customWidth="1"/>
    <col min="82" max="82" width="20.28515625" style="52" bestFit="1" customWidth="1"/>
    <col min="83" max="83" width="12.42578125" style="52" bestFit="1" customWidth="1"/>
    <col min="84" max="84" width="9.28515625" style="52" bestFit="1" customWidth="1"/>
    <col min="85" max="85" width="20.28515625" style="52" bestFit="1" customWidth="1"/>
    <col min="86" max="86" width="13.5703125" style="52" bestFit="1" customWidth="1"/>
    <col min="87" max="87" width="9.2851562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6.285156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9.28515625" style="52" bestFit="1" customWidth="1"/>
    <col min="142" max="142" width="7" style="52" bestFit="1" customWidth="1"/>
    <col min="143" max="143" width="12" style="52" bestFit="1" customWidth="1"/>
    <col min="144" max="144" width="9.28515625" style="52" bestFit="1" customWidth="1"/>
    <col min="145" max="145" width="7" style="52" bestFit="1" customWidth="1"/>
    <col min="146" max="146" width="12" style="52" bestFit="1" customWidth="1"/>
    <col min="147" max="147" width="9.28515625" style="52" bestFit="1" customWidth="1"/>
    <col min="148" max="148" width="7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7" style="52" bestFit="1" customWidth="1"/>
    <col min="158" max="158" width="12" style="52" bestFit="1" customWidth="1"/>
    <col min="159" max="159" width="9.28515625" style="52" bestFit="1" customWidth="1"/>
    <col min="160" max="160" width="7" style="52" bestFit="1" customWidth="1"/>
    <col min="161" max="161" width="12" style="52" bestFit="1" customWidth="1"/>
    <col min="162" max="162" width="9.28515625" style="52" bestFit="1" customWidth="1"/>
    <col min="163" max="163" width="7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6.285156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9.28515625" style="52" bestFit="1" customWidth="1"/>
    <col min="187" max="187" width="7" style="52" bestFit="1" customWidth="1"/>
    <col min="188" max="188" width="12" style="52" bestFit="1" customWidth="1"/>
    <col min="189" max="189" width="9.28515625" style="52" bestFit="1" customWidth="1"/>
    <col min="190" max="190" width="7" style="52" bestFit="1" customWidth="1"/>
    <col min="191" max="191" width="12" style="52" bestFit="1" customWidth="1"/>
    <col min="192" max="192" width="9.28515625" style="52" bestFit="1" customWidth="1"/>
    <col min="193" max="193" width="7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7" style="52" bestFit="1" customWidth="1"/>
    <col min="203" max="203" width="12" style="52" bestFit="1" customWidth="1"/>
    <col min="204" max="204" width="9.28515625" style="52" bestFit="1" customWidth="1"/>
    <col min="205" max="205" width="7" style="52" bestFit="1" customWidth="1"/>
    <col min="206" max="206" width="12" style="52" bestFit="1" customWidth="1"/>
    <col min="207" max="207" width="9.28515625" style="52" bestFit="1" customWidth="1"/>
    <col min="208" max="208" width="7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9.28515625" style="52" bestFit="1" customWidth="1"/>
    <col min="214" max="214" width="22.42578125" style="52" bestFit="1" customWidth="1"/>
    <col min="215" max="16384" width="9.140625" style="52"/>
  </cols>
  <sheetData>
    <row r="1" spans="1:214" ht="21.75" thickTop="1" thickBot="1" x14ac:dyDescent="0.25">
      <c r="A1" s="649" t="s">
        <v>8</v>
      </c>
      <c r="B1" s="650"/>
      <c r="C1" s="651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565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296" t="s">
        <v>557</v>
      </c>
      <c r="AJ1" s="294"/>
      <c r="AK1" s="297"/>
      <c r="AL1" s="293" t="s">
        <v>546</v>
      </c>
      <c r="AM1" s="294"/>
      <c r="AN1" s="297"/>
      <c r="AO1" s="293" t="s">
        <v>547</v>
      </c>
      <c r="AP1" s="294"/>
      <c r="AQ1" s="295"/>
      <c r="AR1" s="296" t="s">
        <v>559</v>
      </c>
      <c r="AS1" s="294"/>
      <c r="AT1" s="297"/>
      <c r="AU1" s="293" t="s">
        <v>548</v>
      </c>
      <c r="AV1" s="294"/>
      <c r="AW1" s="297"/>
      <c r="AX1" s="293" t="s">
        <v>549</v>
      </c>
      <c r="AY1" s="294"/>
      <c r="AZ1" s="295"/>
      <c r="BA1" s="296" t="s">
        <v>561</v>
      </c>
      <c r="BB1" s="294"/>
      <c r="BC1" s="297"/>
      <c r="BD1" s="293" t="s">
        <v>551</v>
      </c>
      <c r="BE1" s="294"/>
      <c r="BF1" s="297"/>
      <c r="BG1" s="293" t="s">
        <v>552</v>
      </c>
      <c r="BH1" s="294"/>
      <c r="BI1" s="295"/>
      <c r="BJ1" s="296" t="s">
        <v>564</v>
      </c>
      <c r="BK1" s="294"/>
      <c r="BL1" s="297"/>
      <c r="BM1" s="293" t="s">
        <v>554</v>
      </c>
      <c r="BN1" s="294"/>
      <c r="BO1" s="297"/>
      <c r="BP1" s="293" t="s">
        <v>555</v>
      </c>
      <c r="BQ1" s="294"/>
      <c r="BR1" s="295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274" t="s">
        <v>569</v>
      </c>
      <c r="CC1" s="270"/>
      <c r="CD1" s="270"/>
      <c r="CE1" s="271" t="s">
        <v>570</v>
      </c>
      <c r="CF1" s="270"/>
      <c r="CG1" s="272"/>
      <c r="CH1" s="270" t="s">
        <v>571</v>
      </c>
      <c r="CI1" s="270"/>
      <c r="CJ1" s="273"/>
      <c r="CK1" s="270" t="s">
        <v>575</v>
      </c>
      <c r="CL1" s="270"/>
      <c r="CM1" s="270"/>
      <c r="CN1" s="271" t="s">
        <v>575</v>
      </c>
      <c r="CO1" s="270"/>
      <c r="CP1" s="272"/>
      <c r="CQ1" s="270" t="s">
        <v>575</v>
      </c>
      <c r="CR1" s="270"/>
      <c r="CS1" s="273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4.25" thickTop="1" thickBot="1" x14ac:dyDescent="0.25">
      <c r="A2" s="681" t="s">
        <v>240</v>
      </c>
      <c r="B2" s="682"/>
      <c r="C2" s="683"/>
      <c r="D2" s="193"/>
      <c r="E2" s="194"/>
      <c r="F2" s="194"/>
      <c r="G2" s="363" t="s">
        <v>531</v>
      </c>
      <c r="H2" s="360">
        <f>1/((1/H10)+(1/H12)+(1/H13))</f>
        <v>5.5803292424321579E-17</v>
      </c>
      <c r="I2" s="625" t="s">
        <v>13</v>
      </c>
      <c r="J2" s="622" t="s">
        <v>531</v>
      </c>
      <c r="K2" s="360">
        <f>1/((1/K14)+(1/K15)+(1/K16)+(1/K17))</f>
        <v>2.1992355547597653E-15</v>
      </c>
      <c r="L2" s="345" t="s">
        <v>12</v>
      </c>
      <c r="M2" s="330" t="s">
        <v>537</v>
      </c>
      <c r="N2" s="333">
        <f>((N5*N6*N7)/((1-EXP(-N7*N6))*N15*N13*(N9/365)*(((N14/24)*N12)+((N16/24)*N11))))*N17*N18*N8</f>
        <v>1.0987114423081106E-8</v>
      </c>
      <c r="O2" s="336" t="s">
        <v>12</v>
      </c>
      <c r="P2" s="339" t="s">
        <v>537</v>
      </c>
      <c r="Q2" s="333">
        <f>((Q5*Q6*Q7)/((1-EXP(-Q7*Q6))*Q15*Q13*(Q9/365)*(((Q14/24)*Q12)+((Q16/24)*Q11))))*Q17*Q18*Q8</f>
        <v>6.3310575272581433E-8</v>
      </c>
      <c r="R2" s="336" t="s">
        <v>12</v>
      </c>
      <c r="S2" s="339" t="s">
        <v>537</v>
      </c>
      <c r="T2" s="333">
        <f>((T5*T6*T7)/((1-EXP(-T7*T6))*T15*T13*(T9/365)*(((T14/24)*T12)+((T16/24)*T11))))*T17*T18*T8</f>
        <v>1.2492468550687116E-8</v>
      </c>
      <c r="U2" s="342" t="s">
        <v>12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4.8575645359951158E-7</v>
      </c>
      <c r="AD2" s="315">
        <f>1/((1/AD29)+(1/AD30)+(1/AD31))</f>
        <v>4.1854244605260426E-8</v>
      </c>
      <c r="AE2" s="315">
        <f>1/((1/AE29)+(1/AE30)+(1/AE31))</f>
        <v>4.8575645359951158E-7</v>
      </c>
      <c r="AF2" s="315">
        <f>1/((1/AF29)+(1/AF30)+(1/AF31))</f>
        <v>1.1168758583357015E-6</v>
      </c>
      <c r="AG2" s="320">
        <f>1/((1/AG29)+(1/AG31)+(1/AG30))</f>
        <v>7.2436662592476289E-7</v>
      </c>
      <c r="AH2" s="318" t="s">
        <v>12</v>
      </c>
      <c r="AI2" s="306" t="s">
        <v>537</v>
      </c>
      <c r="AJ2" s="303">
        <f>((AJ5*AJ6*AJ7)/((1-EXP(-AJ7*AJ6))*AJ15*(AJ9/365)*AJ10*(AJ16/24)*AJ11*AJ13))*AJ17*AJ18*AJ8</f>
        <v>6.7044690663371683E-8</v>
      </c>
      <c r="AK2" s="290" t="s">
        <v>12</v>
      </c>
      <c r="AL2" s="287" t="s">
        <v>537</v>
      </c>
      <c r="AM2" s="303">
        <f>((AM5*AM6*AM7)/((1-EXP(-AM7*AM6))*AM15*(AM9/365)*AM10*(AM16/24)*AM11*AM13))*AM17*AM18*AM8</f>
        <v>3.8315306912665192E-7</v>
      </c>
      <c r="AN2" s="290" t="s">
        <v>12</v>
      </c>
      <c r="AO2" s="287" t="s">
        <v>537</v>
      </c>
      <c r="AP2" s="303">
        <f>((AP5*AP6*AP7)/((1-EXP(-AP7*AP6))*AP15*(AP9/365)*AP10*(AP16/24)*AP11*AP13))*AP17*AP18*AP8</f>
        <v>7.6040156971806388E-8</v>
      </c>
      <c r="AQ2" s="281" t="s">
        <v>12</v>
      </c>
      <c r="AR2" s="306" t="s">
        <v>537</v>
      </c>
      <c r="AS2" s="303">
        <f>((AS5*AS6*AS7)/((1-EXP(-AS7*AS6))*AS15*(AS9/365)*AS10*(AS14/24)*AS12*AS13))*AS17*AS18*AS8</f>
        <v>7.878342028598318E-7</v>
      </c>
      <c r="AT2" s="290" t="s">
        <v>12</v>
      </c>
      <c r="AU2" s="287" t="s">
        <v>537</v>
      </c>
      <c r="AV2" s="303">
        <f>((AV5*AV6*AV7)/((1-EXP(-AV7*AV6))*AV15*(AV9/365)*AV10*(AV14/24)*AV12*AV13))*AV17*AV18*AV8</f>
        <v>8.848800672670943E-6</v>
      </c>
      <c r="AW2" s="290" t="s">
        <v>12</v>
      </c>
      <c r="AX2" s="287" t="s">
        <v>537</v>
      </c>
      <c r="AY2" s="303">
        <f>((AY5*AY6*AY7)/((1-EXP(-AY7*AY6))*AY15*(AY9/365)*AY10*(AY14/24)*AY12*AY13))*AY17*AY18*AY8</f>
        <v>1.0502784112127955E-6</v>
      </c>
      <c r="AZ2" s="281" t="s">
        <v>12</v>
      </c>
      <c r="BA2" s="306" t="s">
        <v>537</v>
      </c>
      <c r="BB2" s="303">
        <f>((BB5*BB6*BB7)/((1-EXP(-BB7*BB6))*BB15*(BB9/365)*(BB14/24)*BB12*BB13))*BB17*BB18*BB8</f>
        <v>7.878342028598318E-7</v>
      </c>
      <c r="BC2" s="290" t="s">
        <v>12</v>
      </c>
      <c r="BD2" s="287" t="s">
        <v>537</v>
      </c>
      <c r="BE2" s="303">
        <f>((BE5*BE6*BE7)/((1-EXP(-BE7*BE6))*BE15*(BE9/365)*(BE14/24)*BE12*BE13))*BE17*BE18*BE8</f>
        <v>8.848800672670943E-6</v>
      </c>
      <c r="BF2" s="290" t="s">
        <v>12</v>
      </c>
      <c r="BG2" s="287" t="s">
        <v>537</v>
      </c>
      <c r="BH2" s="303">
        <f>((BH5*BH6*BH7)/((1-EXP(-BH7*BH6))*BH15*(BH9/365)*(BH14/24)*BH12*BH13))*BH17*BH18*BH8</f>
        <v>1.0502784112127955E-6</v>
      </c>
      <c r="BI2" s="281" t="s">
        <v>12</v>
      </c>
      <c r="BJ2" s="306" t="s">
        <v>537</v>
      </c>
      <c r="BK2" s="284">
        <f>((BK5*BK6*BK7)/((1-EXP(-BK7*BK6))*BK16*(BK9/365)*(BK15/24)*BK13*BK14))*BK17*BK18*BK8</f>
        <v>1.3130570047663862E-6</v>
      </c>
      <c r="BL2" s="290" t="s">
        <v>12</v>
      </c>
      <c r="BM2" s="287" t="s">
        <v>537</v>
      </c>
      <c r="BN2" s="284">
        <f>((BN5*BN6*BN7)/((1-EXP(-BN7*BN6))*BN16*(BN9/365)*(BN15/24)*BN13*BN14))*BN17*BN18*BN8</f>
        <v>1.4748001121118243E-5</v>
      </c>
      <c r="BO2" s="290" t="s">
        <v>12</v>
      </c>
      <c r="BP2" s="287" t="s">
        <v>537</v>
      </c>
      <c r="BQ2" s="284">
        <f>((BQ5*BQ6*BQ7)/((1-EXP(-BQ7*BQ6))*BQ16*(BQ9/365)*(BQ15/24)*BQ13*BQ14))*BQ17*BQ18*BQ8</f>
        <v>1.7504640186879921E-6</v>
      </c>
      <c r="BR2" s="281" t="s">
        <v>12</v>
      </c>
      <c r="BS2" s="214"/>
      <c r="BT2" s="120"/>
      <c r="BU2" s="215"/>
      <c r="BV2" s="258" t="s">
        <v>531</v>
      </c>
      <c r="BW2" s="261">
        <f>1/((1/BW10)+(1/BW12))</f>
        <v>6.4127002066921045E-12</v>
      </c>
      <c r="BX2" s="278" t="s">
        <v>13</v>
      </c>
      <c r="BY2" s="258" t="s">
        <v>531</v>
      </c>
      <c r="BZ2" s="261">
        <f>1/((1/BZ13)+(1/BZ14)+(1/BZ15))</f>
        <v>1.7447568500149099E-6</v>
      </c>
      <c r="CA2" s="264" t="s">
        <v>12</v>
      </c>
      <c r="CB2" s="267" t="s">
        <v>537</v>
      </c>
      <c r="CC2" s="261">
        <f>((CC5*CC6*CC7)/((1-EXP(-CC7*CC6))*CC14*(CC9/365)*CC12*(CC13/24)*CC11))*CC15*CC16*CC8</f>
        <v>1.7905322792268904E-6</v>
      </c>
      <c r="CD2" s="278" t="s">
        <v>12</v>
      </c>
      <c r="CE2" s="258" t="s">
        <v>537</v>
      </c>
      <c r="CF2" s="261">
        <f>((CF5*CF6*CF7)/((1-EXP(-CF7*CF6))*CF14*(CF9/365)*CF12*(CF13/24)*CF11))*CF15*CF16*CF8</f>
        <v>2.011091061970669E-5</v>
      </c>
      <c r="CG2" s="278" t="s">
        <v>12</v>
      </c>
      <c r="CH2" s="258" t="s">
        <v>537</v>
      </c>
      <c r="CI2" s="261">
        <f>((CI5*CI6*CI7)/((1-EXP(-CI7*CI6))*CI14*(CI9/365)*CI12*(CI13/24)*CI11))*CI15*CI16*CI8</f>
        <v>2.3869963891199899E-6</v>
      </c>
      <c r="CJ2" s="264" t="s">
        <v>12</v>
      </c>
      <c r="CK2" s="267" t="s">
        <v>530</v>
      </c>
      <c r="CL2" s="261">
        <f>(CL5/(CL6*CL7*CL8))*CL9*CL10*CO16</f>
        <v>1.3832153642778274E-6</v>
      </c>
      <c r="CM2" s="255" t="s">
        <v>12</v>
      </c>
      <c r="CN2" s="258" t="s">
        <v>7</v>
      </c>
      <c r="CO2" s="261">
        <f>(CL2/(CO5*((CO10*CO12*CO13*(CO6+CO7))+(CO11*CO12))))*CO17</f>
        <v>8.3152892813580065E-8</v>
      </c>
      <c r="CP2" s="278" t="s">
        <v>12</v>
      </c>
      <c r="CQ2" s="275" t="s">
        <v>6</v>
      </c>
      <c r="CR2" s="261">
        <f>CL2/(CR5*CR6*(1/CR7))</f>
        <v>2.5615099338478282E-4</v>
      </c>
      <c r="CS2" s="264" t="s">
        <v>12</v>
      </c>
      <c r="CT2" s="395" t="s">
        <v>531</v>
      </c>
      <c r="CU2" s="392">
        <f>1/((1/CU14)+(1/CU15)+(1/CU16)+(1/CU17))</f>
        <v>2.3314849732146506E-8</v>
      </c>
      <c r="CV2" s="389" t="s">
        <v>12</v>
      </c>
      <c r="CW2" s="218"/>
      <c r="CX2" s="219"/>
      <c r="CY2" s="219"/>
      <c r="CZ2" s="407" t="s">
        <v>531</v>
      </c>
      <c r="DA2" s="404">
        <f>1/((1/DA13)+(1/DA15)+(1/DA16))</f>
        <v>1.6523591247628452E-11</v>
      </c>
      <c r="DB2" s="401" t="s">
        <v>13</v>
      </c>
      <c r="DC2" s="442" t="s">
        <v>530</v>
      </c>
      <c r="DD2" s="439">
        <f>DD7</f>
        <v>1.3832153642778274E-8</v>
      </c>
      <c r="DE2" s="436" t="s">
        <v>12</v>
      </c>
      <c r="DF2" s="433" t="s">
        <v>530</v>
      </c>
      <c r="DG2" s="424">
        <f>DD7/((1/DG24)*(DG5+DG6+DG7))</f>
        <v>1.2427015445953946E-6</v>
      </c>
      <c r="DH2" s="430" t="s">
        <v>13</v>
      </c>
      <c r="DI2" s="427" t="s">
        <v>530</v>
      </c>
      <c r="DJ2" s="424">
        <f>(DD7/(DJ5+DJ6))*DJ12</f>
        <v>4.9053880574919323E-8</v>
      </c>
      <c r="DK2" s="430" t="s">
        <v>12</v>
      </c>
      <c r="DL2" s="427" t="s">
        <v>581</v>
      </c>
      <c r="DM2" s="424">
        <f>((DD7)/(DM5+DM6))*DJ12</f>
        <v>4.9053880574919323E-8</v>
      </c>
      <c r="DN2" s="430" t="s">
        <v>12</v>
      </c>
      <c r="DO2" s="427" t="s">
        <v>582</v>
      </c>
      <c r="DP2" s="424">
        <f>-(DP5+DP6+DP7)/(DP23+DP24)</f>
        <v>-48.516527231988597</v>
      </c>
      <c r="DQ2" s="421" t="s">
        <v>18</v>
      </c>
      <c r="DR2" s="574" t="s">
        <v>530</v>
      </c>
      <c r="DS2" s="445">
        <f>DS7</f>
        <v>2.7664307285556549E-8</v>
      </c>
      <c r="DT2" s="484" t="s">
        <v>12</v>
      </c>
      <c r="DU2" s="481" t="s">
        <v>530</v>
      </c>
      <c r="DV2" s="463">
        <f>(DS7*DV8)/(DV5*DV6*(1/1000))</f>
        <v>6.7330426522030349E-5</v>
      </c>
      <c r="DW2" s="466" t="s">
        <v>13</v>
      </c>
      <c r="DX2" s="478" t="s">
        <v>530</v>
      </c>
      <c r="DY2" s="463">
        <f>(DS7*DY14)/(DY9*((DY10*DY12*DY13*(DY5+DY6))+(DY11*DY12)))*DY18</f>
        <v>1.0333328916751046E-6</v>
      </c>
      <c r="DZ2" s="466" t="s">
        <v>12</v>
      </c>
      <c r="EA2" s="478" t="s">
        <v>581</v>
      </c>
      <c r="EB2" s="463">
        <f>(DS7*DY14)/(EB9*((EB10*EB12*EB13*(EB5+EB6))+(EB11*EB12)))*DY18</f>
        <v>1.0333328916751046E-6</v>
      </c>
      <c r="EC2" s="466" t="s">
        <v>12</v>
      </c>
      <c r="ED2" s="478" t="s">
        <v>582</v>
      </c>
      <c r="EE2" s="463">
        <f>-EE15/((EE10*EE12*EE13*(EE5+EE6))+(EE11*EE12))</f>
        <v>-15.172254564045053</v>
      </c>
      <c r="EF2" s="460" t="s">
        <v>18</v>
      </c>
      <c r="EG2" s="475" t="s">
        <v>530</v>
      </c>
      <c r="EH2" s="469">
        <f>EH7</f>
        <v>2.7664307285556549E-8</v>
      </c>
      <c r="EI2" s="457" t="s">
        <v>12</v>
      </c>
      <c r="EJ2" s="472" t="s">
        <v>530</v>
      </c>
      <c r="EK2" s="454">
        <f>EH7/(EK5*EK6)</f>
        <v>2.3725820999619682E-8</v>
      </c>
      <c r="EL2" s="451" t="s">
        <v>13</v>
      </c>
      <c r="EM2" s="448" t="s">
        <v>530</v>
      </c>
      <c r="EN2" s="454">
        <f>(EH7/(EN9*((EN10*EN12*EN13*(EN5+EN6))+(EN11*EN12))))*EN17</f>
        <v>3.3615863379371114E-7</v>
      </c>
      <c r="EO2" s="451" t="s">
        <v>12</v>
      </c>
      <c r="EP2" s="448" t="s">
        <v>581</v>
      </c>
      <c r="EQ2" s="454">
        <f>(EH7/(EQ9*((EQ10*EQ12*EQ13*(EQ5+EQ6))+(EQ11*EQ12))))*EN17</f>
        <v>3.3615863379371114E-7</v>
      </c>
      <c r="ER2" s="451" t="s">
        <v>12</v>
      </c>
      <c r="ES2" s="448" t="s">
        <v>582</v>
      </c>
      <c r="ET2" s="454">
        <f>-ET15/((ET10*ET12*ET13*(ET5+ET6))+(ET11*ET12))</f>
        <v>-14.006971771987642</v>
      </c>
      <c r="EU2" s="499" t="s">
        <v>18</v>
      </c>
      <c r="EV2" s="496" t="s">
        <v>530</v>
      </c>
      <c r="EW2" s="493">
        <f>EW7</f>
        <v>2.7664307285556549E-8</v>
      </c>
      <c r="EX2" s="490" t="s">
        <v>12</v>
      </c>
      <c r="EY2" s="487" t="s">
        <v>530</v>
      </c>
      <c r="EZ2" s="586">
        <f>EW7/(EZ5*EZ6*(1/EZ7))</f>
        <v>1.7290192053472838E-4</v>
      </c>
      <c r="FA2" s="592" t="s">
        <v>13</v>
      </c>
      <c r="FB2" s="589" t="s">
        <v>530</v>
      </c>
      <c r="FC2" s="586">
        <f>(EW7/(FC9*((FC10*FC12*FC13*(FC5+FC6))+(FC11*FC12))))*FC17</f>
        <v>8.9920554989615918E-7</v>
      </c>
      <c r="FD2" s="595" t="s">
        <v>12</v>
      </c>
      <c r="FE2" s="589" t="s">
        <v>581</v>
      </c>
      <c r="FF2" s="586">
        <f>(EW7/(FF9*(FF10*FF12*FF13*(FF5*FF6))+(FF11*FF12)))*FC17</f>
        <v>1.239294805702767E-6</v>
      </c>
      <c r="FG2" s="592" t="s">
        <v>12</v>
      </c>
      <c r="FH2" s="589" t="s">
        <v>582</v>
      </c>
      <c r="FI2" s="586">
        <f>FI15/((FI10*FI12*FI13*(FI5+FI6))+(FI11*FI12))</f>
        <v>5.1413881748071981</v>
      </c>
      <c r="FJ2" s="583" t="s">
        <v>18</v>
      </c>
      <c r="FK2" s="580" t="s">
        <v>530</v>
      </c>
      <c r="FL2" s="577">
        <f>FL7</f>
        <v>2.7664307285556549E-8</v>
      </c>
      <c r="FM2" s="571" t="s">
        <v>12</v>
      </c>
      <c r="FN2" s="568" t="s">
        <v>530</v>
      </c>
      <c r="FO2" s="505">
        <f>FL7/(FO5*(1/FO6))</f>
        <v>1.106572291422262E-8</v>
      </c>
      <c r="FP2" s="511" t="s">
        <v>13</v>
      </c>
      <c r="FQ2" s="508" t="s">
        <v>530</v>
      </c>
      <c r="FR2" s="505">
        <f>((FL7*FR6)/FR5)*FR10</f>
        <v>1.1193310685107391E-10</v>
      </c>
      <c r="FS2" s="511" t="s">
        <v>12</v>
      </c>
      <c r="FT2" s="508" t="s">
        <v>581</v>
      </c>
      <c r="FU2" s="505">
        <f>((FL7*FU6)/FU5)*FR10</f>
        <v>1.1193310685107391E-10</v>
      </c>
      <c r="FV2" s="511" t="s">
        <v>12</v>
      </c>
      <c r="FW2" s="508" t="s">
        <v>582</v>
      </c>
      <c r="FX2" s="505">
        <f>-FX5/FX6</f>
        <v>-0.01</v>
      </c>
      <c r="FY2" s="502" t="s">
        <v>18</v>
      </c>
      <c r="FZ2" s="556" t="s">
        <v>530</v>
      </c>
      <c r="GA2" s="553">
        <f>GA7</f>
        <v>2.7664307285556549E-8</v>
      </c>
      <c r="GB2" s="550" t="s">
        <v>12</v>
      </c>
      <c r="GC2" s="559" t="s">
        <v>530</v>
      </c>
      <c r="GD2" s="538">
        <f>GA7/(GD5*GD6*(1/GD7))</f>
        <v>2.5615099338478284E-5</v>
      </c>
      <c r="GE2" s="544" t="s">
        <v>13</v>
      </c>
      <c r="GF2" s="541" t="s">
        <v>530</v>
      </c>
      <c r="GG2" s="538">
        <f>(GA7/((GG9)*((GG10*GG12*GG13*(GG5+GG6))+(GG11*GG12))))*GG17</f>
        <v>1.3321563702165323E-7</v>
      </c>
      <c r="GH2" s="544" t="s">
        <v>12</v>
      </c>
      <c r="GI2" s="541" t="s">
        <v>581</v>
      </c>
      <c r="GJ2" s="538">
        <f>(GA7/((GJ9)*((GJ10*GJ12*GJ13*(GJ5+GJ6))+(GJ11*GJ12))))*GG17</f>
        <v>1.3321563702165323E-7</v>
      </c>
      <c r="GK2" s="544" t="s">
        <v>12</v>
      </c>
      <c r="GL2" s="541" t="s">
        <v>582</v>
      </c>
      <c r="GM2" s="538">
        <f>GM15/((GM10*GM12*GM13*(GM5+GM6))+(GM11*GM12))</f>
        <v>5.1413881748071981</v>
      </c>
      <c r="GN2" s="535" t="s">
        <v>18</v>
      </c>
      <c r="GO2" s="532" t="s">
        <v>530</v>
      </c>
      <c r="GP2" s="529">
        <f>GP7</f>
        <v>2.7664307285556549E-8</v>
      </c>
      <c r="GQ2" s="526" t="s">
        <v>12</v>
      </c>
      <c r="GR2" s="523" t="s">
        <v>530</v>
      </c>
      <c r="GS2" s="517">
        <f>GP7/(GS5*GS6*(1/GS7))</f>
        <v>1.2133468107700238E-5</v>
      </c>
      <c r="GT2" s="514" t="s">
        <v>13</v>
      </c>
      <c r="GU2" s="520" t="s">
        <v>530</v>
      </c>
      <c r="GV2" s="517">
        <f>(GP7/((GV9)*((GV10*GV12*GV13*(GV5+GV6))+(GV11*GV12))))*GV17</f>
        <v>8.3219165862036735E-8</v>
      </c>
      <c r="GW2" s="514" t="s">
        <v>12</v>
      </c>
      <c r="GX2" s="520" t="s">
        <v>581</v>
      </c>
      <c r="GY2" s="517">
        <f>(GP7/((GY9*((GY10*GY12*GY13*(GY5+GY6))+(GY11*GY12)))))*GV17</f>
        <v>8.3219165862036735E-8</v>
      </c>
      <c r="GZ2" s="514" t="s">
        <v>12</v>
      </c>
      <c r="HA2" s="520" t="s">
        <v>582</v>
      </c>
      <c r="HB2" s="517">
        <f>GP7/((HB10*HB12*HB13*(HB5+HB6))+(HB11*HB12))</f>
        <v>1.6454117222123681E-8</v>
      </c>
      <c r="HC2" s="547" t="s">
        <v>18</v>
      </c>
      <c r="HD2" s="54"/>
      <c r="HE2" s="55"/>
      <c r="HF2" s="56"/>
    </row>
    <row r="3" spans="1:214" ht="13.5" thickTop="1" x14ac:dyDescent="0.2">
      <c r="A3" s="114" t="s">
        <v>302</v>
      </c>
      <c r="B3" s="228">
        <v>8.5099999999999995E-2</v>
      </c>
      <c r="C3" s="115"/>
      <c r="D3" s="189" t="s">
        <v>15</v>
      </c>
      <c r="E3" s="134">
        <f>1/((1/E19)+(1/E20))</f>
        <v>2.8672533976974976E-15</v>
      </c>
      <c r="F3" s="58" t="s">
        <v>294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3.3393625198394644E-14</v>
      </c>
      <c r="X3" s="62" t="s">
        <v>294</v>
      </c>
      <c r="Y3" s="202" t="s">
        <v>16</v>
      </c>
      <c r="Z3" s="187">
        <f>1/((1/Z18)+(1/Z19))</f>
        <v>3.3393625198394644E-14</v>
      </c>
      <c r="AA3" s="63" t="s">
        <v>294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307"/>
      <c r="AS3" s="304"/>
      <c r="AT3" s="291"/>
      <c r="AU3" s="288"/>
      <c r="AV3" s="304"/>
      <c r="AW3" s="291"/>
      <c r="AX3" s="288"/>
      <c r="AY3" s="304"/>
      <c r="AZ3" s="282"/>
      <c r="BA3" s="307"/>
      <c r="BB3" s="304"/>
      <c r="BC3" s="291"/>
      <c r="BD3" s="288"/>
      <c r="BE3" s="304"/>
      <c r="BF3" s="291"/>
      <c r="BG3" s="288"/>
      <c r="BH3" s="304"/>
      <c r="BI3" s="282"/>
      <c r="BJ3" s="307"/>
      <c r="BK3" s="285"/>
      <c r="BL3" s="291"/>
      <c r="BM3" s="288"/>
      <c r="BN3" s="285"/>
      <c r="BO3" s="291"/>
      <c r="BP3" s="288"/>
      <c r="BQ3" s="285"/>
      <c r="BR3" s="282"/>
      <c r="BS3" s="212" t="s">
        <v>15</v>
      </c>
      <c r="BT3" s="64">
        <f>1/((1/BT18)+(1/BT19))</f>
        <v>3.7534953569858158E-14</v>
      </c>
      <c r="BU3" s="53" t="s">
        <v>294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56"/>
      <c r="CN3" s="259"/>
      <c r="CO3" s="262"/>
      <c r="CP3" s="279"/>
      <c r="CQ3" s="276"/>
      <c r="CR3" s="262"/>
      <c r="CS3" s="265"/>
      <c r="CT3" s="396"/>
      <c r="CU3" s="393"/>
      <c r="CV3" s="390"/>
      <c r="CW3" s="216" t="s">
        <v>15</v>
      </c>
      <c r="CX3" s="65">
        <f>1/((1/CX19)+(1/CX20))</f>
        <v>2.8672466234736942E-15</v>
      </c>
      <c r="CY3" s="66" t="s">
        <v>294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222">
        <f>(HE5*HE14)*(10^-3)*(HE13+(HE10/HE11))*((HE12*HE7)/HE8)</f>
        <v>2.3165578797245763E-11</v>
      </c>
      <c r="HF3" s="220" t="s">
        <v>597</v>
      </c>
    </row>
    <row r="4" spans="1:214" ht="13.5" thickBot="1" x14ac:dyDescent="0.25">
      <c r="A4" s="118" t="s">
        <v>54</v>
      </c>
      <c r="B4" s="230">
        <v>0.74199999999999999</v>
      </c>
      <c r="C4" s="119"/>
      <c r="D4" s="190" t="s">
        <v>16</v>
      </c>
      <c r="E4" s="135">
        <f>1/((1/E21)+(1/E22))</f>
        <v>2.9003128256634575E-15</v>
      </c>
      <c r="F4" s="68" t="s">
        <v>294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3.3012985518081536E-14</v>
      </c>
      <c r="X4" s="76" t="s">
        <v>294</v>
      </c>
      <c r="Y4" s="203" t="s">
        <v>15</v>
      </c>
      <c r="Z4" s="186">
        <f>1/((1/Z16)+(1/Z17))</f>
        <v>3.3012985518081536E-14</v>
      </c>
      <c r="AA4" s="77" t="s">
        <v>294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308"/>
      <c r="AS4" s="305"/>
      <c r="AT4" s="292"/>
      <c r="AU4" s="289"/>
      <c r="AV4" s="305"/>
      <c r="AW4" s="292"/>
      <c r="AX4" s="289"/>
      <c r="AY4" s="305"/>
      <c r="AZ4" s="283"/>
      <c r="BA4" s="308"/>
      <c r="BB4" s="305"/>
      <c r="BC4" s="292"/>
      <c r="BD4" s="289"/>
      <c r="BE4" s="305"/>
      <c r="BF4" s="292"/>
      <c r="BG4" s="289"/>
      <c r="BH4" s="305"/>
      <c r="BI4" s="283"/>
      <c r="BJ4" s="308"/>
      <c r="BK4" s="286"/>
      <c r="BL4" s="292"/>
      <c r="BM4" s="289"/>
      <c r="BN4" s="286"/>
      <c r="BO4" s="292"/>
      <c r="BP4" s="289"/>
      <c r="BQ4" s="286"/>
      <c r="BR4" s="283"/>
      <c r="BS4" s="213" t="s">
        <v>16</v>
      </c>
      <c r="BT4" s="78">
        <f>1/((1/BT20)+(1/BT21))</f>
        <v>3.796773153595798E-14</v>
      </c>
      <c r="BU4" s="79" t="s">
        <v>294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57"/>
      <c r="CN4" s="260"/>
      <c r="CO4" s="263"/>
      <c r="CP4" s="280"/>
      <c r="CQ4" s="277"/>
      <c r="CR4" s="263"/>
      <c r="CS4" s="266"/>
      <c r="CT4" s="397"/>
      <c r="CU4" s="394"/>
      <c r="CV4" s="391"/>
      <c r="CW4" s="217" t="s">
        <v>16</v>
      </c>
      <c r="CX4" s="80">
        <f>1/((1/CX21)+(1/CX22))</f>
        <v>2.9003059733328623E-15</v>
      </c>
      <c r="CY4" s="81" t="s">
        <v>294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224">
        <f>(HE6*HE14)*10^-3*(HE13+(HE10/HE11))*((HE12*HE7)/(HE8))</f>
        <v>5.75756384000544E-19</v>
      </c>
      <c r="HF4" s="221" t="s">
        <v>598</v>
      </c>
    </row>
    <row r="5" spans="1:214" ht="14.25" thickTop="1" thickBot="1" x14ac:dyDescent="0.25">
      <c r="A5" s="681" t="s">
        <v>241</v>
      </c>
      <c r="B5" s="682"/>
      <c r="C5" s="683"/>
      <c r="D5" s="52" t="s">
        <v>267</v>
      </c>
      <c r="E5" s="136">
        <f>B17</f>
        <v>1</v>
      </c>
      <c r="F5" s="52" t="s">
        <v>344</v>
      </c>
      <c r="G5" s="83" t="s">
        <v>267</v>
      </c>
      <c r="H5" s="136">
        <f>B17</f>
        <v>1</v>
      </c>
      <c r="I5" s="52" t="s">
        <v>344</v>
      </c>
      <c r="J5" s="83" t="s">
        <v>267</v>
      </c>
      <c r="K5" s="136">
        <f>B17</f>
        <v>1</v>
      </c>
      <c r="L5" s="52" t="s">
        <v>344</v>
      </c>
      <c r="M5" s="52" t="s">
        <v>267</v>
      </c>
      <c r="N5" s="136">
        <f>B17</f>
        <v>1</v>
      </c>
      <c r="O5" s="52" t="s">
        <v>344</v>
      </c>
      <c r="P5" s="52" t="s">
        <v>267</v>
      </c>
      <c r="Q5" s="136">
        <f>B17</f>
        <v>1</v>
      </c>
      <c r="R5" s="52" t="s">
        <v>344</v>
      </c>
      <c r="S5" s="52" t="s">
        <v>267</v>
      </c>
      <c r="T5" s="136">
        <f>B17</f>
        <v>1</v>
      </c>
      <c r="U5" s="52" t="s">
        <v>344</v>
      </c>
      <c r="V5" s="52" t="s">
        <v>267</v>
      </c>
      <c r="W5" s="136">
        <f>B17</f>
        <v>1</v>
      </c>
      <c r="X5" s="52" t="s">
        <v>344</v>
      </c>
      <c r="Y5" s="52" t="s">
        <v>267</v>
      </c>
      <c r="Z5" s="136">
        <f>B17</f>
        <v>1</v>
      </c>
      <c r="AA5" s="52" t="s">
        <v>344</v>
      </c>
      <c r="AB5" s="83" t="s">
        <v>267</v>
      </c>
      <c r="AC5" s="136">
        <f>B17</f>
        <v>1</v>
      </c>
      <c r="AD5" s="136">
        <f>B17</f>
        <v>1</v>
      </c>
      <c r="AE5" s="136">
        <f>B17</f>
        <v>1</v>
      </c>
      <c r="AF5" s="136">
        <f>B17</f>
        <v>1</v>
      </c>
      <c r="AG5" s="136">
        <f>B17</f>
        <v>1</v>
      </c>
      <c r="AH5" s="52" t="s">
        <v>344</v>
      </c>
      <c r="AI5" s="52" t="s">
        <v>267</v>
      </c>
      <c r="AJ5" s="136">
        <f>B17</f>
        <v>1</v>
      </c>
      <c r="AK5" s="52" t="s">
        <v>344</v>
      </c>
      <c r="AL5" s="52" t="s">
        <v>267</v>
      </c>
      <c r="AM5" s="136">
        <f>B17</f>
        <v>1</v>
      </c>
      <c r="AN5" s="52" t="s">
        <v>344</v>
      </c>
      <c r="AO5" s="52" t="s">
        <v>267</v>
      </c>
      <c r="AP5" s="136">
        <f>B17</f>
        <v>1</v>
      </c>
      <c r="AQ5" s="52" t="s">
        <v>344</v>
      </c>
      <c r="AR5" s="52" t="s">
        <v>267</v>
      </c>
      <c r="AS5" s="136">
        <f>B17</f>
        <v>1</v>
      </c>
      <c r="AT5" s="52" t="s">
        <v>344</v>
      </c>
      <c r="AU5" s="52" t="s">
        <v>267</v>
      </c>
      <c r="AV5" s="136">
        <f>B17</f>
        <v>1</v>
      </c>
      <c r="AW5" s="52" t="s">
        <v>344</v>
      </c>
      <c r="AX5" s="52" t="s">
        <v>267</v>
      </c>
      <c r="AY5" s="136">
        <f>B17</f>
        <v>1</v>
      </c>
      <c r="AZ5" s="52" t="s">
        <v>344</v>
      </c>
      <c r="BA5" s="52" t="s">
        <v>267</v>
      </c>
      <c r="BB5" s="136">
        <f>B17</f>
        <v>1</v>
      </c>
      <c r="BC5" s="52" t="s">
        <v>344</v>
      </c>
      <c r="BD5" s="52" t="s">
        <v>267</v>
      </c>
      <c r="BE5" s="136">
        <f>B17</f>
        <v>1</v>
      </c>
      <c r="BF5" s="52" t="s">
        <v>344</v>
      </c>
      <c r="BG5" s="52" t="s">
        <v>267</v>
      </c>
      <c r="BH5" s="136">
        <f>B17</f>
        <v>1</v>
      </c>
      <c r="BI5" s="52" t="s">
        <v>344</v>
      </c>
      <c r="BJ5" s="52" t="s">
        <v>267</v>
      </c>
      <c r="BK5" s="136">
        <f>B17</f>
        <v>1</v>
      </c>
      <c r="BL5" s="52" t="s">
        <v>344</v>
      </c>
      <c r="BM5" s="52" t="s">
        <v>267</v>
      </c>
      <c r="BN5" s="136">
        <f>B17</f>
        <v>1</v>
      </c>
      <c r="BO5" s="52" t="s">
        <v>344</v>
      </c>
      <c r="BP5" s="52" t="s">
        <v>267</v>
      </c>
      <c r="BQ5" s="136">
        <f>B17</f>
        <v>1</v>
      </c>
      <c r="BR5" s="52" t="s">
        <v>344</v>
      </c>
      <c r="BS5" s="52" t="s">
        <v>267</v>
      </c>
      <c r="BT5" s="136">
        <f>B17</f>
        <v>1</v>
      </c>
      <c r="BU5" s="52" t="s">
        <v>344</v>
      </c>
      <c r="BV5" s="83" t="s">
        <v>267</v>
      </c>
      <c r="BW5" s="136">
        <f>B17</f>
        <v>1</v>
      </c>
      <c r="BX5" s="52" t="s">
        <v>344</v>
      </c>
      <c r="BY5" s="83" t="s">
        <v>267</v>
      </c>
      <c r="BZ5" s="136">
        <f>B17</f>
        <v>1</v>
      </c>
      <c r="CA5" s="52" t="s">
        <v>344</v>
      </c>
      <c r="CB5" s="52" t="s">
        <v>267</v>
      </c>
      <c r="CC5" s="136">
        <f>B17</f>
        <v>1</v>
      </c>
      <c r="CD5" s="52" t="s">
        <v>344</v>
      </c>
      <c r="CE5" s="52" t="s">
        <v>267</v>
      </c>
      <c r="CF5" s="136">
        <f>B17</f>
        <v>1</v>
      </c>
      <c r="CG5" s="52" t="s">
        <v>344</v>
      </c>
      <c r="CH5" s="52" t="s">
        <v>267</v>
      </c>
      <c r="CI5" s="136">
        <f>B17</f>
        <v>1</v>
      </c>
      <c r="CJ5" s="52" t="s">
        <v>344</v>
      </c>
      <c r="CK5" s="52" t="s">
        <v>267</v>
      </c>
      <c r="CL5" s="136">
        <f>B17</f>
        <v>1</v>
      </c>
      <c r="CM5" s="52" t="s">
        <v>344</v>
      </c>
      <c r="CN5" s="83" t="s">
        <v>228</v>
      </c>
      <c r="CO5" s="136">
        <f>B42</f>
        <v>2.7</v>
      </c>
      <c r="CP5" s="52" t="s">
        <v>268</v>
      </c>
      <c r="CQ5" s="83" t="s">
        <v>228</v>
      </c>
      <c r="CR5" s="136">
        <f>CO5</f>
        <v>2.7</v>
      </c>
      <c r="CS5" s="52" t="s">
        <v>268</v>
      </c>
      <c r="CT5" s="83" t="s">
        <v>267</v>
      </c>
      <c r="CU5" s="136">
        <f>B17</f>
        <v>1</v>
      </c>
      <c r="CV5" s="52" t="s">
        <v>344</v>
      </c>
      <c r="CW5" s="52" t="s">
        <v>267</v>
      </c>
      <c r="CX5" s="136">
        <f>B17</f>
        <v>1</v>
      </c>
      <c r="CY5" s="52" t="s">
        <v>344</v>
      </c>
      <c r="CZ5" s="83" t="s">
        <v>267</v>
      </c>
      <c r="DA5" s="136">
        <f>B17</f>
        <v>1</v>
      </c>
      <c r="DB5" s="52" t="s">
        <v>344</v>
      </c>
      <c r="DC5" s="83" t="s">
        <v>267</v>
      </c>
      <c r="DD5" s="136">
        <f>B17</f>
        <v>1</v>
      </c>
      <c r="DE5" s="52" t="s">
        <v>344</v>
      </c>
      <c r="DF5" s="52" t="s">
        <v>17</v>
      </c>
      <c r="DG5" s="137">
        <f>(DG8*DG9*DG10*((1-EXP(-DG11*DG12))))/(DG13*DG11)</f>
        <v>0.66271991443607436</v>
      </c>
      <c r="DH5" s="52" t="s">
        <v>18</v>
      </c>
      <c r="DI5" s="83" t="s">
        <v>19</v>
      </c>
      <c r="DJ5" s="161">
        <f>DJ7</f>
        <v>2.5229999999999999E-2</v>
      </c>
      <c r="DK5" s="83"/>
      <c r="DL5" s="83" t="s">
        <v>19</v>
      </c>
      <c r="DM5" s="161">
        <f>DM7</f>
        <v>2.5229999999999999E-2</v>
      </c>
      <c r="DO5" s="52" t="s">
        <v>17</v>
      </c>
      <c r="DP5" s="137">
        <f>(DP8*DP9*DP10*((1-EXP(-DP11*DP12))))/(DP13*DP11)</f>
        <v>0.90188194353411644</v>
      </c>
      <c r="DQ5" s="52" t="s">
        <v>18</v>
      </c>
      <c r="DR5" s="83" t="s">
        <v>267</v>
      </c>
      <c r="DS5" s="136">
        <f>B17</f>
        <v>1</v>
      </c>
      <c r="DT5" s="52" t="s">
        <v>344</v>
      </c>
      <c r="DU5" s="83" t="s">
        <v>239</v>
      </c>
      <c r="DV5" s="169">
        <f>B36</f>
        <v>4.5999999999999999E-3</v>
      </c>
      <c r="DW5" s="52" t="s">
        <v>601</v>
      </c>
      <c r="DX5" s="83" t="s">
        <v>20</v>
      </c>
      <c r="DY5" s="161">
        <f>DY7</f>
        <v>2.9000000000000001E-2</v>
      </c>
      <c r="DZ5" s="83"/>
      <c r="EA5" s="83" t="s">
        <v>20</v>
      </c>
      <c r="EB5" s="161">
        <f>EB7</f>
        <v>2.9000000000000001E-2</v>
      </c>
      <c r="EC5" s="84"/>
      <c r="ED5" s="83" t="s">
        <v>20</v>
      </c>
      <c r="EE5" s="161">
        <f>EE7</f>
        <v>2.9000000000000001E-2</v>
      </c>
      <c r="EF5" s="84"/>
      <c r="EG5" s="83" t="s">
        <v>267</v>
      </c>
      <c r="EH5" s="136">
        <f>B17</f>
        <v>1</v>
      </c>
      <c r="EI5" s="52" t="s">
        <v>344</v>
      </c>
      <c r="EJ5" s="83" t="s">
        <v>236</v>
      </c>
      <c r="EK5" s="169">
        <f>B37</f>
        <v>2.1999999999999999E-2</v>
      </c>
      <c r="EL5" s="52" t="s">
        <v>388</v>
      </c>
      <c r="EM5" s="83" t="s">
        <v>20</v>
      </c>
      <c r="EN5" s="161">
        <f>EN7</f>
        <v>2.9000000000000001E-2</v>
      </c>
      <c r="EO5" s="83"/>
      <c r="EP5" s="83" t="s">
        <v>20</v>
      </c>
      <c r="EQ5" s="161">
        <f>EQ7</f>
        <v>2.9000000000000001E-2</v>
      </c>
      <c r="ER5" s="84"/>
      <c r="ES5" s="83" t="s">
        <v>20</v>
      </c>
      <c r="ET5" s="161">
        <f>ET7</f>
        <v>2.9000000000000001E-2</v>
      </c>
      <c r="EU5" s="84"/>
      <c r="EV5" s="83" t="s">
        <v>267</v>
      </c>
      <c r="EW5" s="136">
        <f>B17</f>
        <v>1</v>
      </c>
      <c r="EX5" s="52" t="s">
        <v>344</v>
      </c>
      <c r="EY5" s="83" t="s">
        <v>171</v>
      </c>
      <c r="EZ5" s="169">
        <f>B39</f>
        <v>0.4</v>
      </c>
      <c r="FA5" s="52" t="s">
        <v>388</v>
      </c>
      <c r="FB5" s="83" t="s">
        <v>20</v>
      </c>
      <c r="FC5" s="161">
        <f>FC7</f>
        <v>2.9000000000000001E-2</v>
      </c>
      <c r="FD5" s="83"/>
      <c r="FE5" s="83" t="s">
        <v>20</v>
      </c>
      <c r="FF5" s="161">
        <f>FF7</f>
        <v>2.9000000000000001E-2</v>
      </c>
      <c r="FG5" s="83"/>
      <c r="FH5" s="83" t="s">
        <v>20</v>
      </c>
      <c r="FI5" s="161">
        <f>FI7</f>
        <v>2.9000000000000001E-2</v>
      </c>
      <c r="FJ5" s="84"/>
      <c r="FK5" s="83" t="s">
        <v>267</v>
      </c>
      <c r="FL5" s="136">
        <f>B17</f>
        <v>1</v>
      </c>
      <c r="FM5" s="52" t="s">
        <v>344</v>
      </c>
      <c r="FN5" s="83" t="s">
        <v>105</v>
      </c>
      <c r="FO5" s="161">
        <f>B35</f>
        <v>2500</v>
      </c>
      <c r="FP5" s="83" t="s">
        <v>18</v>
      </c>
      <c r="FQ5" s="83" t="s">
        <v>105</v>
      </c>
      <c r="FR5" s="161">
        <f>B35</f>
        <v>2500</v>
      </c>
      <c r="FS5" s="83" t="s">
        <v>18</v>
      </c>
      <c r="FT5" s="83" t="s">
        <v>105</v>
      </c>
      <c r="FU5" s="161">
        <f>B35</f>
        <v>2500</v>
      </c>
      <c r="FV5" s="83" t="s">
        <v>18</v>
      </c>
      <c r="FW5" s="83" t="s">
        <v>156</v>
      </c>
      <c r="FX5" s="161">
        <f>B45</f>
        <v>10</v>
      </c>
      <c r="FY5" s="88" t="s">
        <v>18</v>
      </c>
      <c r="FZ5" s="83" t="s">
        <v>267</v>
      </c>
      <c r="GA5" s="136">
        <f>B17</f>
        <v>1</v>
      </c>
      <c r="GB5" s="52" t="s">
        <v>344</v>
      </c>
      <c r="GC5" s="83" t="s">
        <v>237</v>
      </c>
      <c r="GD5" s="169">
        <f>B38</f>
        <v>2.7</v>
      </c>
      <c r="GE5" s="52" t="s">
        <v>388</v>
      </c>
      <c r="GF5" s="83" t="s">
        <v>20</v>
      </c>
      <c r="GG5" s="161">
        <f>GG7</f>
        <v>2.9000000000000001E-2</v>
      </c>
      <c r="GH5" s="83"/>
      <c r="GI5" s="83" t="s">
        <v>20</v>
      </c>
      <c r="GJ5" s="161">
        <f>GJ7</f>
        <v>2.9000000000000001E-2</v>
      </c>
      <c r="GK5" s="83"/>
      <c r="GL5" s="83" t="s">
        <v>20</v>
      </c>
      <c r="GM5" s="161">
        <f>GM7</f>
        <v>2.9000000000000001E-2</v>
      </c>
      <c r="GN5" s="84"/>
      <c r="GO5" s="83" t="s">
        <v>267</v>
      </c>
      <c r="GP5" s="136">
        <f>B17</f>
        <v>1</v>
      </c>
      <c r="GQ5" s="52" t="s">
        <v>344</v>
      </c>
      <c r="GR5" s="83" t="s">
        <v>238</v>
      </c>
      <c r="GS5" s="169">
        <f>B40</f>
        <v>0.2</v>
      </c>
      <c r="GT5" s="52" t="s">
        <v>388</v>
      </c>
      <c r="GU5" s="83" t="s">
        <v>20</v>
      </c>
      <c r="GV5" s="161">
        <f>GV7</f>
        <v>2.9000000000000001E-2</v>
      </c>
      <c r="GW5" s="83"/>
      <c r="GX5" s="83" t="s">
        <v>20</v>
      </c>
      <c r="GY5" s="161">
        <f>GY7</f>
        <v>2.9000000000000001E-2</v>
      </c>
      <c r="GZ5" s="83"/>
      <c r="HA5" s="83" t="s">
        <v>20</v>
      </c>
      <c r="HB5" s="161">
        <f>HB7</f>
        <v>2.9000000000000001E-2</v>
      </c>
      <c r="HC5" s="84"/>
      <c r="HD5" s="89" t="s">
        <v>21</v>
      </c>
      <c r="HE5" s="225">
        <f>B46</f>
        <v>2.2452474757104E-9</v>
      </c>
      <c r="HF5" s="83" t="s">
        <v>13</v>
      </c>
    </row>
    <row r="6" spans="1:214" ht="13.5" thickTop="1" x14ac:dyDescent="0.2">
      <c r="A6" s="114" t="s">
        <v>339</v>
      </c>
      <c r="B6" s="228">
        <v>4.3299999999999998E-2</v>
      </c>
      <c r="C6" s="115"/>
      <c r="D6" s="83" t="s">
        <v>22</v>
      </c>
      <c r="E6" s="137">
        <f>0.693/E7</f>
        <v>2.2972045705420805E-2</v>
      </c>
      <c r="G6" s="83" t="s">
        <v>248</v>
      </c>
      <c r="H6" s="136">
        <f>B19</f>
        <v>4.9109405245458101E-5</v>
      </c>
      <c r="I6" s="83" t="s">
        <v>259</v>
      </c>
      <c r="J6" s="83" t="s">
        <v>249</v>
      </c>
      <c r="K6" s="136">
        <f>B20</f>
        <v>4.9109405245458101E-5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2.2972045705420805E-2</v>
      </c>
      <c r="BV6" s="83" t="s">
        <v>248</v>
      </c>
      <c r="BW6" s="136">
        <f>B19</f>
        <v>4.9109405245458101E-5</v>
      </c>
      <c r="BX6" s="83" t="s">
        <v>259</v>
      </c>
      <c r="BY6" s="83" t="s">
        <v>249</v>
      </c>
      <c r="BZ6" s="136">
        <f>B20</f>
        <v>4.9109405245458101E-5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B29</f>
        <v>4.9109405245458101E-5</v>
      </c>
      <c r="CM6" s="91" t="s">
        <v>10</v>
      </c>
      <c r="CN6" s="84" t="s">
        <v>20</v>
      </c>
      <c r="CO6" s="139">
        <f>CO8</f>
        <v>2.9000000000000001E-2</v>
      </c>
      <c r="CQ6" s="84" t="s">
        <v>169</v>
      </c>
      <c r="CR6" s="162">
        <f>B133</f>
        <v>2</v>
      </c>
      <c r="CS6" s="52" t="s">
        <v>28</v>
      </c>
      <c r="CT6" s="83" t="s">
        <v>249</v>
      </c>
      <c r="CU6" s="136">
        <f>B20</f>
        <v>4.9109405245458101E-5</v>
      </c>
      <c r="CV6" s="83" t="s">
        <v>259</v>
      </c>
      <c r="CW6" s="83" t="s">
        <v>22</v>
      </c>
      <c r="CX6" s="137">
        <f>0.693/CX7</f>
        <v>2.2972045705420805E-2</v>
      </c>
      <c r="CZ6" s="83" t="s">
        <v>248</v>
      </c>
      <c r="DA6" s="136">
        <f>B19</f>
        <v>4.9109405245458101E-5</v>
      </c>
      <c r="DB6" s="83" t="s">
        <v>259</v>
      </c>
      <c r="DC6" s="83" t="s">
        <v>258</v>
      </c>
      <c r="DD6" s="136">
        <f>B29</f>
        <v>4.9109405245458101E-5</v>
      </c>
      <c r="DE6" s="92" t="s">
        <v>259</v>
      </c>
      <c r="DF6" s="52" t="s">
        <v>25</v>
      </c>
      <c r="DG6" s="137">
        <f>(DG8*DG9*DG14*((1-EXP(-DG11*DG12))))/(DG13*DG11)</f>
        <v>6.8294561138874093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B29</f>
        <v>4.9109405245458101E-5</v>
      </c>
      <c r="DT6" s="83" t="s">
        <v>259</v>
      </c>
      <c r="DU6" s="83" t="s">
        <v>27</v>
      </c>
      <c r="DV6" s="142">
        <f>B199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B29</f>
        <v>4.9109405245458101E-5</v>
      </c>
      <c r="EI6" s="83" t="s">
        <v>259</v>
      </c>
      <c r="EJ6" s="83" t="s">
        <v>29</v>
      </c>
      <c r="EK6" s="142">
        <f>B205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B29</f>
        <v>4.9109405245458101E-5</v>
      </c>
      <c r="EX6" s="83" t="s">
        <v>259</v>
      </c>
      <c r="EY6" s="83" t="s">
        <v>148</v>
      </c>
      <c r="EZ6" s="164">
        <f>B210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B29</f>
        <v>4.9109405245458101E-5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B45</f>
        <v>10</v>
      </c>
      <c r="FS6" s="83" t="s">
        <v>18</v>
      </c>
      <c r="FT6" s="83" t="s">
        <v>156</v>
      </c>
      <c r="FU6" s="161">
        <f>B45</f>
        <v>10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B29</f>
        <v>4.9109405245458101E-5</v>
      </c>
      <c r="GB6" s="83" t="s">
        <v>259</v>
      </c>
      <c r="GC6" s="83" t="s">
        <v>485</v>
      </c>
      <c r="GD6" s="164">
        <f>B215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B29</f>
        <v>4.9109405245458101E-5</v>
      </c>
      <c r="GQ6" s="83" t="s">
        <v>259</v>
      </c>
      <c r="GR6" s="83" t="s">
        <v>150</v>
      </c>
      <c r="GS6" s="142">
        <f>B220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5.5803292424321579E-17</v>
      </c>
      <c r="HF6" s="83" t="s">
        <v>13</v>
      </c>
    </row>
    <row r="7" spans="1:214" x14ac:dyDescent="0.2">
      <c r="A7" s="116" t="s">
        <v>242</v>
      </c>
      <c r="B7" s="229">
        <v>0.65300000000000002</v>
      </c>
      <c r="C7" s="117"/>
      <c r="D7" s="91" t="s">
        <v>231</v>
      </c>
      <c r="E7" s="136">
        <f>B30</f>
        <v>30.167100000000001</v>
      </c>
      <c r="F7" s="52" t="s">
        <v>60</v>
      </c>
      <c r="G7" s="83" t="s">
        <v>247</v>
      </c>
      <c r="H7" s="139">
        <f>B18</f>
        <v>1.5417408700798101E-4</v>
      </c>
      <c r="I7" s="84" t="s">
        <v>259</v>
      </c>
      <c r="J7" s="83" t="s">
        <v>247</v>
      </c>
      <c r="K7" s="136">
        <f>B18</f>
        <v>1.5417408700798101E-4</v>
      </c>
      <c r="L7" s="84" t="s">
        <v>259</v>
      </c>
      <c r="M7" s="83" t="s">
        <v>22</v>
      </c>
      <c r="N7" s="137">
        <f>0.693/N8</f>
        <v>2.2972045705420805E-2</v>
      </c>
      <c r="P7" s="83" t="s">
        <v>22</v>
      </c>
      <c r="Q7" s="137">
        <f>0.693/Q8</f>
        <v>2.2972045705420805E-2</v>
      </c>
      <c r="S7" s="83" t="s">
        <v>22</v>
      </c>
      <c r="T7" s="137">
        <f>0.693/T8</f>
        <v>2.2972045705420805E-2</v>
      </c>
      <c r="V7" s="83" t="s">
        <v>22</v>
      </c>
      <c r="W7" s="137">
        <f>0.693/W8</f>
        <v>2.2972045705420805E-2</v>
      </c>
      <c r="Y7" s="83" t="s">
        <v>22</v>
      </c>
      <c r="Z7" s="137">
        <f>0.693/Z8</f>
        <v>2.2972045705420805E-2</v>
      </c>
      <c r="AB7" s="83" t="s">
        <v>425</v>
      </c>
      <c r="AC7" s="150">
        <f>B227</f>
        <v>125</v>
      </c>
      <c r="AD7" s="150">
        <f>B237</f>
        <v>125</v>
      </c>
      <c r="AE7" s="150">
        <f>B247</f>
        <v>125</v>
      </c>
      <c r="AF7" s="150">
        <f>B257</f>
        <v>125</v>
      </c>
      <c r="AG7" s="150">
        <f>B269</f>
        <v>125</v>
      </c>
      <c r="AH7" s="83" t="s">
        <v>24</v>
      </c>
      <c r="AI7" s="83" t="s">
        <v>22</v>
      </c>
      <c r="AJ7" s="137">
        <f>0.693/AJ8</f>
        <v>2.2972045705420805E-2</v>
      </c>
      <c r="AL7" s="83" t="s">
        <v>22</v>
      </c>
      <c r="AM7" s="137">
        <f>0.693/AM8</f>
        <v>2.2972045705420805E-2</v>
      </c>
      <c r="AO7" s="83" t="s">
        <v>22</v>
      </c>
      <c r="AP7" s="137">
        <f>0.693/AP8</f>
        <v>2.2972045705420805E-2</v>
      </c>
      <c r="AR7" s="83" t="s">
        <v>22</v>
      </c>
      <c r="AS7" s="137">
        <f>0.693/AS8</f>
        <v>2.2972045705420805E-2</v>
      </c>
      <c r="AU7" s="83" t="s">
        <v>22</v>
      </c>
      <c r="AV7" s="137">
        <f>0.693/AV8</f>
        <v>2.2972045705420805E-2</v>
      </c>
      <c r="AX7" s="83" t="s">
        <v>22</v>
      </c>
      <c r="AY7" s="137">
        <f>0.693/AY8</f>
        <v>2.2972045705420805E-2</v>
      </c>
      <c r="BA7" s="83" t="s">
        <v>22</v>
      </c>
      <c r="BB7" s="137">
        <f>0.693/BB8</f>
        <v>2.2972045705420805E-2</v>
      </c>
      <c r="BD7" s="83" t="s">
        <v>22</v>
      </c>
      <c r="BE7" s="137">
        <f>0.693/BE8</f>
        <v>2.2972045705420805E-2</v>
      </c>
      <c r="BG7" s="83" t="s">
        <v>22</v>
      </c>
      <c r="BH7" s="137">
        <f>0.693/BH8</f>
        <v>2.2972045705420805E-2</v>
      </c>
      <c r="BJ7" s="83" t="s">
        <v>22</v>
      </c>
      <c r="BK7" s="137">
        <f>0.693/BK8</f>
        <v>2.2972045705420805E-2</v>
      </c>
      <c r="BM7" s="83" t="s">
        <v>22</v>
      </c>
      <c r="BN7" s="137">
        <f>0.693/BN8</f>
        <v>2.2972045705420805E-2</v>
      </c>
      <c r="BP7" s="83" t="s">
        <v>22</v>
      </c>
      <c r="BQ7" s="137">
        <f>0.693/BQ8</f>
        <v>2.2972045705420805E-2</v>
      </c>
      <c r="BS7" s="91" t="s">
        <v>231</v>
      </c>
      <c r="BT7" s="136">
        <f>B30</f>
        <v>30.167100000000001</v>
      </c>
      <c r="BU7" s="52" t="s">
        <v>60</v>
      </c>
      <c r="BV7" s="83" t="s">
        <v>247</v>
      </c>
      <c r="BW7" s="139">
        <f>B18</f>
        <v>1.5417408700798101E-4</v>
      </c>
      <c r="BX7" s="84" t="s">
        <v>259</v>
      </c>
      <c r="BY7" s="83" t="s">
        <v>247</v>
      </c>
      <c r="BZ7" s="139">
        <f>B18</f>
        <v>1.5417408700798101E-4</v>
      </c>
      <c r="CA7" s="84" t="s">
        <v>259</v>
      </c>
      <c r="CB7" s="83" t="s">
        <v>22</v>
      </c>
      <c r="CC7" s="137">
        <f>0.693/CC8</f>
        <v>2.2972045705420805E-2</v>
      </c>
      <c r="CE7" s="83" t="s">
        <v>22</v>
      </c>
      <c r="CF7" s="137">
        <f>0.693/CF8</f>
        <v>2.2972045705420805E-2</v>
      </c>
      <c r="CH7" s="83" t="s">
        <v>22</v>
      </c>
      <c r="CI7" s="137">
        <f>0.693/CI8</f>
        <v>2.2972045705420805E-2</v>
      </c>
      <c r="CK7" s="52" t="s">
        <v>140</v>
      </c>
      <c r="CL7" s="138">
        <f>B113</f>
        <v>55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B18</f>
        <v>1.5417408700798101E-4</v>
      </c>
      <c r="CV7" s="84" t="s">
        <v>259</v>
      </c>
      <c r="CW7" s="91" t="s">
        <v>231</v>
      </c>
      <c r="CX7" s="136">
        <f>B30</f>
        <v>30.167100000000001</v>
      </c>
      <c r="CY7" s="52" t="s">
        <v>60</v>
      </c>
      <c r="CZ7" s="84" t="s">
        <v>247</v>
      </c>
      <c r="DA7" s="139">
        <f>B18</f>
        <v>1.5417408700798101E-4</v>
      </c>
      <c r="DB7" s="84" t="s">
        <v>259</v>
      </c>
      <c r="DC7" s="83" t="s">
        <v>260</v>
      </c>
      <c r="DD7" s="166">
        <f>((DD5)/(DD6*(DD8+DD11)*DD19))*DD22*DD23*DJ11</f>
        <v>1.3832153642778274E-8</v>
      </c>
      <c r="DE7" s="92" t="s">
        <v>12</v>
      </c>
      <c r="DF7" s="52" t="s">
        <v>31</v>
      </c>
      <c r="DG7" s="137">
        <f>(DG8*DG9*DG15*DG21*((1-EXP(-DG16*DG17))))/(DG18*DG16)</f>
        <v>3.6385364930662121</v>
      </c>
      <c r="DH7" s="52" t="s">
        <v>18</v>
      </c>
      <c r="DI7" s="83" t="s">
        <v>32</v>
      </c>
      <c r="DJ7" s="136">
        <f>B43</f>
        <v>2.5229999999999999E-2</v>
      </c>
      <c r="DL7" s="83" t="s">
        <v>32</v>
      </c>
      <c r="DM7" s="136">
        <f>B43</f>
        <v>2.5229999999999999E-2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(DS5/(DS6*DS8*DS15))*DS19*DS20*DY17</f>
        <v>2.7664307285556549E-8</v>
      </c>
      <c r="DT7" s="52" t="s">
        <v>12</v>
      </c>
      <c r="DV7" s="138"/>
      <c r="DX7" s="83" t="s">
        <v>33</v>
      </c>
      <c r="DY7" s="136">
        <f>B44</f>
        <v>2.9000000000000001E-2</v>
      </c>
      <c r="EA7" s="83" t="s">
        <v>33</v>
      </c>
      <c r="EB7" s="136">
        <f>B44</f>
        <v>2.9000000000000001E-2</v>
      </c>
      <c r="EC7" s="84"/>
      <c r="ED7" s="83" t="s">
        <v>33</v>
      </c>
      <c r="EE7" s="136">
        <f>B44</f>
        <v>2.9000000000000001E-2</v>
      </c>
      <c r="EF7" s="84"/>
      <c r="EG7" s="83" t="s">
        <v>260</v>
      </c>
      <c r="EH7" s="168">
        <f>(EH5/(EH6*EH8*EH15))*EH19*EH20*EN16</f>
        <v>2.7664307285556549E-8</v>
      </c>
      <c r="EI7" s="52" t="s">
        <v>12</v>
      </c>
      <c r="EM7" s="83" t="s">
        <v>33</v>
      </c>
      <c r="EN7" s="136">
        <f>B44</f>
        <v>2.9000000000000001E-2</v>
      </c>
      <c r="EP7" s="83" t="s">
        <v>33</v>
      </c>
      <c r="EQ7" s="136">
        <f>B44</f>
        <v>2.9000000000000001E-2</v>
      </c>
      <c r="ER7" s="84"/>
      <c r="ES7" s="83" t="s">
        <v>33</v>
      </c>
      <c r="ET7" s="136">
        <f>B44</f>
        <v>2.9000000000000001E-2</v>
      </c>
      <c r="EU7" s="84"/>
      <c r="EV7" s="83" t="s">
        <v>260</v>
      </c>
      <c r="EW7" s="168">
        <f>(EW5/(EW6*EW8*EW15))*EW19*EW20*FC16</f>
        <v>2.7664307285556549E-8</v>
      </c>
      <c r="EX7" s="52" t="s">
        <v>12</v>
      </c>
      <c r="EY7" s="83"/>
      <c r="EZ7" s="142">
        <v>1000</v>
      </c>
      <c r="FA7" s="83" t="s">
        <v>132</v>
      </c>
      <c r="FB7" s="83" t="s">
        <v>33</v>
      </c>
      <c r="FC7" s="161">
        <f>B44</f>
        <v>2.9000000000000001E-2</v>
      </c>
      <c r="FD7" s="83"/>
      <c r="FE7" s="83" t="s">
        <v>33</v>
      </c>
      <c r="FF7" s="161">
        <f>B44</f>
        <v>2.9000000000000001E-2</v>
      </c>
      <c r="FG7" s="83"/>
      <c r="FH7" s="83" t="s">
        <v>33</v>
      </c>
      <c r="FI7" s="161">
        <f>B44</f>
        <v>2.9000000000000001E-2</v>
      </c>
      <c r="FJ7" s="84"/>
      <c r="FK7" s="83" t="s">
        <v>260</v>
      </c>
      <c r="FL7" s="168">
        <f>(FL5/(FL6*FL8*FL15))*FL19*FL20*FR9</f>
        <v>2.7664307285556549E-8</v>
      </c>
      <c r="FM7" s="52" t="s">
        <v>12</v>
      </c>
      <c r="FN7" s="83"/>
      <c r="FO7" s="138"/>
      <c r="FQ7" s="52" t="s">
        <v>350</v>
      </c>
      <c r="FR7" s="164">
        <f>B168</f>
        <v>1</v>
      </c>
      <c r="FT7" s="83"/>
      <c r="FU7" s="142"/>
      <c r="FV7" s="83"/>
      <c r="FX7" s="138"/>
      <c r="FZ7" s="83" t="s">
        <v>260</v>
      </c>
      <c r="GA7" s="168">
        <f>(GA5/(GA6*GA8*GA15))*GA19*GA20*GG16</f>
        <v>2.7664307285556549E-8</v>
      </c>
      <c r="GB7" s="52" t="s">
        <v>12</v>
      </c>
      <c r="GC7" s="83"/>
      <c r="GD7" s="142">
        <v>1000</v>
      </c>
      <c r="GE7" s="83" t="s">
        <v>132</v>
      </c>
      <c r="GF7" s="83" t="s">
        <v>33</v>
      </c>
      <c r="GG7" s="161">
        <f>B44</f>
        <v>2.9000000000000001E-2</v>
      </c>
      <c r="GH7" s="83"/>
      <c r="GI7" s="83" t="s">
        <v>33</v>
      </c>
      <c r="GJ7" s="161">
        <f>B44</f>
        <v>2.9000000000000001E-2</v>
      </c>
      <c r="GK7" s="83"/>
      <c r="GL7" s="83" t="s">
        <v>33</v>
      </c>
      <c r="GM7" s="161">
        <f>B44</f>
        <v>2.9000000000000001E-2</v>
      </c>
      <c r="GN7" s="84"/>
      <c r="GO7" s="83" t="s">
        <v>260</v>
      </c>
      <c r="GP7" s="168">
        <f>(GP5/(GP6*GP8*GP14))*GP18*GP19*GV16</f>
        <v>2.7664307285556549E-8</v>
      </c>
      <c r="GQ7" s="52" t="s">
        <v>12</v>
      </c>
      <c r="GR7" s="88"/>
      <c r="GS7" s="142">
        <v>1000</v>
      </c>
      <c r="GT7" s="83" t="s">
        <v>132</v>
      </c>
      <c r="GU7" s="83" t="s">
        <v>33</v>
      </c>
      <c r="GV7" s="161">
        <f>B44</f>
        <v>2.9000000000000001E-2</v>
      </c>
      <c r="GW7" s="83"/>
      <c r="GX7" s="83" t="s">
        <v>33</v>
      </c>
      <c r="GY7" s="161">
        <f>B44</f>
        <v>2.9000000000000001E-2</v>
      </c>
      <c r="GZ7" s="83"/>
      <c r="HA7" s="83" t="s">
        <v>33</v>
      </c>
      <c r="HB7" s="161">
        <f>B44</f>
        <v>2.9000000000000001E-2</v>
      </c>
      <c r="HC7" s="84"/>
      <c r="HD7" s="83" t="s">
        <v>22</v>
      </c>
      <c r="HE7" s="137">
        <f>0.693/HE9</f>
        <v>2.2972045705420805E-2</v>
      </c>
    </row>
    <row r="8" spans="1:214" x14ac:dyDescent="0.2">
      <c r="A8" s="116" t="s">
        <v>340</v>
      </c>
      <c r="B8" s="229">
        <v>5.0099999999999999E-2</v>
      </c>
      <c r="C8" s="117"/>
      <c r="D8" s="52" t="s">
        <v>382</v>
      </c>
      <c r="E8" s="138">
        <f>B68</f>
        <v>150</v>
      </c>
      <c r="F8" s="52" t="s">
        <v>24</v>
      </c>
      <c r="G8" s="91" t="s">
        <v>257</v>
      </c>
      <c r="H8" s="136">
        <f>B28</f>
        <v>10.292680000000001</v>
      </c>
      <c r="I8" s="84" t="s">
        <v>259</v>
      </c>
      <c r="J8" s="83" t="s">
        <v>269</v>
      </c>
      <c r="K8" s="136">
        <f>B22</f>
        <v>3.19428</v>
      </c>
      <c r="L8" s="83" t="s">
        <v>351</v>
      </c>
      <c r="M8" s="91" t="s">
        <v>231</v>
      </c>
      <c r="N8" s="136">
        <f>B30</f>
        <v>30.167100000000001</v>
      </c>
      <c r="O8" s="52" t="s">
        <v>60</v>
      </c>
      <c r="P8" s="91" t="s">
        <v>231</v>
      </c>
      <c r="Q8" s="136">
        <f>B30</f>
        <v>30.167100000000001</v>
      </c>
      <c r="R8" s="52" t="s">
        <v>60</v>
      </c>
      <c r="S8" s="91" t="s">
        <v>231</v>
      </c>
      <c r="T8" s="136">
        <f>B30</f>
        <v>30.167100000000001</v>
      </c>
      <c r="U8" s="52" t="s">
        <v>60</v>
      </c>
      <c r="V8" s="91" t="s">
        <v>231</v>
      </c>
      <c r="W8" s="136">
        <f>B30</f>
        <v>30.167100000000001</v>
      </c>
      <c r="X8" s="52" t="s">
        <v>60</v>
      </c>
      <c r="Y8" s="91" t="s">
        <v>231</v>
      </c>
      <c r="Z8" s="136">
        <f>B30</f>
        <v>30.167100000000001</v>
      </c>
      <c r="AA8" s="52" t="s">
        <v>60</v>
      </c>
      <c r="AB8" s="83" t="s">
        <v>249</v>
      </c>
      <c r="AC8" s="136">
        <f>B21</f>
        <v>5.0319999999999999E-5</v>
      </c>
      <c r="AD8" s="136">
        <f>B21</f>
        <v>5.0319999999999999E-5</v>
      </c>
      <c r="AE8" s="136">
        <f>B21</f>
        <v>5.0319999999999999E-5</v>
      </c>
      <c r="AF8" s="136">
        <f>B21</f>
        <v>5.0319999999999999E-5</v>
      </c>
      <c r="AG8" s="136">
        <f>B21</f>
        <v>5.0319999999999999E-5</v>
      </c>
      <c r="AH8" s="83" t="s">
        <v>259</v>
      </c>
      <c r="AI8" s="91" t="s">
        <v>231</v>
      </c>
      <c r="AJ8" s="136">
        <f>B30</f>
        <v>30.167100000000001</v>
      </c>
      <c r="AK8" s="52" t="s">
        <v>60</v>
      </c>
      <c r="AL8" s="91" t="s">
        <v>231</v>
      </c>
      <c r="AM8" s="136">
        <f>B30</f>
        <v>30.167100000000001</v>
      </c>
      <c r="AN8" s="52" t="s">
        <v>60</v>
      </c>
      <c r="AO8" s="91" t="s">
        <v>231</v>
      </c>
      <c r="AP8" s="136">
        <f>B30</f>
        <v>30.167100000000001</v>
      </c>
      <c r="AQ8" s="52" t="s">
        <v>60</v>
      </c>
      <c r="AR8" s="91" t="s">
        <v>231</v>
      </c>
      <c r="AS8" s="136">
        <f>B30</f>
        <v>30.167100000000001</v>
      </c>
      <c r="AT8" s="52" t="s">
        <v>60</v>
      </c>
      <c r="AU8" s="91" t="s">
        <v>231</v>
      </c>
      <c r="AV8" s="136">
        <f>B30</f>
        <v>30.167100000000001</v>
      </c>
      <c r="AW8" s="52" t="s">
        <v>60</v>
      </c>
      <c r="AX8" s="91" t="s">
        <v>231</v>
      </c>
      <c r="AY8" s="136">
        <f>B30</f>
        <v>30.167100000000001</v>
      </c>
      <c r="AZ8" s="52" t="s">
        <v>60</v>
      </c>
      <c r="BA8" s="91" t="s">
        <v>231</v>
      </c>
      <c r="BB8" s="136">
        <f>B30</f>
        <v>30.167100000000001</v>
      </c>
      <c r="BC8" s="52" t="s">
        <v>60</v>
      </c>
      <c r="BD8" s="91" t="s">
        <v>231</v>
      </c>
      <c r="BE8" s="136">
        <f>B30</f>
        <v>30.167100000000001</v>
      </c>
      <c r="BF8" s="52" t="s">
        <v>60</v>
      </c>
      <c r="BG8" s="91" t="s">
        <v>231</v>
      </c>
      <c r="BH8" s="136">
        <f>B30</f>
        <v>30.167100000000001</v>
      </c>
      <c r="BI8" s="52" t="s">
        <v>60</v>
      </c>
      <c r="BJ8" s="91" t="s">
        <v>231</v>
      </c>
      <c r="BK8" s="136">
        <f>B30</f>
        <v>30.167100000000001</v>
      </c>
      <c r="BL8" s="52" t="s">
        <v>60</v>
      </c>
      <c r="BM8" s="91" t="s">
        <v>231</v>
      </c>
      <c r="BN8" s="136">
        <f>B30</f>
        <v>30.167100000000001</v>
      </c>
      <c r="BO8" s="52" t="s">
        <v>60</v>
      </c>
      <c r="BP8" s="91" t="s">
        <v>231</v>
      </c>
      <c r="BQ8" s="136">
        <f>B30</f>
        <v>30.167100000000001</v>
      </c>
      <c r="BR8" s="52" t="s">
        <v>60</v>
      </c>
      <c r="BS8" s="52" t="s">
        <v>140</v>
      </c>
      <c r="BT8" s="138">
        <f>B113</f>
        <v>55</v>
      </c>
      <c r="BU8" s="52" t="s">
        <v>24</v>
      </c>
      <c r="BV8" s="91" t="s">
        <v>257</v>
      </c>
      <c r="BW8" s="136">
        <f>B28</f>
        <v>10.292680000000001</v>
      </c>
      <c r="BX8" s="84" t="s">
        <v>259</v>
      </c>
      <c r="BY8" s="83" t="s">
        <v>269</v>
      </c>
      <c r="BZ8" s="136">
        <f>B22</f>
        <v>3.19428</v>
      </c>
      <c r="CA8" s="83" t="s">
        <v>351</v>
      </c>
      <c r="CB8" s="91" t="s">
        <v>231</v>
      </c>
      <c r="CC8" s="136">
        <f>B30</f>
        <v>30.167100000000001</v>
      </c>
      <c r="CD8" s="52" t="s">
        <v>60</v>
      </c>
      <c r="CE8" s="91" t="s">
        <v>231</v>
      </c>
      <c r="CF8" s="136">
        <f>B30</f>
        <v>30.167100000000001</v>
      </c>
      <c r="CG8" s="52" t="s">
        <v>60</v>
      </c>
      <c r="CH8" s="91" t="s">
        <v>231</v>
      </c>
      <c r="CI8" s="136">
        <f>B30</f>
        <v>30.167100000000001</v>
      </c>
      <c r="CJ8" s="52" t="s">
        <v>60</v>
      </c>
      <c r="CK8" s="52" t="s">
        <v>159</v>
      </c>
      <c r="CL8" s="162">
        <f>B128</f>
        <v>3</v>
      </c>
      <c r="CM8" s="52" t="s">
        <v>221</v>
      </c>
      <c r="CN8" s="84" t="s">
        <v>33</v>
      </c>
      <c r="CO8" s="136">
        <f>B44</f>
        <v>2.9000000000000001E-2</v>
      </c>
      <c r="CT8" s="83" t="s">
        <v>269</v>
      </c>
      <c r="CU8" s="136">
        <f>B22</f>
        <v>3.19428</v>
      </c>
      <c r="CV8" s="83" t="s">
        <v>351</v>
      </c>
      <c r="CW8" s="52" t="s">
        <v>362</v>
      </c>
      <c r="CX8" s="138">
        <f>B167</f>
        <v>150</v>
      </c>
      <c r="CY8" s="52" t="s">
        <v>24</v>
      </c>
      <c r="CZ8" s="83" t="s">
        <v>270</v>
      </c>
      <c r="DA8" s="165">
        <f>B28</f>
        <v>10.292680000000001</v>
      </c>
      <c r="DB8" s="83" t="s">
        <v>259</v>
      </c>
      <c r="DC8" s="83" t="s">
        <v>516</v>
      </c>
      <c r="DD8" s="149">
        <f>(DD9*DD15*DD20)+(DD10*DD14*DD21)</f>
        <v>8250</v>
      </c>
      <c r="DE8" s="92" t="s">
        <v>347</v>
      </c>
      <c r="DF8" s="83" t="s">
        <v>36</v>
      </c>
      <c r="DG8" s="138">
        <f>B189</f>
        <v>3.62</v>
      </c>
      <c r="DH8" s="52" t="s">
        <v>37</v>
      </c>
      <c r="DI8" s="83" t="s">
        <v>393</v>
      </c>
      <c r="DJ8" s="138">
        <f>B47</f>
        <v>0.26</v>
      </c>
      <c r="DL8" s="83" t="s">
        <v>393</v>
      </c>
      <c r="DM8" s="138">
        <f>B47</f>
        <v>0.26</v>
      </c>
      <c r="DO8" s="83" t="s">
        <v>36</v>
      </c>
      <c r="DP8" s="138">
        <f>B189</f>
        <v>3.62</v>
      </c>
      <c r="DQ8" s="52" t="s">
        <v>37</v>
      </c>
      <c r="DR8" s="83" t="s">
        <v>147</v>
      </c>
      <c r="DS8" s="149">
        <f>(DS11*DS9*DS17)+(DS12*DS10*DS18)</f>
        <v>8250</v>
      </c>
      <c r="DT8" s="92" t="s">
        <v>347</v>
      </c>
      <c r="DU8" s="52" t="s">
        <v>518</v>
      </c>
      <c r="DV8" s="146">
        <f>B200</f>
        <v>1.03</v>
      </c>
      <c r="DW8" s="52" t="s">
        <v>286</v>
      </c>
      <c r="DX8" s="83" t="s">
        <v>392</v>
      </c>
      <c r="DY8" s="138">
        <f>B48</f>
        <v>0.25</v>
      </c>
      <c r="EA8" s="83" t="s">
        <v>392</v>
      </c>
      <c r="EB8" s="138">
        <f>B48</f>
        <v>0.25</v>
      </c>
      <c r="EC8" s="84"/>
      <c r="ED8" s="83" t="s">
        <v>392</v>
      </c>
      <c r="EE8" s="138">
        <f>B48</f>
        <v>0.25</v>
      </c>
      <c r="EF8" s="84"/>
      <c r="EG8" s="83" t="s">
        <v>519</v>
      </c>
      <c r="EH8" s="149">
        <f>(EH11*EH9*EH17)+(EH12*EH10*EH18)</f>
        <v>8250</v>
      </c>
      <c r="EI8" s="92" t="s">
        <v>347</v>
      </c>
      <c r="EJ8" s="83"/>
      <c r="EM8" s="83" t="s">
        <v>392</v>
      </c>
      <c r="EN8" s="138">
        <f>B48</f>
        <v>0.25</v>
      </c>
      <c r="EP8" s="83" t="s">
        <v>392</v>
      </c>
      <c r="EQ8" s="138">
        <f>B48</f>
        <v>0.25</v>
      </c>
      <c r="ER8" s="84"/>
      <c r="ES8" s="83" t="s">
        <v>392</v>
      </c>
      <c r="ET8" s="138">
        <f>B48</f>
        <v>0.25</v>
      </c>
      <c r="EU8" s="84"/>
      <c r="EV8" s="83" t="s">
        <v>520</v>
      </c>
      <c r="EW8" s="149">
        <f>(EW11*EW9*EW17)+(EW12*EW10*EW18)</f>
        <v>8250</v>
      </c>
      <c r="EX8" s="92" t="s">
        <v>347</v>
      </c>
      <c r="EY8" s="83"/>
      <c r="EZ8" s="142"/>
      <c r="FA8" s="83"/>
      <c r="FB8" s="83" t="s">
        <v>392</v>
      </c>
      <c r="FC8" s="142">
        <f>B48</f>
        <v>0.25</v>
      </c>
      <c r="FD8" s="83"/>
      <c r="FE8" s="83" t="s">
        <v>392</v>
      </c>
      <c r="FF8" s="142">
        <f>B48</f>
        <v>0.25</v>
      </c>
      <c r="FG8" s="83"/>
      <c r="FH8" s="83" t="s">
        <v>392</v>
      </c>
      <c r="FI8" s="142">
        <f>B48</f>
        <v>0.25</v>
      </c>
      <c r="FJ8" s="84"/>
      <c r="FK8" s="83" t="s">
        <v>521</v>
      </c>
      <c r="FL8" s="173">
        <f>(FL9*FL11*FL17)+(FL10*FL12*FL18)</f>
        <v>8250</v>
      </c>
      <c r="FM8" s="92" t="s">
        <v>347</v>
      </c>
      <c r="FN8" s="83"/>
      <c r="FO8" s="142"/>
      <c r="FP8" s="83"/>
      <c r="FQ8" s="83" t="s">
        <v>22</v>
      </c>
      <c r="FR8" s="137">
        <f>0.693/FR9</f>
        <v>2.2972045705420805E-2</v>
      </c>
      <c r="FT8" s="83"/>
      <c r="FU8" s="142"/>
      <c r="FV8" s="83"/>
      <c r="FZ8" s="83" t="s">
        <v>522</v>
      </c>
      <c r="GA8" s="173">
        <f>(GA11*GA9*GA17)+(GA10*GA12*GA18)</f>
        <v>8250</v>
      </c>
      <c r="GB8" s="92" t="s">
        <v>347</v>
      </c>
      <c r="GC8" s="83"/>
      <c r="GD8" s="142"/>
      <c r="GE8" s="83"/>
      <c r="GF8" s="83" t="s">
        <v>392</v>
      </c>
      <c r="GG8" s="142">
        <f>B48</f>
        <v>0.25</v>
      </c>
      <c r="GH8" s="83"/>
      <c r="GI8" s="83" t="s">
        <v>392</v>
      </c>
      <c r="GJ8" s="142">
        <f>B48</f>
        <v>0.25</v>
      </c>
      <c r="GK8" s="83"/>
      <c r="GL8" s="83" t="s">
        <v>392</v>
      </c>
      <c r="GM8" s="142">
        <f>B48</f>
        <v>0.25</v>
      </c>
      <c r="GN8" s="84"/>
      <c r="GO8" s="83" t="s">
        <v>523</v>
      </c>
      <c r="GP8" s="149">
        <f>(GP9*GP11*GP16)+(GP10*GP12*GP17)</f>
        <v>8250</v>
      </c>
      <c r="GQ8" s="92" t="s">
        <v>347</v>
      </c>
      <c r="GR8" s="83"/>
      <c r="GS8" s="142"/>
      <c r="GT8" s="83"/>
      <c r="GU8" s="83" t="s">
        <v>392</v>
      </c>
      <c r="GV8" s="142">
        <f>B48</f>
        <v>0.25</v>
      </c>
      <c r="GW8" s="83"/>
      <c r="GX8" s="83" t="s">
        <v>392</v>
      </c>
      <c r="GY8" s="142">
        <f>B48</f>
        <v>0.25</v>
      </c>
      <c r="GZ8" s="83"/>
      <c r="HA8" s="83" t="s">
        <v>392</v>
      </c>
      <c r="HB8" s="142">
        <f>B48</f>
        <v>0.25</v>
      </c>
      <c r="HC8" s="84"/>
      <c r="HD8" s="52" t="s">
        <v>16</v>
      </c>
      <c r="HE8" s="137">
        <f>1-EXP(-HE7*HE12)</f>
        <v>2.2710197161529555E-2</v>
      </c>
    </row>
    <row r="9" spans="1:214" x14ac:dyDescent="0.2">
      <c r="A9" s="116" t="s">
        <v>243</v>
      </c>
      <c r="B9" s="229">
        <v>0.72599999999999998</v>
      </c>
      <c r="C9" s="117"/>
      <c r="D9" s="52" t="s">
        <v>379</v>
      </c>
      <c r="E9" s="138">
        <f>B65</f>
        <v>1</v>
      </c>
      <c r="F9" s="52" t="s">
        <v>146</v>
      </c>
      <c r="G9" s="83" t="s">
        <v>258</v>
      </c>
      <c r="H9" s="136">
        <f>B29</f>
        <v>4.9109405245458101E-5</v>
      </c>
      <c r="I9" s="92" t="s">
        <v>259</v>
      </c>
      <c r="J9" s="83" t="s">
        <v>258</v>
      </c>
      <c r="K9" s="136">
        <f>B29</f>
        <v>4.9109405245458101E-5</v>
      </c>
      <c r="L9" s="92" t="s">
        <v>259</v>
      </c>
      <c r="M9" s="52" t="s">
        <v>382</v>
      </c>
      <c r="N9" s="138">
        <f>B68</f>
        <v>150</v>
      </c>
      <c r="O9" s="52" t="s">
        <v>24</v>
      </c>
      <c r="P9" s="52" t="s">
        <v>382</v>
      </c>
      <c r="Q9" s="138">
        <f>B68</f>
        <v>150</v>
      </c>
      <c r="R9" s="52" t="s">
        <v>24</v>
      </c>
      <c r="S9" s="52" t="s">
        <v>382</v>
      </c>
      <c r="T9" s="138">
        <f>B68</f>
        <v>150</v>
      </c>
      <c r="U9" s="52" t="s">
        <v>24</v>
      </c>
      <c r="V9" s="52" t="s">
        <v>423</v>
      </c>
      <c r="W9" s="138">
        <f>B247</f>
        <v>125</v>
      </c>
      <c r="X9" s="52" t="s">
        <v>24</v>
      </c>
      <c r="Y9" s="52" t="s">
        <v>316</v>
      </c>
      <c r="Z9" s="138">
        <f>B227</f>
        <v>125</v>
      </c>
      <c r="AA9" s="52" t="s">
        <v>24</v>
      </c>
      <c r="AB9" s="83" t="s">
        <v>34</v>
      </c>
      <c r="AC9" s="146">
        <f>B228</f>
        <v>1</v>
      </c>
      <c r="AD9" s="146">
        <f>B238</f>
        <v>1</v>
      </c>
      <c r="AE9" s="146">
        <f>B248</f>
        <v>1</v>
      </c>
      <c r="AF9" s="146">
        <f>B258</f>
        <v>1</v>
      </c>
      <c r="AG9" s="146">
        <f>B270</f>
        <v>1</v>
      </c>
      <c r="AH9" s="83" t="s">
        <v>60</v>
      </c>
      <c r="AI9" s="52" t="s">
        <v>35</v>
      </c>
      <c r="AJ9" s="138">
        <f>B237</f>
        <v>125</v>
      </c>
      <c r="AK9" s="52" t="s">
        <v>24</v>
      </c>
      <c r="AL9" s="52" t="s">
        <v>35</v>
      </c>
      <c r="AM9" s="138">
        <f>B237</f>
        <v>125</v>
      </c>
      <c r="AN9" s="52" t="s">
        <v>24</v>
      </c>
      <c r="AO9" s="52" t="s">
        <v>35</v>
      </c>
      <c r="AP9" s="138">
        <f>B237</f>
        <v>125</v>
      </c>
      <c r="AQ9" s="52" t="s">
        <v>24</v>
      </c>
      <c r="AR9" s="52" t="s">
        <v>423</v>
      </c>
      <c r="AS9" s="138">
        <f>B247</f>
        <v>125</v>
      </c>
      <c r="AT9" s="52" t="s">
        <v>24</v>
      </c>
      <c r="AU9" s="52" t="s">
        <v>423</v>
      </c>
      <c r="AV9" s="138">
        <f>B247</f>
        <v>125</v>
      </c>
      <c r="AW9" s="52" t="s">
        <v>24</v>
      </c>
      <c r="AX9" s="52" t="s">
        <v>423</v>
      </c>
      <c r="AY9" s="138">
        <f>B247</f>
        <v>125</v>
      </c>
      <c r="AZ9" s="52" t="s">
        <v>24</v>
      </c>
      <c r="BA9" s="52" t="s">
        <v>316</v>
      </c>
      <c r="BB9" s="138">
        <f>B227</f>
        <v>125</v>
      </c>
      <c r="BC9" s="52" t="s">
        <v>24</v>
      </c>
      <c r="BD9" s="52" t="s">
        <v>316</v>
      </c>
      <c r="BE9" s="138">
        <f>B227</f>
        <v>125</v>
      </c>
      <c r="BF9" s="52" t="s">
        <v>24</v>
      </c>
      <c r="BG9" s="52" t="s">
        <v>316</v>
      </c>
      <c r="BH9" s="138">
        <f>B227</f>
        <v>125</v>
      </c>
      <c r="BI9" s="52" t="s">
        <v>24</v>
      </c>
      <c r="BJ9" s="52" t="s">
        <v>191</v>
      </c>
      <c r="BK9" s="138">
        <f>BK10*BK11</f>
        <v>75</v>
      </c>
      <c r="BL9" s="52" t="s">
        <v>24</v>
      </c>
      <c r="BM9" s="52" t="s">
        <v>191</v>
      </c>
      <c r="BN9" s="138">
        <f>BN10*BN11</f>
        <v>75</v>
      </c>
      <c r="BO9" s="52" t="s">
        <v>24</v>
      </c>
      <c r="BP9" s="52" t="s">
        <v>191</v>
      </c>
      <c r="BQ9" s="138">
        <f>BQ10*BQ11</f>
        <v>75</v>
      </c>
      <c r="BR9" s="52" t="s">
        <v>24</v>
      </c>
      <c r="BS9" s="52" t="s">
        <v>247</v>
      </c>
      <c r="BT9" s="139">
        <f>E11</f>
        <v>1.5417408700798101E-4</v>
      </c>
      <c r="BU9" s="84" t="s">
        <v>259</v>
      </c>
      <c r="BV9" s="83" t="s">
        <v>258</v>
      </c>
      <c r="BW9" s="136">
        <f>B29</f>
        <v>4.9109405245458101E-5</v>
      </c>
      <c r="BX9" s="92" t="s">
        <v>259</v>
      </c>
      <c r="BY9" s="83" t="s">
        <v>77</v>
      </c>
      <c r="BZ9" s="136">
        <f>B31</f>
        <v>1359344473.5814338</v>
      </c>
      <c r="CA9" s="83" t="s">
        <v>78</v>
      </c>
      <c r="CB9" s="52" t="s">
        <v>140</v>
      </c>
      <c r="CC9" s="138">
        <f>B113</f>
        <v>55</v>
      </c>
      <c r="CD9" s="52" t="s">
        <v>24</v>
      </c>
      <c r="CE9" s="52" t="s">
        <v>140</v>
      </c>
      <c r="CF9" s="138">
        <f>B113</f>
        <v>55</v>
      </c>
      <c r="CG9" s="52" t="s">
        <v>24</v>
      </c>
      <c r="CH9" s="52" t="s">
        <v>140</v>
      </c>
      <c r="CI9" s="138">
        <f>B113</f>
        <v>55</v>
      </c>
      <c r="CJ9" s="52" t="s">
        <v>24</v>
      </c>
      <c r="CK9" s="94" t="s">
        <v>295</v>
      </c>
      <c r="CL9" s="150">
        <f>B278</f>
        <v>132.90539999999999</v>
      </c>
      <c r="CM9" s="90" t="s">
        <v>296</v>
      </c>
      <c r="CN9" s="84" t="s">
        <v>392</v>
      </c>
      <c r="CO9" s="162">
        <f>B48</f>
        <v>0.25</v>
      </c>
      <c r="CT9" s="83" t="s">
        <v>258</v>
      </c>
      <c r="CU9" s="136">
        <f>B29</f>
        <v>4.9109405245458101E-5</v>
      </c>
      <c r="CV9" s="92" t="s">
        <v>259</v>
      </c>
      <c r="CW9" s="52" t="s">
        <v>363</v>
      </c>
      <c r="CX9" s="138">
        <f>B168</f>
        <v>1</v>
      </c>
      <c r="CY9" s="52" t="s">
        <v>146</v>
      </c>
      <c r="CZ9" s="83" t="s">
        <v>258</v>
      </c>
      <c r="DA9" s="136">
        <f>B29</f>
        <v>4.9109405245458101E-5</v>
      </c>
      <c r="DB9" s="84" t="s">
        <v>259</v>
      </c>
      <c r="DC9" s="83" t="s">
        <v>513</v>
      </c>
      <c r="DD9" s="146">
        <f>B149</f>
        <v>55</v>
      </c>
      <c r="DE9" s="92" t="s">
        <v>221</v>
      </c>
      <c r="DF9" s="83" t="s">
        <v>40</v>
      </c>
      <c r="DG9" s="138">
        <f>B190</f>
        <v>0.25</v>
      </c>
      <c r="DH9" s="52" t="s">
        <v>41</v>
      </c>
      <c r="DI9" s="52" t="s">
        <v>350</v>
      </c>
      <c r="DJ9" s="164">
        <f>B168</f>
        <v>1</v>
      </c>
      <c r="DL9" s="83"/>
      <c r="DM9" s="138"/>
      <c r="DO9" s="83" t="s">
        <v>40</v>
      </c>
      <c r="DP9" s="138">
        <f>B190</f>
        <v>0.25</v>
      </c>
      <c r="DQ9" s="52" t="s">
        <v>41</v>
      </c>
      <c r="DR9" s="83" t="s">
        <v>452</v>
      </c>
      <c r="DS9" s="146">
        <f>B151</f>
        <v>55</v>
      </c>
      <c r="DT9" s="92" t="s">
        <v>221</v>
      </c>
      <c r="DU9" s="83"/>
      <c r="DX9" s="83" t="s">
        <v>517</v>
      </c>
      <c r="DY9" s="136">
        <f>B36</f>
        <v>4.5999999999999999E-3</v>
      </c>
      <c r="DZ9" s="52" t="s">
        <v>601</v>
      </c>
      <c r="EA9" s="83" t="s">
        <v>517</v>
      </c>
      <c r="EB9" s="136">
        <f>B36</f>
        <v>4.5999999999999999E-3</v>
      </c>
      <c r="EC9" s="52" t="s">
        <v>601</v>
      </c>
      <c r="ED9" s="83" t="s">
        <v>517</v>
      </c>
      <c r="EE9" s="136">
        <f>B36</f>
        <v>4.5999999999999999E-3</v>
      </c>
      <c r="EF9" s="52" t="s">
        <v>601</v>
      </c>
      <c r="EG9" s="83" t="s">
        <v>453</v>
      </c>
      <c r="EH9" s="170">
        <f>B153</f>
        <v>55</v>
      </c>
      <c r="EI9" s="92" t="s">
        <v>221</v>
      </c>
      <c r="EJ9" s="83"/>
      <c r="EM9" s="83" t="s">
        <v>236</v>
      </c>
      <c r="EN9" s="136">
        <f>B37</f>
        <v>2.1999999999999999E-2</v>
      </c>
      <c r="EO9" s="52" t="s">
        <v>388</v>
      </c>
      <c r="EP9" s="83" t="s">
        <v>236</v>
      </c>
      <c r="EQ9" s="169">
        <f>B37</f>
        <v>2.1999999999999999E-2</v>
      </c>
      <c r="ER9" s="52" t="s">
        <v>388</v>
      </c>
      <c r="ES9" s="83" t="s">
        <v>236</v>
      </c>
      <c r="ET9" s="169">
        <f>B37</f>
        <v>2.1999999999999999E-2</v>
      </c>
      <c r="EU9" s="52" t="s">
        <v>388</v>
      </c>
      <c r="EV9" s="83" t="s">
        <v>454</v>
      </c>
      <c r="EW9" s="171">
        <f>B155</f>
        <v>55</v>
      </c>
      <c r="EX9" s="92" t="s">
        <v>221</v>
      </c>
      <c r="EY9" s="83"/>
      <c r="EZ9" s="142"/>
      <c r="FA9" s="83"/>
      <c r="FB9" s="83" t="s">
        <v>171</v>
      </c>
      <c r="FC9" s="169">
        <f>B39</f>
        <v>0.4</v>
      </c>
      <c r="FD9" s="52" t="s">
        <v>388</v>
      </c>
      <c r="FE9" s="83" t="s">
        <v>171</v>
      </c>
      <c r="FF9" s="169">
        <f>B39</f>
        <v>0.4</v>
      </c>
      <c r="FG9" s="52" t="s">
        <v>388</v>
      </c>
      <c r="FH9" s="83" t="s">
        <v>171</v>
      </c>
      <c r="FI9" s="169">
        <f>B39</f>
        <v>0.4</v>
      </c>
      <c r="FJ9" s="52" t="s">
        <v>388</v>
      </c>
      <c r="FK9" s="83" t="s">
        <v>471</v>
      </c>
      <c r="FL9" s="150">
        <f>B157</f>
        <v>55</v>
      </c>
      <c r="FM9" s="92" t="s">
        <v>221</v>
      </c>
      <c r="FN9" s="83"/>
      <c r="FO9" s="83"/>
      <c r="FP9" s="83"/>
      <c r="FQ9" s="91" t="s">
        <v>231</v>
      </c>
      <c r="FR9" s="136">
        <f>B30</f>
        <v>30.167100000000001</v>
      </c>
      <c r="FS9" s="52" t="s">
        <v>60</v>
      </c>
      <c r="FT9" s="83"/>
      <c r="FU9" s="164"/>
      <c r="FV9" s="83"/>
      <c r="FW9" s="83"/>
      <c r="FX9" s="93"/>
      <c r="FY9" s="83"/>
      <c r="FZ9" s="83" t="s">
        <v>473</v>
      </c>
      <c r="GA9" s="174">
        <f>B159</f>
        <v>55</v>
      </c>
      <c r="GB9" s="92" t="s">
        <v>221</v>
      </c>
      <c r="GC9" s="83"/>
      <c r="GD9" s="142"/>
      <c r="GE9" s="83"/>
      <c r="GF9" s="83" t="s">
        <v>237</v>
      </c>
      <c r="GG9" s="169">
        <f>B38</f>
        <v>2.7</v>
      </c>
      <c r="GH9" s="52" t="s">
        <v>388</v>
      </c>
      <c r="GI9" s="83" t="s">
        <v>237</v>
      </c>
      <c r="GJ9" s="169">
        <f>B38</f>
        <v>2.7</v>
      </c>
      <c r="GK9" s="52" t="s">
        <v>388</v>
      </c>
      <c r="GL9" s="83" t="s">
        <v>237</v>
      </c>
      <c r="GM9" s="169">
        <f>B38</f>
        <v>2.7</v>
      </c>
      <c r="GN9" s="52" t="s">
        <v>388</v>
      </c>
      <c r="GO9" s="83" t="s">
        <v>455</v>
      </c>
      <c r="GP9" s="150">
        <f>B161</f>
        <v>55</v>
      </c>
      <c r="GQ9" s="92" t="s">
        <v>221</v>
      </c>
      <c r="GR9" s="83"/>
      <c r="GS9" s="142"/>
      <c r="GT9" s="83"/>
      <c r="GU9" s="83" t="s">
        <v>238</v>
      </c>
      <c r="GV9" s="169">
        <f>B40</f>
        <v>0.2</v>
      </c>
      <c r="GW9" s="52" t="s">
        <v>388</v>
      </c>
      <c r="GX9" s="83" t="s">
        <v>238</v>
      </c>
      <c r="GY9" s="169">
        <f>B40</f>
        <v>0.2</v>
      </c>
      <c r="GZ9" s="52" t="s">
        <v>388</v>
      </c>
      <c r="HA9" s="83" t="s">
        <v>238</v>
      </c>
      <c r="HB9" s="169">
        <f>B40</f>
        <v>0.2</v>
      </c>
      <c r="HC9" s="52" t="s">
        <v>388</v>
      </c>
      <c r="HD9" s="91" t="s">
        <v>231</v>
      </c>
      <c r="HE9" s="136">
        <f>B30</f>
        <v>30.167100000000001</v>
      </c>
      <c r="HF9" s="52" t="s">
        <v>60</v>
      </c>
    </row>
    <row r="10" spans="1:214" x14ac:dyDescent="0.2">
      <c r="A10" s="116" t="s">
        <v>341</v>
      </c>
      <c r="B10" s="229">
        <v>7.2400000000000006E-2</v>
      </c>
      <c r="C10" s="117"/>
      <c r="D10" s="52" t="s">
        <v>92</v>
      </c>
      <c r="E10" s="138">
        <f>E9</f>
        <v>1</v>
      </c>
      <c r="G10" s="83" t="s">
        <v>260</v>
      </c>
      <c r="H10" s="143">
        <f>(H5/(H6*H15))*H70*H71*H73</f>
        <v>1.2568878854439784E-9</v>
      </c>
      <c r="I10" s="92" t="s">
        <v>13</v>
      </c>
      <c r="J10" s="83" t="s">
        <v>77</v>
      </c>
      <c r="K10" s="136">
        <f>B31</f>
        <v>1359344473.5814338</v>
      </c>
      <c r="L10" s="83" t="s">
        <v>78</v>
      </c>
      <c r="M10" s="52" t="s">
        <v>379</v>
      </c>
      <c r="N10" s="138">
        <f>B65</f>
        <v>1</v>
      </c>
      <c r="O10" s="52" t="s">
        <v>146</v>
      </c>
      <c r="P10" s="52" t="s">
        <v>379</v>
      </c>
      <c r="Q10" s="138">
        <f>B65</f>
        <v>1</v>
      </c>
      <c r="R10" s="52" t="s">
        <v>146</v>
      </c>
      <c r="S10" s="52" t="s">
        <v>379</v>
      </c>
      <c r="T10" s="138">
        <f>B65</f>
        <v>1</v>
      </c>
      <c r="U10" s="52" t="s">
        <v>146</v>
      </c>
      <c r="V10" s="52" t="s">
        <v>424</v>
      </c>
      <c r="W10" s="138">
        <f>B248</f>
        <v>1</v>
      </c>
      <c r="X10" s="52" t="s">
        <v>146</v>
      </c>
      <c r="Y10" s="52" t="s">
        <v>422</v>
      </c>
      <c r="Z10" s="138">
        <f>B228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B265</f>
        <v>3</v>
      </c>
      <c r="AG10" s="146">
        <f>B276</f>
        <v>3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B238</f>
        <v>1</v>
      </c>
      <c r="AN10" s="52" t="s">
        <v>146</v>
      </c>
      <c r="AO10" s="52" t="s">
        <v>420</v>
      </c>
      <c r="AP10" s="138">
        <f>B238</f>
        <v>1</v>
      </c>
      <c r="AQ10" s="52" t="s">
        <v>146</v>
      </c>
      <c r="AR10" s="52" t="s">
        <v>424</v>
      </c>
      <c r="AS10" s="138">
        <f>B248</f>
        <v>1</v>
      </c>
      <c r="AT10" s="52" t="s">
        <v>146</v>
      </c>
      <c r="AU10" s="52" t="s">
        <v>424</v>
      </c>
      <c r="AV10" s="138">
        <f>B248</f>
        <v>1</v>
      </c>
      <c r="AW10" s="52" t="s">
        <v>146</v>
      </c>
      <c r="AX10" s="52" t="s">
        <v>424</v>
      </c>
      <c r="AY10" s="138">
        <f>B248</f>
        <v>1</v>
      </c>
      <c r="AZ10" s="52" t="s">
        <v>146</v>
      </c>
      <c r="BA10" s="52" t="s">
        <v>422</v>
      </c>
      <c r="BB10" s="138">
        <f>B228</f>
        <v>1</v>
      </c>
      <c r="BC10" s="52" t="s">
        <v>146</v>
      </c>
      <c r="BD10" s="52" t="s">
        <v>422</v>
      </c>
      <c r="BE10" s="138">
        <f>B228</f>
        <v>1</v>
      </c>
      <c r="BF10" s="52" t="s">
        <v>146</v>
      </c>
      <c r="BG10" s="52" t="s">
        <v>422</v>
      </c>
      <c r="BH10" s="138">
        <f>B228</f>
        <v>1</v>
      </c>
      <c r="BI10" s="52" t="s">
        <v>146</v>
      </c>
      <c r="BJ10" s="52" t="s">
        <v>220</v>
      </c>
      <c r="BK10" s="138">
        <f>B266</f>
        <v>25</v>
      </c>
      <c r="BL10" s="52" t="s">
        <v>113</v>
      </c>
      <c r="BM10" s="52" t="s">
        <v>220</v>
      </c>
      <c r="BN10" s="138">
        <f>B266</f>
        <v>25</v>
      </c>
      <c r="BO10" s="52" t="s">
        <v>113</v>
      </c>
      <c r="BP10" s="52" t="s">
        <v>220</v>
      </c>
      <c r="BQ10" s="138">
        <f>B266</f>
        <v>25</v>
      </c>
      <c r="BR10" s="52" t="s">
        <v>113</v>
      </c>
      <c r="BS10" s="83" t="s">
        <v>428</v>
      </c>
      <c r="BT10" s="149">
        <f>(BT22*BT13*(1/24)*BT11*BT25)+(BT23*BT14*(1/24)*BT12*BT26)</f>
        <v>101.40624999999999</v>
      </c>
      <c r="BU10" s="52" t="s">
        <v>426</v>
      </c>
      <c r="BV10" s="83" t="s">
        <v>260</v>
      </c>
      <c r="BW10" s="143">
        <f>(BW5/(BW6*BW13))*BW32*BW33*BW34</f>
        <v>8.3125994241863129E-11</v>
      </c>
      <c r="BX10" s="92" t="s">
        <v>13</v>
      </c>
      <c r="BY10" s="84" t="s">
        <v>16</v>
      </c>
      <c r="BZ10" s="137">
        <f>(BZ30*BZ11)/(1-EXP(-BZ11*BZ30))</f>
        <v>1.0115299987062558</v>
      </c>
      <c r="CB10" s="52" t="s">
        <v>51</v>
      </c>
      <c r="CC10" s="138">
        <f>B127</f>
        <v>1</v>
      </c>
      <c r="CD10" s="52" t="s">
        <v>146</v>
      </c>
      <c r="CE10" s="52" t="s">
        <v>51</v>
      </c>
      <c r="CF10" s="138">
        <f>B127</f>
        <v>1</v>
      </c>
      <c r="CG10" s="52" t="s">
        <v>146</v>
      </c>
      <c r="CH10" s="52" t="s">
        <v>51</v>
      </c>
      <c r="CI10" s="138">
        <f>B127</f>
        <v>1</v>
      </c>
      <c r="CJ10" s="52" t="s">
        <v>146</v>
      </c>
      <c r="CK10" s="84" t="s">
        <v>293</v>
      </c>
      <c r="CL10" s="85">
        <f>B280</f>
        <v>2.7955176153748299E-12</v>
      </c>
      <c r="CN10" s="84" t="s">
        <v>164</v>
      </c>
      <c r="CO10" s="162">
        <f>B129</f>
        <v>2</v>
      </c>
      <c r="CP10" s="52" t="s">
        <v>246</v>
      </c>
      <c r="CT10" s="83" t="s">
        <v>77</v>
      </c>
      <c r="CU10" s="136">
        <f>B31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1.0115299987062558</v>
      </c>
      <c r="DC10" s="83" t="s">
        <v>514</v>
      </c>
      <c r="DD10" s="146">
        <f>B150</f>
        <v>55</v>
      </c>
      <c r="DE10" s="92" t="s">
        <v>221</v>
      </c>
      <c r="DF10" s="92" t="s">
        <v>32</v>
      </c>
      <c r="DG10" s="136">
        <f>B43</f>
        <v>2.5229999999999999E-2</v>
      </c>
      <c r="DI10" s="83" t="s">
        <v>22</v>
      </c>
      <c r="DJ10" s="137">
        <f>0.693/DJ11</f>
        <v>2.2972045705420805E-2</v>
      </c>
      <c r="DL10" s="92"/>
      <c r="DO10" s="92" t="s">
        <v>32</v>
      </c>
      <c r="DP10" s="136">
        <f>B43</f>
        <v>2.5229999999999999E-2</v>
      </c>
      <c r="DR10" s="83" t="s">
        <v>461</v>
      </c>
      <c r="DS10" s="146">
        <f>B152</f>
        <v>55</v>
      </c>
      <c r="DT10" s="92" t="s">
        <v>221</v>
      </c>
      <c r="DU10" s="92"/>
      <c r="DX10" s="83" t="s">
        <v>498</v>
      </c>
      <c r="DY10" s="138">
        <f>B201</f>
        <v>20.3</v>
      </c>
      <c r="DZ10" s="52" t="s">
        <v>246</v>
      </c>
      <c r="EA10" s="83" t="s">
        <v>498</v>
      </c>
      <c r="EB10" s="138">
        <f>B201</f>
        <v>20.3</v>
      </c>
      <c r="EC10" s="52" t="s">
        <v>246</v>
      </c>
      <c r="ED10" s="83" t="s">
        <v>498</v>
      </c>
      <c r="EE10" s="138">
        <f>B201</f>
        <v>20.3</v>
      </c>
      <c r="EF10" s="52" t="s">
        <v>246</v>
      </c>
      <c r="EG10" s="83" t="s">
        <v>462</v>
      </c>
      <c r="EH10" s="170">
        <f>B154</f>
        <v>55</v>
      </c>
      <c r="EI10" s="92" t="s">
        <v>221</v>
      </c>
      <c r="EJ10" s="92"/>
      <c r="EM10" s="83" t="s">
        <v>494</v>
      </c>
      <c r="EN10" s="138">
        <f>B206</f>
        <v>11.77</v>
      </c>
      <c r="EO10" s="52" t="s">
        <v>246</v>
      </c>
      <c r="EP10" s="83" t="s">
        <v>494</v>
      </c>
      <c r="EQ10" s="138">
        <f>B206</f>
        <v>11.77</v>
      </c>
      <c r="ER10" s="52" t="s">
        <v>246</v>
      </c>
      <c r="ES10" s="83" t="s">
        <v>494</v>
      </c>
      <c r="ET10" s="138">
        <f>B206</f>
        <v>11.77</v>
      </c>
      <c r="EU10" s="52" t="s">
        <v>246</v>
      </c>
      <c r="EV10" s="83" t="s">
        <v>463</v>
      </c>
      <c r="EW10" s="170">
        <f>B156</f>
        <v>55</v>
      </c>
      <c r="EX10" s="92" t="s">
        <v>221</v>
      </c>
      <c r="EY10" s="83"/>
      <c r="EZ10" s="142"/>
      <c r="FA10" s="83"/>
      <c r="FB10" s="83" t="s">
        <v>152</v>
      </c>
      <c r="FC10" s="142">
        <f>B211</f>
        <v>0.2</v>
      </c>
      <c r="FD10" s="52" t="s">
        <v>246</v>
      </c>
      <c r="FE10" s="83" t="s">
        <v>152</v>
      </c>
      <c r="FF10" s="142">
        <f>B211</f>
        <v>0.2</v>
      </c>
      <c r="FG10" s="52" t="s">
        <v>246</v>
      </c>
      <c r="FH10" s="83" t="s">
        <v>152</v>
      </c>
      <c r="FI10" s="142">
        <f>B211</f>
        <v>0.2</v>
      </c>
      <c r="FJ10" s="52" t="s">
        <v>246</v>
      </c>
      <c r="FK10" s="83" t="s">
        <v>472</v>
      </c>
      <c r="FL10" s="150">
        <f>B158</f>
        <v>55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1.0115299987062558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B160</f>
        <v>55</v>
      </c>
      <c r="GB10" s="92" t="s">
        <v>221</v>
      </c>
      <c r="GC10" s="83"/>
      <c r="GD10" s="83"/>
      <c r="GE10" s="83"/>
      <c r="GF10" s="83" t="s">
        <v>486</v>
      </c>
      <c r="GG10" s="142">
        <f>B216</f>
        <v>0.2</v>
      </c>
      <c r="GH10" s="52" t="s">
        <v>246</v>
      </c>
      <c r="GI10" s="83" t="s">
        <v>486</v>
      </c>
      <c r="GJ10" s="142">
        <f>B216</f>
        <v>0.2</v>
      </c>
      <c r="GK10" s="52" t="s">
        <v>246</v>
      </c>
      <c r="GL10" s="83" t="s">
        <v>486</v>
      </c>
      <c r="GM10" s="142">
        <f>B216</f>
        <v>0.2</v>
      </c>
      <c r="GN10" s="52" t="s">
        <v>246</v>
      </c>
      <c r="GO10" s="83" t="s">
        <v>464</v>
      </c>
      <c r="GP10" s="150">
        <f>B162</f>
        <v>55</v>
      </c>
      <c r="GQ10" s="92" t="s">
        <v>221</v>
      </c>
      <c r="GR10" s="83"/>
      <c r="GS10" s="83"/>
      <c r="GT10" s="83"/>
      <c r="GU10" s="83" t="s">
        <v>490</v>
      </c>
      <c r="GV10" s="142">
        <f>B221</f>
        <v>4.7</v>
      </c>
      <c r="GW10" s="52" t="s">
        <v>246</v>
      </c>
      <c r="GX10" s="83" t="s">
        <v>490</v>
      </c>
      <c r="GY10" s="142">
        <f>B221</f>
        <v>4.7</v>
      </c>
      <c r="GZ10" s="52" t="s">
        <v>246</v>
      </c>
      <c r="HA10" s="83" t="s">
        <v>490</v>
      </c>
      <c r="HB10" s="142">
        <f>B221</f>
        <v>4.7</v>
      </c>
      <c r="HC10" s="52" t="s">
        <v>246</v>
      </c>
      <c r="HD10" s="84" t="s">
        <v>38</v>
      </c>
      <c r="HE10" s="163">
        <f>B93</f>
        <v>0.3</v>
      </c>
    </row>
    <row r="11" spans="1:214" x14ac:dyDescent="0.2">
      <c r="A11" s="116" t="s">
        <v>244</v>
      </c>
      <c r="B11" s="229">
        <v>0.73599999999999999</v>
      </c>
      <c r="C11" s="117"/>
      <c r="D11" s="52" t="s">
        <v>247</v>
      </c>
      <c r="E11" s="139">
        <f>B18</f>
        <v>1.5417408700798101E-4</v>
      </c>
      <c r="F11" s="84" t="s">
        <v>259</v>
      </c>
      <c r="G11" s="83" t="s">
        <v>261</v>
      </c>
      <c r="H11" s="144">
        <f>(H5/(H7*H16*H28))*H70*H71*H73</f>
        <v>1.097029488611598E-10</v>
      </c>
      <c r="I11" s="92" t="s">
        <v>13</v>
      </c>
      <c r="J11" s="84" t="s">
        <v>16</v>
      </c>
      <c r="K11" s="137">
        <f>(K43*K12)/(1-EXP(-K12*K43))</f>
        <v>1.0115299987062558</v>
      </c>
      <c r="M11" s="52" t="s">
        <v>299</v>
      </c>
      <c r="N11" s="138">
        <f>B73</f>
        <v>1</v>
      </c>
      <c r="P11" s="52" t="s">
        <v>299</v>
      </c>
      <c r="Q11" s="138">
        <f>B73</f>
        <v>1</v>
      </c>
      <c r="S11" s="52" t="s">
        <v>299</v>
      </c>
      <c r="T11" s="138">
        <f>B73</f>
        <v>1</v>
      </c>
      <c r="V11" s="52" t="s">
        <v>247</v>
      </c>
      <c r="W11" s="139">
        <f>B18</f>
        <v>1.5417408700798101E-4</v>
      </c>
      <c r="X11" s="84" t="s">
        <v>39</v>
      </c>
      <c r="Y11" s="52" t="s">
        <v>247</v>
      </c>
      <c r="Z11" s="139">
        <f>B18</f>
        <v>1.5417408700798101E-4</v>
      </c>
      <c r="AA11" s="84" t="s">
        <v>39</v>
      </c>
      <c r="AB11" s="83" t="s">
        <v>220</v>
      </c>
      <c r="AC11" s="146"/>
      <c r="AD11" s="146"/>
      <c r="AE11" s="146"/>
      <c r="AF11" s="146">
        <f>B266</f>
        <v>25</v>
      </c>
      <c r="AG11" s="146">
        <f>B277</f>
        <v>25</v>
      </c>
      <c r="AH11" s="83" t="s">
        <v>113</v>
      </c>
      <c r="AI11" s="52" t="s">
        <v>299</v>
      </c>
      <c r="AJ11" s="138">
        <f>B241</f>
        <v>1</v>
      </c>
      <c r="AL11" s="52" t="s">
        <v>299</v>
      </c>
      <c r="AM11" s="138">
        <f>B241</f>
        <v>1</v>
      </c>
      <c r="AO11" s="52" t="s">
        <v>299</v>
      </c>
      <c r="AP11" s="138">
        <f>B241</f>
        <v>1</v>
      </c>
      <c r="AR11" s="52" t="s">
        <v>299</v>
      </c>
      <c r="AS11" s="138">
        <f>B251</f>
        <v>1</v>
      </c>
      <c r="AU11" s="52" t="s">
        <v>299</v>
      </c>
      <c r="AV11" s="138">
        <f>B251</f>
        <v>1</v>
      </c>
      <c r="AX11" s="52" t="s">
        <v>299</v>
      </c>
      <c r="AY11" s="138">
        <f>B251</f>
        <v>1</v>
      </c>
      <c r="BA11" s="52" t="s">
        <v>299</v>
      </c>
      <c r="BB11" s="138">
        <f>B231</f>
        <v>1</v>
      </c>
      <c r="BD11" s="52" t="s">
        <v>299</v>
      </c>
      <c r="BE11" s="138">
        <f>B231</f>
        <v>1</v>
      </c>
      <c r="BG11" s="52" t="s">
        <v>299</v>
      </c>
      <c r="BH11" s="138">
        <f>B231</f>
        <v>1</v>
      </c>
      <c r="BJ11" s="52" t="s">
        <v>219</v>
      </c>
      <c r="BK11" s="138">
        <f>B265</f>
        <v>3</v>
      </c>
      <c r="BL11" s="52" t="s">
        <v>112</v>
      </c>
      <c r="BM11" s="52" t="s">
        <v>219</v>
      </c>
      <c r="BN11" s="138">
        <f>B265</f>
        <v>3</v>
      </c>
      <c r="BO11" s="52" t="s">
        <v>112</v>
      </c>
      <c r="BP11" s="52" t="s">
        <v>219</v>
      </c>
      <c r="BQ11" s="138">
        <f>B265</f>
        <v>3</v>
      </c>
      <c r="BR11" s="52" t="s">
        <v>112</v>
      </c>
      <c r="BS11" s="83" t="s">
        <v>429</v>
      </c>
      <c r="BT11" s="141">
        <f>B103</f>
        <v>5</v>
      </c>
      <c r="BU11" s="92" t="s">
        <v>407</v>
      </c>
      <c r="BV11" s="83" t="s">
        <v>261</v>
      </c>
      <c r="BW11" s="159"/>
      <c r="BX11" s="92" t="s">
        <v>13</v>
      </c>
      <c r="BY11" s="83" t="s">
        <v>22</v>
      </c>
      <c r="BZ11" s="137">
        <f>0.693/BZ12</f>
        <v>2.2972045705420805E-2</v>
      </c>
      <c r="CB11" s="52" t="s">
        <v>300</v>
      </c>
      <c r="CC11" s="136">
        <f>B3</f>
        <v>8.5099999999999995E-2</v>
      </c>
      <c r="CE11" s="52" t="s">
        <v>300</v>
      </c>
      <c r="CF11" s="136">
        <f>B6</f>
        <v>4.3299999999999998E-2</v>
      </c>
      <c r="CH11" s="52" t="s">
        <v>300</v>
      </c>
      <c r="CI11" s="136">
        <f>B10</f>
        <v>7.2400000000000006E-2</v>
      </c>
      <c r="CN11" s="84" t="s">
        <v>161</v>
      </c>
      <c r="CO11" s="162">
        <f>B130</f>
        <v>2</v>
      </c>
      <c r="CP11" s="52" t="s">
        <v>246</v>
      </c>
      <c r="CT11" s="84" t="s">
        <v>16</v>
      </c>
      <c r="CU11" s="137">
        <f>(CU43*CU12)/(1-EXP(-CU12*CU43))</f>
        <v>1.0115299987062558</v>
      </c>
      <c r="CW11" s="52" t="s">
        <v>247</v>
      </c>
      <c r="CX11" s="139">
        <f>B18</f>
        <v>1.5417408700798101E-4</v>
      </c>
      <c r="CY11" s="84" t="s">
        <v>259</v>
      </c>
      <c r="CZ11" s="83" t="s">
        <v>22</v>
      </c>
      <c r="DA11" s="137">
        <f>0.693/DA12</f>
        <v>2.2972045705420805E-2</v>
      </c>
      <c r="DC11" s="83" t="s">
        <v>515</v>
      </c>
      <c r="DD11" s="149">
        <f>(DD12*DD15*DD20)+(DD13*DD14*DD21)</f>
        <v>8250</v>
      </c>
      <c r="DE11" s="92" t="s">
        <v>347</v>
      </c>
      <c r="DF11" s="92" t="s">
        <v>49</v>
      </c>
      <c r="DG11" s="137">
        <f>DG19+DG20</f>
        <v>8.993711152170084E-5</v>
      </c>
      <c r="DI11" s="91" t="s">
        <v>231</v>
      </c>
      <c r="DJ11" s="136">
        <f>B30</f>
        <v>30.167100000000001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B166</f>
        <v>150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B166</f>
        <v>150</v>
      </c>
      <c r="EI11" s="83" t="s">
        <v>24</v>
      </c>
      <c r="EJ11" s="92"/>
      <c r="EM11" s="83" t="s">
        <v>495</v>
      </c>
      <c r="EN11" s="138">
        <f>B207</f>
        <v>0.5</v>
      </c>
      <c r="EO11" s="52" t="s">
        <v>246</v>
      </c>
      <c r="EP11" s="83" t="s">
        <v>495</v>
      </c>
      <c r="EQ11" s="138">
        <f>B207</f>
        <v>0.5</v>
      </c>
      <c r="ER11" s="52" t="s">
        <v>246</v>
      </c>
      <c r="ES11" s="83" t="s">
        <v>495</v>
      </c>
      <c r="ET11" s="138">
        <f>B207</f>
        <v>0.5</v>
      </c>
      <c r="EU11" s="52" t="s">
        <v>246</v>
      </c>
      <c r="EV11" s="83" t="s">
        <v>456</v>
      </c>
      <c r="EW11" s="150">
        <f>B166</f>
        <v>150</v>
      </c>
      <c r="EX11" s="83" t="s">
        <v>24</v>
      </c>
      <c r="EY11" s="83"/>
      <c r="EZ11" s="83"/>
      <c r="FA11" s="83"/>
      <c r="FB11" s="83" t="s">
        <v>151</v>
      </c>
      <c r="FC11" s="142">
        <f>B212</f>
        <v>2.1999999999999999E-2</v>
      </c>
      <c r="FD11" s="52" t="s">
        <v>246</v>
      </c>
      <c r="FE11" s="83" t="s">
        <v>151</v>
      </c>
      <c r="FF11" s="142">
        <f>B212</f>
        <v>2.1999999999999999E-2</v>
      </c>
      <c r="FG11" s="52" t="s">
        <v>246</v>
      </c>
      <c r="FH11" s="83" t="s">
        <v>151</v>
      </c>
      <c r="FI11" s="142">
        <f>B212</f>
        <v>2.1999999999999999E-2</v>
      </c>
      <c r="FJ11" s="52" t="s">
        <v>246</v>
      </c>
      <c r="FK11" s="83" t="s">
        <v>456</v>
      </c>
      <c r="FL11" s="150">
        <f>B166</f>
        <v>150</v>
      </c>
      <c r="FM11" s="83" t="s">
        <v>24</v>
      </c>
      <c r="FN11" s="83"/>
      <c r="FO11" s="83"/>
      <c r="FP11" s="83"/>
      <c r="FQ11" s="88"/>
      <c r="FR11" s="169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B166</f>
        <v>150</v>
      </c>
      <c r="GB11" s="83" t="s">
        <v>24</v>
      </c>
      <c r="GC11" s="83"/>
      <c r="GD11" s="83"/>
      <c r="GE11" s="83"/>
      <c r="GF11" s="83" t="s">
        <v>487</v>
      </c>
      <c r="GG11" s="142">
        <f>B217</f>
        <v>2.1999999999999999E-2</v>
      </c>
      <c r="GH11" s="52" t="s">
        <v>246</v>
      </c>
      <c r="GI11" s="83" t="s">
        <v>487</v>
      </c>
      <c r="GJ11" s="142">
        <f>B217</f>
        <v>2.1999999999999999E-2</v>
      </c>
      <c r="GK11" s="52" t="s">
        <v>246</v>
      </c>
      <c r="GL11" s="83" t="s">
        <v>487</v>
      </c>
      <c r="GM11" s="142">
        <f>B217</f>
        <v>2.1999999999999999E-2</v>
      </c>
      <c r="GN11" s="52" t="s">
        <v>246</v>
      </c>
      <c r="GO11" s="83" t="s">
        <v>456</v>
      </c>
      <c r="GP11" s="150">
        <f>B166</f>
        <v>150</v>
      </c>
      <c r="GQ11" s="83" t="s">
        <v>24</v>
      </c>
      <c r="GR11" s="83"/>
      <c r="GS11" s="83"/>
      <c r="GT11" s="83"/>
      <c r="GU11" s="83" t="s">
        <v>491</v>
      </c>
      <c r="GV11" s="142">
        <f>B222</f>
        <v>0.37</v>
      </c>
      <c r="GW11" s="52" t="s">
        <v>246</v>
      </c>
      <c r="GX11" s="83" t="s">
        <v>491</v>
      </c>
      <c r="GY11" s="142">
        <f>B222</f>
        <v>0.37</v>
      </c>
      <c r="GZ11" s="52" t="s">
        <v>246</v>
      </c>
      <c r="HA11" s="83" t="s">
        <v>491</v>
      </c>
      <c r="HB11" s="142">
        <f>B222</f>
        <v>0.37</v>
      </c>
      <c r="HC11" s="52" t="s">
        <v>246</v>
      </c>
      <c r="HD11" s="84" t="s">
        <v>42</v>
      </c>
      <c r="HE11" s="150">
        <f>B94</f>
        <v>1.5</v>
      </c>
    </row>
    <row r="12" spans="1:214" x14ac:dyDescent="0.2">
      <c r="A12" s="116" t="s">
        <v>342</v>
      </c>
      <c r="B12" s="229">
        <v>2.6599999999999999E-2</v>
      </c>
      <c r="C12" s="117"/>
      <c r="D12" s="83" t="s">
        <v>43</v>
      </c>
      <c r="E12" s="140">
        <f>((E15/E16)*E23*E13*E25)+((E15/E16)*E24*E14*E26)</f>
        <v>1327.5</v>
      </c>
      <c r="F12" s="52" t="s">
        <v>426</v>
      </c>
      <c r="G12" s="83" t="s">
        <v>266</v>
      </c>
      <c r="H12" s="144">
        <f>(H5/(H8*(1/H43)*H21))*H70*H71*H73</f>
        <v>2.0062029647227827E-11</v>
      </c>
      <c r="I12" s="92" t="s">
        <v>13</v>
      </c>
      <c r="J12" s="83" t="s">
        <v>22</v>
      </c>
      <c r="K12" s="137">
        <f>0.693/K13</f>
        <v>2.2972045705420805E-2</v>
      </c>
      <c r="M12" s="52" t="s">
        <v>300</v>
      </c>
      <c r="N12" s="136">
        <f>B3</f>
        <v>8.5099999999999995E-2</v>
      </c>
      <c r="P12" s="52" t="s">
        <v>300</v>
      </c>
      <c r="Q12" s="136">
        <f>B6</f>
        <v>4.3299999999999998E-2</v>
      </c>
      <c r="S12" s="52" t="s">
        <v>300</v>
      </c>
      <c r="T12" s="136">
        <f>B10</f>
        <v>7.2400000000000006E-2</v>
      </c>
      <c r="V12" s="52" t="s">
        <v>44</v>
      </c>
      <c r="W12" s="150">
        <f>B252</f>
        <v>5</v>
      </c>
      <c r="X12" s="84" t="s">
        <v>194</v>
      </c>
      <c r="Y12" s="52" t="s">
        <v>44</v>
      </c>
      <c r="Z12" s="150">
        <f>B233</f>
        <v>5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B262</f>
        <v>5</v>
      </c>
      <c r="AG12" s="150">
        <f>B273</f>
        <v>5</v>
      </c>
      <c r="AH12" s="83" t="s">
        <v>194</v>
      </c>
      <c r="AI12" s="52" t="s">
        <v>300</v>
      </c>
      <c r="AJ12" s="136">
        <f>B3</f>
        <v>8.5099999999999995E-2</v>
      </c>
      <c r="AL12" s="52" t="s">
        <v>300</v>
      </c>
      <c r="AM12" s="136">
        <f>B6</f>
        <v>4.3299999999999998E-2</v>
      </c>
      <c r="AO12" s="52" t="s">
        <v>300</v>
      </c>
      <c r="AP12" s="136">
        <f>B10</f>
        <v>7.2400000000000006E-2</v>
      </c>
      <c r="AR12" s="52" t="s">
        <v>300</v>
      </c>
      <c r="AS12" s="136">
        <f>B3</f>
        <v>8.5099999999999995E-2</v>
      </c>
      <c r="AU12" s="52" t="s">
        <v>300</v>
      </c>
      <c r="AV12" s="136">
        <f>B6</f>
        <v>4.3299999999999998E-2</v>
      </c>
      <c r="AX12" s="52" t="s">
        <v>300</v>
      </c>
      <c r="AY12" s="136">
        <f>B10</f>
        <v>7.2400000000000006E-2</v>
      </c>
      <c r="BA12" s="52" t="s">
        <v>300</v>
      </c>
      <c r="BB12" s="136">
        <f>B3</f>
        <v>8.5099999999999995E-2</v>
      </c>
      <c r="BD12" s="52" t="s">
        <v>300</v>
      </c>
      <c r="BE12" s="136">
        <f>B6</f>
        <v>4.3299999999999998E-2</v>
      </c>
      <c r="BG12" s="52" t="s">
        <v>300</v>
      </c>
      <c r="BH12" s="136">
        <f>B10</f>
        <v>7.2400000000000006E-2</v>
      </c>
      <c r="BJ12" s="52" t="s">
        <v>158</v>
      </c>
      <c r="BK12" s="138">
        <f>B258</f>
        <v>1</v>
      </c>
      <c r="BL12" s="52" t="s">
        <v>146</v>
      </c>
      <c r="BM12" s="52" t="s">
        <v>158</v>
      </c>
      <c r="BN12" s="138">
        <f>B258</f>
        <v>1</v>
      </c>
      <c r="BO12" s="52" t="s">
        <v>146</v>
      </c>
      <c r="BP12" s="52" t="s">
        <v>158</v>
      </c>
      <c r="BQ12" s="138">
        <f>B258</f>
        <v>1</v>
      </c>
      <c r="BR12" s="52" t="s">
        <v>146</v>
      </c>
      <c r="BS12" s="83" t="s">
        <v>430</v>
      </c>
      <c r="BT12" s="141">
        <f>B104</f>
        <v>10</v>
      </c>
      <c r="BU12" s="92" t="s">
        <v>407</v>
      </c>
      <c r="BV12" s="83" t="s">
        <v>266</v>
      </c>
      <c r="BW12" s="145">
        <f>(BW5/(BW8*(1/BW29)*BW16))*BW32*BW33*BW34</f>
        <v>6.9487575414489107E-12</v>
      </c>
      <c r="BX12" s="92" t="s">
        <v>13</v>
      </c>
      <c r="BY12" s="91" t="s">
        <v>231</v>
      </c>
      <c r="BZ12" s="136">
        <f>B30</f>
        <v>30.167100000000001</v>
      </c>
      <c r="CA12" s="52" t="s">
        <v>60</v>
      </c>
      <c r="CB12" s="52" t="s">
        <v>413</v>
      </c>
      <c r="CC12" s="136">
        <f>B4</f>
        <v>0.74199999999999999</v>
      </c>
      <c r="CE12" s="52" t="s">
        <v>414</v>
      </c>
      <c r="CF12" s="136">
        <f>B7</f>
        <v>0.65300000000000002</v>
      </c>
      <c r="CH12" s="52" t="s">
        <v>416</v>
      </c>
      <c r="CI12" s="136">
        <f>B11</f>
        <v>0.73599999999999999</v>
      </c>
      <c r="CN12" s="84" t="s">
        <v>162</v>
      </c>
      <c r="CO12" s="162">
        <f>B131</f>
        <v>2</v>
      </c>
      <c r="CP12" s="52" t="s">
        <v>41</v>
      </c>
      <c r="CT12" s="83" t="s">
        <v>22</v>
      </c>
      <c r="CU12" s="137">
        <f>0.693/CU13</f>
        <v>2.2972045705420805E-2</v>
      </c>
      <c r="CW12" s="83" t="s">
        <v>506</v>
      </c>
      <c r="CX12" s="140">
        <f>((CX16/24)*CX23*CX13*CX25)+((CX15/24)*CX24*CX14*CX26)</f>
        <v>1387.5</v>
      </c>
      <c r="CY12" s="52" t="s">
        <v>426</v>
      </c>
      <c r="CZ12" s="91" t="s">
        <v>231</v>
      </c>
      <c r="DA12" s="136">
        <f>B30</f>
        <v>30.167100000000001</v>
      </c>
      <c r="DB12" s="52" t="s">
        <v>60</v>
      </c>
      <c r="DC12" s="83" t="s">
        <v>467</v>
      </c>
      <c r="DD12" s="146">
        <f>B147</f>
        <v>55</v>
      </c>
      <c r="DE12" s="92" t="s">
        <v>221</v>
      </c>
      <c r="DF12" s="92" t="s">
        <v>52</v>
      </c>
      <c r="DG12" s="138">
        <f>B191</f>
        <v>10950</v>
      </c>
      <c r="DH12" s="52" t="s">
        <v>53</v>
      </c>
      <c r="DI12" s="84" t="s">
        <v>16</v>
      </c>
      <c r="DJ12" s="137">
        <f>(DJ9*DJ10)/(1-EXP(-DJ10*DJ9))</f>
        <v>1.0115299987062558</v>
      </c>
      <c r="DL12" s="92"/>
      <c r="DO12" s="92" t="s">
        <v>52</v>
      </c>
      <c r="DP12" s="138">
        <f>B191</f>
        <v>10950</v>
      </c>
      <c r="DQ12" s="52" t="s">
        <v>53</v>
      </c>
      <c r="DR12" s="83" t="s">
        <v>465</v>
      </c>
      <c r="DS12" s="150">
        <f>B166</f>
        <v>150</v>
      </c>
      <c r="DT12" s="83" t="s">
        <v>24</v>
      </c>
      <c r="DU12" s="92"/>
      <c r="DX12" s="83" t="s">
        <v>500</v>
      </c>
      <c r="DY12" s="138">
        <f>B203</f>
        <v>1</v>
      </c>
      <c r="EA12" s="83" t="s">
        <v>500</v>
      </c>
      <c r="EB12" s="138">
        <f>B203</f>
        <v>1</v>
      </c>
      <c r="EC12" s="84"/>
      <c r="ED12" s="83" t="s">
        <v>500</v>
      </c>
      <c r="EE12" s="138">
        <f>B203</f>
        <v>1</v>
      </c>
      <c r="EF12" s="84"/>
      <c r="EG12" s="83" t="s">
        <v>465</v>
      </c>
      <c r="EH12" s="150">
        <f>B166</f>
        <v>150</v>
      </c>
      <c r="EI12" s="83" t="s">
        <v>24</v>
      </c>
      <c r="EJ12" s="92"/>
      <c r="EM12" s="83" t="s">
        <v>496</v>
      </c>
      <c r="EN12" s="138">
        <f>B208</f>
        <v>1</v>
      </c>
      <c r="EP12" s="83" t="s">
        <v>496</v>
      </c>
      <c r="EQ12" s="138">
        <f>B208</f>
        <v>1</v>
      </c>
      <c r="ER12" s="84"/>
      <c r="ES12" s="83" t="s">
        <v>496</v>
      </c>
      <c r="ET12" s="138">
        <f>B208</f>
        <v>1</v>
      </c>
      <c r="EU12" s="84"/>
      <c r="EV12" s="83" t="s">
        <v>465</v>
      </c>
      <c r="EW12" s="150">
        <f>B166</f>
        <v>150</v>
      </c>
      <c r="EX12" s="83" t="s">
        <v>24</v>
      </c>
      <c r="EY12" s="83"/>
      <c r="EZ12" s="83"/>
      <c r="FA12" s="83"/>
      <c r="FB12" s="83" t="s">
        <v>153</v>
      </c>
      <c r="FC12" s="164">
        <f>B213</f>
        <v>1</v>
      </c>
      <c r="FD12" s="83"/>
      <c r="FE12" s="83" t="s">
        <v>153</v>
      </c>
      <c r="FF12" s="164">
        <f>B213</f>
        <v>1</v>
      </c>
      <c r="FG12" s="83"/>
      <c r="FH12" s="83" t="s">
        <v>153</v>
      </c>
      <c r="FI12" s="164">
        <f>B213</f>
        <v>1</v>
      </c>
      <c r="FJ12" s="84"/>
      <c r="FK12" s="83" t="s">
        <v>465</v>
      </c>
      <c r="FL12" s="150">
        <f>B166</f>
        <v>150</v>
      </c>
      <c r="FM12" s="83" t="s">
        <v>24</v>
      </c>
      <c r="FN12" s="83"/>
      <c r="FO12" s="83"/>
      <c r="FP12" s="83"/>
      <c r="FQ12" s="88"/>
      <c r="FR12" s="227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B166</f>
        <v>150</v>
      </c>
      <c r="GB12" s="83" t="s">
        <v>24</v>
      </c>
      <c r="GC12" s="83"/>
      <c r="GD12" s="83"/>
      <c r="GE12" s="83"/>
      <c r="GF12" s="83" t="s">
        <v>488</v>
      </c>
      <c r="GG12" s="142">
        <f>B218</f>
        <v>1</v>
      </c>
      <c r="GH12" s="83"/>
      <c r="GI12" s="83" t="s">
        <v>488</v>
      </c>
      <c r="GJ12" s="142">
        <f>B218</f>
        <v>1</v>
      </c>
      <c r="GK12" s="83"/>
      <c r="GL12" s="83" t="s">
        <v>488</v>
      </c>
      <c r="GM12" s="142">
        <f>B218</f>
        <v>1</v>
      </c>
      <c r="GN12" s="84"/>
      <c r="GO12" s="83" t="s">
        <v>465</v>
      </c>
      <c r="GP12" s="150">
        <f>B166</f>
        <v>150</v>
      </c>
      <c r="GQ12" s="83" t="s">
        <v>24</v>
      </c>
      <c r="GR12" s="83"/>
      <c r="GS12" s="83"/>
      <c r="GT12" s="83"/>
      <c r="GU12" s="83" t="s">
        <v>492</v>
      </c>
      <c r="GV12" s="142">
        <f>B223</f>
        <v>1</v>
      </c>
      <c r="GW12" s="83"/>
      <c r="GX12" s="83" t="s">
        <v>492</v>
      </c>
      <c r="GY12" s="142">
        <f>B223</f>
        <v>1</v>
      </c>
      <c r="GZ12" s="83"/>
      <c r="HA12" s="83" t="s">
        <v>492</v>
      </c>
      <c r="HB12" s="142">
        <f>B223</f>
        <v>1</v>
      </c>
      <c r="HC12" s="84"/>
      <c r="HD12" s="84" t="s">
        <v>47</v>
      </c>
      <c r="HE12" s="163">
        <v>1</v>
      </c>
    </row>
    <row r="13" spans="1:214" ht="13.5" customHeight="1" thickBot="1" x14ac:dyDescent="0.25">
      <c r="A13" s="118" t="s">
        <v>245</v>
      </c>
      <c r="B13" s="230">
        <v>0.46500000000000002</v>
      </c>
      <c r="C13" s="119"/>
      <c r="D13" s="83" t="s">
        <v>366</v>
      </c>
      <c r="E13" s="141">
        <f>B50</f>
        <v>5</v>
      </c>
      <c r="F13" s="92" t="s">
        <v>407</v>
      </c>
      <c r="G13" s="83" t="s">
        <v>263</v>
      </c>
      <c r="H13" s="144">
        <f>(H14/((1/H40)*(H48+H49+H50)))*H70*H71*H73</f>
        <v>5.5803450121284489E-17</v>
      </c>
      <c r="I13" s="92" t="s">
        <v>13</v>
      </c>
      <c r="J13" s="91" t="s">
        <v>231</v>
      </c>
      <c r="K13" s="136">
        <f>B30</f>
        <v>30.167100000000001</v>
      </c>
      <c r="L13" s="52" t="s">
        <v>60</v>
      </c>
      <c r="M13" s="52" t="s">
        <v>54</v>
      </c>
      <c r="N13" s="136">
        <f>B4</f>
        <v>0.74199999999999999</v>
      </c>
      <c r="P13" s="52" t="s">
        <v>54</v>
      </c>
      <c r="Q13" s="136">
        <f>B7</f>
        <v>0.65300000000000002</v>
      </c>
      <c r="S13" s="52" t="s">
        <v>54</v>
      </c>
      <c r="T13" s="136">
        <f>B11</f>
        <v>0.73599999999999999</v>
      </c>
      <c r="V13" s="52" t="s">
        <v>50</v>
      </c>
      <c r="W13" s="146">
        <f>B246</f>
        <v>50</v>
      </c>
      <c r="X13" s="84" t="s">
        <v>407</v>
      </c>
      <c r="Y13" s="52" t="s">
        <v>50</v>
      </c>
      <c r="Z13" s="146">
        <f>B226</f>
        <v>50</v>
      </c>
      <c r="AA13" s="84" t="s">
        <v>407</v>
      </c>
      <c r="AB13" s="83" t="s">
        <v>349</v>
      </c>
      <c r="AC13" s="146">
        <f>B229</f>
        <v>50</v>
      </c>
      <c r="AD13" s="146">
        <f>B239</f>
        <v>50</v>
      </c>
      <c r="AE13" s="146">
        <f>B249</f>
        <v>50</v>
      </c>
      <c r="AF13" s="146">
        <f>B259</f>
        <v>200</v>
      </c>
      <c r="AG13" s="146">
        <f>B271</f>
        <v>200</v>
      </c>
      <c r="AH13" s="52" t="s">
        <v>48</v>
      </c>
      <c r="AI13" s="52" t="s">
        <v>54</v>
      </c>
      <c r="AJ13" s="136">
        <f>B4</f>
        <v>0.74199999999999999</v>
      </c>
      <c r="AL13" s="52" t="s">
        <v>54</v>
      </c>
      <c r="AM13" s="136">
        <f>B7</f>
        <v>0.65300000000000002</v>
      </c>
      <c r="AO13" s="52" t="s">
        <v>54</v>
      </c>
      <c r="AP13" s="136">
        <f>B11</f>
        <v>0.73599999999999999</v>
      </c>
      <c r="AR13" s="52" t="s">
        <v>54</v>
      </c>
      <c r="AS13" s="136">
        <f>B4</f>
        <v>0.74199999999999999</v>
      </c>
      <c r="AU13" s="52" t="s">
        <v>54</v>
      </c>
      <c r="AV13" s="136">
        <f>B7</f>
        <v>0.65300000000000002</v>
      </c>
      <c r="AX13" s="52" t="s">
        <v>54</v>
      </c>
      <c r="AY13" s="136">
        <f>B11</f>
        <v>0.73599999999999999</v>
      </c>
      <c r="BA13" s="52" t="s">
        <v>54</v>
      </c>
      <c r="BB13" s="136">
        <f>B4</f>
        <v>0.74199999999999999</v>
      </c>
      <c r="BD13" s="52" t="s">
        <v>54</v>
      </c>
      <c r="BE13" s="136">
        <f>B7</f>
        <v>0.65300000000000002</v>
      </c>
      <c r="BG13" s="52" t="s">
        <v>54</v>
      </c>
      <c r="BH13" s="136">
        <f>B11</f>
        <v>0.73599999999999999</v>
      </c>
      <c r="BJ13" s="52" t="s">
        <v>300</v>
      </c>
      <c r="BK13" s="136">
        <f>B3</f>
        <v>8.5099999999999995E-2</v>
      </c>
      <c r="BM13" s="52" t="s">
        <v>300</v>
      </c>
      <c r="BN13" s="136">
        <f>B6</f>
        <v>4.3299999999999998E-2</v>
      </c>
      <c r="BP13" s="52" t="s">
        <v>300</v>
      </c>
      <c r="BQ13" s="136">
        <f>B10</f>
        <v>7.2400000000000006E-2</v>
      </c>
      <c r="BS13" s="52" t="s">
        <v>431</v>
      </c>
      <c r="BT13" s="141">
        <f>B116</f>
        <v>5</v>
      </c>
      <c r="BU13" s="52" t="s">
        <v>194</v>
      </c>
      <c r="BV13" s="83" t="s">
        <v>440</v>
      </c>
      <c r="BW13" s="160">
        <f>((BW18*BW20*BW23*BW14*BW30)+(BW19*BW21*BW24*BW15*BW31))</f>
        <v>2750</v>
      </c>
      <c r="BX13" s="83" t="s">
        <v>345</v>
      </c>
      <c r="BY13" s="83" t="s">
        <v>260</v>
      </c>
      <c r="BZ13" s="143">
        <f>((BZ5/(BZ6*BZ16*(1/BZ33)))*BZ10)*BZ36*BZ37*BZ12</f>
        <v>6.8251894421386545E-5</v>
      </c>
      <c r="CA13" s="92" t="s">
        <v>12</v>
      </c>
      <c r="CB13" s="52" t="s">
        <v>90</v>
      </c>
      <c r="CC13" s="138">
        <f>B118</f>
        <v>5</v>
      </c>
      <c r="CD13" s="52" t="s">
        <v>194</v>
      </c>
      <c r="CE13" s="52" t="s">
        <v>90</v>
      </c>
      <c r="CF13" s="138">
        <f>B118</f>
        <v>5</v>
      </c>
      <c r="CG13" s="52" t="s">
        <v>194</v>
      </c>
      <c r="CH13" s="52" t="s">
        <v>90</v>
      </c>
      <c r="CI13" s="138">
        <f>B118</f>
        <v>5</v>
      </c>
      <c r="CJ13" s="52" t="s">
        <v>194</v>
      </c>
      <c r="CN13" s="84" t="s">
        <v>163</v>
      </c>
      <c r="CO13" s="162">
        <f>B132</f>
        <v>2</v>
      </c>
      <c r="CP13" s="52" t="s">
        <v>41</v>
      </c>
      <c r="CT13" s="91" t="s">
        <v>231</v>
      </c>
      <c r="CU13" s="136">
        <f>B30</f>
        <v>30.167100000000001</v>
      </c>
      <c r="CV13" s="52" t="s">
        <v>60</v>
      </c>
      <c r="CW13" s="83" t="s">
        <v>450</v>
      </c>
      <c r="CX13" s="141">
        <f>B145</f>
        <v>5</v>
      </c>
      <c r="CY13" s="92" t="s">
        <v>407</v>
      </c>
      <c r="CZ13" s="83" t="s">
        <v>260</v>
      </c>
      <c r="DA13" s="143">
        <f>(DA5/(DA6*DA24))*DA51*DA52*DA12</f>
        <v>1.161124998933961E-9</v>
      </c>
      <c r="DB13" s="83" t="s">
        <v>13</v>
      </c>
      <c r="DC13" s="83" t="s">
        <v>468</v>
      </c>
      <c r="DD13" s="146">
        <f>B148</f>
        <v>55</v>
      </c>
      <c r="DE13" s="92" t="s">
        <v>221</v>
      </c>
      <c r="DF13" s="92" t="s">
        <v>55</v>
      </c>
      <c r="DG13" s="138">
        <f>B192</f>
        <v>240</v>
      </c>
      <c r="DH13" s="52" t="s">
        <v>56</v>
      </c>
      <c r="DJ13" s="138"/>
      <c r="DL13" s="92"/>
      <c r="DO13" s="92" t="s">
        <v>55</v>
      </c>
      <c r="DP13" s="138">
        <f>B192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B204</f>
        <v>1</v>
      </c>
      <c r="EA13" s="83" t="s">
        <v>501</v>
      </c>
      <c r="EB13" s="138">
        <f>B204</f>
        <v>1</v>
      </c>
      <c r="EC13" s="84"/>
      <c r="ED13" s="83" t="s">
        <v>501</v>
      </c>
      <c r="EE13" s="138">
        <f>B204</f>
        <v>1</v>
      </c>
      <c r="EF13" s="84"/>
      <c r="EG13" s="83" t="s">
        <v>363</v>
      </c>
      <c r="EH13" s="150">
        <f>B168</f>
        <v>1</v>
      </c>
      <c r="EI13" s="84" t="s">
        <v>60</v>
      </c>
      <c r="EJ13" s="92"/>
      <c r="EM13" s="83" t="s">
        <v>497</v>
      </c>
      <c r="EN13" s="138">
        <f>B209</f>
        <v>1</v>
      </c>
      <c r="EP13" s="83" t="s">
        <v>497</v>
      </c>
      <c r="EQ13" s="138">
        <f>B209</f>
        <v>1</v>
      </c>
      <c r="ER13" s="84"/>
      <c r="ES13" s="83" t="s">
        <v>497</v>
      </c>
      <c r="ET13" s="138">
        <f>B209</f>
        <v>1</v>
      </c>
      <c r="EU13" s="84"/>
      <c r="EV13" s="83" t="s">
        <v>363</v>
      </c>
      <c r="EW13" s="150">
        <f>B168</f>
        <v>1</v>
      </c>
      <c r="EX13" s="84" t="s">
        <v>60</v>
      </c>
      <c r="EY13" s="83"/>
      <c r="EZ13" s="83"/>
      <c r="FA13" s="83"/>
      <c r="FB13" s="83" t="s">
        <v>154</v>
      </c>
      <c r="FC13" s="164">
        <f>B214</f>
        <v>1</v>
      </c>
      <c r="FD13" s="83"/>
      <c r="FE13" s="83" t="s">
        <v>154</v>
      </c>
      <c r="FF13" s="164">
        <f>B214</f>
        <v>1</v>
      </c>
      <c r="FG13" s="83"/>
      <c r="FH13" s="83" t="s">
        <v>154</v>
      </c>
      <c r="FI13" s="164">
        <f>B214</f>
        <v>1</v>
      </c>
      <c r="FJ13" s="84"/>
      <c r="FK13" s="83" t="s">
        <v>363</v>
      </c>
      <c r="FL13" s="141">
        <f>B168</f>
        <v>1</v>
      </c>
      <c r="FM13" s="92" t="s">
        <v>60</v>
      </c>
      <c r="FN13" s="83"/>
      <c r="FO13" s="83"/>
      <c r="FP13" s="83"/>
      <c r="FQ13" s="88"/>
      <c r="FR13" s="227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B168</f>
        <v>1</v>
      </c>
      <c r="GB13" s="92" t="s">
        <v>60</v>
      </c>
      <c r="GC13" s="83"/>
      <c r="GD13" s="83"/>
      <c r="GE13" s="83"/>
      <c r="GF13" s="83" t="s">
        <v>489</v>
      </c>
      <c r="GG13" s="142">
        <f>B219</f>
        <v>1</v>
      </c>
      <c r="GH13" s="83"/>
      <c r="GI13" s="83" t="s">
        <v>489</v>
      </c>
      <c r="GJ13" s="142">
        <f>B219</f>
        <v>1</v>
      </c>
      <c r="GK13" s="83"/>
      <c r="GL13" s="83" t="s">
        <v>489</v>
      </c>
      <c r="GM13" s="142">
        <f>B219</f>
        <v>1</v>
      </c>
      <c r="GN13" s="84"/>
      <c r="GO13" s="83" t="s">
        <v>363</v>
      </c>
      <c r="GP13" s="141">
        <f>B168</f>
        <v>1</v>
      </c>
      <c r="GQ13" s="92" t="s">
        <v>60</v>
      </c>
      <c r="GR13" s="83"/>
      <c r="GS13" s="83"/>
      <c r="GT13" s="83"/>
      <c r="GU13" s="83" t="s">
        <v>493</v>
      </c>
      <c r="GV13" s="142">
        <f>B224</f>
        <v>1</v>
      </c>
      <c r="GW13" s="83"/>
      <c r="GX13" s="83" t="s">
        <v>493</v>
      </c>
      <c r="GY13" s="142">
        <f>B224</f>
        <v>1</v>
      </c>
      <c r="GZ13" s="83"/>
      <c r="HA13" s="83" t="s">
        <v>493</v>
      </c>
      <c r="HB13" s="142">
        <f>B224</f>
        <v>1</v>
      </c>
      <c r="HC13" s="84"/>
      <c r="HD13" s="84" t="s">
        <v>59</v>
      </c>
      <c r="HE13" s="150">
        <f>B45</f>
        <v>10</v>
      </c>
    </row>
    <row r="14" spans="1:214" ht="13.5" thickTop="1" x14ac:dyDescent="0.2">
      <c r="A14" s="375" t="s">
        <v>233</v>
      </c>
      <c r="B14" s="376"/>
      <c r="C14" s="377"/>
      <c r="D14" s="83" t="s">
        <v>367</v>
      </c>
      <c r="E14" s="141">
        <f>B51</f>
        <v>10</v>
      </c>
      <c r="F14" s="92" t="s">
        <v>407</v>
      </c>
      <c r="G14" s="83" t="s">
        <v>264</v>
      </c>
      <c r="H14" s="145">
        <f>(H5/(H9*(H22+H25)*H41))*H70*H72*H73</f>
        <v>5.5328614571113098E-8</v>
      </c>
      <c r="I14" s="92" t="s">
        <v>12</v>
      </c>
      <c r="J14" s="83" t="s">
        <v>260</v>
      </c>
      <c r="K14" s="143">
        <f>((K5/(K6*K19*(1/K46)))*K11)*K53*K54*K13</f>
        <v>2.5025694621175061E-5</v>
      </c>
      <c r="L14" s="92" t="s">
        <v>12</v>
      </c>
      <c r="M14" s="52" t="s">
        <v>408</v>
      </c>
      <c r="N14" s="150">
        <f>B88</f>
        <v>5</v>
      </c>
      <c r="O14" s="52" t="s">
        <v>194</v>
      </c>
      <c r="P14" s="52" t="s">
        <v>408</v>
      </c>
      <c r="Q14" s="150">
        <f>B88</f>
        <v>5</v>
      </c>
      <c r="R14" s="52" t="s">
        <v>194</v>
      </c>
      <c r="S14" s="52" t="s">
        <v>408</v>
      </c>
      <c r="T14" s="150">
        <f>B88</f>
        <v>5</v>
      </c>
      <c r="U14" s="52" t="s">
        <v>194</v>
      </c>
      <c r="V14" s="83" t="s">
        <v>256</v>
      </c>
      <c r="W14" s="136">
        <f>B27</f>
        <v>4763.3999999999996</v>
      </c>
      <c r="X14" s="83" t="s">
        <v>343</v>
      </c>
      <c r="Y14" s="83" t="s">
        <v>256</v>
      </c>
      <c r="Z14" s="136">
        <f>B27</f>
        <v>4763.3999999999996</v>
      </c>
      <c r="AA14" s="83" t="s">
        <v>343</v>
      </c>
      <c r="AB14" s="83" t="s">
        <v>300</v>
      </c>
      <c r="AC14" s="161">
        <f>B3</f>
        <v>8.5099999999999995E-2</v>
      </c>
      <c r="AD14" s="161">
        <f>B3</f>
        <v>8.5099999999999995E-2</v>
      </c>
      <c r="AE14" s="161">
        <f>B3</f>
        <v>8.5099999999999995E-2</v>
      </c>
      <c r="AF14" s="161">
        <f>B3</f>
        <v>8.5099999999999995E-2</v>
      </c>
      <c r="AG14" s="161">
        <f>B3</f>
        <v>8.5099999999999995E-2</v>
      </c>
      <c r="AH14" s="92"/>
      <c r="AI14" s="52" t="s">
        <v>57</v>
      </c>
      <c r="AJ14" s="136">
        <f>B242</f>
        <v>5</v>
      </c>
      <c r="AK14" s="52" t="s">
        <v>194</v>
      </c>
      <c r="AL14" s="52" t="s">
        <v>57</v>
      </c>
      <c r="AM14" s="136">
        <f>B242</f>
        <v>5</v>
      </c>
      <c r="AN14" s="52" t="s">
        <v>194</v>
      </c>
      <c r="AO14" s="52" t="s">
        <v>57</v>
      </c>
      <c r="AP14" s="136">
        <f>B242</f>
        <v>5</v>
      </c>
      <c r="AQ14" s="52" t="s">
        <v>194</v>
      </c>
      <c r="AR14" s="52" t="s">
        <v>57</v>
      </c>
      <c r="AS14" s="136">
        <f>B252</f>
        <v>5</v>
      </c>
      <c r="AT14" s="52" t="s">
        <v>194</v>
      </c>
      <c r="AU14" s="52" t="s">
        <v>57</v>
      </c>
      <c r="AV14" s="136">
        <f>B252</f>
        <v>5</v>
      </c>
      <c r="AW14" s="52" t="s">
        <v>194</v>
      </c>
      <c r="AX14" s="52" t="s">
        <v>57</v>
      </c>
      <c r="AY14" s="136">
        <f>B252</f>
        <v>5</v>
      </c>
      <c r="AZ14" s="52" t="s">
        <v>194</v>
      </c>
      <c r="BA14" s="52" t="s">
        <v>57</v>
      </c>
      <c r="BB14" s="136">
        <f>B232</f>
        <v>5</v>
      </c>
      <c r="BC14" s="52" t="s">
        <v>194</v>
      </c>
      <c r="BD14" s="52" t="s">
        <v>57</v>
      </c>
      <c r="BE14" s="136">
        <f>B232</f>
        <v>5</v>
      </c>
      <c r="BF14" s="52" t="s">
        <v>194</v>
      </c>
      <c r="BG14" s="52" t="s">
        <v>58</v>
      </c>
      <c r="BH14" s="136">
        <f>B232</f>
        <v>5</v>
      </c>
      <c r="BI14" s="52" t="s">
        <v>194</v>
      </c>
      <c r="BJ14" s="52" t="s">
        <v>413</v>
      </c>
      <c r="BK14" s="136">
        <f>B4</f>
        <v>0.74199999999999999</v>
      </c>
      <c r="BM14" s="52" t="s">
        <v>414</v>
      </c>
      <c r="BN14" s="136">
        <f>B7</f>
        <v>0.65300000000000002</v>
      </c>
      <c r="BP14" s="52" t="s">
        <v>416</v>
      </c>
      <c r="BQ14" s="136">
        <f>B11</f>
        <v>0.73599999999999999</v>
      </c>
      <c r="BS14" s="52" t="s">
        <v>432</v>
      </c>
      <c r="BT14" s="141">
        <f>B117</f>
        <v>5</v>
      </c>
      <c r="BU14" s="52" t="s">
        <v>194</v>
      </c>
      <c r="BV14" s="83" t="s">
        <v>439</v>
      </c>
      <c r="BW14" s="146">
        <f>B105</f>
        <v>2</v>
      </c>
      <c r="BX14" s="83" t="s">
        <v>357</v>
      </c>
      <c r="BY14" s="83" t="s">
        <v>261</v>
      </c>
      <c r="BZ14" s="144">
        <f>((BZ5/(BZ7*BZ17*(1/BZ9)*BZ32))*BZ10)*BZ36*BZ37*BZ12</f>
        <v>0.98575867541968776</v>
      </c>
      <c r="CA14" s="92" t="s">
        <v>12</v>
      </c>
      <c r="CB14" s="52" t="s">
        <v>412</v>
      </c>
      <c r="CC14" s="139">
        <f>B22</f>
        <v>3.19428</v>
      </c>
      <c r="CD14" s="84" t="s">
        <v>353</v>
      </c>
      <c r="CE14" s="52" t="s">
        <v>415</v>
      </c>
      <c r="CF14" s="139">
        <f>B24</f>
        <v>0.63512000000000002</v>
      </c>
      <c r="CG14" s="84" t="s">
        <v>353</v>
      </c>
      <c r="CH14" s="52" t="s">
        <v>417</v>
      </c>
      <c r="CI14" s="139">
        <f>B26</f>
        <v>2.8393600000000001</v>
      </c>
      <c r="CJ14" s="84" t="s">
        <v>353</v>
      </c>
      <c r="CK14" s="84"/>
      <c r="CL14" s="84"/>
      <c r="CM14" s="84"/>
      <c r="CN14" s="52" t="s">
        <v>95</v>
      </c>
      <c r="CO14" s="164">
        <f>B127</f>
        <v>1</v>
      </c>
      <c r="CQ14" s="84"/>
      <c r="CR14" s="84"/>
      <c r="CS14" s="84"/>
      <c r="CT14" s="83" t="s">
        <v>260</v>
      </c>
      <c r="CU14" s="143">
        <f>((CU5/(CU6*CU25*(1/CU46)))*CU11)*CU49*CU50*CU13</f>
        <v>2.6766612507865504E-5</v>
      </c>
      <c r="CV14" s="92" t="s">
        <v>12</v>
      </c>
      <c r="CW14" s="83" t="s">
        <v>459</v>
      </c>
      <c r="CX14" s="141">
        <f>B146</f>
        <v>10</v>
      </c>
      <c r="CY14" s="92" t="s">
        <v>407</v>
      </c>
      <c r="CZ14" s="83" t="s">
        <v>261</v>
      </c>
      <c r="DA14" s="144">
        <f>(DA5/(DA7*DA25*DA45))*DA51*DA52*DA12</f>
        <v>1.049590375590556E-10</v>
      </c>
      <c r="DB14" s="83" t="s">
        <v>13</v>
      </c>
      <c r="DC14" s="83" t="s">
        <v>465</v>
      </c>
      <c r="DD14" s="146">
        <f>B166</f>
        <v>150</v>
      </c>
      <c r="DE14" s="83" t="s">
        <v>24</v>
      </c>
      <c r="DF14" s="92" t="s">
        <v>393</v>
      </c>
      <c r="DG14" s="138">
        <f>B47</f>
        <v>0.26</v>
      </c>
      <c r="DJ14" s="138"/>
      <c r="DL14" s="92"/>
      <c r="DO14" s="92" t="s">
        <v>393</v>
      </c>
      <c r="DP14" s="138">
        <f>B47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B200</f>
        <v>1.03</v>
      </c>
      <c r="DZ14" s="52" t="s">
        <v>286</v>
      </c>
      <c r="EA14" s="52" t="s">
        <v>518</v>
      </c>
      <c r="EB14" s="146">
        <f>B200</f>
        <v>1.03</v>
      </c>
      <c r="EC14" s="52" t="s">
        <v>286</v>
      </c>
      <c r="ED14" s="92" t="s">
        <v>392</v>
      </c>
      <c r="EE14" s="163">
        <f>B48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B168</f>
        <v>1</v>
      </c>
      <c r="EP14" s="92"/>
      <c r="EQ14" s="163"/>
      <c r="ER14" s="84"/>
      <c r="ES14" s="92" t="s">
        <v>392</v>
      </c>
      <c r="ET14" s="163">
        <f>B48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B168</f>
        <v>1</v>
      </c>
      <c r="FE14" s="83"/>
      <c r="FF14" s="142"/>
      <c r="FG14" s="83"/>
      <c r="FH14" s="83" t="s">
        <v>392</v>
      </c>
      <c r="FI14" s="142">
        <f>B48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227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B168</f>
        <v>1</v>
      </c>
      <c r="GI14" s="83"/>
      <c r="GJ14" s="142"/>
      <c r="GK14" s="83"/>
      <c r="GL14" s="83" t="s">
        <v>392</v>
      </c>
      <c r="GM14" s="142">
        <f>B48</f>
        <v>0.25</v>
      </c>
      <c r="GN14" s="84"/>
      <c r="GO14" s="92" t="s">
        <v>484</v>
      </c>
      <c r="GP14" s="146">
        <f>B188</f>
        <v>1</v>
      </c>
      <c r="GR14" s="83"/>
      <c r="GS14" s="83"/>
      <c r="GT14" s="83"/>
      <c r="GU14" s="52" t="s">
        <v>350</v>
      </c>
      <c r="GV14" s="164">
        <f>B168</f>
        <v>1</v>
      </c>
      <c r="GX14" s="83"/>
      <c r="GY14" s="142"/>
      <c r="GZ14" s="83"/>
      <c r="HA14" s="83" t="s">
        <v>392</v>
      </c>
      <c r="HB14" s="142">
        <f>B48</f>
        <v>0.25</v>
      </c>
      <c r="HC14" s="84"/>
      <c r="HD14" s="52" t="s">
        <v>225</v>
      </c>
      <c r="HE14" s="138">
        <v>1</v>
      </c>
    </row>
    <row r="15" spans="1:214" x14ac:dyDescent="0.2">
      <c r="A15" s="375"/>
      <c r="B15" s="376"/>
      <c r="C15" s="377"/>
      <c r="D15" s="52" t="s">
        <v>384</v>
      </c>
      <c r="E15" s="138">
        <f>B71</f>
        <v>24</v>
      </c>
      <c r="F15" s="52" t="s">
        <v>194</v>
      </c>
      <c r="G15" s="83" t="s">
        <v>395</v>
      </c>
      <c r="H15" s="147">
        <f>(H29*H17*H68)+(H30*H18*H69)</f>
        <v>181.875</v>
      </c>
      <c r="I15" s="83" t="s">
        <v>345</v>
      </c>
      <c r="J15" s="83" t="s">
        <v>261</v>
      </c>
      <c r="K15" s="144">
        <f>((K5/(K7*K20*(1/K10)*K45))*K11)*K53*K54*K13</f>
        <v>7.5301009927892806E-2</v>
      </c>
      <c r="L15" s="92" t="s">
        <v>12</v>
      </c>
      <c r="M15" s="52" t="s">
        <v>412</v>
      </c>
      <c r="N15" s="139">
        <f>B22</f>
        <v>3.19428</v>
      </c>
      <c r="O15" s="84" t="s">
        <v>353</v>
      </c>
      <c r="P15" s="52" t="s">
        <v>415</v>
      </c>
      <c r="Q15" s="139">
        <f>B24</f>
        <v>0.63512000000000002</v>
      </c>
      <c r="R15" s="84" t="s">
        <v>353</v>
      </c>
      <c r="S15" s="52" t="s">
        <v>417</v>
      </c>
      <c r="T15" s="139">
        <f>B26</f>
        <v>2.8393600000000001</v>
      </c>
      <c r="U15" s="84" t="s">
        <v>353</v>
      </c>
      <c r="V15" s="83" t="s">
        <v>301</v>
      </c>
      <c r="W15" s="142">
        <f>B250</f>
        <v>2</v>
      </c>
      <c r="Y15" s="83" t="s">
        <v>301</v>
      </c>
      <c r="Z15" s="142">
        <f>B230</f>
        <v>2</v>
      </c>
      <c r="AB15" s="83" t="s">
        <v>232</v>
      </c>
      <c r="AC15" s="141">
        <f>B226</f>
        <v>50</v>
      </c>
      <c r="AD15" s="141">
        <f>B236</f>
        <v>50</v>
      </c>
      <c r="AE15" s="141">
        <f>B246</f>
        <v>50</v>
      </c>
      <c r="AF15" s="141">
        <f>B256</f>
        <v>50</v>
      </c>
      <c r="AG15" s="141">
        <f>B268</f>
        <v>50</v>
      </c>
      <c r="AH15" s="92" t="s">
        <v>407</v>
      </c>
      <c r="AI15" s="52" t="s">
        <v>412</v>
      </c>
      <c r="AJ15" s="139">
        <f>B22</f>
        <v>3.19428</v>
      </c>
      <c r="AK15" s="84" t="s">
        <v>353</v>
      </c>
      <c r="AL15" s="52" t="s">
        <v>415</v>
      </c>
      <c r="AM15" s="139">
        <f>B24</f>
        <v>0.63512000000000002</v>
      </c>
      <c r="AN15" s="84" t="s">
        <v>353</v>
      </c>
      <c r="AO15" s="52" t="s">
        <v>417</v>
      </c>
      <c r="AP15" s="139">
        <f>B26</f>
        <v>2.8393600000000001</v>
      </c>
      <c r="AQ15" s="84" t="s">
        <v>353</v>
      </c>
      <c r="AR15" s="52" t="s">
        <v>412</v>
      </c>
      <c r="AS15" s="139">
        <f>B22</f>
        <v>3.19428</v>
      </c>
      <c r="AT15" s="84" t="s">
        <v>353</v>
      </c>
      <c r="AU15" s="52" t="s">
        <v>415</v>
      </c>
      <c r="AV15" s="139">
        <f>B24</f>
        <v>0.63512000000000002</v>
      </c>
      <c r="AW15" s="84" t="s">
        <v>353</v>
      </c>
      <c r="AX15" s="52" t="s">
        <v>417</v>
      </c>
      <c r="AY15" s="139">
        <f>B26</f>
        <v>2.8393600000000001</v>
      </c>
      <c r="AZ15" s="84" t="s">
        <v>353</v>
      </c>
      <c r="BA15" s="52" t="s">
        <v>412</v>
      </c>
      <c r="BB15" s="139">
        <f>B22</f>
        <v>3.19428</v>
      </c>
      <c r="BC15" s="84" t="s">
        <v>353</v>
      </c>
      <c r="BD15" s="52" t="s">
        <v>415</v>
      </c>
      <c r="BE15" s="139">
        <f>B24</f>
        <v>0.63512000000000002</v>
      </c>
      <c r="BF15" s="84" t="s">
        <v>353</v>
      </c>
      <c r="BG15" s="52" t="s">
        <v>417</v>
      </c>
      <c r="BH15" s="139">
        <f>B26</f>
        <v>2.8393600000000001</v>
      </c>
      <c r="BI15" s="84" t="s">
        <v>353</v>
      </c>
      <c r="BJ15" s="52" t="s">
        <v>57</v>
      </c>
      <c r="BK15" s="136">
        <f>B262</f>
        <v>5</v>
      </c>
      <c r="BL15" s="52" t="s">
        <v>194</v>
      </c>
      <c r="BM15" s="52" t="s">
        <v>57</v>
      </c>
      <c r="BN15" s="136">
        <f>B262</f>
        <v>5</v>
      </c>
      <c r="BO15" s="52" t="s">
        <v>194</v>
      </c>
      <c r="BP15" s="52" t="s">
        <v>57</v>
      </c>
      <c r="BQ15" s="136">
        <f>B262</f>
        <v>5</v>
      </c>
      <c r="BR15" s="52" t="s">
        <v>194</v>
      </c>
      <c r="BS15" s="52" t="s">
        <v>90</v>
      </c>
      <c r="BT15" s="138">
        <f>B118</f>
        <v>5</v>
      </c>
      <c r="BU15" s="52" t="s">
        <v>194</v>
      </c>
      <c r="BV15" s="83" t="s">
        <v>438</v>
      </c>
      <c r="BW15" s="146">
        <f>B106</f>
        <v>2</v>
      </c>
      <c r="BX15" s="83" t="s">
        <v>357</v>
      </c>
      <c r="BY15" s="83" t="s">
        <v>262</v>
      </c>
      <c r="BZ15" s="145">
        <f>(((BZ5)/(BZ8*BZ22*(1/BZ31)*BZ25*(1/24)*BZ28*BZ29))*BZ10)*BZ36*BZ37*BZ12</f>
        <v>1.7905322792268906E-6</v>
      </c>
      <c r="CA15" s="92" t="s">
        <v>12</v>
      </c>
      <c r="CB15" s="94" t="s">
        <v>295</v>
      </c>
      <c r="CC15" s="150">
        <f>B278</f>
        <v>132.90539999999999</v>
      </c>
      <c r="CD15" s="90" t="s">
        <v>296</v>
      </c>
      <c r="CE15" s="94" t="s">
        <v>295</v>
      </c>
      <c r="CF15" s="150">
        <f>B278</f>
        <v>132.90539999999999</v>
      </c>
      <c r="CG15" s="90" t="s">
        <v>296</v>
      </c>
      <c r="CH15" s="94" t="s">
        <v>295</v>
      </c>
      <c r="CI15" s="150">
        <f>B278</f>
        <v>132.90539999999999</v>
      </c>
      <c r="CJ15" s="90" t="s">
        <v>296</v>
      </c>
      <c r="CN15" s="83" t="s">
        <v>22</v>
      </c>
      <c r="CO15" s="137">
        <f>0.693/CO16</f>
        <v>2.2972045705420805E-2</v>
      </c>
      <c r="CT15" s="83" t="s">
        <v>261</v>
      </c>
      <c r="CU15" s="144">
        <f>((CU5/(CU7*CU26*(1/CU10)*CU45))*CU11)*CU49*CU50*CU13</f>
        <v>7.204475003911906E-2</v>
      </c>
      <c r="CV15" s="92" t="s">
        <v>12</v>
      </c>
      <c r="CW15" s="52" t="s">
        <v>365</v>
      </c>
      <c r="CX15" s="138">
        <f>B170</f>
        <v>24</v>
      </c>
      <c r="CY15" s="52" t="s">
        <v>194</v>
      </c>
      <c r="CZ15" s="83" t="s">
        <v>266</v>
      </c>
      <c r="DA15" s="153">
        <f>(DA5/(DA8*DA26*(DA46/DA47)))*DA51*DA52*DA12</f>
        <v>1.6762353718407461E-11</v>
      </c>
      <c r="DB15" s="83" t="s">
        <v>13</v>
      </c>
      <c r="DC15" s="83" t="s">
        <v>456</v>
      </c>
      <c r="DD15" s="146">
        <f>B165</f>
        <v>150</v>
      </c>
      <c r="DE15" s="83" t="s">
        <v>24</v>
      </c>
      <c r="DF15" s="92" t="s">
        <v>61</v>
      </c>
      <c r="DG15" s="138">
        <f>B193</f>
        <v>0.42</v>
      </c>
      <c r="DH15" s="52" t="s">
        <v>41</v>
      </c>
      <c r="DL15" s="92"/>
      <c r="DO15" s="92" t="s">
        <v>61</v>
      </c>
      <c r="DP15" s="138">
        <f>B193</f>
        <v>0.42</v>
      </c>
      <c r="DQ15" s="52" t="s">
        <v>41</v>
      </c>
      <c r="DR15" s="92" t="s">
        <v>479</v>
      </c>
      <c r="DS15" s="146">
        <f>B183</f>
        <v>1</v>
      </c>
      <c r="DU15" s="92"/>
      <c r="DX15" s="52" t="s">
        <v>350</v>
      </c>
      <c r="DY15" s="164">
        <f>B168</f>
        <v>1</v>
      </c>
      <c r="EA15" s="92"/>
      <c r="EB15" s="84"/>
      <c r="EC15" s="84"/>
      <c r="ED15" s="83" t="s">
        <v>27</v>
      </c>
      <c r="EE15" s="142">
        <f>B199</f>
        <v>92</v>
      </c>
      <c r="EF15" s="83" t="s">
        <v>28</v>
      </c>
      <c r="EG15" s="92" t="s">
        <v>480</v>
      </c>
      <c r="EH15" s="146">
        <f>B184</f>
        <v>1</v>
      </c>
      <c r="EJ15" s="92"/>
      <c r="EM15" s="83" t="s">
        <v>22</v>
      </c>
      <c r="EN15" s="137">
        <f>0.693/EN16</f>
        <v>2.2972045705420805E-2</v>
      </c>
      <c r="EP15" s="92"/>
      <c r="EQ15" s="84"/>
      <c r="ER15" s="84"/>
      <c r="ES15" s="83" t="s">
        <v>29</v>
      </c>
      <c r="ET15" s="142">
        <f>B205</f>
        <v>53</v>
      </c>
      <c r="EU15" s="83" t="s">
        <v>28</v>
      </c>
      <c r="EV15" s="92" t="s">
        <v>481</v>
      </c>
      <c r="EW15" s="146">
        <f>B185</f>
        <v>1</v>
      </c>
      <c r="EY15" s="83"/>
      <c r="EZ15" s="83"/>
      <c r="FA15" s="83"/>
      <c r="FB15" s="83" t="s">
        <v>22</v>
      </c>
      <c r="FC15" s="137">
        <f>0.693/FC16</f>
        <v>2.2972045705420805E-2</v>
      </c>
      <c r="FE15" s="83"/>
      <c r="FF15" s="83"/>
      <c r="FG15" s="83"/>
      <c r="FH15" s="83" t="s">
        <v>148</v>
      </c>
      <c r="FI15" s="164">
        <f>B210</f>
        <v>0.4</v>
      </c>
      <c r="FJ15" s="83" t="s">
        <v>28</v>
      </c>
      <c r="FK15" s="92" t="s">
        <v>482</v>
      </c>
      <c r="FL15" s="146">
        <f>B186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B187</f>
        <v>1</v>
      </c>
      <c r="GC15" s="83"/>
      <c r="GD15" s="83"/>
      <c r="GE15" s="83"/>
      <c r="GF15" s="83" t="s">
        <v>22</v>
      </c>
      <c r="GG15" s="137">
        <f>0.693/GG16</f>
        <v>2.2972045705420805E-2</v>
      </c>
      <c r="GI15" s="83"/>
      <c r="GJ15" s="83"/>
      <c r="GK15" s="83"/>
      <c r="GL15" s="83" t="s">
        <v>149</v>
      </c>
      <c r="GM15" s="164">
        <f>B215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2.2972045705420805E-2</v>
      </c>
      <c r="GX15" s="83"/>
      <c r="GY15" s="83"/>
      <c r="GZ15" s="83"/>
      <c r="HA15" s="83" t="s">
        <v>150</v>
      </c>
      <c r="HB15" s="142">
        <f>B220</f>
        <v>11.4</v>
      </c>
      <c r="HC15" s="83" t="s">
        <v>28</v>
      </c>
      <c r="HD15" s="84"/>
      <c r="HE15" s="138"/>
    </row>
    <row r="16" spans="1:214" s="83" customFormat="1" ht="13.5" thickBot="1" x14ac:dyDescent="0.25">
      <c r="A16" s="378"/>
      <c r="B16" s="379"/>
      <c r="C16" s="380"/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1327.5</v>
      </c>
      <c r="I16" s="83" t="s">
        <v>426</v>
      </c>
      <c r="J16" s="83" t="s">
        <v>262</v>
      </c>
      <c r="K16" s="144">
        <f>((K5/(K8*K42*((K37*K41*(1/K35))+(K38*K40*(1/K35)))*K32*(1/K44)*K33))*K11)*K53*K54*K13</f>
        <v>2.6795153974778061E-8</v>
      </c>
      <c r="L16" s="92" t="s">
        <v>12</v>
      </c>
      <c r="M16" s="52" t="s">
        <v>409</v>
      </c>
      <c r="N16" s="150">
        <f>B89</f>
        <v>25</v>
      </c>
      <c r="O16" s="52" t="s">
        <v>194</v>
      </c>
      <c r="P16" s="52" t="s">
        <v>409</v>
      </c>
      <c r="Q16" s="150">
        <f>B89</f>
        <v>25</v>
      </c>
      <c r="R16" s="52" t="s">
        <v>194</v>
      </c>
      <c r="S16" s="52" t="s">
        <v>409</v>
      </c>
      <c r="T16" s="150">
        <f>B89</f>
        <v>25</v>
      </c>
      <c r="U16" s="52" t="s">
        <v>194</v>
      </c>
      <c r="V16" s="52" t="s">
        <v>261</v>
      </c>
      <c r="W16" s="143">
        <f>((W5)/((W12/24)*W9*W10*W11*W13))*W20*W21*W8</f>
        <v>5.5922175211464808E-11</v>
      </c>
      <c r="X16" s="52" t="s">
        <v>15</v>
      </c>
      <c r="Y16" s="52" t="s">
        <v>261</v>
      </c>
      <c r="Z16" s="143">
        <f>((Z5)/((Z12/24)*Z9*Z10*Z11*Z13))*Z20*Z21*Z8</f>
        <v>5.5922175211464808E-11</v>
      </c>
      <c r="AA16" s="52" t="s">
        <v>15</v>
      </c>
      <c r="AB16" s="83" t="s">
        <v>299</v>
      </c>
      <c r="AC16" s="141">
        <f>B231</f>
        <v>1</v>
      </c>
      <c r="AD16" s="141">
        <f>B241</f>
        <v>1</v>
      </c>
      <c r="AE16" s="141">
        <f>B251</f>
        <v>1</v>
      </c>
      <c r="AF16" s="141">
        <f>B261</f>
        <v>1</v>
      </c>
      <c r="AG16" s="141">
        <f>B272</f>
        <v>1</v>
      </c>
      <c r="AH16" s="92"/>
      <c r="AI16" s="52" t="s">
        <v>69</v>
      </c>
      <c r="AJ16" s="136">
        <f>B243</f>
        <v>5</v>
      </c>
      <c r="AK16" s="52" t="s">
        <v>194</v>
      </c>
      <c r="AL16" s="52" t="s">
        <v>69</v>
      </c>
      <c r="AM16" s="136">
        <f>B243</f>
        <v>5</v>
      </c>
      <c r="AN16" s="52" t="s">
        <v>194</v>
      </c>
      <c r="AO16" s="52" t="s">
        <v>69</v>
      </c>
      <c r="AP16" s="136">
        <f>B243</f>
        <v>5</v>
      </c>
      <c r="AQ16" s="52" t="s">
        <v>194</v>
      </c>
      <c r="AR16" s="52" t="s">
        <v>69</v>
      </c>
      <c r="AS16" s="136">
        <f>B253</f>
        <v>5</v>
      </c>
      <c r="AT16" s="52" t="s">
        <v>194</v>
      </c>
      <c r="AU16" s="52" t="s">
        <v>69</v>
      </c>
      <c r="AV16" s="136">
        <f>B253</f>
        <v>5</v>
      </c>
      <c r="AW16" s="52" t="s">
        <v>194</v>
      </c>
      <c r="AX16" s="52" t="s">
        <v>69</v>
      </c>
      <c r="AY16" s="136">
        <f>B253</f>
        <v>5</v>
      </c>
      <c r="AZ16" s="52" t="s">
        <v>194</v>
      </c>
      <c r="BA16" s="52" t="s">
        <v>69</v>
      </c>
      <c r="BB16" s="136">
        <f>B233</f>
        <v>5</v>
      </c>
      <c r="BC16" s="52" t="s">
        <v>194</v>
      </c>
      <c r="BD16" s="52" t="s">
        <v>69</v>
      </c>
      <c r="BE16" s="136">
        <f>B233</f>
        <v>5</v>
      </c>
      <c r="BF16" s="52" t="s">
        <v>194</v>
      </c>
      <c r="BG16" s="52" t="s">
        <v>69</v>
      </c>
      <c r="BH16" s="136">
        <f>B233</f>
        <v>5</v>
      </c>
      <c r="BI16" s="52" t="s">
        <v>194</v>
      </c>
      <c r="BJ16" s="52" t="s">
        <v>412</v>
      </c>
      <c r="BK16" s="139">
        <f>B22</f>
        <v>3.19428</v>
      </c>
      <c r="BL16" s="84" t="s">
        <v>353</v>
      </c>
      <c r="BM16" s="52" t="s">
        <v>415</v>
      </c>
      <c r="BN16" s="139">
        <f>B24</f>
        <v>0.63512000000000002</v>
      </c>
      <c r="BO16" s="84" t="s">
        <v>353</v>
      </c>
      <c r="BP16" s="52" t="s">
        <v>417</v>
      </c>
      <c r="BQ16" s="139">
        <f>B26</f>
        <v>2.8393600000000001</v>
      </c>
      <c r="BR16" s="84" t="s">
        <v>353</v>
      </c>
      <c r="BS16" s="83" t="s">
        <v>256</v>
      </c>
      <c r="BT16" s="136">
        <f>E17</f>
        <v>4763.3999999999996</v>
      </c>
      <c r="BU16" s="83" t="s">
        <v>343</v>
      </c>
      <c r="BV16" s="83" t="s">
        <v>437</v>
      </c>
      <c r="BW16" s="140">
        <f>((BW18*BW20*BW23*BW30)+(BW19*BW21*BW24*BW31))</f>
        <v>1375</v>
      </c>
      <c r="BX16" s="83" t="s">
        <v>356</v>
      </c>
      <c r="BY16" s="83" t="s">
        <v>46</v>
      </c>
      <c r="BZ16" s="149">
        <f>(BZ18*BZ22*BZ34)+(BZ19*BZ23*BZ35)</f>
        <v>3382.5</v>
      </c>
      <c r="CA16" s="83" t="s">
        <v>346</v>
      </c>
      <c r="CB16" s="84" t="s">
        <v>293</v>
      </c>
      <c r="CC16" s="85">
        <f>B280</f>
        <v>2.7955176153748299E-12</v>
      </c>
      <c r="CD16" s="52"/>
      <c r="CE16" s="84" t="s">
        <v>293</v>
      </c>
      <c r="CF16" s="85">
        <f>B280</f>
        <v>2.7955176153748299E-12</v>
      </c>
      <c r="CG16" s="52"/>
      <c r="CH16" s="84" t="s">
        <v>293</v>
      </c>
      <c r="CI16" s="85">
        <f>B280</f>
        <v>2.7955176153748299E-12</v>
      </c>
      <c r="CJ16" s="52"/>
      <c r="CN16" s="91" t="s">
        <v>231</v>
      </c>
      <c r="CO16" s="136">
        <f>B30</f>
        <v>30.167100000000001</v>
      </c>
      <c r="CP16" s="52" t="s">
        <v>60</v>
      </c>
      <c r="CT16" s="83" t="s">
        <v>262</v>
      </c>
      <c r="CU16" s="144">
        <f>((CU5/(CU8*CU42*((CU37*CU41*(1/24))+(CU38*CU40*(1/24)))*CU32*(1/CU44)))*CU11)*CU49*CU50*CU13</f>
        <v>4.4507747592455772E-8</v>
      </c>
      <c r="CV16" s="92" t="s">
        <v>12</v>
      </c>
      <c r="CW16" s="52" t="s">
        <v>364</v>
      </c>
      <c r="CX16" s="138">
        <f>B169</f>
        <v>24</v>
      </c>
      <c r="CY16" s="52" t="s">
        <v>194</v>
      </c>
      <c r="CZ16" s="83" t="s">
        <v>512</v>
      </c>
      <c r="DA16" s="153">
        <f>DG2</f>
        <v>1.2427015445953946E-6</v>
      </c>
      <c r="DB16" s="83" t="s">
        <v>13</v>
      </c>
      <c r="DC16" s="83" t="s">
        <v>363</v>
      </c>
      <c r="DD16" s="146">
        <f>B168</f>
        <v>1</v>
      </c>
      <c r="DE16" s="83" t="s">
        <v>60</v>
      </c>
      <c r="DF16" s="92" t="s">
        <v>63</v>
      </c>
      <c r="DG16" s="151">
        <f>DG20+(0.693/DG22)</f>
        <v>4.9562937111521696E-2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2.2972045705420805E-2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B30</f>
        <v>30.167100000000001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B30</f>
        <v>30.167100000000001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B30</f>
        <v>30.167100000000001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B163</f>
        <v>0.15</v>
      </c>
      <c r="GQ16" s="52"/>
      <c r="GU16" s="91" t="s">
        <v>231</v>
      </c>
      <c r="GV16" s="136">
        <f>B30</f>
        <v>30.167100000000001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  <c r="HE16" s="142"/>
    </row>
    <row r="17" spans="1:214" ht="14.25" thickTop="1" thickBot="1" x14ac:dyDescent="0.25">
      <c r="A17" s="52" t="s">
        <v>267</v>
      </c>
      <c r="B17" s="129">
        <v>1</v>
      </c>
      <c r="C17" s="52" t="s">
        <v>344</v>
      </c>
      <c r="D17" s="83" t="s">
        <v>256</v>
      </c>
      <c r="E17" s="136">
        <f>B27</f>
        <v>4763.3999999999996</v>
      </c>
      <c r="F17" s="83" t="s">
        <v>343</v>
      </c>
      <c r="G17" s="83" t="s">
        <v>370</v>
      </c>
      <c r="H17" s="146">
        <f>B54</f>
        <v>0.25</v>
      </c>
      <c r="I17" s="52" t="s">
        <v>28</v>
      </c>
      <c r="J17" s="83" t="s">
        <v>263</v>
      </c>
      <c r="K17" s="153">
        <f>((K18/(K47+K48))*K11)*K53*K54*K13</f>
        <v>2.1992357354572812E-15</v>
      </c>
      <c r="L17" s="92" t="s">
        <v>12</v>
      </c>
      <c r="M17" s="84" t="s">
        <v>295</v>
      </c>
      <c r="N17" s="150">
        <f>B278</f>
        <v>132.90539999999999</v>
      </c>
      <c r="O17" s="52" t="s">
        <v>296</v>
      </c>
      <c r="P17" s="84" t="s">
        <v>295</v>
      </c>
      <c r="Q17" s="150">
        <f>B278</f>
        <v>132.90539999999999</v>
      </c>
      <c r="R17" s="52" t="s">
        <v>296</v>
      </c>
      <c r="S17" s="84" t="s">
        <v>295</v>
      </c>
      <c r="T17" s="150">
        <f>B278</f>
        <v>132.90539999999999</v>
      </c>
      <c r="U17" s="52" t="s">
        <v>296</v>
      </c>
      <c r="V17" s="52" t="s">
        <v>271</v>
      </c>
      <c r="W17" s="144">
        <f>((W5)/((W12/24)*W9*W14*(1/365)))*W20*W21*W8</f>
        <v>3.3032485849977923E-14</v>
      </c>
      <c r="X17" s="52" t="s">
        <v>15</v>
      </c>
      <c r="Y17" s="52" t="s">
        <v>271</v>
      </c>
      <c r="Z17" s="144">
        <f>((Z5)/((Z12/24)*Z9*Z14*(1/365)))*Z20*Z21*Z8</f>
        <v>3.3032485849977923E-14</v>
      </c>
      <c r="AA17" s="52" t="s">
        <v>15</v>
      </c>
      <c r="AB17" s="83" t="s">
        <v>413</v>
      </c>
      <c r="AC17" s="161">
        <f>B4</f>
        <v>0.74199999999999999</v>
      </c>
      <c r="AD17" s="161">
        <f>B4</f>
        <v>0.74199999999999999</v>
      </c>
      <c r="AE17" s="161">
        <f>B4</f>
        <v>0.74199999999999999</v>
      </c>
      <c r="AF17" s="161">
        <f>B4</f>
        <v>0.74199999999999999</v>
      </c>
      <c r="AG17" s="161">
        <f>B4</f>
        <v>0.74199999999999999</v>
      </c>
      <c r="AH17" s="92"/>
      <c r="AI17" s="84" t="s">
        <v>295</v>
      </c>
      <c r="AJ17" s="236">
        <f>B278</f>
        <v>132.90539999999999</v>
      </c>
      <c r="AK17" s="52" t="s">
        <v>296</v>
      </c>
      <c r="AL17" s="84" t="s">
        <v>295</v>
      </c>
      <c r="AM17" s="150">
        <f>B278</f>
        <v>132.90539999999999</v>
      </c>
      <c r="AN17" s="90" t="s">
        <v>296</v>
      </c>
      <c r="AO17" s="94" t="s">
        <v>295</v>
      </c>
      <c r="AP17" s="150">
        <f>B278</f>
        <v>132.90539999999999</v>
      </c>
      <c r="AQ17" s="90" t="s">
        <v>296</v>
      </c>
      <c r="AR17" s="94" t="s">
        <v>295</v>
      </c>
      <c r="AS17" s="150">
        <f>B278</f>
        <v>132.90539999999999</v>
      </c>
      <c r="AT17" s="90" t="s">
        <v>296</v>
      </c>
      <c r="AU17" s="94" t="s">
        <v>295</v>
      </c>
      <c r="AV17" s="150">
        <f>B278</f>
        <v>132.90539999999999</v>
      </c>
      <c r="AW17" s="90" t="s">
        <v>296</v>
      </c>
      <c r="AX17" s="94" t="s">
        <v>295</v>
      </c>
      <c r="AY17" s="150">
        <f>B278</f>
        <v>132.90539999999999</v>
      </c>
      <c r="AZ17" s="90" t="s">
        <v>296</v>
      </c>
      <c r="BA17" s="94" t="s">
        <v>295</v>
      </c>
      <c r="BB17" s="150">
        <f>B278</f>
        <v>132.90539999999999</v>
      </c>
      <c r="BC17" s="90" t="s">
        <v>296</v>
      </c>
      <c r="BD17" s="94" t="s">
        <v>295</v>
      </c>
      <c r="BE17" s="150">
        <f>B278</f>
        <v>132.90539999999999</v>
      </c>
      <c r="BF17" s="90" t="s">
        <v>296</v>
      </c>
      <c r="BG17" s="94" t="s">
        <v>295</v>
      </c>
      <c r="BH17" s="150">
        <f>B278</f>
        <v>132.90539999999999</v>
      </c>
      <c r="BI17" s="90" t="s">
        <v>296</v>
      </c>
      <c r="BJ17" s="94" t="s">
        <v>295</v>
      </c>
      <c r="BK17" s="150">
        <f>B278</f>
        <v>132.90539999999999</v>
      </c>
      <c r="BL17" s="90" t="s">
        <v>296</v>
      </c>
      <c r="BM17" s="94" t="s">
        <v>295</v>
      </c>
      <c r="BN17" s="150">
        <f>B278</f>
        <v>132.90539999999999</v>
      </c>
      <c r="BO17" s="90" t="s">
        <v>296</v>
      </c>
      <c r="BP17" s="94" t="s">
        <v>295</v>
      </c>
      <c r="BQ17" s="150">
        <f>B278</f>
        <v>132.90539999999999</v>
      </c>
      <c r="BR17" s="90" t="s">
        <v>296</v>
      </c>
      <c r="BS17" s="83" t="s">
        <v>301</v>
      </c>
      <c r="BT17" s="142">
        <f>B121</f>
        <v>2</v>
      </c>
      <c r="BV17" s="83" t="s">
        <v>65</v>
      </c>
      <c r="BW17" s="141">
        <f>B126</f>
        <v>0.5</v>
      </c>
      <c r="BX17" s="52" t="s">
        <v>66</v>
      </c>
      <c r="BY17" s="83" t="s">
        <v>43</v>
      </c>
      <c r="BZ17" s="149">
        <f>(BZ24*BZ20*(BZ26/24)*BZ34)+(BZ23*BZ21*(BZ27/24)*BZ35)</f>
        <v>101.40625</v>
      </c>
      <c r="CA17" s="52" t="s">
        <v>426</v>
      </c>
      <c r="CN17" s="84" t="s">
        <v>16</v>
      </c>
      <c r="CO17" s="137">
        <f>(CO14*CO15)/(1-EXP(-CO15*CO14))</f>
        <v>1.0115299987062558</v>
      </c>
      <c r="CT17" s="83" t="s">
        <v>263</v>
      </c>
      <c r="CU17" s="153">
        <f>DJ2</f>
        <v>4.9053880574919323E-8</v>
      </c>
      <c r="CV17" s="92" t="s">
        <v>12</v>
      </c>
      <c r="CW17" s="83" t="s">
        <v>256</v>
      </c>
      <c r="CX17" s="136">
        <f>B27</f>
        <v>4763.3999999999996</v>
      </c>
      <c r="CY17" s="83" t="s">
        <v>343</v>
      </c>
      <c r="CZ17" s="83" t="s">
        <v>511</v>
      </c>
      <c r="DA17" s="153">
        <f>DD2</f>
        <v>1.3832153642778274E-8</v>
      </c>
      <c r="DB17" s="83" t="s">
        <v>12</v>
      </c>
      <c r="DC17" s="93"/>
      <c r="DD17" s="136">
        <v>9.9999999999999995E-7</v>
      </c>
      <c r="DE17" s="88"/>
      <c r="DF17" s="92" t="s">
        <v>67</v>
      </c>
      <c r="DG17" s="142">
        <f>B194</f>
        <v>60</v>
      </c>
      <c r="DH17" s="83" t="s">
        <v>53</v>
      </c>
      <c r="DL17" s="92"/>
      <c r="DM17" s="83"/>
      <c r="DN17" s="83"/>
      <c r="DO17" s="92" t="s">
        <v>67</v>
      </c>
      <c r="DP17" s="142">
        <f>B194</f>
        <v>60</v>
      </c>
      <c r="DQ17" s="83" t="s">
        <v>53</v>
      </c>
      <c r="DR17" s="83" t="s">
        <v>475</v>
      </c>
      <c r="DS17" s="146">
        <f>B163</f>
        <v>0.15</v>
      </c>
      <c r="DU17" s="92"/>
      <c r="DV17" s="87"/>
      <c r="DW17" s="83"/>
      <c r="DX17" s="91" t="s">
        <v>231</v>
      </c>
      <c r="DY17" s="136">
        <f>B30</f>
        <v>30.167100000000001</v>
      </c>
      <c r="DZ17" s="52" t="s">
        <v>60</v>
      </c>
      <c r="EA17" s="92"/>
      <c r="EB17" s="83"/>
      <c r="EC17" s="83"/>
      <c r="ED17" s="92" t="s">
        <v>67</v>
      </c>
      <c r="EE17" s="142">
        <f>B194</f>
        <v>60</v>
      </c>
      <c r="EF17" s="83" t="s">
        <v>53</v>
      </c>
      <c r="EG17" s="83" t="s">
        <v>475</v>
      </c>
      <c r="EH17" s="146">
        <f>B163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1.0115299987062558</v>
      </c>
      <c r="EP17" s="92"/>
      <c r="EQ17" s="83"/>
      <c r="ER17" s="83"/>
      <c r="ES17" s="92" t="s">
        <v>67</v>
      </c>
      <c r="ET17" s="142">
        <f>B194</f>
        <v>60</v>
      </c>
      <c r="EU17" s="83" t="s">
        <v>53</v>
      </c>
      <c r="EV17" s="83" t="s">
        <v>475</v>
      </c>
      <c r="EW17" s="141">
        <f>B163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1.0115299987062558</v>
      </c>
      <c r="FE17" s="83"/>
      <c r="FF17" s="83"/>
      <c r="FG17" s="83"/>
      <c r="FH17" s="83" t="s">
        <v>67</v>
      </c>
      <c r="FI17" s="142">
        <f>B194</f>
        <v>60</v>
      </c>
      <c r="FJ17" s="83" t="s">
        <v>53</v>
      </c>
      <c r="FK17" s="83" t="s">
        <v>475</v>
      </c>
      <c r="FL17" s="141">
        <f>B163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B163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1.0115299987062558</v>
      </c>
      <c r="GI17" s="83"/>
      <c r="GJ17" s="83"/>
      <c r="GK17" s="83"/>
      <c r="GL17" s="83" t="s">
        <v>67</v>
      </c>
      <c r="GM17" s="142">
        <f>B194</f>
        <v>60</v>
      </c>
      <c r="GN17" s="83" t="s">
        <v>53</v>
      </c>
      <c r="GO17" s="83" t="s">
        <v>476</v>
      </c>
      <c r="GP17" s="141">
        <f>B164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1.0115299987062558</v>
      </c>
      <c r="GX17" s="83"/>
      <c r="GY17" s="83"/>
      <c r="GZ17" s="83"/>
      <c r="HA17" s="83" t="s">
        <v>67</v>
      </c>
      <c r="HB17" s="142">
        <f>B194</f>
        <v>60</v>
      </c>
      <c r="HC17" s="83" t="s">
        <v>53</v>
      </c>
      <c r="HD17" s="84"/>
      <c r="HE17" s="163"/>
    </row>
    <row r="18" spans="1:214" ht="19.5" thickTop="1" thickBot="1" x14ac:dyDescent="0.25">
      <c r="A18" s="83" t="s">
        <v>247</v>
      </c>
      <c r="B18" s="180">
        <v>1.5417408700798101E-4</v>
      </c>
      <c r="C18" s="84" t="s">
        <v>259</v>
      </c>
      <c r="D18" s="83" t="s">
        <v>301</v>
      </c>
      <c r="E18" s="142">
        <f>B72</f>
        <v>2</v>
      </c>
      <c r="G18" s="83" t="s">
        <v>371</v>
      </c>
      <c r="H18" s="146">
        <f>B55</f>
        <v>1.5</v>
      </c>
      <c r="I18" s="52" t="s">
        <v>28</v>
      </c>
      <c r="J18" s="83" t="s">
        <v>264</v>
      </c>
      <c r="K18" s="154">
        <f>(K5/(K9*(K25+K28)*K36))*K53*K54*K13</f>
        <v>5.5328614571113098E-8</v>
      </c>
      <c r="L18" s="92" t="s">
        <v>12</v>
      </c>
      <c r="M18" s="84" t="s">
        <v>293</v>
      </c>
      <c r="N18" s="85">
        <f>B280</f>
        <v>2.7955176153748299E-12</v>
      </c>
      <c r="P18" s="84" t="s">
        <v>293</v>
      </c>
      <c r="Q18" s="85">
        <f>B280</f>
        <v>2.7955176153748299E-12</v>
      </c>
      <c r="S18" s="84" t="s">
        <v>293</v>
      </c>
      <c r="T18" s="85">
        <f>B280</f>
        <v>2.7955176153748299E-12</v>
      </c>
      <c r="V18" s="52" t="s">
        <v>261</v>
      </c>
      <c r="W18" s="144">
        <f>((W5*W7*W6)/((W12/24)*(1-EXP(-W7*W10))*W11*W13*W9*W10))*W20*W21*W8</f>
        <v>5.6566957819304004E-11</v>
      </c>
      <c r="X18" s="52" t="s">
        <v>16</v>
      </c>
      <c r="Y18" s="52" t="s">
        <v>261</v>
      </c>
      <c r="Z18" s="144">
        <f>((Z5*Z7*Z6)/((Z12/24)*(1-EXP(-Z7*Z10))*Z11*Z13*Z9*Z10))*Z20*Z21*Z8</f>
        <v>5.6566957819304004E-11</v>
      </c>
      <c r="AA18" s="52" t="s">
        <v>16</v>
      </c>
      <c r="AB18" s="83" t="s">
        <v>412</v>
      </c>
      <c r="AC18" s="136">
        <f>B22</f>
        <v>3.19428</v>
      </c>
      <c r="AD18" s="136">
        <f>B22</f>
        <v>3.19428</v>
      </c>
      <c r="AE18" s="136">
        <f>B22</f>
        <v>3.19428</v>
      </c>
      <c r="AF18" s="136">
        <f>B22</f>
        <v>3.19428</v>
      </c>
      <c r="AG18" s="136">
        <f>B22</f>
        <v>3.19428</v>
      </c>
      <c r="AH18" s="83" t="s">
        <v>351</v>
      </c>
      <c r="AI18" s="84" t="s">
        <v>293</v>
      </c>
      <c r="AJ18" s="85">
        <f>B280</f>
        <v>2.7955176153748299E-12</v>
      </c>
      <c r="AL18" s="84" t="s">
        <v>293</v>
      </c>
      <c r="AM18" s="85">
        <f>B280</f>
        <v>2.7955176153748299E-12</v>
      </c>
      <c r="AO18" s="84" t="s">
        <v>293</v>
      </c>
      <c r="AP18" s="85">
        <f>B280</f>
        <v>2.7955176153748299E-12</v>
      </c>
      <c r="AR18" s="84" t="s">
        <v>293</v>
      </c>
      <c r="AS18" s="85">
        <f>B280</f>
        <v>2.7955176153748299E-12</v>
      </c>
      <c r="AU18" s="84" t="s">
        <v>293</v>
      </c>
      <c r="AV18" s="85">
        <f>B280</f>
        <v>2.7955176153748299E-12</v>
      </c>
      <c r="AX18" s="84" t="s">
        <v>293</v>
      </c>
      <c r="AY18" s="85">
        <f>B280</f>
        <v>2.7955176153748299E-12</v>
      </c>
      <c r="BA18" s="84" t="s">
        <v>293</v>
      </c>
      <c r="BB18" s="85">
        <f>B280</f>
        <v>2.7955176153748299E-12</v>
      </c>
      <c r="BD18" s="84" t="s">
        <v>293</v>
      </c>
      <c r="BE18" s="85">
        <f>B280</f>
        <v>2.7955176153748299E-12</v>
      </c>
      <c r="BG18" s="84" t="s">
        <v>293</v>
      </c>
      <c r="BH18" s="85">
        <f>B280</f>
        <v>2.7955176153748299E-12</v>
      </c>
      <c r="BJ18" s="84" t="s">
        <v>293</v>
      </c>
      <c r="BK18" s="85">
        <f>B280</f>
        <v>2.7955176153748299E-12</v>
      </c>
      <c r="BM18" s="84" t="s">
        <v>293</v>
      </c>
      <c r="BN18" s="85">
        <f>B280</f>
        <v>2.7955176153748299E-12</v>
      </c>
      <c r="BP18" s="84" t="s">
        <v>293</v>
      </c>
      <c r="BQ18" s="85">
        <f>B280</f>
        <v>2.7955176153748299E-12</v>
      </c>
      <c r="BS18" s="52" t="s">
        <v>261</v>
      </c>
      <c r="BT18" s="143">
        <f>((BT5)/(BT9*BT10))*BT27*BT28*BT7</f>
        <v>7.1805566527304614E-10</v>
      </c>
      <c r="BU18" s="52" t="s">
        <v>15</v>
      </c>
      <c r="BV18" s="83" t="s">
        <v>433</v>
      </c>
      <c r="BW18" s="150">
        <f>B122</f>
        <v>55</v>
      </c>
      <c r="BX18" s="83" t="s">
        <v>24</v>
      </c>
      <c r="BY18" s="83" t="s">
        <v>441</v>
      </c>
      <c r="BZ18" s="146">
        <f>B107</f>
        <v>100</v>
      </c>
      <c r="CA18" s="84" t="s">
        <v>48</v>
      </c>
      <c r="CB18" s="274" t="s">
        <v>572</v>
      </c>
      <c r="CC18" s="270"/>
      <c r="CD18" s="270"/>
      <c r="CE18" s="271" t="s">
        <v>573</v>
      </c>
      <c r="CF18" s="270"/>
      <c r="CG18" s="273"/>
      <c r="CH18" s="83"/>
      <c r="CI18" s="83"/>
      <c r="CJ18" s="83"/>
      <c r="CT18" s="83" t="s">
        <v>264</v>
      </c>
      <c r="CU18" s="153">
        <f>DD2</f>
        <v>1.3832153642778274E-8</v>
      </c>
      <c r="CV18" s="92" t="s">
        <v>12</v>
      </c>
      <c r="CW18" s="83" t="s">
        <v>301</v>
      </c>
      <c r="CX18" s="142">
        <f>B176</f>
        <v>2</v>
      </c>
      <c r="CZ18" s="91" t="s">
        <v>272</v>
      </c>
      <c r="DA18" s="144">
        <f>EZ2</f>
        <v>1.7290192053472838E-4</v>
      </c>
      <c r="DB18" s="83" t="s">
        <v>12</v>
      </c>
      <c r="DC18" s="88"/>
      <c r="DD18" s="136">
        <v>1000</v>
      </c>
      <c r="DE18" s="92" t="s">
        <v>99</v>
      </c>
      <c r="DF18" s="92" t="s">
        <v>68</v>
      </c>
      <c r="DG18" s="142">
        <f>B195</f>
        <v>2</v>
      </c>
      <c r="DH18" s="83" t="s">
        <v>56</v>
      </c>
      <c r="DL18" s="92"/>
      <c r="DM18" s="83"/>
      <c r="DN18" s="83"/>
      <c r="DO18" s="92" t="s">
        <v>68</v>
      </c>
      <c r="DP18" s="142">
        <f>B195</f>
        <v>2</v>
      </c>
      <c r="DQ18" s="83" t="s">
        <v>56</v>
      </c>
      <c r="DR18" s="83" t="s">
        <v>476</v>
      </c>
      <c r="DS18" s="146">
        <f>B164</f>
        <v>0.85</v>
      </c>
      <c r="DU18" s="92"/>
      <c r="DV18" s="83"/>
      <c r="DW18" s="83"/>
      <c r="DX18" s="84" t="s">
        <v>16</v>
      </c>
      <c r="DY18" s="137">
        <f>(DY15*DY16)/(1-EXP(-DY16*DY15))</f>
        <v>1.0115299987062558</v>
      </c>
      <c r="EA18" s="92"/>
      <c r="EB18" s="83"/>
      <c r="EC18" s="83"/>
      <c r="ED18" s="92" t="s">
        <v>68</v>
      </c>
      <c r="EE18" s="142">
        <f>B195</f>
        <v>2</v>
      </c>
      <c r="EF18" s="83" t="s">
        <v>56</v>
      </c>
      <c r="EG18" s="83" t="s">
        <v>476</v>
      </c>
      <c r="EH18" s="146">
        <f>B164</f>
        <v>0.85</v>
      </c>
      <c r="EJ18" s="92"/>
      <c r="EK18" s="83"/>
      <c r="EL18" s="83"/>
      <c r="EN18" s="138"/>
      <c r="EP18" s="92"/>
      <c r="EQ18" s="83"/>
      <c r="ER18" s="83"/>
      <c r="ES18" s="92" t="s">
        <v>68</v>
      </c>
      <c r="ET18" s="142">
        <f>B195</f>
        <v>2</v>
      </c>
      <c r="EU18" s="83" t="s">
        <v>56</v>
      </c>
      <c r="EV18" s="83" t="s">
        <v>476</v>
      </c>
      <c r="EW18" s="141">
        <f>B164</f>
        <v>0.85</v>
      </c>
      <c r="EX18" s="92"/>
      <c r="EY18" s="83"/>
      <c r="EZ18" s="83"/>
      <c r="FA18" s="83"/>
      <c r="FB18" s="83"/>
      <c r="FC18" s="142"/>
      <c r="FD18" s="83"/>
      <c r="FE18" s="83"/>
      <c r="FF18" s="83"/>
      <c r="FG18" s="83"/>
      <c r="FH18" s="83" t="s">
        <v>68</v>
      </c>
      <c r="FI18" s="142">
        <f>B195</f>
        <v>2</v>
      </c>
      <c r="FJ18" s="83" t="s">
        <v>56</v>
      </c>
      <c r="FK18" s="83" t="s">
        <v>476</v>
      </c>
      <c r="FL18" s="141">
        <f>B164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B164</f>
        <v>0.85</v>
      </c>
      <c r="GB18" s="92"/>
      <c r="GC18" s="83"/>
      <c r="GD18" s="83"/>
      <c r="GE18" s="83"/>
      <c r="GF18" s="83"/>
      <c r="GG18" s="142"/>
      <c r="GH18" s="83"/>
      <c r="GI18" s="83"/>
      <c r="GJ18" s="83"/>
      <c r="GK18" s="83"/>
      <c r="GL18" s="83" t="s">
        <v>68</v>
      </c>
      <c r="GM18" s="142">
        <f>B195</f>
        <v>2</v>
      </c>
      <c r="GN18" s="83" t="s">
        <v>56</v>
      </c>
      <c r="GO18" s="94" t="s">
        <v>295</v>
      </c>
      <c r="GP18" s="150">
        <f>B278</f>
        <v>132.90539999999999</v>
      </c>
      <c r="GQ18" s="90" t="s">
        <v>296</v>
      </c>
      <c r="GR18" s="83"/>
      <c r="GS18" s="83"/>
      <c r="GT18" s="83"/>
      <c r="GU18" s="83"/>
      <c r="GV18" s="142"/>
      <c r="GW18" s="83"/>
      <c r="GX18" s="83"/>
      <c r="GY18" s="83"/>
      <c r="GZ18" s="83"/>
      <c r="HA18" s="83" t="s">
        <v>68</v>
      </c>
      <c r="HB18" s="142">
        <f>B195</f>
        <v>2</v>
      </c>
      <c r="HC18" s="83" t="s">
        <v>56</v>
      </c>
    </row>
    <row r="19" spans="1:214" ht="19.5" thickTop="1" thickBot="1" x14ac:dyDescent="0.25">
      <c r="A19" s="83" t="s">
        <v>248</v>
      </c>
      <c r="B19" s="183">
        <v>4.9109405245458101E-5</v>
      </c>
      <c r="C19" s="84" t="s">
        <v>259</v>
      </c>
      <c r="D19" s="52" t="s">
        <v>261</v>
      </c>
      <c r="E19" s="143">
        <f>((E5)/((E15/E16)*E11*E12))*E27*E28*E7</f>
        <v>5.4851474430579899E-11</v>
      </c>
      <c r="F19" s="52" t="s">
        <v>15</v>
      </c>
      <c r="G19" s="83" t="s">
        <v>366</v>
      </c>
      <c r="H19" s="146">
        <f>B50</f>
        <v>5</v>
      </c>
      <c r="I19" s="52" t="s">
        <v>407</v>
      </c>
      <c r="J19" s="83" t="s">
        <v>445</v>
      </c>
      <c r="K19" s="155">
        <f>K21*K31*K51+K22*K32*K52</f>
        <v>9225</v>
      </c>
      <c r="L19" s="83" t="s">
        <v>346</v>
      </c>
      <c r="V19" s="52" t="s">
        <v>271</v>
      </c>
      <c r="W19" s="145">
        <f>((W5*W7*W6)/((W12/24)*(1-EXP(-W7*W6))*W14*W9*(1/365)))*W20*W21*W8</f>
        <v>3.3413350369092571E-14</v>
      </c>
      <c r="X19" s="52" t="s">
        <v>16</v>
      </c>
      <c r="Y19" s="52" t="s">
        <v>271</v>
      </c>
      <c r="Z19" s="145">
        <f>((Z5*Z7*Z6)/((Z12/24)*(1-EXP(-Z7*Z6))*Z14*Z9*(1/365)))*Z20*Z21*Z8</f>
        <v>3.3413350369092571E-14</v>
      </c>
      <c r="AA19" s="52" t="s">
        <v>16</v>
      </c>
      <c r="AB19" s="83" t="s">
        <v>247</v>
      </c>
      <c r="AC19" s="139">
        <f>B18</f>
        <v>1.5417408700798101E-4</v>
      </c>
      <c r="AD19" s="139">
        <f>B18</f>
        <v>1.5417408700798101E-4</v>
      </c>
      <c r="AE19" s="139">
        <f>B18</f>
        <v>1.5417408700798101E-4</v>
      </c>
      <c r="AF19" s="139">
        <f>B18</f>
        <v>1.5417408700798101E-4</v>
      </c>
      <c r="AG19" s="139">
        <f>B18</f>
        <v>1.5417408700798101E-4</v>
      </c>
      <c r="AH19" s="84" t="s">
        <v>259</v>
      </c>
      <c r="BS19" s="52" t="s">
        <v>271</v>
      </c>
      <c r="BT19" s="144">
        <f>((BT5)/(BT16*BT8*(1/365)*BT15*(1/24)*BT17))*BT27*BT28*BT7</f>
        <v>3.7536915738611283E-14</v>
      </c>
      <c r="BU19" s="52" t="s">
        <v>15</v>
      </c>
      <c r="BV19" s="83" t="s">
        <v>434</v>
      </c>
      <c r="BW19" s="150">
        <f>B123</f>
        <v>55</v>
      </c>
      <c r="BX19" s="83" t="s">
        <v>24</v>
      </c>
      <c r="BY19" s="83" t="s">
        <v>442</v>
      </c>
      <c r="BZ19" s="146">
        <f>B108</f>
        <v>50</v>
      </c>
      <c r="CA19" s="84" t="s">
        <v>48</v>
      </c>
      <c r="CB19" s="267" t="s">
        <v>537</v>
      </c>
      <c r="CC19" s="261">
        <f>((CC22*CC23*CC24)/((1-EXP(-CC24*CC23))*CC31*(CC26/365)*CC29*(CC30/24)*CC28))*CC32*CC33*CC25</f>
        <v>4.557838612123472E-5</v>
      </c>
      <c r="CD19" s="278" t="s">
        <v>12</v>
      </c>
      <c r="CE19" s="258" t="s">
        <v>537</v>
      </c>
      <c r="CF19" s="261">
        <f>((CF22*CF23*CF24)/((1-EXP(-CF24*CF23))*CF31*(CF26/365)*CF29*(CF30/24)*CF28))*CF32*CF33*CF25</f>
        <v>5.4629162641816856E-6</v>
      </c>
      <c r="CG19" s="264" t="s">
        <v>12</v>
      </c>
      <c r="CK19" s="274" t="s">
        <v>576</v>
      </c>
      <c r="CL19" s="270"/>
      <c r="CM19" s="270"/>
      <c r="CN19" s="271" t="s">
        <v>576</v>
      </c>
      <c r="CO19" s="270"/>
      <c r="CP19" s="270"/>
      <c r="CQ19" s="271" t="s">
        <v>576</v>
      </c>
      <c r="CR19" s="270"/>
      <c r="CS19" s="273"/>
      <c r="CT19" s="91" t="s">
        <v>272</v>
      </c>
      <c r="CU19" s="144">
        <f>FC2</f>
        <v>8.9920554989615918E-7</v>
      </c>
      <c r="CV19" s="92" t="s">
        <v>12</v>
      </c>
      <c r="CW19" s="52" t="s">
        <v>261</v>
      </c>
      <c r="CX19" s="143">
        <f>((CX5)/((CX15/CX16)*CX11*CX12))*CX27*CX28*CX7</f>
        <v>5.2479518779527799E-11</v>
      </c>
      <c r="CY19" s="52" t="s">
        <v>15</v>
      </c>
      <c r="CZ19" s="91" t="s">
        <v>273</v>
      </c>
      <c r="DA19" s="144">
        <f>GS2</f>
        <v>1.2133468107700238E-5</v>
      </c>
      <c r="DB19" s="83" t="s">
        <v>12</v>
      </c>
      <c r="DC19" s="92" t="s">
        <v>72</v>
      </c>
      <c r="DD19" s="146">
        <f>B182</f>
        <v>1</v>
      </c>
      <c r="DE19" s="93"/>
      <c r="DF19" s="92" t="s">
        <v>70</v>
      </c>
      <c r="DG19" s="138">
        <f>B196</f>
        <v>2.6999999999999999E-5</v>
      </c>
      <c r="DH19" s="52" t="s">
        <v>64</v>
      </c>
      <c r="DL19" s="92"/>
      <c r="DO19" s="92" t="s">
        <v>70</v>
      </c>
      <c r="DP19" s="138">
        <f>B196</f>
        <v>2.6999999999999999E-5</v>
      </c>
      <c r="DQ19" s="52" t="s">
        <v>64</v>
      </c>
      <c r="DR19" s="94" t="s">
        <v>295</v>
      </c>
      <c r="DS19" s="150">
        <f>B278</f>
        <v>132.90539999999999</v>
      </c>
      <c r="DT19" s="90" t="s">
        <v>296</v>
      </c>
      <c r="DU19" s="92"/>
      <c r="EA19" s="92"/>
      <c r="EB19" s="84"/>
      <c r="EC19" s="84"/>
      <c r="ED19" s="92" t="s">
        <v>70</v>
      </c>
      <c r="EE19" s="163">
        <f>B196</f>
        <v>2.6999999999999999E-5</v>
      </c>
      <c r="EF19" s="84" t="s">
        <v>64</v>
      </c>
      <c r="EG19" s="94" t="s">
        <v>295</v>
      </c>
      <c r="EH19" s="150">
        <f>B278</f>
        <v>132.90539999999999</v>
      </c>
      <c r="EI19" s="90" t="s">
        <v>296</v>
      </c>
      <c r="EJ19" s="92"/>
      <c r="EP19" s="92"/>
      <c r="EQ19" s="84"/>
      <c r="ER19" s="84"/>
      <c r="ES19" s="92" t="s">
        <v>70</v>
      </c>
      <c r="ET19" s="163">
        <f>B196</f>
        <v>2.6999999999999999E-5</v>
      </c>
      <c r="EU19" s="84" t="s">
        <v>64</v>
      </c>
      <c r="EV19" s="94" t="s">
        <v>295</v>
      </c>
      <c r="EW19" s="150">
        <f>B278</f>
        <v>132.90539999999999</v>
      </c>
      <c r="EX19" s="90" t="s">
        <v>296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B196</f>
        <v>2.6999999999999999E-5</v>
      </c>
      <c r="FJ19" s="84" t="s">
        <v>64</v>
      </c>
      <c r="FK19" s="94" t="s">
        <v>295</v>
      </c>
      <c r="FL19" s="150">
        <f>B278</f>
        <v>132.90539999999999</v>
      </c>
      <c r="FM19" s="90" t="s">
        <v>296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94" t="s">
        <v>295</v>
      </c>
      <c r="GA19" s="150">
        <f>B278</f>
        <v>132.90539999999999</v>
      </c>
      <c r="GB19" s="90" t="s">
        <v>296</v>
      </c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B196</f>
        <v>2.6999999999999999E-5</v>
      </c>
      <c r="GN19" s="84" t="s">
        <v>64</v>
      </c>
      <c r="GO19" s="84" t="s">
        <v>293</v>
      </c>
      <c r="GP19" s="85">
        <f>B280</f>
        <v>2.7955176153748299E-12</v>
      </c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B196</f>
        <v>2.6999999999999999E-5</v>
      </c>
      <c r="HC19" s="84" t="s">
        <v>64</v>
      </c>
    </row>
    <row r="20" spans="1:214" ht="19.5" thickTop="1" thickBot="1" x14ac:dyDescent="0.25">
      <c r="A20" s="83" t="s">
        <v>249</v>
      </c>
      <c r="B20" s="183">
        <v>4.9109405245458101E-5</v>
      </c>
      <c r="C20" s="83" t="s">
        <v>259</v>
      </c>
      <c r="D20" s="52" t="s">
        <v>271</v>
      </c>
      <c r="E20" s="144">
        <f>((E5)/((E15/E16)*E8*E17*(1/365)*E18))*E27*E28*E7</f>
        <v>2.8674032855883615E-15</v>
      </c>
      <c r="F20" s="52" t="s">
        <v>15</v>
      </c>
      <c r="G20" s="83" t="s">
        <v>367</v>
      </c>
      <c r="H20" s="146">
        <f>B51</f>
        <v>10</v>
      </c>
      <c r="I20" s="52" t="s">
        <v>407</v>
      </c>
      <c r="J20" s="83" t="s">
        <v>396</v>
      </c>
      <c r="K20" s="155">
        <f>(K31*K23*(K34/24)*K51)+(K32*K24*(K35/24)*K52)</f>
        <v>1327.5</v>
      </c>
      <c r="L20" s="52" t="s">
        <v>407</v>
      </c>
      <c r="M20" s="325" t="s">
        <v>566</v>
      </c>
      <c r="N20" s="326"/>
      <c r="O20" s="326"/>
      <c r="P20" s="327" t="s">
        <v>536</v>
      </c>
      <c r="Q20" s="326"/>
      <c r="R20" s="329"/>
      <c r="V20" s="84" t="s">
        <v>295</v>
      </c>
      <c r="W20" s="150">
        <f>B278</f>
        <v>132.90539999999999</v>
      </c>
      <c r="X20" s="52" t="s">
        <v>296</v>
      </c>
      <c r="Y20" s="84" t="s">
        <v>295</v>
      </c>
      <c r="Z20" s="150">
        <f>B278</f>
        <v>132.90539999999999</v>
      </c>
      <c r="AA20" s="52" t="s">
        <v>296</v>
      </c>
      <c r="AB20" s="83" t="s">
        <v>83</v>
      </c>
      <c r="AC20" s="139">
        <f>B232</f>
        <v>5</v>
      </c>
      <c r="AD20" s="139">
        <f>B242</f>
        <v>5</v>
      </c>
      <c r="AE20" s="139">
        <f>B252</f>
        <v>5</v>
      </c>
      <c r="AF20" s="139">
        <f>B262</f>
        <v>5</v>
      </c>
      <c r="AG20" s="139">
        <f>B273</f>
        <v>5</v>
      </c>
      <c r="AH20" s="84" t="s">
        <v>194</v>
      </c>
      <c r="AI20" s="296" t="s">
        <v>558</v>
      </c>
      <c r="AJ20" s="294"/>
      <c r="AK20" s="297"/>
      <c r="AL20" s="293" t="s">
        <v>545</v>
      </c>
      <c r="AM20" s="294"/>
      <c r="AN20" s="295"/>
      <c r="AR20" s="296" t="s">
        <v>560</v>
      </c>
      <c r="AS20" s="294"/>
      <c r="AT20" s="297"/>
      <c r="AU20" s="293" t="s">
        <v>550</v>
      </c>
      <c r="AV20" s="294"/>
      <c r="AW20" s="295"/>
      <c r="BA20" s="296" t="s">
        <v>562</v>
      </c>
      <c r="BB20" s="294"/>
      <c r="BC20" s="297"/>
      <c r="BD20" s="293" t="s">
        <v>553</v>
      </c>
      <c r="BE20" s="294"/>
      <c r="BF20" s="295"/>
      <c r="BJ20" s="296" t="s">
        <v>563</v>
      </c>
      <c r="BK20" s="294"/>
      <c r="BL20" s="297"/>
      <c r="BM20" s="293" t="s">
        <v>556</v>
      </c>
      <c r="BN20" s="294"/>
      <c r="BO20" s="295"/>
      <c r="BS20" s="52" t="s">
        <v>261</v>
      </c>
      <c r="BT20" s="144">
        <f>((BT5*BT24*BT6)/((1-EXP(-BT6*BT24))*BT9*BT10))*BT27*BT28*BT7</f>
        <v>7.2633484616466377E-10</v>
      </c>
      <c r="BU20" s="52" t="s">
        <v>16</v>
      </c>
      <c r="BV20" s="52" t="s">
        <v>443</v>
      </c>
      <c r="BW20" s="138">
        <f>B119</f>
        <v>5</v>
      </c>
      <c r="BX20" s="52" t="s">
        <v>89</v>
      </c>
      <c r="BY20" s="83" t="s">
        <v>429</v>
      </c>
      <c r="BZ20" s="141">
        <f>B103</f>
        <v>5</v>
      </c>
      <c r="CA20" s="92" t="s">
        <v>407</v>
      </c>
      <c r="CB20" s="268"/>
      <c r="CC20" s="262"/>
      <c r="CD20" s="279"/>
      <c r="CE20" s="259"/>
      <c r="CF20" s="262"/>
      <c r="CG20" s="265"/>
      <c r="CK20" s="267" t="s">
        <v>530</v>
      </c>
      <c r="CL20" s="261">
        <f>(CL23/(CL24*CL25*CL26))*CL27*CL28*CO33</f>
        <v>1.3832153642778274E-6</v>
      </c>
      <c r="CM20" s="255" t="s">
        <v>12</v>
      </c>
      <c r="CN20" s="258" t="s">
        <v>7</v>
      </c>
      <c r="CO20" s="261">
        <f>(CL20/(CO23*((CO28*CO30*CO31*(CO24+CO25))+(CO29*CO30))))*CO34</f>
        <v>1.0322338930534223E-5</v>
      </c>
      <c r="CP20" s="255" t="s">
        <v>12</v>
      </c>
      <c r="CQ20" s="258" t="s">
        <v>6</v>
      </c>
      <c r="CR20" s="261">
        <f>CL20/(CR23*CR24*(1/CR25))</f>
        <v>3.1436712824496081E-2</v>
      </c>
      <c r="CS20" s="264" t="s">
        <v>12</v>
      </c>
      <c r="CT20" s="91" t="s">
        <v>273</v>
      </c>
      <c r="CU20" s="144">
        <f>GV2</f>
        <v>8.3219165862036735E-8</v>
      </c>
      <c r="CV20" s="92" t="s">
        <v>12</v>
      </c>
      <c r="CW20" s="52" t="s">
        <v>271</v>
      </c>
      <c r="CX20" s="144">
        <f>((CX5)/((CX15/CX16)*CX8*CX17*(1/365)*CX18))*CX27*CX28*CX7</f>
        <v>2.8674032855883615E-15</v>
      </c>
      <c r="CY20" s="52" t="s">
        <v>15</v>
      </c>
      <c r="CZ20" s="91" t="s">
        <v>274</v>
      </c>
      <c r="DA20" s="144">
        <f>EK2</f>
        <v>2.3725820999619682E-8</v>
      </c>
      <c r="DB20" s="83" t="s">
        <v>12</v>
      </c>
      <c r="DC20" s="83" t="s">
        <v>475</v>
      </c>
      <c r="DD20" s="146">
        <f>B163</f>
        <v>0.15</v>
      </c>
      <c r="DF20" s="92" t="s">
        <v>71</v>
      </c>
      <c r="DG20" s="137">
        <f>0.693/DG23</f>
        <v>6.2937111521700834E-5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R20" s="84" t="s">
        <v>293</v>
      </c>
      <c r="DS20" s="85">
        <f>B280</f>
        <v>2.7955176153748299E-12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G20" s="84" t="s">
        <v>293</v>
      </c>
      <c r="EH20" s="85">
        <f>B280</f>
        <v>2.7955176153748299E-12</v>
      </c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V20" s="84" t="s">
        <v>293</v>
      </c>
      <c r="EW20" s="85">
        <f>B280</f>
        <v>2.7955176153748299E-12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K20" s="84" t="s">
        <v>293</v>
      </c>
      <c r="FL20" s="85">
        <f>B280</f>
        <v>2.7955176153748299E-12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FZ20" s="84" t="s">
        <v>293</v>
      </c>
      <c r="GA20" s="85">
        <f>B280</f>
        <v>2.7955176153748299E-12</v>
      </c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83" t="s">
        <v>250</v>
      </c>
      <c r="B21" s="183">
        <v>5.0319999999999999E-5</v>
      </c>
      <c r="C21" s="83" t="s">
        <v>259</v>
      </c>
      <c r="D21" s="52" t="s">
        <v>261</v>
      </c>
      <c r="E21" s="144">
        <f>((E5*E10*E6)/((1-EXP(-E6*E10))*E11*E12))*E27*E28*E7</f>
        <v>5.5483911859800714E-11</v>
      </c>
      <c r="F21" s="52" t="s">
        <v>16</v>
      </c>
      <c r="G21" s="83" t="s">
        <v>397</v>
      </c>
      <c r="H21" s="148">
        <f>(H29*H36*H32*H68)+(H30*H37*H33*H69)</f>
        <v>476.25</v>
      </c>
      <c r="I21" s="83" t="s">
        <v>356</v>
      </c>
      <c r="J21" s="83" t="s">
        <v>368</v>
      </c>
      <c r="K21" s="146">
        <f>B52</f>
        <v>100</v>
      </c>
      <c r="L21" s="84" t="s">
        <v>48</v>
      </c>
      <c r="M21" s="330" t="s">
        <v>537</v>
      </c>
      <c r="N21" s="333">
        <f>((N24*N25*N26)/((1-EXP(-N26*N25))*N34*N32*(N28/365)*(((N33/24)*N31)+((N35/24)*N30))))*N36*N37*N27</f>
        <v>8.8437749698757782E-8</v>
      </c>
      <c r="O21" s="336" t="s">
        <v>298</v>
      </c>
      <c r="P21" s="339" t="s">
        <v>537</v>
      </c>
      <c r="Q21" s="333">
        <f>((Q24*Q25*Q26)/((1-EXP(-Q26*Q25))*Q34*Q32*(Q28/365)*(((Q33/24)*Q31)+((Q35/24)*Q30))))*Q36*Q37*Q27</f>
        <v>1.9871640516626906E-8</v>
      </c>
      <c r="R21" s="342" t="s">
        <v>12</v>
      </c>
      <c r="V21" s="84" t="s">
        <v>293</v>
      </c>
      <c r="W21" s="85">
        <f>B279</f>
        <v>2.8000000000000001E-15</v>
      </c>
      <c r="Y21" s="84" t="s">
        <v>293</v>
      </c>
      <c r="Z21" s="85">
        <f>B279</f>
        <v>2.8000000000000001E-15</v>
      </c>
      <c r="AB21" s="83" t="s">
        <v>85</v>
      </c>
      <c r="AC21" s="139">
        <f>B233</f>
        <v>5</v>
      </c>
      <c r="AD21" s="139">
        <f>B243</f>
        <v>5</v>
      </c>
      <c r="AE21" s="139">
        <f>B253</f>
        <v>5</v>
      </c>
      <c r="AF21" s="139">
        <f>B263</f>
        <v>5</v>
      </c>
      <c r="AG21" s="139">
        <f>B274</f>
        <v>5</v>
      </c>
      <c r="AH21" s="84" t="s">
        <v>194</v>
      </c>
      <c r="AI21" s="306" t="s">
        <v>537</v>
      </c>
      <c r="AJ21" s="303">
        <f>((AJ24*AJ25*AJ26)/((1-EXP(-AJ26*AJ25))*AJ34*(AJ28/365)*AJ29*(AJ35/24)*AJ30*AJ32))*AJ36*AJ37*AJ27</f>
        <v>5.3344943116293113E-7</v>
      </c>
      <c r="AK21" s="290" t="s">
        <v>298</v>
      </c>
      <c r="AL21" s="287" t="s">
        <v>537</v>
      </c>
      <c r="AM21" s="303">
        <f>((AM24*AM25*AM26)/((1-EXP(-AM26*AM25))*AM34*(AM28/365)*AM29*(AM35/24)*AM30*AM32))*AM36*AM37*AM27</f>
        <v>1.2042452612762107E-7</v>
      </c>
      <c r="AN21" s="281" t="s">
        <v>12</v>
      </c>
      <c r="AR21" s="306" t="s">
        <v>537</v>
      </c>
      <c r="AS21" s="303">
        <f>((AS24*AS25*AS26)/((1-EXP(-AS26*AS25))*AS34*(AS28/365)*AS29*(AS33/24)*AS31*AS32))*AS36*AS37*AS27</f>
        <v>2.0054489893343273E-5</v>
      </c>
      <c r="AT21" s="290" t="s">
        <v>298</v>
      </c>
      <c r="AU21" s="287" t="s">
        <v>537</v>
      </c>
      <c r="AV21" s="303">
        <f>((AV24*AV25*AV26)/((1-EXP(-AV26*AV25))*AV34*(AV28/365)*AV29*(AV33/24)*AV31*AV32))*AV36*AV37*AV27</f>
        <v>2.4036831562399418E-6</v>
      </c>
      <c r="AW21" s="281" t="s">
        <v>12</v>
      </c>
      <c r="BA21" s="306" t="s">
        <v>537</v>
      </c>
      <c r="BB21" s="303">
        <f>((BB24*BB25*BB26)/((1-EXP(-BB26*BB25))*BB34*(BB28/365)*(BB33/24)*BB31*BB32))*BB36*BB37*BB27</f>
        <v>2.0054489893343273E-5</v>
      </c>
      <c r="BC21" s="290" t="s">
        <v>298</v>
      </c>
      <c r="BD21" s="287" t="s">
        <v>537</v>
      </c>
      <c r="BE21" s="303">
        <f>((BE24*BE25*BE26)/((1-EXP(-BE26*BE25))*BE34*(BE28/365)*(BE33/24)*BE31*BE32))*BE36*BE37*BE27</f>
        <v>2.4036831562399418E-6</v>
      </c>
      <c r="BF21" s="281" t="s">
        <v>12</v>
      </c>
      <c r="BJ21" s="306" t="s">
        <v>537</v>
      </c>
      <c r="BK21" s="284">
        <f>((BK24*BK25*BK26)/((1-EXP(-BK26*BK25))*BK35*(BK28/365)*(BK34/24)*BK32*BK33))*BK36*BK37*BK27</f>
        <v>3.3424149822238787E-5</v>
      </c>
      <c r="BL21" s="290" t="s">
        <v>298</v>
      </c>
      <c r="BM21" s="287" t="s">
        <v>537</v>
      </c>
      <c r="BN21" s="284">
        <f>((BN24*BN25*BN26)/((1-EXP(-BN26*BN25))*BN35*(BN28/365)*(BN34/24)*BN32*BN33))*BN36*BN37*BN27</f>
        <v>4.0061385937332351E-6</v>
      </c>
      <c r="BO21" s="281" t="s">
        <v>12</v>
      </c>
      <c r="BS21" s="52" t="s">
        <v>271</v>
      </c>
      <c r="BT21" s="145">
        <f>((BT5*BT24*BT6)/((1-EXP(-BT6*BT24))*BT16*BT8*(1/365)*BT15*(1/24)*BT17))*BT27*BT28*BT7</f>
        <v>3.7969716328514298E-14</v>
      </c>
      <c r="BU21" s="52" t="s">
        <v>16</v>
      </c>
      <c r="BV21" s="52" t="s">
        <v>444</v>
      </c>
      <c r="BW21" s="138">
        <f>B120</f>
        <v>5</v>
      </c>
      <c r="BX21" s="52" t="s">
        <v>89</v>
      </c>
      <c r="BY21" s="83" t="s">
        <v>430</v>
      </c>
      <c r="BZ21" s="141">
        <f>B104</f>
        <v>10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56"/>
      <c r="CN21" s="259"/>
      <c r="CO21" s="262"/>
      <c r="CP21" s="256"/>
      <c r="CQ21" s="259"/>
      <c r="CR21" s="262"/>
      <c r="CS21" s="265"/>
      <c r="CT21" s="91" t="s">
        <v>274</v>
      </c>
      <c r="CU21" s="144">
        <f>EN2</f>
        <v>3.3615863379371114E-7</v>
      </c>
      <c r="CV21" s="92" t="s">
        <v>12</v>
      </c>
      <c r="CW21" s="52" t="s">
        <v>261</v>
      </c>
      <c r="CX21" s="144">
        <f>((CX5*CX10*CX6)/((CX15/CX16)*(1-EXP(-CX6*CX9))*CX11*CX12))*CX27*CX28*CX7</f>
        <v>5.3084607563160668E-11</v>
      </c>
      <c r="CY21" s="52" t="s">
        <v>16</v>
      </c>
      <c r="CZ21" s="91" t="s">
        <v>509</v>
      </c>
      <c r="DA21" s="144">
        <f>DV2</f>
        <v>6.7330426522030349E-5</v>
      </c>
      <c r="DB21" s="83" t="s">
        <v>12</v>
      </c>
      <c r="DC21" s="83" t="s">
        <v>476</v>
      </c>
      <c r="DD21" s="146">
        <f>B164</f>
        <v>0.85</v>
      </c>
      <c r="DF21" s="92" t="s">
        <v>73</v>
      </c>
      <c r="DG21" s="138">
        <f>B197</f>
        <v>1</v>
      </c>
      <c r="DH21" s="52" t="s">
        <v>41</v>
      </c>
      <c r="DL21" s="92"/>
      <c r="DO21" s="92" t="s">
        <v>73</v>
      </c>
      <c r="DP21" s="138">
        <f>B197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B197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B197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B197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B197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B197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83" t="s">
        <v>251</v>
      </c>
      <c r="B22" s="179">
        <v>3.19428</v>
      </c>
      <c r="C22" s="83" t="s">
        <v>351</v>
      </c>
      <c r="D22" s="52" t="s">
        <v>271</v>
      </c>
      <c r="E22" s="145">
        <f>((E5*E10*E6)/((E15/E16)*E8*(1-EXP(-E6*E10))*E17*(1/365)*E18))*E27*E28*E7</f>
        <v>2.9004644417615092E-15</v>
      </c>
      <c r="F22" s="52" t="s">
        <v>16</v>
      </c>
      <c r="G22" s="83" t="s">
        <v>398</v>
      </c>
      <c r="H22" s="149">
        <f>(H29*H23*H68)+(H30*H24*H69)</f>
        <v>8250</v>
      </c>
      <c r="I22" s="92" t="s">
        <v>347</v>
      </c>
      <c r="J22" s="83" t="s">
        <v>369</v>
      </c>
      <c r="K22" s="146">
        <f>B53</f>
        <v>50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B234</f>
        <v>0.4</v>
      </c>
      <c r="AD22" s="150">
        <f>B244</f>
        <v>0.4</v>
      </c>
      <c r="AE22" s="150">
        <f>B254</f>
        <v>0.4</v>
      </c>
      <c r="AF22" s="150">
        <f>B264</f>
        <v>0.4</v>
      </c>
      <c r="AG22" s="150">
        <f>B275</f>
        <v>0.4</v>
      </c>
      <c r="AI22" s="307"/>
      <c r="AJ22" s="304"/>
      <c r="AK22" s="291"/>
      <c r="AL22" s="288"/>
      <c r="AM22" s="304"/>
      <c r="AN22" s="282"/>
      <c r="AR22" s="307"/>
      <c r="AS22" s="304"/>
      <c r="AT22" s="291"/>
      <c r="AU22" s="288"/>
      <c r="AV22" s="304"/>
      <c r="AW22" s="282"/>
      <c r="BA22" s="307"/>
      <c r="BB22" s="304"/>
      <c r="BC22" s="291"/>
      <c r="BD22" s="288"/>
      <c r="BE22" s="304"/>
      <c r="BF22" s="282"/>
      <c r="BJ22" s="307"/>
      <c r="BK22" s="285"/>
      <c r="BL22" s="291"/>
      <c r="BM22" s="288"/>
      <c r="BN22" s="285"/>
      <c r="BO22" s="282"/>
      <c r="BS22" s="52" t="s">
        <v>433</v>
      </c>
      <c r="BT22" s="138">
        <f>B114</f>
        <v>55</v>
      </c>
      <c r="BU22" s="52" t="s">
        <v>24</v>
      </c>
      <c r="BV22" s="83" t="s">
        <v>90</v>
      </c>
      <c r="BW22" s="150">
        <f>B118</f>
        <v>5</v>
      </c>
      <c r="BX22" s="52" t="s">
        <v>194</v>
      </c>
      <c r="BY22" s="83" t="s">
        <v>140</v>
      </c>
      <c r="BZ22" s="150">
        <f>B113</f>
        <v>55</v>
      </c>
      <c r="CA22" s="83" t="s">
        <v>24</v>
      </c>
      <c r="CB22" s="52" t="s">
        <v>267</v>
      </c>
      <c r="CC22" s="136">
        <f>B17</f>
        <v>1</v>
      </c>
      <c r="CD22" s="52" t="s">
        <v>344</v>
      </c>
      <c r="CE22" s="52" t="s">
        <v>267</v>
      </c>
      <c r="CF22" s="136">
        <f>B17</f>
        <v>1</v>
      </c>
      <c r="CG22" s="52" t="s">
        <v>344</v>
      </c>
      <c r="CK22" s="269"/>
      <c r="CL22" s="263"/>
      <c r="CM22" s="257"/>
      <c r="CN22" s="260"/>
      <c r="CO22" s="263"/>
      <c r="CP22" s="257"/>
      <c r="CQ22" s="260"/>
      <c r="CR22" s="263"/>
      <c r="CS22" s="266"/>
      <c r="CT22" s="91" t="s">
        <v>275</v>
      </c>
      <c r="CU22" s="144">
        <f>DY2</f>
        <v>1.0333328916751046E-6</v>
      </c>
      <c r="CV22" s="92" t="s">
        <v>12</v>
      </c>
      <c r="CW22" s="52" t="s">
        <v>271</v>
      </c>
      <c r="CX22" s="145">
        <f>((CX5*CX10*CX6)/((CX15/CX16)*CX8*(1-EXP(-CX6*CX10))*CX17*(1/365)*CX18))*CX27*CX28*CX7</f>
        <v>2.9004644417615092E-15</v>
      </c>
      <c r="CY22" s="52" t="s">
        <v>16</v>
      </c>
      <c r="CZ22" s="91" t="s">
        <v>510</v>
      </c>
      <c r="DA22" s="144">
        <f>GD2</f>
        <v>2.5615099338478284E-5</v>
      </c>
      <c r="DB22" s="83" t="s">
        <v>12</v>
      </c>
      <c r="DC22" s="94" t="s">
        <v>295</v>
      </c>
      <c r="DD22" s="150">
        <f>B278</f>
        <v>132.90539999999999</v>
      </c>
      <c r="DE22" s="90" t="s">
        <v>296</v>
      </c>
      <c r="DF22" s="92" t="s">
        <v>74</v>
      </c>
      <c r="DG22" s="138">
        <f>B198</f>
        <v>14</v>
      </c>
      <c r="DH22" s="52" t="s">
        <v>75</v>
      </c>
      <c r="DL22" s="92"/>
      <c r="DO22" s="92" t="s">
        <v>74</v>
      </c>
      <c r="DP22" s="138">
        <f>B198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B198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B198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B198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B198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B198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252</v>
      </c>
      <c r="B23" s="183">
        <v>0.64061199999999996</v>
      </c>
      <c r="C23" s="83" t="s">
        <v>352</v>
      </c>
      <c r="D23" s="52" t="s">
        <v>380</v>
      </c>
      <c r="E23" s="138">
        <f>B66</f>
        <v>150</v>
      </c>
      <c r="F23" s="52" t="s">
        <v>24</v>
      </c>
      <c r="G23" s="83" t="s">
        <v>399</v>
      </c>
      <c r="H23" s="146">
        <f>B147</f>
        <v>55</v>
      </c>
      <c r="I23" s="92" t="s">
        <v>221</v>
      </c>
      <c r="J23" s="83" t="s">
        <v>366</v>
      </c>
      <c r="K23" s="141">
        <f>B50</f>
        <v>5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308"/>
      <c r="AS23" s="305"/>
      <c r="AT23" s="292"/>
      <c r="AU23" s="289"/>
      <c r="AV23" s="305"/>
      <c r="AW23" s="283"/>
      <c r="BA23" s="308"/>
      <c r="BB23" s="305"/>
      <c r="BC23" s="292"/>
      <c r="BD23" s="289"/>
      <c r="BE23" s="305"/>
      <c r="BF23" s="283"/>
      <c r="BJ23" s="308"/>
      <c r="BK23" s="286"/>
      <c r="BL23" s="292"/>
      <c r="BM23" s="289"/>
      <c r="BN23" s="286"/>
      <c r="BO23" s="283"/>
      <c r="BS23" s="52" t="s">
        <v>434</v>
      </c>
      <c r="BT23" s="138">
        <f>B115</f>
        <v>55</v>
      </c>
      <c r="BU23" s="52" t="s">
        <v>24</v>
      </c>
      <c r="BV23" s="83" t="s">
        <v>435</v>
      </c>
      <c r="BW23" s="138">
        <f>B124</f>
        <v>5</v>
      </c>
      <c r="BX23" s="52" t="s">
        <v>80</v>
      </c>
      <c r="BY23" s="83" t="s">
        <v>434</v>
      </c>
      <c r="BZ23" s="150">
        <f>B115</f>
        <v>55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B17</f>
        <v>1</v>
      </c>
      <c r="CM23" s="52" t="s">
        <v>344</v>
      </c>
      <c r="CN23" s="52" t="s">
        <v>229</v>
      </c>
      <c r="CO23" s="136">
        <f>B41</f>
        <v>2.1999999999999999E-2</v>
      </c>
      <c r="CP23" s="52" t="s">
        <v>268</v>
      </c>
      <c r="CQ23" s="83" t="s">
        <v>229</v>
      </c>
      <c r="CR23" s="136">
        <f>CO23</f>
        <v>2.1999999999999999E-2</v>
      </c>
      <c r="CS23" s="52" t="s">
        <v>268</v>
      </c>
      <c r="CT23" s="91" t="s">
        <v>276</v>
      </c>
      <c r="CU23" s="144">
        <f>GG2</f>
        <v>1.3321563702165323E-7</v>
      </c>
      <c r="CV23" s="92" t="s">
        <v>12</v>
      </c>
      <c r="CW23" s="52" t="s">
        <v>456</v>
      </c>
      <c r="CX23" s="138">
        <f>B165</f>
        <v>150</v>
      </c>
      <c r="CY23" s="52" t="s">
        <v>24</v>
      </c>
      <c r="CZ23" s="91" t="s">
        <v>277</v>
      </c>
      <c r="DA23" s="145">
        <f>FO2</f>
        <v>1.106572291422262E-8</v>
      </c>
      <c r="DB23" s="83" t="s">
        <v>12</v>
      </c>
      <c r="DC23" s="84" t="s">
        <v>293</v>
      </c>
      <c r="DD23" s="85">
        <f>B280</f>
        <v>2.7955176153748299E-12</v>
      </c>
      <c r="DF23" s="83" t="s">
        <v>267</v>
      </c>
      <c r="DG23" s="136">
        <f>B34</f>
        <v>11010.9915</v>
      </c>
      <c r="DH23" s="52" t="s">
        <v>222</v>
      </c>
      <c r="DO23" s="83" t="s">
        <v>19</v>
      </c>
      <c r="DP23" s="161">
        <f>DP25</f>
        <v>2.5229999999999999E-2</v>
      </c>
      <c r="EA23" s="83"/>
      <c r="EB23" s="83"/>
      <c r="EC23" s="84"/>
      <c r="ED23" s="83" t="s">
        <v>19</v>
      </c>
      <c r="EE23" s="161">
        <f>EE25</f>
        <v>2.9000000000000001E-2</v>
      </c>
      <c r="EF23" s="84"/>
      <c r="EP23" s="83"/>
      <c r="EQ23" s="83"/>
      <c r="ER23" s="84"/>
      <c r="ES23" s="83" t="s">
        <v>19</v>
      </c>
      <c r="ET23" s="161">
        <f>ET25</f>
        <v>2.9000000000000001E-2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2.9000000000000001E-2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2.9000000000000001E-2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2.9000000000000001E-2</v>
      </c>
      <c r="HC23" s="84"/>
      <c r="HD23" s="67" t="s">
        <v>14</v>
      </c>
      <c r="HE23" s="222">
        <f>((HE25*HE42)*HE38*HE33*10^-3*HE32*HE27)/(HE31*HE41*(1-EXP(-HE27*HE32)))</f>
        <v>1.2059279029026972E-11</v>
      </c>
      <c r="HF23" s="220" t="s">
        <v>597</v>
      </c>
    </row>
    <row r="24" spans="1:214" ht="14.25" thickTop="1" thickBot="1" x14ac:dyDescent="0.25">
      <c r="A24" s="83" t="s">
        <v>253</v>
      </c>
      <c r="B24" s="183">
        <v>0.63512000000000002</v>
      </c>
      <c r="C24" s="83" t="s">
        <v>351</v>
      </c>
      <c r="D24" s="52" t="s">
        <v>381</v>
      </c>
      <c r="E24" s="138">
        <f>B67</f>
        <v>150</v>
      </c>
      <c r="F24" s="52" t="s">
        <v>24</v>
      </c>
      <c r="G24" s="83" t="s">
        <v>310</v>
      </c>
      <c r="H24" s="146">
        <f>B58</f>
        <v>55</v>
      </c>
      <c r="I24" s="92" t="s">
        <v>221</v>
      </c>
      <c r="J24" s="83" t="s">
        <v>367</v>
      </c>
      <c r="K24" s="141">
        <f>B51</f>
        <v>10</v>
      </c>
      <c r="L24" s="52" t="s">
        <v>407</v>
      </c>
      <c r="M24" s="52" t="s">
        <v>267</v>
      </c>
      <c r="N24" s="136">
        <f>B17</f>
        <v>1</v>
      </c>
      <c r="O24" s="52" t="s">
        <v>344</v>
      </c>
      <c r="P24" s="52" t="s">
        <v>267</v>
      </c>
      <c r="Q24" s="136">
        <f>B17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2.2972045705420805E-2</v>
      </c>
      <c r="AD24" s="137">
        <f>0.693/AD25</f>
        <v>2.2972045705420805E-2</v>
      </c>
      <c r="AE24" s="137">
        <f>0.693/AE25</f>
        <v>2.2972045705420805E-2</v>
      </c>
      <c r="AF24" s="137">
        <f>0.693/AF25</f>
        <v>2.2972045705420805E-2</v>
      </c>
      <c r="AG24" s="137">
        <f>0.693/AG25</f>
        <v>2.2972045705420805E-2</v>
      </c>
      <c r="AI24" s="52" t="s">
        <v>267</v>
      </c>
      <c r="AJ24" s="136">
        <f>B17</f>
        <v>1</v>
      </c>
      <c r="AK24" s="52" t="s">
        <v>344</v>
      </c>
      <c r="AL24" s="52" t="s">
        <v>267</v>
      </c>
      <c r="AM24" s="136">
        <f>B17</f>
        <v>1</v>
      </c>
      <c r="AN24" s="52" t="s">
        <v>344</v>
      </c>
      <c r="AR24" s="52" t="s">
        <v>267</v>
      </c>
      <c r="AS24" s="136">
        <f>B17</f>
        <v>1</v>
      </c>
      <c r="AT24" s="52" t="s">
        <v>344</v>
      </c>
      <c r="AU24" s="52" t="s">
        <v>267</v>
      </c>
      <c r="AV24" s="136">
        <f>B17</f>
        <v>1</v>
      </c>
      <c r="AW24" s="52" t="s">
        <v>344</v>
      </c>
      <c r="BA24" s="52" t="s">
        <v>267</v>
      </c>
      <c r="BB24" s="136">
        <f>B17</f>
        <v>1</v>
      </c>
      <c r="BC24" s="52" t="s">
        <v>344</v>
      </c>
      <c r="BD24" s="52" t="s">
        <v>267</v>
      </c>
      <c r="BE24" s="136">
        <f>B17</f>
        <v>1</v>
      </c>
      <c r="BF24" s="52" t="s">
        <v>344</v>
      </c>
      <c r="BJ24" s="52" t="s">
        <v>267</v>
      </c>
      <c r="BK24" s="136">
        <f>B17</f>
        <v>1</v>
      </c>
      <c r="BL24" s="52" t="s">
        <v>344</v>
      </c>
      <c r="BM24" s="52" t="s">
        <v>267</v>
      </c>
      <c r="BN24" s="136">
        <f>B17</f>
        <v>1</v>
      </c>
      <c r="BO24" s="52" t="s">
        <v>344</v>
      </c>
      <c r="BS24" s="91" t="s">
        <v>95</v>
      </c>
      <c r="BT24" s="158">
        <f>B127</f>
        <v>1</v>
      </c>
      <c r="BU24" s="91" t="s">
        <v>60</v>
      </c>
      <c r="BV24" s="83" t="s">
        <v>436</v>
      </c>
      <c r="BW24" s="138">
        <f>B125</f>
        <v>5</v>
      </c>
      <c r="BX24" s="52" t="s">
        <v>80</v>
      </c>
      <c r="BY24" s="83" t="s">
        <v>433</v>
      </c>
      <c r="BZ24" s="150">
        <f>B114</f>
        <v>55</v>
      </c>
      <c r="CA24" s="83" t="s">
        <v>24</v>
      </c>
      <c r="CB24" s="83" t="s">
        <v>22</v>
      </c>
      <c r="CC24" s="137">
        <f>0.693/CC25</f>
        <v>2.2972045705420805E-2</v>
      </c>
      <c r="CE24" s="83" t="s">
        <v>22</v>
      </c>
      <c r="CF24" s="137">
        <f>0.693/CF25</f>
        <v>2.2972045705420805E-2</v>
      </c>
      <c r="CK24" s="52" t="s">
        <v>258</v>
      </c>
      <c r="CL24" s="136">
        <f>B29</f>
        <v>4.9109405245458101E-5</v>
      </c>
      <c r="CM24" s="91" t="s">
        <v>10</v>
      </c>
      <c r="CN24" s="52" t="s">
        <v>20</v>
      </c>
      <c r="CO24" s="139">
        <f>CO26</f>
        <v>2.9000000000000001E-2</v>
      </c>
      <c r="CQ24" s="84" t="s">
        <v>170</v>
      </c>
      <c r="CR24" s="162">
        <f>B139</f>
        <v>2</v>
      </c>
      <c r="CS24" s="52" t="s">
        <v>28</v>
      </c>
      <c r="CT24" s="91" t="s">
        <v>277</v>
      </c>
      <c r="CU24" s="145">
        <f>FR2</f>
        <v>1.1193310685107391E-10</v>
      </c>
      <c r="CV24" s="92" t="s">
        <v>12</v>
      </c>
      <c r="CW24" s="52" t="s">
        <v>465</v>
      </c>
      <c r="CX24" s="138">
        <f>B166</f>
        <v>150</v>
      </c>
      <c r="CY24" s="52" t="s">
        <v>24</v>
      </c>
      <c r="CZ24" s="83" t="s">
        <v>45</v>
      </c>
      <c r="DA24" s="149">
        <f>(DA35*DA27*DA49)+(DA36*DA28*DA50)</f>
        <v>196.875</v>
      </c>
      <c r="DB24" s="52" t="s">
        <v>345</v>
      </c>
      <c r="DD24" s="138"/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223">
        <f>((HE26*HE42)*HE38*HE33*10^-3*HE32*HE27)/(HE31*HE41*(1-EXP(-HE27*HE32)))</f>
        <v>2.9972084652733409E-19</v>
      </c>
      <c r="HF24" s="221" t="s">
        <v>598</v>
      </c>
    </row>
    <row r="25" spans="1:214" ht="15" thickTop="1" x14ac:dyDescent="0.2">
      <c r="A25" s="83" t="s">
        <v>254</v>
      </c>
      <c r="B25" s="183">
        <v>1.817564</v>
      </c>
      <c r="C25" s="83" t="s">
        <v>351</v>
      </c>
      <c r="D25" s="83" t="s">
        <v>376</v>
      </c>
      <c r="E25" s="146">
        <f>B61</f>
        <v>0.23</v>
      </c>
      <c r="G25" s="83" t="s">
        <v>400</v>
      </c>
      <c r="H25" s="149">
        <f>(H29*H26*H68)+(H30*H27*H69)</f>
        <v>8250</v>
      </c>
      <c r="I25" s="92" t="s">
        <v>347</v>
      </c>
      <c r="J25" s="83" t="s">
        <v>446</v>
      </c>
      <c r="K25" s="149">
        <f>(K31*K26*K51)+(K32*K27*K52)</f>
        <v>8250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3.3393625198394644E-14</v>
      </c>
      <c r="X25" s="62" t="s">
        <v>294</v>
      </c>
      <c r="Y25" s="202" t="s">
        <v>16</v>
      </c>
      <c r="Z25" s="187">
        <f>1/((1/Z41)+(1/Z40))</f>
        <v>3.3393625198394644E-14</v>
      </c>
      <c r="AA25" s="63" t="s">
        <v>294</v>
      </c>
      <c r="AB25" s="91" t="s">
        <v>231</v>
      </c>
      <c r="AC25" s="136">
        <f>B30</f>
        <v>30.167100000000001</v>
      </c>
      <c r="AD25" s="136">
        <f>B30</f>
        <v>30.167100000000001</v>
      </c>
      <c r="AE25" s="136">
        <f>B30</f>
        <v>30.167100000000001</v>
      </c>
      <c r="AF25" s="136">
        <f>B30</f>
        <v>30.167100000000001</v>
      </c>
      <c r="AG25" s="136">
        <f>B30</f>
        <v>30.167100000000001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B111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B118</f>
        <v>5</v>
      </c>
      <c r="CA25" s="94" t="s">
        <v>194</v>
      </c>
      <c r="CB25" s="91" t="s">
        <v>231</v>
      </c>
      <c r="CC25" s="136">
        <f>B30</f>
        <v>30.167100000000001</v>
      </c>
      <c r="CD25" s="52" t="s">
        <v>60</v>
      </c>
      <c r="CE25" s="91" t="s">
        <v>231</v>
      </c>
      <c r="CF25" s="136">
        <f>B30</f>
        <v>30.167100000000001</v>
      </c>
      <c r="CG25" s="52" t="s">
        <v>60</v>
      </c>
      <c r="CK25" s="52" t="s">
        <v>140</v>
      </c>
      <c r="CL25" s="138">
        <f>B113</f>
        <v>55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8625</v>
      </c>
      <c r="CV25" s="83" t="s">
        <v>346</v>
      </c>
      <c r="CW25" s="83" t="s">
        <v>475</v>
      </c>
      <c r="CX25" s="146">
        <f>B163</f>
        <v>0.15</v>
      </c>
      <c r="CZ25" s="83" t="s">
        <v>43</v>
      </c>
      <c r="DA25" s="140">
        <f>(DA35*DA29*(DA38/24)*DA49)+(DA36*DA30*(DA39/24)*DA50)</f>
        <v>1387.5</v>
      </c>
      <c r="DB25" s="83" t="s">
        <v>426</v>
      </c>
      <c r="DF25" s="52" t="s">
        <v>33</v>
      </c>
      <c r="DG25" s="136">
        <f>B44</f>
        <v>2.9000000000000001E-2</v>
      </c>
      <c r="DO25" s="83" t="s">
        <v>32</v>
      </c>
      <c r="DP25" s="136">
        <f>B43</f>
        <v>2.5229999999999999E-2</v>
      </c>
      <c r="EA25" s="83"/>
      <c r="EC25" s="84"/>
      <c r="ED25" s="83" t="s">
        <v>33</v>
      </c>
      <c r="EE25" s="136">
        <f>B44</f>
        <v>2.9000000000000001E-2</v>
      </c>
      <c r="EF25" s="84"/>
      <c r="EP25" s="83"/>
      <c r="ER25" s="84"/>
      <c r="ES25" s="83" t="s">
        <v>33</v>
      </c>
      <c r="ET25" s="136">
        <f>B44</f>
        <v>2.9000000000000001E-2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B44</f>
        <v>2.9000000000000001E-2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B44</f>
        <v>2.9000000000000001E-2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B44</f>
        <v>2.9000000000000001E-2</v>
      </c>
      <c r="HC25" s="84"/>
      <c r="HD25" s="89" t="s">
        <v>21</v>
      </c>
      <c r="HE25" s="139">
        <f>B46</f>
        <v>2.2452474757104E-9</v>
      </c>
      <c r="HF25" s="83" t="s">
        <v>13</v>
      </c>
    </row>
    <row r="26" spans="1:214" ht="13.5" thickBot="1" x14ac:dyDescent="0.25">
      <c r="A26" s="83" t="s">
        <v>255</v>
      </c>
      <c r="B26" s="183">
        <v>2.8393600000000001</v>
      </c>
      <c r="C26" s="83" t="s">
        <v>351</v>
      </c>
      <c r="D26" s="83" t="s">
        <v>377</v>
      </c>
      <c r="E26" s="146">
        <f>B62</f>
        <v>0.77</v>
      </c>
      <c r="G26" s="83" t="s">
        <v>401</v>
      </c>
      <c r="H26" s="146">
        <f>B149</f>
        <v>55</v>
      </c>
      <c r="I26" s="92" t="s">
        <v>221</v>
      </c>
      <c r="J26" s="83" t="s">
        <v>399</v>
      </c>
      <c r="K26" s="146">
        <f>B57</f>
        <v>55</v>
      </c>
      <c r="L26" s="92" t="s">
        <v>221</v>
      </c>
      <c r="M26" s="83" t="s">
        <v>22</v>
      </c>
      <c r="N26" s="137">
        <f>0.693/N27</f>
        <v>2.2972045705420805E-2</v>
      </c>
      <c r="P26" s="83" t="s">
        <v>22</v>
      </c>
      <c r="Q26" s="137">
        <f>0.693/Q27</f>
        <v>2.2972045705420805E-2</v>
      </c>
      <c r="V26" s="201" t="s">
        <v>15</v>
      </c>
      <c r="W26" s="75">
        <f>1/((1/W38)+(1/W39))</f>
        <v>3.3012985518081536E-14</v>
      </c>
      <c r="X26" s="76" t="s">
        <v>294</v>
      </c>
      <c r="Y26" s="203" t="s">
        <v>15</v>
      </c>
      <c r="Z26" s="185">
        <f>1/((1/Z38)+(1/Z39))</f>
        <v>3.3012985518081536E-14</v>
      </c>
      <c r="AA26" s="77" t="s">
        <v>294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2.2972045705420805E-2</v>
      </c>
      <c r="AL26" s="83" t="s">
        <v>22</v>
      </c>
      <c r="AM26" s="137">
        <f>0.693/AM27</f>
        <v>2.2972045705420805E-2</v>
      </c>
      <c r="AR26" s="83" t="s">
        <v>22</v>
      </c>
      <c r="AS26" s="137">
        <f>0.693/AS27</f>
        <v>2.2972045705420805E-2</v>
      </c>
      <c r="AU26" s="83" t="s">
        <v>22</v>
      </c>
      <c r="AV26" s="137">
        <f>0.693/AV27</f>
        <v>2.2972045705420805E-2</v>
      </c>
      <c r="BA26" s="83" t="s">
        <v>22</v>
      </c>
      <c r="BB26" s="137">
        <f>0.693/BB27</f>
        <v>2.2972045705420805E-2</v>
      </c>
      <c r="BD26" s="83" t="s">
        <v>22</v>
      </c>
      <c r="BE26" s="137">
        <f>0.693/BE27</f>
        <v>2.2972045705420805E-2</v>
      </c>
      <c r="BJ26" s="83" t="s">
        <v>22</v>
      </c>
      <c r="BK26" s="137">
        <f>0.693/BK27</f>
        <v>2.2972045705420805E-2</v>
      </c>
      <c r="BM26" s="83" t="s">
        <v>22</v>
      </c>
      <c r="BN26" s="137">
        <f>0.693/BN27</f>
        <v>2.2972045705420805E-2</v>
      </c>
      <c r="BS26" s="91" t="s">
        <v>309</v>
      </c>
      <c r="BT26" s="177">
        <f>B112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B116</f>
        <v>5</v>
      </c>
      <c r="CA26" s="94" t="s">
        <v>194</v>
      </c>
      <c r="CB26" s="52" t="s">
        <v>140</v>
      </c>
      <c r="CC26" s="138">
        <f>B113</f>
        <v>55</v>
      </c>
      <c r="CD26" s="52" t="s">
        <v>24</v>
      </c>
      <c r="CE26" s="52" t="s">
        <v>140</v>
      </c>
      <c r="CF26" s="138">
        <f>B113</f>
        <v>55</v>
      </c>
      <c r="CG26" s="52" t="s">
        <v>24</v>
      </c>
      <c r="CK26" s="52" t="s">
        <v>160</v>
      </c>
      <c r="CL26" s="162">
        <f>B134</f>
        <v>3</v>
      </c>
      <c r="CM26" s="52" t="s">
        <v>221</v>
      </c>
      <c r="CN26" s="52" t="s">
        <v>33</v>
      </c>
      <c r="CO26" s="136">
        <f>B44</f>
        <v>2.9000000000000001E-2</v>
      </c>
      <c r="CT26" s="83" t="s">
        <v>506</v>
      </c>
      <c r="CU26" s="155">
        <f>((CU31*CU29*CU47)+(CU32*CU30*CU48))</f>
        <v>1387.5</v>
      </c>
      <c r="CV26" s="52" t="s">
        <v>426</v>
      </c>
      <c r="CW26" s="83" t="s">
        <v>476</v>
      </c>
      <c r="CX26" s="141">
        <f>B164</f>
        <v>0.85</v>
      </c>
      <c r="CY26" s="83"/>
      <c r="CZ26" s="83" t="s">
        <v>142</v>
      </c>
      <c r="DA26" s="149">
        <f>(DA35*DA40*DA42*DA49)+(DA36*DA41*DA43*DA50)</f>
        <v>570</v>
      </c>
      <c r="DB26" s="52" t="s">
        <v>356</v>
      </c>
      <c r="DG26" s="138"/>
      <c r="DO26" s="83" t="s">
        <v>393</v>
      </c>
      <c r="DP26" s="138">
        <f>B47</f>
        <v>0.26</v>
      </c>
      <c r="EA26" s="83"/>
      <c r="EB26" s="84"/>
      <c r="EC26" s="84"/>
      <c r="ED26" s="83" t="s">
        <v>392</v>
      </c>
      <c r="EE26" s="163">
        <f>B48</f>
        <v>0.25</v>
      </c>
      <c r="EF26" s="84"/>
      <c r="EP26" s="83"/>
      <c r="EQ26" s="84"/>
      <c r="ER26" s="84"/>
      <c r="ES26" s="83" t="s">
        <v>392</v>
      </c>
      <c r="ET26" s="163">
        <f>B48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B48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B48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B48</f>
        <v>0.25</v>
      </c>
      <c r="HC26" s="84"/>
      <c r="HD26" s="84" t="s">
        <v>265</v>
      </c>
      <c r="HE26" s="139">
        <f>H2</f>
        <v>5.5803292424321579E-17</v>
      </c>
      <c r="HF26" s="83" t="s">
        <v>13</v>
      </c>
    </row>
    <row r="27" spans="1:214" ht="12.75" customHeight="1" thickTop="1" x14ac:dyDescent="0.2">
      <c r="A27" s="83" t="s">
        <v>256</v>
      </c>
      <c r="B27" s="183">
        <v>4763.3999999999996</v>
      </c>
      <c r="C27" s="83" t="s">
        <v>351</v>
      </c>
      <c r="D27" s="84" t="s">
        <v>295</v>
      </c>
      <c r="E27" s="150">
        <f>B278</f>
        <v>132.90539999999999</v>
      </c>
      <c r="F27" s="52" t="s">
        <v>296</v>
      </c>
      <c r="G27" s="83" t="s">
        <v>402</v>
      </c>
      <c r="H27" s="146">
        <f>B60</f>
        <v>55</v>
      </c>
      <c r="I27" s="92" t="s">
        <v>221</v>
      </c>
      <c r="J27" s="83" t="s">
        <v>310</v>
      </c>
      <c r="K27" s="146">
        <f>B58</f>
        <v>55</v>
      </c>
      <c r="L27" s="92" t="s">
        <v>221</v>
      </c>
      <c r="M27" s="91" t="s">
        <v>231</v>
      </c>
      <c r="N27" s="136">
        <f>B30</f>
        <v>30.167100000000001</v>
      </c>
      <c r="O27" s="52" t="s">
        <v>60</v>
      </c>
      <c r="P27" s="91" t="s">
        <v>231</v>
      </c>
      <c r="Q27" s="136">
        <f>B30</f>
        <v>30.167100000000001</v>
      </c>
      <c r="R27" s="52" t="s">
        <v>60</v>
      </c>
      <c r="V27" s="52" t="s">
        <v>267</v>
      </c>
      <c r="W27" s="136">
        <f>B17</f>
        <v>1</v>
      </c>
      <c r="X27" s="52" t="s">
        <v>344</v>
      </c>
      <c r="Y27" s="52" t="s">
        <v>267</v>
      </c>
      <c r="Z27" s="136">
        <f>B17</f>
        <v>1</v>
      </c>
      <c r="AA27" s="52" t="s">
        <v>344</v>
      </c>
      <c r="AB27" s="84" t="s">
        <v>16</v>
      </c>
      <c r="AC27" s="156">
        <f>(AC23*AC24)/(1-EXP(-AC24*AC23))</f>
        <v>1.0115299987062558</v>
      </c>
      <c r="AD27" s="156">
        <f>(AD23*AD24)/(1-EXP(-AD24*AD23))</f>
        <v>1.0115299987062558</v>
      </c>
      <c r="AE27" s="156">
        <f>(AE23*AE24)/(1-EXP(-AE24*AE23))</f>
        <v>1.0115299987062558</v>
      </c>
      <c r="AF27" s="156">
        <f>(AF23*AF24)/(1-EXP(-AF24*AF23))</f>
        <v>1.0115299987062558</v>
      </c>
      <c r="AG27" s="156">
        <f>(AG23*AG24)/(1-EXP(-AG24*AG23))</f>
        <v>1.0115299987062558</v>
      </c>
      <c r="AI27" s="91" t="s">
        <v>231</v>
      </c>
      <c r="AJ27" s="136">
        <f>B30</f>
        <v>30.167100000000001</v>
      </c>
      <c r="AK27" s="52" t="s">
        <v>60</v>
      </c>
      <c r="AL27" s="91" t="s">
        <v>231</v>
      </c>
      <c r="AM27" s="136">
        <f>B30</f>
        <v>30.167100000000001</v>
      </c>
      <c r="AN27" s="52" t="s">
        <v>60</v>
      </c>
      <c r="AR27" s="91" t="s">
        <v>231</v>
      </c>
      <c r="AS27" s="136">
        <f>B30</f>
        <v>30.167100000000001</v>
      </c>
      <c r="AT27" s="52" t="s">
        <v>60</v>
      </c>
      <c r="AU27" s="91" t="s">
        <v>231</v>
      </c>
      <c r="AV27" s="136">
        <f>B30</f>
        <v>30.167100000000001</v>
      </c>
      <c r="AW27" s="52" t="s">
        <v>60</v>
      </c>
      <c r="BA27" s="91" t="s">
        <v>231</v>
      </c>
      <c r="BB27" s="136">
        <f>B30</f>
        <v>30.167100000000001</v>
      </c>
      <c r="BC27" s="52" t="s">
        <v>60</v>
      </c>
      <c r="BD27" s="91" t="s">
        <v>231</v>
      </c>
      <c r="BE27" s="136">
        <f>B30</f>
        <v>30.167100000000001</v>
      </c>
      <c r="BF27" s="52" t="s">
        <v>60</v>
      </c>
      <c r="BJ27" s="91" t="s">
        <v>231</v>
      </c>
      <c r="BK27" s="136">
        <f>B30</f>
        <v>30.167100000000001</v>
      </c>
      <c r="BL27" s="52" t="s">
        <v>60</v>
      </c>
      <c r="BM27" s="91" t="s">
        <v>231</v>
      </c>
      <c r="BN27" s="136">
        <f>B30</f>
        <v>30.167100000000001</v>
      </c>
      <c r="BO27" s="52" t="s">
        <v>60</v>
      </c>
      <c r="BS27" s="94" t="s">
        <v>295</v>
      </c>
      <c r="BT27" s="150">
        <f>B278</f>
        <v>132.90539999999999</v>
      </c>
      <c r="BU27" s="90" t="s">
        <v>296</v>
      </c>
      <c r="BW27" s="138">
        <v>1000</v>
      </c>
      <c r="BX27" s="52" t="s">
        <v>218</v>
      </c>
      <c r="BY27" s="83" t="s">
        <v>90</v>
      </c>
      <c r="BZ27" s="150">
        <f>B117</f>
        <v>5</v>
      </c>
      <c r="CA27" s="52" t="s">
        <v>194</v>
      </c>
      <c r="CB27" s="52" t="s">
        <v>51</v>
      </c>
      <c r="CC27" s="138">
        <f>B127</f>
        <v>1</v>
      </c>
      <c r="CD27" s="52" t="s">
        <v>146</v>
      </c>
      <c r="CE27" s="52" t="s">
        <v>51</v>
      </c>
      <c r="CF27" s="138">
        <f>B127</f>
        <v>1</v>
      </c>
      <c r="CG27" s="52" t="s">
        <v>146</v>
      </c>
      <c r="CK27" s="94" t="s">
        <v>295</v>
      </c>
      <c r="CL27" s="150">
        <f>B278</f>
        <v>132.90539999999999</v>
      </c>
      <c r="CM27" s="90" t="s">
        <v>296</v>
      </c>
      <c r="CN27" s="52" t="s">
        <v>392</v>
      </c>
      <c r="CO27" s="162">
        <f>B48</f>
        <v>0.25</v>
      </c>
      <c r="CT27" s="83" t="s">
        <v>449</v>
      </c>
      <c r="CU27" s="146">
        <f>B141</f>
        <v>100</v>
      </c>
      <c r="CV27" s="84" t="s">
        <v>48</v>
      </c>
      <c r="CW27" s="94" t="s">
        <v>295</v>
      </c>
      <c r="CX27" s="150">
        <f>B278</f>
        <v>132.90539999999999</v>
      </c>
      <c r="CY27" s="90" t="s">
        <v>296</v>
      </c>
      <c r="CZ27" s="92" t="s">
        <v>451</v>
      </c>
      <c r="DA27" s="142">
        <f t="shared" ref="DA27:DA34" si="0">B143</f>
        <v>0.25</v>
      </c>
      <c r="DB27" s="83" t="s">
        <v>28</v>
      </c>
      <c r="DG27" s="138"/>
      <c r="DW27" s="88"/>
      <c r="DX27" s="88"/>
      <c r="DY27" s="88"/>
      <c r="DZ27" s="88"/>
      <c r="EA27" s="83"/>
      <c r="EB27" s="85"/>
      <c r="ED27" s="83" t="s">
        <v>517</v>
      </c>
      <c r="EE27" s="136">
        <f>B36</f>
        <v>4.5999999999999999E-3</v>
      </c>
      <c r="EF27" s="52" t="s">
        <v>601</v>
      </c>
      <c r="EP27" s="83"/>
      <c r="EQ27" s="86"/>
      <c r="ES27" s="83" t="s">
        <v>236</v>
      </c>
      <c r="ET27" s="169">
        <f>B37</f>
        <v>2.1999999999999999E-2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B39</f>
        <v>0.4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B38</f>
        <v>2.7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B40</f>
        <v>0.2</v>
      </c>
      <c r="HC27" s="52" t="s">
        <v>388</v>
      </c>
      <c r="HD27" s="83" t="s">
        <v>22</v>
      </c>
      <c r="HE27" s="137">
        <f>0.693/HE29</f>
        <v>2.2972045705420805E-2</v>
      </c>
    </row>
    <row r="28" spans="1:214" x14ac:dyDescent="0.2">
      <c r="A28" s="91" t="s">
        <v>257</v>
      </c>
      <c r="B28" s="183">
        <v>10.292680000000001</v>
      </c>
      <c r="C28" s="84" t="s">
        <v>259</v>
      </c>
      <c r="D28" s="84" t="s">
        <v>293</v>
      </c>
      <c r="E28" s="85">
        <f>B279</f>
        <v>2.8000000000000001E-15</v>
      </c>
      <c r="G28" s="83" t="s">
        <v>65</v>
      </c>
      <c r="H28" s="141">
        <f>B75</f>
        <v>0.5</v>
      </c>
      <c r="I28" s="52" t="s">
        <v>66</v>
      </c>
      <c r="J28" s="83" t="s">
        <v>447</v>
      </c>
      <c r="K28" s="149">
        <f>(K31*K29*K51)+(K32*K30*K52)</f>
        <v>8250</v>
      </c>
      <c r="L28" s="92" t="s">
        <v>347</v>
      </c>
      <c r="M28" s="52" t="s">
        <v>382</v>
      </c>
      <c r="N28" s="138">
        <f>B68</f>
        <v>150</v>
      </c>
      <c r="O28" s="52" t="s">
        <v>24</v>
      </c>
      <c r="P28" s="52" t="s">
        <v>382</v>
      </c>
      <c r="Q28" s="138">
        <f>B68</f>
        <v>150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B237</f>
        <v>125</v>
      </c>
      <c r="AK28" s="52" t="s">
        <v>24</v>
      </c>
      <c r="AL28" s="52" t="s">
        <v>35</v>
      </c>
      <c r="AM28" s="138">
        <f>B237</f>
        <v>125</v>
      </c>
      <c r="AN28" s="52" t="s">
        <v>24</v>
      </c>
      <c r="AR28" s="52" t="s">
        <v>423</v>
      </c>
      <c r="AS28" s="138">
        <f>B247</f>
        <v>125</v>
      </c>
      <c r="AT28" s="52" t="s">
        <v>24</v>
      </c>
      <c r="AU28" s="52" t="s">
        <v>423</v>
      </c>
      <c r="AV28" s="138">
        <f>B247</f>
        <v>125</v>
      </c>
      <c r="AW28" s="52" t="s">
        <v>24</v>
      </c>
      <c r="BA28" s="52" t="s">
        <v>316</v>
      </c>
      <c r="BB28" s="138">
        <f>B227</f>
        <v>125</v>
      </c>
      <c r="BC28" s="52" t="s">
        <v>24</v>
      </c>
      <c r="BD28" s="52" t="s">
        <v>316</v>
      </c>
      <c r="BE28" s="138">
        <f>B227</f>
        <v>125</v>
      </c>
      <c r="BF28" s="52" t="s">
        <v>24</v>
      </c>
      <c r="BJ28" s="52" t="s">
        <v>191</v>
      </c>
      <c r="BK28" s="138">
        <f>BK29*BK30</f>
        <v>75</v>
      </c>
      <c r="BL28" s="52" t="s">
        <v>24</v>
      </c>
      <c r="BM28" s="52" t="s">
        <v>191</v>
      </c>
      <c r="BN28" s="138">
        <f>BN29*BN30</f>
        <v>75</v>
      </c>
      <c r="BO28" s="52" t="s">
        <v>24</v>
      </c>
      <c r="BS28" s="84" t="s">
        <v>293</v>
      </c>
      <c r="BT28" s="85">
        <f>B279</f>
        <v>2.8000000000000001E-15</v>
      </c>
      <c r="BV28" s="83"/>
      <c r="BW28" s="146">
        <v>365</v>
      </c>
      <c r="BX28" s="84" t="s">
        <v>24</v>
      </c>
      <c r="BY28" s="83" t="s">
        <v>302</v>
      </c>
      <c r="BZ28" s="161">
        <f>B3</f>
        <v>8.5099999999999995E-2</v>
      </c>
      <c r="CB28" s="52" t="s">
        <v>300</v>
      </c>
      <c r="CC28" s="136">
        <f>B12</f>
        <v>2.6599999999999999E-2</v>
      </c>
      <c r="CE28" s="52" t="s">
        <v>300</v>
      </c>
      <c r="CF28" s="136">
        <f>B8</f>
        <v>5.0099999999999999E-2</v>
      </c>
      <c r="CK28" s="84" t="s">
        <v>293</v>
      </c>
      <c r="CL28" s="85">
        <f>B280</f>
        <v>2.7955176153748299E-12</v>
      </c>
      <c r="CN28" s="52" t="s">
        <v>165</v>
      </c>
      <c r="CO28" s="162">
        <f>B135</f>
        <v>2</v>
      </c>
      <c r="CP28" s="52" t="s">
        <v>246</v>
      </c>
      <c r="CT28" s="83" t="s">
        <v>458</v>
      </c>
      <c r="CU28" s="146">
        <f>B142</f>
        <v>50</v>
      </c>
      <c r="CV28" s="84" t="s">
        <v>48</v>
      </c>
      <c r="CW28" s="84" t="s">
        <v>293</v>
      </c>
      <c r="CX28" s="85">
        <f>B279</f>
        <v>2.8000000000000001E-15</v>
      </c>
      <c r="CZ28" s="92" t="s">
        <v>460</v>
      </c>
      <c r="DA28" s="142">
        <f t="shared" si="0"/>
        <v>1.5</v>
      </c>
      <c r="DB28" s="83" t="s">
        <v>28</v>
      </c>
      <c r="DW28" s="88"/>
      <c r="DX28" s="88"/>
      <c r="DY28" s="88"/>
      <c r="DZ28" s="88"/>
      <c r="ET28" s="138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227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D28" s="52" t="s">
        <v>16</v>
      </c>
      <c r="HE28" s="137">
        <f>1-EXP(-HE27*HE32)</f>
        <v>2.2710197161529555E-2</v>
      </c>
    </row>
    <row r="29" spans="1:214" ht="15.75" thickBot="1" x14ac:dyDescent="0.25">
      <c r="A29" s="83" t="s">
        <v>258</v>
      </c>
      <c r="B29" s="183">
        <v>4.9109405245458101E-5</v>
      </c>
      <c r="C29" s="92" t="s">
        <v>259</v>
      </c>
      <c r="G29" s="83" t="s">
        <v>380</v>
      </c>
      <c r="H29" s="150">
        <f>B66</f>
        <v>150</v>
      </c>
      <c r="I29" s="83" t="s">
        <v>24</v>
      </c>
      <c r="J29" s="83" t="s">
        <v>401</v>
      </c>
      <c r="K29" s="146">
        <f>B59</f>
        <v>55</v>
      </c>
      <c r="L29" s="92" t="s">
        <v>221</v>
      </c>
      <c r="M29" s="52" t="s">
        <v>379</v>
      </c>
      <c r="N29" s="138">
        <f>B65</f>
        <v>1</v>
      </c>
      <c r="O29" s="52" t="s">
        <v>146</v>
      </c>
      <c r="P29" s="52" t="s">
        <v>379</v>
      </c>
      <c r="Q29" s="138">
        <f>B65</f>
        <v>1</v>
      </c>
      <c r="R29" s="52" t="s">
        <v>146</v>
      </c>
      <c r="V29" s="83" t="s">
        <v>22</v>
      </c>
      <c r="W29" s="137">
        <f>0.693/W30</f>
        <v>2.2972045705420805E-2</v>
      </c>
      <c r="Y29" s="83" t="s">
        <v>22</v>
      </c>
      <c r="Z29" s="137">
        <f>0.693/Z30</f>
        <v>2.2972045705420805E-2</v>
      </c>
      <c r="AB29" s="83" t="s">
        <v>260</v>
      </c>
      <c r="AC29" s="143">
        <f>((AC5/(AC8*AC13*AC7*AC9*(1/AC6)))*AC27)*AC35*AC36*AC25</f>
        <v>3.6049275448365302E-5</v>
      </c>
      <c r="AD29" s="143">
        <f>((AD5/(AD8*AD13*AD7*AD9*(1/AD6)))*AD27)*AD35*AD36*AD25</f>
        <v>3.6049275448365302E-5</v>
      </c>
      <c r="AE29" s="143">
        <f>((AE5/(AE8*AE13*AE7*AE9*(1/AE6)))*AE27)*AE35*AE36*AE25</f>
        <v>3.6049275448365302E-5</v>
      </c>
      <c r="AF29" s="143">
        <f>((AF5*AF23*AF24)/((1-EXP(-AF24*AF23))*AF8*AF7*AF9*AF13*(1/AF28)))*AF35*AF36*AF25</f>
        <v>9.0123188620913238E-6</v>
      </c>
      <c r="AG29" s="143">
        <f>((AG5*AG23*AG24)/((1-EXP(-AG24*AG23))*AG8*AG7*AG9*AG13*(1/AG28)))*AG35*AG36*AG25</f>
        <v>9.0123188620913238E-6</v>
      </c>
      <c r="AH29" s="83" t="s">
        <v>12</v>
      </c>
      <c r="AI29" s="52" t="s">
        <v>420</v>
      </c>
      <c r="AJ29" s="138">
        <f>B238</f>
        <v>1</v>
      </c>
      <c r="AK29" s="52" t="s">
        <v>146</v>
      </c>
      <c r="AL29" s="52" t="s">
        <v>420</v>
      </c>
      <c r="AM29" s="138">
        <f>B238</f>
        <v>1</v>
      </c>
      <c r="AN29" s="52" t="s">
        <v>146</v>
      </c>
      <c r="AR29" s="52" t="s">
        <v>424</v>
      </c>
      <c r="AS29" s="138">
        <f>B248</f>
        <v>1</v>
      </c>
      <c r="AT29" s="52" t="s">
        <v>146</v>
      </c>
      <c r="AU29" s="52" t="s">
        <v>424</v>
      </c>
      <c r="AV29" s="138">
        <f>B248</f>
        <v>1</v>
      </c>
      <c r="AW29" s="52" t="s">
        <v>146</v>
      </c>
      <c r="BA29" s="52" t="s">
        <v>422</v>
      </c>
      <c r="BB29" s="138">
        <f>B228</f>
        <v>1</v>
      </c>
      <c r="BC29" s="52" t="s">
        <v>146</v>
      </c>
      <c r="BD29" s="52" t="s">
        <v>422</v>
      </c>
      <c r="BE29" s="138">
        <f>B228</f>
        <v>1</v>
      </c>
      <c r="BF29" s="52" t="s">
        <v>146</v>
      </c>
      <c r="BJ29" s="52" t="s">
        <v>220</v>
      </c>
      <c r="BK29" s="138">
        <f>B266</f>
        <v>25</v>
      </c>
      <c r="BL29" s="52" t="s">
        <v>113</v>
      </c>
      <c r="BM29" s="52" t="s">
        <v>220</v>
      </c>
      <c r="BN29" s="138">
        <f>B266</f>
        <v>25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61">
        <f>B4</f>
        <v>0.74199999999999999</v>
      </c>
      <c r="CB29" s="52" t="s">
        <v>411</v>
      </c>
      <c r="CC29" s="136">
        <f>B13</f>
        <v>0.46500000000000002</v>
      </c>
      <c r="CE29" s="52" t="s">
        <v>418</v>
      </c>
      <c r="CF29" s="136">
        <f>B9</f>
        <v>0.72599999999999998</v>
      </c>
      <c r="CN29" s="52" t="s">
        <v>166</v>
      </c>
      <c r="CO29" s="162">
        <f>B136</f>
        <v>2</v>
      </c>
      <c r="CP29" s="52" t="s">
        <v>246</v>
      </c>
      <c r="CT29" s="83" t="s">
        <v>450</v>
      </c>
      <c r="CU29" s="141">
        <f>B145</f>
        <v>5</v>
      </c>
      <c r="CV29" s="92" t="s">
        <v>407</v>
      </c>
      <c r="CZ29" s="92" t="s">
        <v>450</v>
      </c>
      <c r="DA29" s="142">
        <f t="shared" si="0"/>
        <v>5</v>
      </c>
      <c r="DB29" s="83" t="s">
        <v>143</v>
      </c>
      <c r="DW29" s="88"/>
      <c r="DX29" s="88"/>
      <c r="DY29" s="88"/>
      <c r="DZ29" s="88"/>
      <c r="ET29" s="13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B30</f>
        <v>30.167100000000001</v>
      </c>
      <c r="HF29" s="52" t="s">
        <v>60</v>
      </c>
    </row>
    <row r="30" spans="1:214" ht="19.5" thickTop="1" thickBot="1" x14ac:dyDescent="0.25">
      <c r="A30" s="91" t="s">
        <v>231</v>
      </c>
      <c r="B30" s="183">
        <v>30.167100000000001</v>
      </c>
      <c r="C30" s="52" t="s">
        <v>235</v>
      </c>
      <c r="D30" s="353" t="s">
        <v>528</v>
      </c>
      <c r="E30" s="354"/>
      <c r="F30" s="355"/>
      <c r="G30" s="83" t="s">
        <v>381</v>
      </c>
      <c r="H30" s="150">
        <f>B67</f>
        <v>150</v>
      </c>
      <c r="I30" s="83" t="s">
        <v>24</v>
      </c>
      <c r="J30" s="83" t="s">
        <v>402</v>
      </c>
      <c r="K30" s="146">
        <f>B60</f>
        <v>55</v>
      </c>
      <c r="L30" s="92" t="s">
        <v>221</v>
      </c>
      <c r="M30" s="52" t="s">
        <v>299</v>
      </c>
      <c r="N30" s="138">
        <f>B73</f>
        <v>1</v>
      </c>
      <c r="P30" s="52" t="s">
        <v>299</v>
      </c>
      <c r="Q30" s="138">
        <f>B73</f>
        <v>1</v>
      </c>
      <c r="V30" s="91" t="s">
        <v>231</v>
      </c>
      <c r="W30" s="136">
        <f>B30</f>
        <v>30.167100000000001</v>
      </c>
      <c r="X30" s="52" t="s">
        <v>60</v>
      </c>
      <c r="Y30" s="91" t="s">
        <v>231</v>
      </c>
      <c r="Z30" s="136">
        <f>B30</f>
        <v>30.167100000000001</v>
      </c>
      <c r="AA30" s="52" t="s">
        <v>60</v>
      </c>
      <c r="AB30" s="83" t="s">
        <v>261</v>
      </c>
      <c r="AC30" s="144">
        <f>((AC5/(AC19*AC15*AC7*AC9*(1/AC32)*((8/1)/(24/1))*AC28))*AC27)*AC35*AC36*AC25</f>
        <v>4.7981803526053309E-2</v>
      </c>
      <c r="AD30" s="144">
        <f>((AD5/(AD19*AD15*AD7*((8/1)/(24/1))*AD9*(1/AD32)*AD28))*AD27)*AD35*AD36*AD25</f>
        <v>4.7981803526053309E-2</v>
      </c>
      <c r="AE30" s="144">
        <f>((AE5/(AE19*AE15*AE7*((8/1)/(24/1))*AE9*(1/AE32)*AE28))*AE27)*AE35*AE36*AE25</f>
        <v>4.7981803526053309E-2</v>
      </c>
      <c r="AF30" s="144">
        <f>((AF5*AF23*AF24)/((1-EXP(-AF24*AF23))*AF19*AF7*AF9*(AF12/24)*AF15*(1/AF33)*AF28))*AF35*AF36*AF25</f>
        <v>4.3832996836077594E-5</v>
      </c>
      <c r="AG30" s="144">
        <f>((AG5*AG23*AG24)/((1-EXP(-AG24*AG23))*AG19*AG7*AG9*(AG12/24)*AG15*(1/AG34)*AG28))*AG35*AG36*AG25</f>
        <v>3.9283610842827986E-3</v>
      </c>
      <c r="AH30" s="83" t="s">
        <v>12</v>
      </c>
      <c r="AI30" s="52" t="s">
        <v>299</v>
      </c>
      <c r="AJ30" s="138">
        <f>B241</f>
        <v>1</v>
      </c>
      <c r="AL30" s="52" t="s">
        <v>299</v>
      </c>
      <c r="AM30" s="138">
        <f>B241</f>
        <v>1</v>
      </c>
      <c r="AR30" s="52" t="s">
        <v>299</v>
      </c>
      <c r="AS30" s="138">
        <f>B251</f>
        <v>1</v>
      </c>
      <c r="AV30" s="138"/>
      <c r="BA30" s="52" t="s">
        <v>299</v>
      </c>
      <c r="BB30" s="138">
        <f>B231</f>
        <v>1</v>
      </c>
      <c r="BD30" s="52" t="s">
        <v>299</v>
      </c>
      <c r="BE30" s="138">
        <f>B231</f>
        <v>1</v>
      </c>
      <c r="BJ30" s="52" t="s">
        <v>219</v>
      </c>
      <c r="BK30" s="138">
        <f>B265</f>
        <v>3</v>
      </c>
      <c r="BL30" s="52" t="s">
        <v>112</v>
      </c>
      <c r="BM30" s="52" t="s">
        <v>219</v>
      </c>
      <c r="BN30" s="138">
        <f>B265</f>
        <v>3</v>
      </c>
      <c r="BO30" s="52" t="s">
        <v>112</v>
      </c>
      <c r="BS30" s="91"/>
      <c r="BT30" s="97"/>
      <c r="BU30" s="91"/>
      <c r="BV30" s="91" t="s">
        <v>308</v>
      </c>
      <c r="BW30" s="146">
        <f>B111</f>
        <v>0.23</v>
      </c>
      <c r="BY30" s="94" t="s">
        <v>95</v>
      </c>
      <c r="BZ30" s="150">
        <f>B127</f>
        <v>1</v>
      </c>
      <c r="CA30" s="94" t="s">
        <v>60</v>
      </c>
      <c r="CB30" s="52" t="s">
        <v>90</v>
      </c>
      <c r="CC30" s="138">
        <f>B118</f>
        <v>5</v>
      </c>
      <c r="CD30" s="52" t="s">
        <v>194</v>
      </c>
      <c r="CE30" s="52" t="s">
        <v>90</v>
      </c>
      <c r="CF30" s="138">
        <f>B118</f>
        <v>5</v>
      </c>
      <c r="CG30" s="52" t="s">
        <v>194</v>
      </c>
      <c r="CM30" s="83"/>
      <c r="CN30" s="93" t="s">
        <v>167</v>
      </c>
      <c r="CO30" s="162">
        <f>B137</f>
        <v>2</v>
      </c>
      <c r="CP30" s="52" t="s">
        <v>41</v>
      </c>
      <c r="CQ30" s="88"/>
      <c r="CR30" s="83"/>
      <c r="CS30" s="83"/>
      <c r="CT30" s="83" t="s">
        <v>459</v>
      </c>
      <c r="CU30" s="141">
        <f>B146</f>
        <v>10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10</v>
      </c>
      <c r="DB30" s="83" t="s">
        <v>143</v>
      </c>
      <c r="DW30" s="88"/>
      <c r="DX30" s="88"/>
      <c r="DY30" s="88"/>
      <c r="DZ30" s="88"/>
      <c r="ET30" s="13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B93</f>
        <v>0.3</v>
      </c>
    </row>
    <row r="31" spans="1:214" x14ac:dyDescent="0.2">
      <c r="A31" s="91" t="s">
        <v>77</v>
      </c>
      <c r="B31" s="183">
        <f>PEF!D3</f>
        <v>1359344473.5814338</v>
      </c>
      <c r="C31" s="52" t="s">
        <v>524</v>
      </c>
      <c r="D31" s="323" t="s">
        <v>530</v>
      </c>
      <c r="E31" s="347">
        <f>E38</f>
        <v>4.3472482877303141E-8</v>
      </c>
      <c r="F31" s="345" t="s">
        <v>12</v>
      </c>
      <c r="G31" s="83" t="s">
        <v>379</v>
      </c>
      <c r="H31" s="150">
        <f>B65</f>
        <v>1</v>
      </c>
      <c r="I31" s="84" t="s">
        <v>60</v>
      </c>
      <c r="J31" s="83" t="s">
        <v>380</v>
      </c>
      <c r="K31" s="150">
        <f>B66</f>
        <v>150</v>
      </c>
      <c r="L31" s="83" t="s">
        <v>24</v>
      </c>
      <c r="M31" s="52" t="s">
        <v>300</v>
      </c>
      <c r="N31" s="136">
        <f>B12</f>
        <v>2.6599999999999999E-2</v>
      </c>
      <c r="P31" s="52" t="s">
        <v>300</v>
      </c>
      <c r="Q31" s="136">
        <f>B8</f>
        <v>5.0099999999999999E-2</v>
      </c>
      <c r="V31" s="52" t="s">
        <v>35</v>
      </c>
      <c r="W31" s="138">
        <f>B237</f>
        <v>125</v>
      </c>
      <c r="X31" s="52" t="s">
        <v>24</v>
      </c>
      <c r="Y31" s="52" t="s">
        <v>191</v>
      </c>
      <c r="Z31" s="138">
        <f>B257</f>
        <v>125</v>
      </c>
      <c r="AA31" s="52" t="s">
        <v>24</v>
      </c>
      <c r="AB31" s="83" t="s">
        <v>262</v>
      </c>
      <c r="AC31" s="145">
        <f>((AC5*AC23*AC24)/((1-EXP(-AC24*AC23))*AC18*AC7*(1/365)*AC12*(1/24)*AC14*AC17))*AC35*AC36*AC25</f>
        <v>4.9239637678739476E-7</v>
      </c>
      <c r="AD31" s="145">
        <f>((AD5*AD23*AD24)/((1-EXP(-AD24*AD23))*AD18*AD7*(1/365)*AD12*(1/24)*AD16*AD17))*AD35*AD36*AD25</f>
        <v>4.1902931664607292E-8</v>
      </c>
      <c r="AE31" s="145">
        <f>((AE5*AE23*AE24)/((1-EXP(-AE24*AE23))*AE18*AE7*(1/365)*AE12*(1/24)*AE14*AE17))*AE35*AE36*AE25</f>
        <v>4.9239637678739476E-7</v>
      </c>
      <c r="AF31" s="145">
        <f>((AF5*AF23*AF24)/((1-EXP(-AF24*AF23))*AF18*(AF11*AF10)*(1/365)*AF12*(1/24)*AF14*AF17))*AF35*AF36*AF25</f>
        <v>1.3130570047663864E-6</v>
      </c>
      <c r="AG31" s="145">
        <f>((AG5*AG23*AG24)/((1-EXP(-AG24*AG23))*AG18*AG7*(1/365)*AG9*(AG12/24)*AG14*AG17))*AG35*AG36*AG25</f>
        <v>7.8783420285983149E-7</v>
      </c>
      <c r="AH31" s="83" t="s">
        <v>12</v>
      </c>
      <c r="AI31" s="52" t="s">
        <v>300</v>
      </c>
      <c r="AJ31" s="136">
        <f>B12</f>
        <v>2.6599999999999999E-2</v>
      </c>
      <c r="AL31" s="52" t="s">
        <v>300</v>
      </c>
      <c r="AM31" s="136">
        <f>B8</f>
        <v>5.0099999999999999E-2</v>
      </c>
      <c r="AR31" s="52" t="s">
        <v>300</v>
      </c>
      <c r="AS31" s="136">
        <f>B12</f>
        <v>2.6599999999999999E-2</v>
      </c>
      <c r="AU31" s="52" t="s">
        <v>300</v>
      </c>
      <c r="AV31" s="136">
        <f>B8</f>
        <v>5.0099999999999999E-2</v>
      </c>
      <c r="BA31" s="52" t="s">
        <v>300</v>
      </c>
      <c r="BB31" s="136">
        <f>B12</f>
        <v>2.6599999999999999E-2</v>
      </c>
      <c r="BD31" s="52" t="s">
        <v>300</v>
      </c>
      <c r="BE31" s="136">
        <f>B8</f>
        <v>5.0099999999999999E-2</v>
      </c>
      <c r="BJ31" s="52" t="s">
        <v>158</v>
      </c>
      <c r="BK31" s="138">
        <f>B258</f>
        <v>1</v>
      </c>
      <c r="BL31" s="52" t="s">
        <v>146</v>
      </c>
      <c r="BM31" s="52" t="s">
        <v>158</v>
      </c>
      <c r="BN31" s="138">
        <f>B258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B112</f>
        <v>0.77</v>
      </c>
      <c r="BZ31" s="150">
        <v>365</v>
      </c>
      <c r="CA31" s="52" t="s">
        <v>24</v>
      </c>
      <c r="CB31" s="52" t="s">
        <v>410</v>
      </c>
      <c r="CC31" s="139">
        <f>B23</f>
        <v>0.64061199999999996</v>
      </c>
      <c r="CD31" s="84" t="s">
        <v>353</v>
      </c>
      <c r="CE31" s="52" t="s">
        <v>419</v>
      </c>
      <c r="CF31" s="139">
        <f>B25</f>
        <v>1.817564</v>
      </c>
      <c r="CG31" s="84" t="s">
        <v>353</v>
      </c>
      <c r="CM31" s="83"/>
      <c r="CN31" s="83" t="s">
        <v>168</v>
      </c>
      <c r="CO31" s="162">
        <f>B138</f>
        <v>2</v>
      </c>
      <c r="CP31" s="52" t="s">
        <v>41</v>
      </c>
      <c r="CQ31" s="83"/>
      <c r="CR31" s="83"/>
      <c r="CS31" s="83"/>
      <c r="CT31" s="83" t="s">
        <v>456</v>
      </c>
      <c r="CU31" s="150">
        <f>B165</f>
        <v>150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55</v>
      </c>
      <c r="DB31" s="83" t="s">
        <v>221</v>
      </c>
      <c r="DW31" s="88"/>
      <c r="DX31" s="88"/>
      <c r="DY31" s="88"/>
      <c r="DZ31" s="88"/>
      <c r="ET31" s="13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B94</f>
        <v>1.5</v>
      </c>
    </row>
    <row r="32" spans="1:214" ht="13.5" thickBot="1" x14ac:dyDescent="0.25">
      <c r="A32" s="91" t="s">
        <v>103</v>
      </c>
      <c r="B32" s="183">
        <f>PEF!G3</f>
        <v>776129.4078035407</v>
      </c>
      <c r="C32" s="52" t="s">
        <v>524</v>
      </c>
      <c r="D32" s="324"/>
      <c r="E32" s="348"/>
      <c r="F32" s="346"/>
      <c r="G32" s="52" t="s">
        <v>403</v>
      </c>
      <c r="H32" s="138">
        <f>B69</f>
        <v>0.25</v>
      </c>
      <c r="I32" s="52" t="s">
        <v>89</v>
      </c>
      <c r="J32" s="83" t="s">
        <v>381</v>
      </c>
      <c r="K32" s="150">
        <f>B67</f>
        <v>150</v>
      </c>
      <c r="L32" s="83" t="s">
        <v>24</v>
      </c>
      <c r="M32" s="52" t="s">
        <v>54</v>
      </c>
      <c r="N32" s="136">
        <f>B13</f>
        <v>0.46500000000000002</v>
      </c>
      <c r="P32" s="52" t="s">
        <v>54</v>
      </c>
      <c r="Q32" s="136">
        <f>B9</f>
        <v>0.72599999999999998</v>
      </c>
      <c r="V32" s="52" t="s">
        <v>420</v>
      </c>
      <c r="W32" s="138">
        <f>B238</f>
        <v>1</v>
      </c>
      <c r="X32" s="52" t="s">
        <v>146</v>
      </c>
      <c r="Y32" s="52" t="s">
        <v>158</v>
      </c>
      <c r="Z32" s="138">
        <f>B258</f>
        <v>1</v>
      </c>
      <c r="AA32" s="52" t="s">
        <v>146</v>
      </c>
      <c r="AB32" s="83" t="s">
        <v>77</v>
      </c>
      <c r="AC32" s="136">
        <f>B31</f>
        <v>1359344473.5814338</v>
      </c>
      <c r="AD32" s="136">
        <f>B31</f>
        <v>1359344473.5814338</v>
      </c>
      <c r="AE32" s="136">
        <f>B31</f>
        <v>1359344473.5814338</v>
      </c>
      <c r="AF32" s="136"/>
      <c r="AG32" s="136"/>
      <c r="AH32" s="104" t="s">
        <v>78</v>
      </c>
      <c r="AI32" s="52" t="s">
        <v>54</v>
      </c>
      <c r="AJ32" s="136">
        <f>B13</f>
        <v>0.46500000000000002</v>
      </c>
      <c r="AL32" s="52" t="s">
        <v>54</v>
      </c>
      <c r="AM32" s="136">
        <f>B9</f>
        <v>0.72599999999999998</v>
      </c>
      <c r="AR32" s="52" t="s">
        <v>54</v>
      </c>
      <c r="AS32" s="136">
        <f>B13</f>
        <v>0.46500000000000002</v>
      </c>
      <c r="AU32" s="52" t="s">
        <v>54</v>
      </c>
      <c r="AV32" s="136">
        <f>B9</f>
        <v>0.72599999999999998</v>
      </c>
      <c r="BA32" s="52" t="s">
        <v>54</v>
      </c>
      <c r="BB32" s="136">
        <f>B13</f>
        <v>0.46500000000000002</v>
      </c>
      <c r="BD32" s="52" t="s">
        <v>54</v>
      </c>
      <c r="BE32" s="136">
        <f>B9</f>
        <v>0.72599999999999998</v>
      </c>
      <c r="BJ32" s="52" t="s">
        <v>300</v>
      </c>
      <c r="BK32" s="136">
        <f>B12</f>
        <v>2.6599999999999999E-2</v>
      </c>
      <c r="BM32" s="52" t="s">
        <v>300</v>
      </c>
      <c r="BN32" s="136">
        <f>B8</f>
        <v>5.0099999999999999E-2</v>
      </c>
      <c r="BS32" s="91"/>
      <c r="BT32" s="99"/>
      <c r="BU32" s="100"/>
      <c r="BV32" s="94" t="s">
        <v>295</v>
      </c>
      <c r="BW32" s="150">
        <f>B278</f>
        <v>132.90539999999999</v>
      </c>
      <c r="BX32" s="90" t="s">
        <v>296</v>
      </c>
      <c r="BZ32" s="138">
        <v>1000</v>
      </c>
      <c r="CA32" s="52" t="s">
        <v>99</v>
      </c>
      <c r="CB32" s="94" t="s">
        <v>295</v>
      </c>
      <c r="CC32" s="150">
        <f>B278</f>
        <v>132.90539999999999</v>
      </c>
      <c r="CD32" s="90" t="s">
        <v>296</v>
      </c>
      <c r="CE32" s="94" t="s">
        <v>295</v>
      </c>
      <c r="CF32" s="150">
        <f>B278</f>
        <v>132.90539999999999</v>
      </c>
      <c r="CG32" s="90" t="s">
        <v>296</v>
      </c>
      <c r="CM32" s="83"/>
      <c r="CN32" s="83" t="s">
        <v>22</v>
      </c>
      <c r="CO32" s="137">
        <f>0.693/CO33</f>
        <v>2.2972045705420805E-2</v>
      </c>
      <c r="CR32" s="83"/>
      <c r="CS32" s="83"/>
      <c r="CT32" s="83" t="s">
        <v>465</v>
      </c>
      <c r="CU32" s="150">
        <f>B166</f>
        <v>150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55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15" customHeight="1" thickTop="1" x14ac:dyDescent="0.2">
      <c r="A33" s="91" t="s">
        <v>104</v>
      </c>
      <c r="B33" s="183">
        <f>PEF!J3</f>
        <v>69557565.807898715</v>
      </c>
      <c r="C33" s="52" t="s">
        <v>524</v>
      </c>
      <c r="D33" s="83" t="s">
        <v>267</v>
      </c>
      <c r="E33" s="136">
        <f>B17</f>
        <v>1</v>
      </c>
      <c r="F33" s="52" t="s">
        <v>344</v>
      </c>
      <c r="G33" s="52" t="s">
        <v>404</v>
      </c>
      <c r="H33" s="138">
        <f>B70</f>
        <v>0.75</v>
      </c>
      <c r="I33" s="52" t="s">
        <v>89</v>
      </c>
      <c r="J33" s="83" t="s">
        <v>379</v>
      </c>
      <c r="K33" s="141">
        <f>B65</f>
        <v>1</v>
      </c>
      <c r="L33" s="92" t="s">
        <v>60</v>
      </c>
      <c r="M33" s="52" t="s">
        <v>408</v>
      </c>
      <c r="N33" s="150">
        <f>B88</f>
        <v>5</v>
      </c>
      <c r="O33" s="52" t="s">
        <v>194</v>
      </c>
      <c r="P33" s="52" t="s">
        <v>408</v>
      </c>
      <c r="Q33" s="150">
        <f>B88</f>
        <v>5</v>
      </c>
      <c r="R33" s="52" t="s">
        <v>194</v>
      </c>
      <c r="V33" s="52" t="s">
        <v>247</v>
      </c>
      <c r="W33" s="139">
        <f>B18</f>
        <v>1.5417408700798101E-4</v>
      </c>
      <c r="X33" s="84" t="s">
        <v>39</v>
      </c>
      <c r="Y33" s="52" t="s">
        <v>247</v>
      </c>
      <c r="Z33" s="139">
        <f>B18</f>
        <v>1.5417408700798101E-4</v>
      </c>
      <c r="AA33" s="84" t="s">
        <v>39</v>
      </c>
      <c r="AB33" s="104" t="s">
        <v>103</v>
      </c>
      <c r="AC33" s="136"/>
      <c r="AD33" s="136"/>
      <c r="AE33" s="136"/>
      <c r="AF33" s="157">
        <f>B32</f>
        <v>776129.4078035407</v>
      </c>
      <c r="AG33" s="136"/>
      <c r="AH33" s="104" t="s">
        <v>78</v>
      </c>
      <c r="AI33" s="52" t="s">
        <v>57</v>
      </c>
      <c r="AJ33" s="136">
        <f>B242</f>
        <v>5</v>
      </c>
      <c r="AK33" s="52" t="s">
        <v>194</v>
      </c>
      <c r="AL33" s="52" t="s">
        <v>57</v>
      </c>
      <c r="AM33" s="136">
        <f>B242</f>
        <v>5</v>
      </c>
      <c r="AN33" s="52" t="s">
        <v>194</v>
      </c>
      <c r="AR33" s="52" t="s">
        <v>57</v>
      </c>
      <c r="AS33" s="136">
        <f>B252</f>
        <v>5</v>
      </c>
      <c r="AT33" s="52" t="s">
        <v>194</v>
      </c>
      <c r="AU33" s="52" t="s">
        <v>57</v>
      </c>
      <c r="AV33" s="136">
        <f>B252</f>
        <v>5</v>
      </c>
      <c r="AW33" s="52" t="s">
        <v>194</v>
      </c>
      <c r="BA33" s="52" t="s">
        <v>58</v>
      </c>
      <c r="BB33" s="136">
        <f>B232</f>
        <v>5</v>
      </c>
      <c r="BC33" s="52" t="s">
        <v>194</v>
      </c>
      <c r="BD33" s="52" t="s">
        <v>57</v>
      </c>
      <c r="BE33" s="136">
        <f>B232</f>
        <v>5</v>
      </c>
      <c r="BF33" s="52" t="s">
        <v>194</v>
      </c>
      <c r="BJ33" s="52" t="s">
        <v>411</v>
      </c>
      <c r="BK33" s="136">
        <f>B13</f>
        <v>0.46500000000000002</v>
      </c>
      <c r="BM33" s="52" t="s">
        <v>418</v>
      </c>
      <c r="BN33" s="136">
        <f>B9</f>
        <v>0.72599999999999998</v>
      </c>
      <c r="BS33" s="91"/>
      <c r="BT33" s="99"/>
      <c r="BU33" s="100"/>
      <c r="BV33" s="84" t="s">
        <v>293</v>
      </c>
      <c r="BW33" s="85">
        <f>B279</f>
        <v>2.8000000000000001E-15</v>
      </c>
      <c r="BZ33" s="146">
        <v>1000</v>
      </c>
      <c r="CA33" s="52" t="s">
        <v>23</v>
      </c>
      <c r="CB33" s="84" t="s">
        <v>293</v>
      </c>
      <c r="CC33" s="85">
        <f>B280</f>
        <v>2.7955176153748299E-12</v>
      </c>
      <c r="CE33" s="84" t="s">
        <v>293</v>
      </c>
      <c r="CF33" s="85">
        <f>B280</f>
        <v>2.7955176153748299E-12</v>
      </c>
      <c r="CM33" s="83"/>
      <c r="CN33" s="91" t="s">
        <v>231</v>
      </c>
      <c r="CO33" s="136">
        <f>B30</f>
        <v>30.167100000000001</v>
      </c>
      <c r="CP33" s="52" t="s">
        <v>60</v>
      </c>
      <c r="CR33" s="83"/>
      <c r="CS33" s="83"/>
      <c r="CT33" s="83" t="s">
        <v>363</v>
      </c>
      <c r="CU33" s="141">
        <f t="shared" ref="CU33:CU40" si="1">B168</f>
        <v>1</v>
      </c>
      <c r="CV33" s="92" t="s">
        <v>60</v>
      </c>
      <c r="CZ33" s="92" t="s">
        <v>513</v>
      </c>
      <c r="DA33" s="141">
        <f t="shared" si="0"/>
        <v>55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B92</f>
        <v>70</v>
      </c>
    </row>
    <row r="34" spans="1:214" ht="13.5" customHeight="1" x14ac:dyDescent="0.2">
      <c r="A34" s="91" t="s">
        <v>231</v>
      </c>
      <c r="B34" s="183">
        <f>B30*365</f>
        <v>11010.9915</v>
      </c>
      <c r="C34" s="52" t="s">
        <v>222</v>
      </c>
      <c r="D34" s="83" t="s">
        <v>382</v>
      </c>
      <c r="E34" s="150">
        <f>B68</f>
        <v>150</v>
      </c>
      <c r="F34" s="83" t="s">
        <v>24</v>
      </c>
      <c r="G34" s="83" t="s">
        <v>383</v>
      </c>
      <c r="H34" s="150">
        <f>B71</f>
        <v>24</v>
      </c>
      <c r="I34" s="94" t="s">
        <v>194</v>
      </c>
      <c r="J34" s="83" t="s">
        <v>383</v>
      </c>
      <c r="K34" s="150">
        <f>B71</f>
        <v>24</v>
      </c>
      <c r="L34" s="94" t="s">
        <v>194</v>
      </c>
      <c r="M34" s="52" t="s">
        <v>410</v>
      </c>
      <c r="N34" s="139">
        <f>B23</f>
        <v>0.64061199999999996</v>
      </c>
      <c r="O34" s="84" t="s">
        <v>354</v>
      </c>
      <c r="P34" s="52" t="s">
        <v>419</v>
      </c>
      <c r="Q34" s="139">
        <f>B25</f>
        <v>1.817564</v>
      </c>
      <c r="R34" s="84" t="s">
        <v>353</v>
      </c>
      <c r="V34" s="52" t="s">
        <v>421</v>
      </c>
      <c r="W34" s="150">
        <f>B243</f>
        <v>5</v>
      </c>
      <c r="X34" s="84" t="s">
        <v>194</v>
      </c>
      <c r="Y34" s="52" t="s">
        <v>192</v>
      </c>
      <c r="Z34" s="150">
        <f>B262</f>
        <v>5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B33</f>
        <v>69557565.807898715</v>
      </c>
      <c r="AH34" s="104" t="s">
        <v>78</v>
      </c>
      <c r="AI34" s="52" t="s">
        <v>410</v>
      </c>
      <c r="AJ34" s="139">
        <f>B23</f>
        <v>0.64061199999999996</v>
      </c>
      <c r="AK34" s="84" t="s">
        <v>353</v>
      </c>
      <c r="AL34" s="52" t="s">
        <v>419</v>
      </c>
      <c r="AM34" s="139">
        <f>B25</f>
        <v>1.817564</v>
      </c>
      <c r="AN34" s="84" t="s">
        <v>353</v>
      </c>
      <c r="AR34" s="52" t="s">
        <v>410</v>
      </c>
      <c r="AS34" s="139">
        <f>B23</f>
        <v>0.64061199999999996</v>
      </c>
      <c r="AT34" s="84" t="s">
        <v>353</v>
      </c>
      <c r="AU34" s="52" t="s">
        <v>419</v>
      </c>
      <c r="AV34" s="139">
        <f>B25</f>
        <v>1.817564</v>
      </c>
      <c r="AW34" s="84" t="s">
        <v>353</v>
      </c>
      <c r="BA34" s="52" t="s">
        <v>410</v>
      </c>
      <c r="BB34" s="139">
        <f>B23</f>
        <v>0.64061199999999996</v>
      </c>
      <c r="BC34" s="84" t="s">
        <v>353</v>
      </c>
      <c r="BD34" s="52" t="s">
        <v>419</v>
      </c>
      <c r="BE34" s="139">
        <f>B25</f>
        <v>1.817564</v>
      </c>
      <c r="BF34" s="84" t="s">
        <v>353</v>
      </c>
      <c r="BJ34" s="52" t="s">
        <v>57</v>
      </c>
      <c r="BK34" s="136">
        <f>B262</f>
        <v>5</v>
      </c>
      <c r="BL34" s="52" t="s">
        <v>194</v>
      </c>
      <c r="BM34" s="52" t="s">
        <v>57</v>
      </c>
      <c r="BN34" s="136">
        <f>B262</f>
        <v>5</v>
      </c>
      <c r="BO34" s="52" t="s">
        <v>194</v>
      </c>
      <c r="BT34" s="102"/>
      <c r="BU34" s="91"/>
      <c r="BV34" s="91" t="s">
        <v>231</v>
      </c>
      <c r="BW34" s="136">
        <f>B30</f>
        <v>30.167100000000001</v>
      </c>
      <c r="BX34" s="52" t="s">
        <v>60</v>
      </c>
      <c r="BY34" s="91" t="s">
        <v>308</v>
      </c>
      <c r="BZ34" s="146">
        <f>B111</f>
        <v>0.23</v>
      </c>
      <c r="CM34" s="83"/>
      <c r="CN34" s="84" t="s">
        <v>16</v>
      </c>
      <c r="CO34" s="137">
        <f>(CO31*CO32)/(1-EXP(-CO32*CO31))</f>
        <v>1.0231479444785183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55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B45</f>
        <v>10</v>
      </c>
    </row>
    <row r="35" spans="1:214" ht="13.15" customHeight="1" x14ac:dyDescent="0.2">
      <c r="A35" s="83" t="s">
        <v>105</v>
      </c>
      <c r="B35" s="182">
        <v>2500</v>
      </c>
      <c r="C35" s="84" t="s">
        <v>18</v>
      </c>
      <c r="D35" s="83" t="s">
        <v>258</v>
      </c>
      <c r="E35" s="136">
        <f>B29</f>
        <v>4.9109405245458101E-5</v>
      </c>
      <c r="F35" s="83" t="s">
        <v>87</v>
      </c>
      <c r="G35" s="83" t="s">
        <v>384</v>
      </c>
      <c r="H35" s="150">
        <f>B71</f>
        <v>24</v>
      </c>
      <c r="I35" s="52" t="s">
        <v>194</v>
      </c>
      <c r="J35" s="83" t="s">
        <v>384</v>
      </c>
      <c r="K35" s="150">
        <f>B71</f>
        <v>24</v>
      </c>
      <c r="L35" s="52" t="s">
        <v>194</v>
      </c>
      <c r="M35" s="52" t="s">
        <v>409</v>
      </c>
      <c r="N35" s="150">
        <f>B89</f>
        <v>25</v>
      </c>
      <c r="O35" s="52" t="s">
        <v>194</v>
      </c>
      <c r="P35" s="52" t="s">
        <v>409</v>
      </c>
      <c r="Q35" s="150">
        <f>B89</f>
        <v>25</v>
      </c>
      <c r="R35" s="52" t="s">
        <v>194</v>
      </c>
      <c r="V35" s="52" t="s">
        <v>304</v>
      </c>
      <c r="W35" s="146">
        <f>B236</f>
        <v>50</v>
      </c>
      <c r="X35" s="84" t="s">
        <v>407</v>
      </c>
      <c r="Y35" s="52" t="s">
        <v>348</v>
      </c>
      <c r="Z35" s="146">
        <f>B256</f>
        <v>50</v>
      </c>
      <c r="AA35" s="84" t="s">
        <v>407</v>
      </c>
      <c r="AB35" s="84" t="s">
        <v>295</v>
      </c>
      <c r="AC35" s="150">
        <f>B278</f>
        <v>132.90539999999999</v>
      </c>
      <c r="AD35" s="150">
        <f>B278</f>
        <v>132.90539999999999</v>
      </c>
      <c r="AE35" s="150">
        <f>B278</f>
        <v>132.90539999999999</v>
      </c>
      <c r="AF35" s="150">
        <f>B278</f>
        <v>132.90539999999999</v>
      </c>
      <c r="AG35" s="150">
        <f>B278</f>
        <v>132.90539999999999</v>
      </c>
      <c r="AH35" s="52" t="s">
        <v>296</v>
      </c>
      <c r="AI35" s="52" t="s">
        <v>69</v>
      </c>
      <c r="AJ35" s="136">
        <f>B243</f>
        <v>5</v>
      </c>
      <c r="AK35" s="52" t="s">
        <v>194</v>
      </c>
      <c r="AL35" s="52" t="s">
        <v>69</v>
      </c>
      <c r="AM35" s="136">
        <f>B243</f>
        <v>5</v>
      </c>
      <c r="AN35" s="52" t="s">
        <v>194</v>
      </c>
      <c r="AR35" s="52" t="s">
        <v>69</v>
      </c>
      <c r="AS35" s="136">
        <f>B253</f>
        <v>5</v>
      </c>
      <c r="AT35" s="52" t="s">
        <v>194</v>
      </c>
      <c r="AU35" s="52" t="s">
        <v>69</v>
      </c>
      <c r="AV35" s="136">
        <f>B253</f>
        <v>5</v>
      </c>
      <c r="AW35" s="52" t="s">
        <v>194</v>
      </c>
      <c r="BA35" s="52" t="s">
        <v>69</v>
      </c>
      <c r="BB35" s="136">
        <f>B233</f>
        <v>5</v>
      </c>
      <c r="BC35" s="52" t="s">
        <v>194</v>
      </c>
      <c r="BD35" s="52" t="s">
        <v>69</v>
      </c>
      <c r="BE35" s="136">
        <f>B233</f>
        <v>5</v>
      </c>
      <c r="BF35" s="52" t="s">
        <v>194</v>
      </c>
      <c r="BJ35" s="52" t="s">
        <v>410</v>
      </c>
      <c r="BK35" s="139">
        <f>B23</f>
        <v>0.64061199999999996</v>
      </c>
      <c r="BL35" s="84" t="s">
        <v>353</v>
      </c>
      <c r="BM35" s="52" t="s">
        <v>419</v>
      </c>
      <c r="BN35" s="139">
        <f>B25</f>
        <v>1.817564</v>
      </c>
      <c r="BO35" s="84" t="s">
        <v>353</v>
      </c>
      <c r="BY35" s="91" t="s">
        <v>309</v>
      </c>
      <c r="BZ35" s="146">
        <f>B112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B165</f>
        <v>150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B75</f>
        <v>0.5</v>
      </c>
      <c r="HF35" s="52" t="s">
        <v>355</v>
      </c>
    </row>
    <row r="36" spans="1:214" x14ac:dyDescent="0.2">
      <c r="A36" s="83" t="s">
        <v>239</v>
      </c>
      <c r="B36" s="183">
        <v>4.5999999999999999E-3</v>
      </c>
      <c r="C36" s="52" t="s">
        <v>601</v>
      </c>
      <c r="D36" s="83" t="s">
        <v>389</v>
      </c>
      <c r="E36" s="146">
        <f>B90</f>
        <v>1</v>
      </c>
      <c r="G36" s="83" t="s">
        <v>405</v>
      </c>
      <c r="H36" s="138">
        <f>B76</f>
        <v>5</v>
      </c>
      <c r="I36" s="52" t="s">
        <v>80</v>
      </c>
      <c r="J36" s="83" t="s">
        <v>390</v>
      </c>
      <c r="K36" s="141">
        <f>B78</f>
        <v>0.25</v>
      </c>
      <c r="M36" s="84" t="s">
        <v>295</v>
      </c>
      <c r="N36" s="150">
        <f>B278</f>
        <v>132.90539999999999</v>
      </c>
      <c r="O36" s="52" t="s">
        <v>296</v>
      </c>
      <c r="P36" s="84" t="s">
        <v>295</v>
      </c>
      <c r="Q36" s="150">
        <f>B278</f>
        <v>132.90539999999999</v>
      </c>
      <c r="R36" s="52" t="s">
        <v>296</v>
      </c>
      <c r="V36" s="83" t="s">
        <v>256</v>
      </c>
      <c r="W36" s="136">
        <f>B27</f>
        <v>4763.3999999999996</v>
      </c>
      <c r="X36" s="83" t="s">
        <v>343</v>
      </c>
      <c r="Y36" s="83" t="s">
        <v>256</v>
      </c>
      <c r="Z36" s="136">
        <f>B27</f>
        <v>4763.3999999999996</v>
      </c>
      <c r="AA36" s="83" t="s">
        <v>343</v>
      </c>
      <c r="AB36" s="84" t="s">
        <v>293</v>
      </c>
      <c r="AC36" s="136">
        <f>B280</f>
        <v>2.7955176153748299E-12</v>
      </c>
      <c r="AD36" s="136">
        <f>B280</f>
        <v>2.7955176153748299E-12</v>
      </c>
      <c r="AE36" s="136">
        <f>B280</f>
        <v>2.7955176153748299E-12</v>
      </c>
      <c r="AF36" s="136">
        <f>B280</f>
        <v>2.7955176153748299E-12</v>
      </c>
      <c r="AG36" s="136">
        <f>B280</f>
        <v>2.7955176153748299E-12</v>
      </c>
      <c r="AI36" s="84" t="s">
        <v>295</v>
      </c>
      <c r="AJ36" s="150">
        <f>B278</f>
        <v>132.90539999999999</v>
      </c>
      <c r="AK36" s="90" t="s">
        <v>296</v>
      </c>
      <c r="AL36" s="94" t="s">
        <v>295</v>
      </c>
      <c r="AM36" s="150">
        <f>B278</f>
        <v>132.90539999999999</v>
      </c>
      <c r="AN36" s="90" t="s">
        <v>296</v>
      </c>
      <c r="AO36" s="90"/>
      <c r="AP36" s="90"/>
      <c r="AQ36" s="90"/>
      <c r="AR36" s="94" t="s">
        <v>295</v>
      </c>
      <c r="AS36" s="150">
        <f>B278</f>
        <v>132.90539999999999</v>
      </c>
      <c r="AT36" s="90" t="s">
        <v>296</v>
      </c>
      <c r="AU36" s="94" t="s">
        <v>295</v>
      </c>
      <c r="AV36" s="150">
        <f>B278</f>
        <v>132.90539999999999</v>
      </c>
      <c r="AW36" s="90" t="s">
        <v>296</v>
      </c>
      <c r="BA36" s="94" t="s">
        <v>295</v>
      </c>
      <c r="BB36" s="150">
        <f>B278</f>
        <v>132.90539999999999</v>
      </c>
      <c r="BC36" s="90" t="s">
        <v>296</v>
      </c>
      <c r="BD36" s="94" t="s">
        <v>295</v>
      </c>
      <c r="BE36" s="150">
        <f>B278</f>
        <v>132.90539999999999</v>
      </c>
      <c r="BF36" s="90" t="s">
        <v>296</v>
      </c>
      <c r="BJ36" s="94" t="s">
        <v>295</v>
      </c>
      <c r="BK36" s="150">
        <f>B278</f>
        <v>132.90539999999999</v>
      </c>
      <c r="BL36" s="90" t="s">
        <v>296</v>
      </c>
      <c r="BM36" s="94" t="s">
        <v>295</v>
      </c>
      <c r="BN36" s="150">
        <f>B278</f>
        <v>132.90539999999999</v>
      </c>
      <c r="BO36" s="90" t="s">
        <v>296</v>
      </c>
      <c r="BS36" s="100"/>
      <c r="BT36" s="100"/>
      <c r="BU36" s="91"/>
      <c r="BY36" s="94" t="s">
        <v>295</v>
      </c>
      <c r="BZ36" s="150">
        <f>B278</f>
        <v>132.90539999999999</v>
      </c>
      <c r="CA36" s="90" t="s">
        <v>296</v>
      </c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B166</f>
        <v>150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B97</f>
        <v>5</v>
      </c>
      <c r="HF36" s="52" t="s">
        <v>94</v>
      </c>
    </row>
    <row r="37" spans="1:214" ht="12.75" customHeight="1" x14ac:dyDescent="0.2">
      <c r="A37" s="83" t="s">
        <v>236</v>
      </c>
      <c r="B37" s="183">
        <v>2.1999999999999999E-2</v>
      </c>
      <c r="C37" s="52" t="s">
        <v>388</v>
      </c>
      <c r="D37" s="83" t="s">
        <v>394</v>
      </c>
      <c r="E37" s="146">
        <f>B56</f>
        <v>35</v>
      </c>
      <c r="F37" s="52" t="s">
        <v>48</v>
      </c>
      <c r="G37" s="83" t="s">
        <v>406</v>
      </c>
      <c r="H37" s="138">
        <f>B77</f>
        <v>5</v>
      </c>
      <c r="I37" s="52" t="s">
        <v>80</v>
      </c>
      <c r="J37" s="83" t="s">
        <v>408</v>
      </c>
      <c r="K37" s="150">
        <f>B88</f>
        <v>5</v>
      </c>
      <c r="L37" s="84" t="s">
        <v>194</v>
      </c>
      <c r="M37" s="84" t="s">
        <v>293</v>
      </c>
      <c r="N37" s="85">
        <f>B280</f>
        <v>2.7955176153748299E-12</v>
      </c>
      <c r="P37" s="84" t="s">
        <v>293</v>
      </c>
      <c r="Q37" s="85">
        <f>B280</f>
        <v>2.7955176153748299E-12</v>
      </c>
      <c r="V37" s="83" t="s">
        <v>301</v>
      </c>
      <c r="W37" s="142">
        <f>B240</f>
        <v>2</v>
      </c>
      <c r="Y37" s="83" t="s">
        <v>301</v>
      </c>
      <c r="Z37" s="142">
        <f>B260</f>
        <v>2</v>
      </c>
      <c r="AI37" s="84" t="s">
        <v>293</v>
      </c>
      <c r="AJ37" s="85">
        <f>B280</f>
        <v>2.7955176153748299E-12</v>
      </c>
      <c r="AL37" s="84" t="s">
        <v>293</v>
      </c>
      <c r="AM37" s="85">
        <f>B280</f>
        <v>2.7955176153748299E-12</v>
      </c>
      <c r="AR37" s="84" t="s">
        <v>293</v>
      </c>
      <c r="AS37" s="85">
        <f>B280</f>
        <v>2.7955176153748299E-12</v>
      </c>
      <c r="AU37" s="84" t="s">
        <v>293</v>
      </c>
      <c r="AV37" s="85">
        <f>B280</f>
        <v>2.7955176153748299E-12</v>
      </c>
      <c r="BA37" s="84" t="s">
        <v>293</v>
      </c>
      <c r="BB37" s="85">
        <f>B280</f>
        <v>2.7955176153748299E-12</v>
      </c>
      <c r="BD37" s="84" t="s">
        <v>293</v>
      </c>
      <c r="BE37" s="85">
        <f>B280</f>
        <v>2.7955176153748299E-12</v>
      </c>
      <c r="BJ37" s="84" t="s">
        <v>293</v>
      </c>
      <c r="BK37" s="85">
        <f>B280</f>
        <v>2.7955176153748299E-12</v>
      </c>
      <c r="BM37" s="84" t="s">
        <v>293</v>
      </c>
      <c r="BN37" s="85">
        <f>B280</f>
        <v>2.7955176153748299E-12</v>
      </c>
      <c r="BS37" s="91"/>
      <c r="BT37" s="91"/>
      <c r="BU37" s="91"/>
      <c r="BY37" s="84" t="s">
        <v>293</v>
      </c>
      <c r="BZ37" s="85">
        <f>B280</f>
        <v>2.7955176153748299E-12</v>
      </c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15</v>
      </c>
      <c r="CV37" s="84" t="s">
        <v>194</v>
      </c>
      <c r="CZ37" s="92" t="s">
        <v>363</v>
      </c>
      <c r="DA37" s="141">
        <f>B168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2.75" customHeight="1" x14ac:dyDescent="0.2">
      <c r="A38" s="83" t="s">
        <v>237</v>
      </c>
      <c r="B38" s="183">
        <v>2.7</v>
      </c>
      <c r="C38" s="52" t="s">
        <v>388</v>
      </c>
      <c r="D38" s="83" t="s">
        <v>260</v>
      </c>
      <c r="E38" s="152">
        <f>(E33/(E35*E34*E37*E36))*E39*E40*E41</f>
        <v>4.3472482877303141E-8</v>
      </c>
      <c r="F38" s="84" t="s">
        <v>12</v>
      </c>
      <c r="H38" s="138">
        <f>1/1000</f>
        <v>1E-3</v>
      </c>
      <c r="I38" s="52" t="s">
        <v>82</v>
      </c>
      <c r="J38" s="83" t="s">
        <v>409</v>
      </c>
      <c r="K38" s="150">
        <f>B89</f>
        <v>25</v>
      </c>
      <c r="L38" s="84" t="s">
        <v>194</v>
      </c>
      <c r="V38" s="52" t="s">
        <v>261</v>
      </c>
      <c r="W38" s="143">
        <f>((W27)/((W34/24)*W31*W32*W33*W35))*W42*W43*W30</f>
        <v>5.5922175211464808E-11</v>
      </c>
      <c r="X38" s="52" t="s">
        <v>15</v>
      </c>
      <c r="Y38" s="52" t="s">
        <v>261</v>
      </c>
      <c r="Z38" s="143">
        <f>((Z27)/((Z34/24)*Z31*Z32*Z33*Z35))*Z45*Z46*Z30</f>
        <v>5.5922175211464808E-11</v>
      </c>
      <c r="AA38" s="52" t="s">
        <v>15</v>
      </c>
      <c r="AE38" s="352" t="s">
        <v>226</v>
      </c>
      <c r="AF38" s="352"/>
      <c r="AG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5</v>
      </c>
      <c r="CV38" s="84" t="s">
        <v>194</v>
      </c>
      <c r="CZ38" s="92" t="s">
        <v>364</v>
      </c>
      <c r="DA38" s="141">
        <f>B169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B98</f>
        <v>0.18</v>
      </c>
      <c r="HF38" s="52" t="s">
        <v>355</v>
      </c>
    </row>
    <row r="39" spans="1:214" x14ac:dyDescent="0.2">
      <c r="A39" s="83" t="s">
        <v>171</v>
      </c>
      <c r="B39" s="183">
        <v>0.4</v>
      </c>
      <c r="C39" s="52" t="s">
        <v>388</v>
      </c>
      <c r="D39" s="84" t="s">
        <v>295</v>
      </c>
      <c r="E39" s="150">
        <f>B278</f>
        <v>132.90539999999999</v>
      </c>
      <c r="F39" s="52" t="s">
        <v>296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((W27)/((W34/24)*W31*W36*(1/365)))*W42*W43*W30</f>
        <v>3.3032485849977923E-14</v>
      </c>
      <c r="X39" s="52" t="s">
        <v>15</v>
      </c>
      <c r="Y39" s="52" t="s">
        <v>271</v>
      </c>
      <c r="Z39" s="144">
        <f>((Z27)/((Z34/24)*Z31*Z36*(1/365)))*Z45*Z46*Z30</f>
        <v>3.3032485849977923E-14</v>
      </c>
      <c r="AA39" s="52" t="s">
        <v>15</v>
      </c>
      <c r="AE39" s="352"/>
      <c r="AF39" s="352"/>
      <c r="AG39" s="352"/>
      <c r="BK39" s="352" t="s">
        <v>230</v>
      </c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B170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B99</f>
        <v>55</v>
      </c>
      <c r="HF39" s="52" t="s">
        <v>97</v>
      </c>
    </row>
    <row r="40" spans="1:214" ht="15" customHeight="1" x14ac:dyDescent="0.2">
      <c r="A40" s="83" t="s">
        <v>238</v>
      </c>
      <c r="B40" s="183">
        <v>0.2</v>
      </c>
      <c r="C40" s="52" t="s">
        <v>388</v>
      </c>
      <c r="D40" s="84" t="s">
        <v>293</v>
      </c>
      <c r="E40" s="85">
        <f>B280</f>
        <v>2.7955176153748299E-12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((W27*W29*W28)/((W34/24)*(1-EXP(-W29*W32))*W33*W35*W31*W32))*W42*W43*W30</f>
        <v>5.6566957819304004E-11</v>
      </c>
      <c r="X40" s="52" t="s">
        <v>16</v>
      </c>
      <c r="Y40" s="52" t="s">
        <v>261</v>
      </c>
      <c r="Z40" s="144">
        <f>((Z27*Z29*Z28)/((Z34/24)*(1-EXP(-Z29*Z32))*Z33*Z35*Z31*Z32))*Z45*Z46*Z30</f>
        <v>5.6566957819304004E-11</v>
      </c>
      <c r="AA40" s="52" t="s">
        <v>16</v>
      </c>
      <c r="AE40" s="352"/>
      <c r="AF40" s="352"/>
      <c r="AG40" s="352"/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1</v>
      </c>
      <c r="CZ40" s="92" t="s">
        <v>457</v>
      </c>
      <c r="DA40" s="141">
        <f>B177</f>
        <v>5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B100</f>
        <v>5</v>
      </c>
      <c r="HF40" s="52" t="s">
        <v>97</v>
      </c>
    </row>
    <row r="41" spans="1:214" x14ac:dyDescent="0.2">
      <c r="A41" s="52" t="s">
        <v>229</v>
      </c>
      <c r="B41" s="183">
        <v>2.1999999999999999E-2</v>
      </c>
      <c r="C41" s="52" t="s">
        <v>388</v>
      </c>
      <c r="D41" s="91" t="s">
        <v>231</v>
      </c>
      <c r="E41" s="85">
        <f>B30</f>
        <v>30.167100000000001</v>
      </c>
      <c r="F41" s="52" t="s">
        <v>235</v>
      </c>
      <c r="G41" s="83" t="s">
        <v>390</v>
      </c>
      <c r="H41" s="141">
        <f>B78</f>
        <v>0.25</v>
      </c>
      <c r="I41" s="84"/>
      <c r="J41" s="83" t="s">
        <v>302</v>
      </c>
      <c r="K41" s="161">
        <f>B3</f>
        <v>8.5099999999999995E-2</v>
      </c>
      <c r="V41" s="52" t="s">
        <v>271</v>
      </c>
      <c r="W41" s="145">
        <f>((W27*W29*W28)/((W34/24)*(1-EXP(-W29*W28))*W36*W31*(1/365)))*W42*W43*W30</f>
        <v>3.3413350369092571E-14</v>
      </c>
      <c r="X41" s="52" t="s">
        <v>16</v>
      </c>
      <c r="Y41" s="52" t="s">
        <v>271</v>
      </c>
      <c r="Z41" s="145">
        <f>((Z27*Z29*Z28)/((Z34/24)*(1-EXP(-Z29*Z28))*Z36*Z31*(1/365)))*Z45*Z46*Z30</f>
        <v>3.3413350369092571E-14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61">
        <f>B3</f>
        <v>8.5099999999999995E-2</v>
      </c>
      <c r="CZ41" s="92" t="s">
        <v>466</v>
      </c>
      <c r="DA41" s="141">
        <f>B178</f>
        <v>5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B101</f>
        <v>5</v>
      </c>
      <c r="HF41" s="52" t="s">
        <v>97</v>
      </c>
    </row>
    <row r="42" spans="1:214" ht="13.9" customHeight="1" thickBot="1" x14ac:dyDescent="0.25">
      <c r="A42" s="83" t="s">
        <v>228</v>
      </c>
      <c r="B42" s="183">
        <v>2.7</v>
      </c>
      <c r="C42" s="52" t="s">
        <v>388</v>
      </c>
      <c r="G42" s="83"/>
      <c r="H42" s="146">
        <v>365</v>
      </c>
      <c r="I42" s="84" t="s">
        <v>24</v>
      </c>
      <c r="J42" s="83" t="s">
        <v>413</v>
      </c>
      <c r="K42" s="161">
        <f>B4</f>
        <v>0.74199999999999999</v>
      </c>
      <c r="V42" s="84" t="s">
        <v>295</v>
      </c>
      <c r="W42" s="150">
        <f>B278</f>
        <v>132.90539999999999</v>
      </c>
      <c r="X42" s="52" t="s">
        <v>296</v>
      </c>
      <c r="Y42" s="52" t="s">
        <v>220</v>
      </c>
      <c r="Z42" s="138">
        <f>B266</f>
        <v>25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61">
        <f>B4</f>
        <v>0.74199999999999999</v>
      </c>
      <c r="CW42" s="84"/>
      <c r="CX42" s="84"/>
      <c r="CY42" s="84"/>
      <c r="CZ42" s="52" t="s">
        <v>477</v>
      </c>
      <c r="DA42" s="141">
        <f>B179</f>
        <v>0.25</v>
      </c>
      <c r="DB42" s="92" t="s">
        <v>358</v>
      </c>
      <c r="DW42" s="88"/>
      <c r="DX42" s="88"/>
      <c r="DY42" s="88"/>
      <c r="DZ42" s="88"/>
      <c r="HD42" s="52" t="s">
        <v>225</v>
      </c>
      <c r="HE42" s="136">
        <f>1+((HE35*HE36*HE37)/(HE38*HE39))</f>
        <v>3.1605966718331597</v>
      </c>
    </row>
    <row r="43" spans="1:214" ht="13.15" customHeight="1" thickTop="1" thickBot="1" x14ac:dyDescent="0.25">
      <c r="A43" s="84" t="s">
        <v>32</v>
      </c>
      <c r="B43" s="183">
        <f>0.02523</f>
        <v>2.5229999999999999E-2</v>
      </c>
      <c r="D43" s="353" t="s">
        <v>529</v>
      </c>
      <c r="E43" s="354"/>
      <c r="F43" s="355"/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V43" s="84" t="s">
        <v>293</v>
      </c>
      <c r="W43" s="85">
        <f>B279</f>
        <v>2.8000000000000001E-15</v>
      </c>
      <c r="Y43" s="52" t="s">
        <v>219</v>
      </c>
      <c r="Z43" s="138">
        <f>B265</f>
        <v>3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B180</f>
        <v>0.85</v>
      </c>
      <c r="DB43" s="92" t="s">
        <v>358</v>
      </c>
      <c r="DW43" s="88"/>
      <c r="DX43" s="88"/>
      <c r="DY43" s="88"/>
      <c r="DZ43" s="88"/>
    </row>
    <row r="44" spans="1:214" x14ac:dyDescent="0.2">
      <c r="A44" s="52" t="s">
        <v>33</v>
      </c>
      <c r="B44" s="183">
        <v>2.9000000000000001E-2</v>
      </c>
      <c r="D44" s="323" t="s">
        <v>530</v>
      </c>
      <c r="E44" s="347">
        <f>E54</f>
        <v>1.7416874984009415E-11</v>
      </c>
      <c r="F44" s="345" t="s">
        <v>13</v>
      </c>
      <c r="G44" s="52" t="s">
        <v>19</v>
      </c>
      <c r="H44" s="136">
        <f>H46</f>
        <v>2.5229999999999999E-2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2.75" customHeight="1" thickBot="1" x14ac:dyDescent="0.25">
      <c r="A45" s="83" t="s">
        <v>156</v>
      </c>
      <c r="B45" s="182">
        <v>10</v>
      </c>
      <c r="C45" s="83" t="s">
        <v>18</v>
      </c>
      <c r="D45" s="324"/>
      <c r="E45" s="348"/>
      <c r="F45" s="346"/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Y45" s="84" t="s">
        <v>295</v>
      </c>
      <c r="Z45" s="150">
        <f>B278</f>
        <v>132.90539999999999</v>
      </c>
      <c r="AA45" s="52" t="s">
        <v>296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B181</f>
        <v>0.5</v>
      </c>
      <c r="DB45" s="92" t="s">
        <v>145</v>
      </c>
      <c r="DW45" s="88"/>
      <c r="DX45" s="88"/>
      <c r="DY45" s="88"/>
      <c r="DZ45" s="88"/>
    </row>
    <row r="46" spans="1:214" ht="13.5" customHeight="1" thickTop="1" x14ac:dyDescent="0.2">
      <c r="A46" s="84" t="s">
        <v>21</v>
      </c>
      <c r="B46" s="188">
        <f>200*B278*B279*B30</f>
        <v>2.2452474757104E-9</v>
      </c>
      <c r="C46" s="52" t="s">
        <v>13</v>
      </c>
      <c r="D46" s="83" t="s">
        <v>267</v>
      </c>
      <c r="E46" s="136">
        <f>B17</f>
        <v>1</v>
      </c>
      <c r="F46" s="52" t="s">
        <v>344</v>
      </c>
      <c r="G46" s="84" t="s">
        <v>32</v>
      </c>
      <c r="H46" s="139">
        <f>B43</f>
        <v>2.5229999999999999E-2</v>
      </c>
      <c r="K46" s="146">
        <v>1000</v>
      </c>
      <c r="L46" s="52" t="s">
        <v>23</v>
      </c>
      <c r="Y46" s="84" t="s">
        <v>293</v>
      </c>
      <c r="Z46" s="85">
        <f>B279</f>
        <v>2.8000000000000001E-15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52" t="s">
        <v>393</v>
      </c>
      <c r="B47" s="131">
        <v>0.26</v>
      </c>
      <c r="D47" s="83" t="s">
        <v>382</v>
      </c>
      <c r="E47" s="150">
        <f>B68</f>
        <v>150</v>
      </c>
      <c r="F47" s="83" t="s">
        <v>24</v>
      </c>
      <c r="G47" s="83" t="s">
        <v>393</v>
      </c>
      <c r="H47" s="142">
        <f>B47</f>
        <v>0.26</v>
      </c>
      <c r="J47" s="52" t="s">
        <v>19</v>
      </c>
      <c r="K47" s="136">
        <f>K49</f>
        <v>2.5229999999999999E-2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B163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52" t="s">
        <v>392</v>
      </c>
      <c r="B48" s="131">
        <v>0.25</v>
      </c>
      <c r="D48" s="83" t="s">
        <v>258</v>
      </c>
      <c r="E48" s="136">
        <f>B29</f>
        <v>4.9109405245458101E-5</v>
      </c>
      <c r="F48" s="83" t="s">
        <v>87</v>
      </c>
      <c r="G48" s="52" t="s">
        <v>17</v>
      </c>
      <c r="H48" s="137">
        <f>((H51*H52*H53)*((1-EXP(-H54*H55))))/(H56*H54)</f>
        <v>0.66271991443607436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B164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381" t="s">
        <v>2</v>
      </c>
      <c r="B49" s="382"/>
      <c r="C49" s="383"/>
      <c r="D49" s="83" t="s">
        <v>379</v>
      </c>
      <c r="E49" s="146">
        <f>B65</f>
        <v>1</v>
      </c>
      <c r="F49" s="52" t="s">
        <v>60</v>
      </c>
      <c r="G49" s="52" t="s">
        <v>25</v>
      </c>
      <c r="H49" s="137">
        <f>(H51*H52*H57*((1-EXP(-H54*H55))))/(H56*H54)</f>
        <v>6.8294561138874093</v>
      </c>
      <c r="I49" s="52" t="s">
        <v>18</v>
      </c>
      <c r="J49" s="84" t="s">
        <v>32</v>
      </c>
      <c r="K49" s="139">
        <f>B43</f>
        <v>2.5229999999999999E-2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T49" s="94" t="s">
        <v>295</v>
      </c>
      <c r="CU49" s="150">
        <f>B278</f>
        <v>132.90539999999999</v>
      </c>
      <c r="CV49" s="90" t="s">
        <v>296</v>
      </c>
      <c r="CZ49" s="83" t="s">
        <v>475</v>
      </c>
      <c r="DA49" s="146">
        <f>B163</f>
        <v>0.15</v>
      </c>
      <c r="DW49" s="88"/>
      <c r="DX49" s="88"/>
      <c r="DY49" s="88"/>
      <c r="DZ49" s="88"/>
    </row>
    <row r="50" spans="1:130" x14ac:dyDescent="0.2">
      <c r="A50" s="83" t="s">
        <v>366</v>
      </c>
      <c r="B50" s="130">
        <v>5</v>
      </c>
      <c r="C50" s="92" t="s">
        <v>407</v>
      </c>
      <c r="D50" s="83" t="s">
        <v>394</v>
      </c>
      <c r="E50" s="146">
        <f>B56</f>
        <v>35</v>
      </c>
      <c r="F50" s="52" t="s">
        <v>48</v>
      </c>
      <c r="G50" s="52" t="s">
        <v>31</v>
      </c>
      <c r="H50" s="137">
        <f>(H51*H52*H58*H64*((1-EXP(-H59*H60))))/(H61*H59)</f>
        <v>3.6385364930662121</v>
      </c>
      <c r="I50" s="52" t="s">
        <v>18</v>
      </c>
      <c r="J50" s="83" t="s">
        <v>393</v>
      </c>
      <c r="K50" s="142">
        <f>B47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T50" s="84" t="s">
        <v>293</v>
      </c>
      <c r="CU50" s="85">
        <f>B280</f>
        <v>2.7955176153748299E-12</v>
      </c>
      <c r="CZ50" s="83" t="s">
        <v>476</v>
      </c>
      <c r="DA50" s="146">
        <f>B164</f>
        <v>0.85</v>
      </c>
      <c r="DW50" s="88"/>
      <c r="DX50" s="88"/>
      <c r="DY50" s="88"/>
      <c r="DZ50" s="88"/>
    </row>
    <row r="51" spans="1:130" x14ac:dyDescent="0.2">
      <c r="A51" s="83" t="s">
        <v>367</v>
      </c>
      <c r="B51" s="130">
        <v>10</v>
      </c>
      <c r="C51" s="92" t="s">
        <v>407</v>
      </c>
      <c r="D51" s="83"/>
      <c r="E51" s="150">
        <v>1000</v>
      </c>
      <c r="F51" s="84" t="s">
        <v>99</v>
      </c>
      <c r="G51" s="83" t="s">
        <v>36</v>
      </c>
      <c r="H51" s="138">
        <f>B79</f>
        <v>3.62</v>
      </c>
      <c r="I51" s="52" t="s">
        <v>37</v>
      </c>
      <c r="J51" s="83" t="s">
        <v>376</v>
      </c>
      <c r="K51" s="146">
        <f>B61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CZ51" s="94" t="s">
        <v>295</v>
      </c>
      <c r="DA51" s="150">
        <f>B278</f>
        <v>132.90539999999999</v>
      </c>
      <c r="DB51" s="90" t="s">
        <v>296</v>
      </c>
      <c r="DW51" s="88"/>
      <c r="DX51" s="88"/>
      <c r="DY51" s="88"/>
      <c r="DZ51" s="88"/>
    </row>
    <row r="52" spans="1:130" x14ac:dyDescent="0.2">
      <c r="A52" s="83" t="s">
        <v>368</v>
      </c>
      <c r="B52" s="130">
        <v>100</v>
      </c>
      <c r="C52" s="84" t="s">
        <v>48</v>
      </c>
      <c r="D52" s="83" t="s">
        <v>105</v>
      </c>
      <c r="E52" s="150">
        <f>B35</f>
        <v>2500</v>
      </c>
      <c r="F52" s="84" t="s">
        <v>18</v>
      </c>
      <c r="G52" s="83" t="s">
        <v>40</v>
      </c>
      <c r="H52" s="138">
        <f>B80</f>
        <v>0.25</v>
      </c>
      <c r="I52" s="52" t="s">
        <v>41</v>
      </c>
      <c r="J52" s="83" t="s">
        <v>377</v>
      </c>
      <c r="K52" s="146">
        <f>B62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CZ52" s="84" t="s">
        <v>293</v>
      </c>
      <c r="DA52" s="85">
        <f>B279</f>
        <v>2.8000000000000001E-15</v>
      </c>
      <c r="DW52" s="88"/>
      <c r="DX52" s="88"/>
      <c r="DY52" s="88"/>
      <c r="DZ52" s="88"/>
    </row>
    <row r="53" spans="1:130" x14ac:dyDescent="0.2">
      <c r="A53" s="83" t="s">
        <v>369</v>
      </c>
      <c r="B53" s="130">
        <v>50</v>
      </c>
      <c r="C53" s="84" t="s">
        <v>48</v>
      </c>
      <c r="D53" s="83" t="s">
        <v>107</v>
      </c>
      <c r="E53" s="138">
        <f>B74</f>
        <v>1</v>
      </c>
      <c r="F53" s="84" t="s">
        <v>108</v>
      </c>
      <c r="G53" s="92" t="s">
        <v>32</v>
      </c>
      <c r="H53" s="136">
        <f>B43</f>
        <v>2.5229999999999999E-2</v>
      </c>
      <c r="J53" s="84" t="s">
        <v>295</v>
      </c>
      <c r="K53" s="150">
        <f>B278</f>
        <v>132.90539999999999</v>
      </c>
      <c r="L53" s="52" t="s">
        <v>296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83" t="s">
        <v>370</v>
      </c>
      <c r="B54" s="130">
        <v>0.25</v>
      </c>
      <c r="C54" s="83" t="s">
        <v>28</v>
      </c>
      <c r="D54" s="83" t="s">
        <v>260</v>
      </c>
      <c r="E54" s="152">
        <f>(E46/(E48*E47*E49*E50*E52*E53*(1/E51)))*E55*E56*E57</f>
        <v>1.7416874984009415E-11</v>
      </c>
      <c r="F54" s="52" t="s">
        <v>13</v>
      </c>
      <c r="G54" s="92" t="s">
        <v>49</v>
      </c>
      <c r="H54" s="137">
        <f>H62+H63</f>
        <v>8.993711152170084E-5</v>
      </c>
      <c r="J54" s="84" t="s">
        <v>293</v>
      </c>
      <c r="K54" s="85">
        <f>B280</f>
        <v>2.7955176153748299E-12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83" t="s">
        <v>371</v>
      </c>
      <c r="B55" s="130">
        <v>1.5</v>
      </c>
      <c r="C55" s="52" t="s">
        <v>28</v>
      </c>
      <c r="D55" s="84" t="s">
        <v>295</v>
      </c>
      <c r="E55" s="150">
        <f>B278</f>
        <v>132.90539999999999</v>
      </c>
      <c r="F55" s="52" t="s">
        <v>296</v>
      </c>
      <c r="G55" s="92" t="s">
        <v>52</v>
      </c>
      <c r="H55" s="138">
        <f>B81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83" t="s">
        <v>310</v>
      </c>
      <c r="B56" s="130">
        <v>35</v>
      </c>
      <c r="C56" s="52" t="s">
        <v>48</v>
      </c>
      <c r="D56" s="84" t="s">
        <v>293</v>
      </c>
      <c r="E56" s="85">
        <f>B279</f>
        <v>2.8000000000000001E-15</v>
      </c>
      <c r="G56" s="92" t="s">
        <v>55</v>
      </c>
      <c r="H56" s="138">
        <f>B82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83" t="s">
        <v>372</v>
      </c>
      <c r="B57" s="130">
        <v>55</v>
      </c>
      <c r="C57" s="92" t="s">
        <v>221</v>
      </c>
      <c r="D57" s="91" t="s">
        <v>231</v>
      </c>
      <c r="E57" s="85">
        <f>B30</f>
        <v>30.167100000000001</v>
      </c>
      <c r="F57" s="52" t="s">
        <v>235</v>
      </c>
      <c r="G57" s="92" t="s">
        <v>393</v>
      </c>
      <c r="H57" s="138">
        <f>B47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83" t="s">
        <v>373</v>
      </c>
      <c r="B58" s="130">
        <v>55</v>
      </c>
      <c r="C58" s="92" t="s">
        <v>221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83" t="s">
        <v>374</v>
      </c>
      <c r="B59" s="130">
        <v>55</v>
      </c>
      <c r="C59" s="92" t="s">
        <v>221</v>
      </c>
      <c r="G59" s="92" t="s">
        <v>63</v>
      </c>
      <c r="H59" s="151">
        <f>H63+(0.693/H65)</f>
        <v>4.9562937111521696E-2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83" t="s">
        <v>375</v>
      </c>
      <c r="B60" s="130">
        <v>55</v>
      </c>
      <c r="C60" s="92" t="s">
        <v>221</v>
      </c>
      <c r="G60" s="92" t="s">
        <v>67</v>
      </c>
      <c r="H60" s="142">
        <f>B83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83" t="s">
        <v>376</v>
      </c>
      <c r="B61" s="130">
        <v>0.23</v>
      </c>
      <c r="G61" s="92" t="s">
        <v>68</v>
      </c>
      <c r="H61" s="142">
        <f>B84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83" t="s">
        <v>377</v>
      </c>
      <c r="B62" s="130">
        <v>0.77</v>
      </c>
      <c r="G62" s="92" t="s">
        <v>70</v>
      </c>
      <c r="H62" s="138">
        <f>B85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378</v>
      </c>
      <c r="B63" s="131">
        <v>1</v>
      </c>
      <c r="C63" s="52" t="s">
        <v>60</v>
      </c>
      <c r="G63" s="92" t="s">
        <v>71</v>
      </c>
      <c r="H63" s="137">
        <f>0.693/H67</f>
        <v>6.2937111521700834E-5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52" t="s">
        <v>448</v>
      </c>
      <c r="B64" s="131">
        <v>1</v>
      </c>
      <c r="C64" s="52" t="s">
        <v>60</v>
      </c>
      <c r="G64" s="92" t="s">
        <v>73</v>
      </c>
      <c r="H64" s="138">
        <f>B86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379</v>
      </c>
      <c r="B65" s="131">
        <v>1</v>
      </c>
      <c r="C65" s="52" t="s">
        <v>60</v>
      </c>
      <c r="G65" s="92" t="s">
        <v>74</v>
      </c>
      <c r="H65" s="138">
        <f>B87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380</v>
      </c>
      <c r="B66" s="131">
        <v>150</v>
      </c>
      <c r="C66" s="83" t="s">
        <v>24</v>
      </c>
      <c r="G66" s="52" t="s">
        <v>33</v>
      </c>
      <c r="H66" s="136">
        <f>B44</f>
        <v>2.9000000000000001E-2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381</v>
      </c>
      <c r="B67" s="131">
        <v>150</v>
      </c>
      <c r="C67" s="83" t="s">
        <v>24</v>
      </c>
      <c r="G67" s="83" t="s">
        <v>234</v>
      </c>
      <c r="H67" s="136">
        <f>B34</f>
        <v>11010.9915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382</v>
      </c>
      <c r="B68" s="131">
        <v>150</v>
      </c>
      <c r="C68" s="83" t="s">
        <v>24</v>
      </c>
      <c r="G68" s="83" t="s">
        <v>376</v>
      </c>
      <c r="H68" s="146">
        <f>B61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52" t="s">
        <v>403</v>
      </c>
      <c r="B69" s="131">
        <v>0.25</v>
      </c>
      <c r="C69" s="52" t="s">
        <v>89</v>
      </c>
      <c r="G69" s="83" t="s">
        <v>377</v>
      </c>
      <c r="H69" s="146">
        <f>B62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52" t="s">
        <v>404</v>
      </c>
      <c r="B70" s="131">
        <v>0.75</v>
      </c>
      <c r="C70" s="52" t="s">
        <v>89</v>
      </c>
      <c r="G70" s="84" t="s">
        <v>295</v>
      </c>
      <c r="H70" s="150">
        <f>B278</f>
        <v>132.90539999999999</v>
      </c>
      <c r="I70" s="52" t="s">
        <v>296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52" t="s">
        <v>385</v>
      </c>
      <c r="B71" s="131">
        <v>24</v>
      </c>
      <c r="C71" s="52" t="s">
        <v>194</v>
      </c>
      <c r="G71" s="84" t="s">
        <v>293</v>
      </c>
      <c r="H71" s="85">
        <f>B279</f>
        <v>2.8000000000000001E-15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52" t="s">
        <v>318</v>
      </c>
      <c r="B72" s="131">
        <v>2</v>
      </c>
      <c r="G72" s="52" t="s">
        <v>293</v>
      </c>
      <c r="H72" s="85">
        <f>B280</f>
        <v>2.7955176153748299E-12</v>
      </c>
      <c r="AF72" s="109"/>
      <c r="AG72" s="106"/>
      <c r="AH72" s="106"/>
      <c r="AI72" s="106"/>
      <c r="AJ72" s="106"/>
      <c r="AK72" s="106"/>
    </row>
    <row r="73" spans="1:105" x14ac:dyDescent="0.2">
      <c r="A73" s="52" t="s">
        <v>303</v>
      </c>
      <c r="B73" s="131">
        <v>1</v>
      </c>
      <c r="G73" s="91" t="s">
        <v>231</v>
      </c>
      <c r="H73" s="85">
        <f>B30</f>
        <v>30.167100000000001</v>
      </c>
      <c r="I73" s="52" t="s">
        <v>235</v>
      </c>
      <c r="AF73" s="109"/>
      <c r="AG73" s="106"/>
      <c r="AH73" s="106"/>
      <c r="AI73" s="106"/>
      <c r="AJ73" s="106"/>
      <c r="AK73" s="106"/>
    </row>
    <row r="74" spans="1:105" x14ac:dyDescent="0.2">
      <c r="A74" s="83" t="s">
        <v>107</v>
      </c>
      <c r="B74" s="131">
        <v>1</v>
      </c>
      <c r="C74" s="84" t="s">
        <v>108</v>
      </c>
      <c r="AF74" s="109"/>
      <c r="AG74" s="106"/>
      <c r="AH74" s="106"/>
      <c r="AI74" s="106"/>
      <c r="AJ74" s="106"/>
      <c r="AK74" s="106"/>
    </row>
    <row r="75" spans="1:105" x14ac:dyDescent="0.2">
      <c r="A75" s="52" t="s">
        <v>65</v>
      </c>
      <c r="B75" s="131">
        <v>0.5</v>
      </c>
      <c r="C75" s="52" t="s">
        <v>66</v>
      </c>
      <c r="AF75" s="108"/>
      <c r="AG75" s="106"/>
      <c r="AH75" s="106"/>
      <c r="AI75" s="106"/>
      <c r="AJ75" s="106"/>
      <c r="AK75" s="106"/>
    </row>
    <row r="76" spans="1:105" x14ac:dyDescent="0.2">
      <c r="A76" s="52" t="s">
        <v>79</v>
      </c>
      <c r="B76" s="131">
        <v>5</v>
      </c>
      <c r="C76" s="52" t="s">
        <v>80</v>
      </c>
      <c r="AF76" s="109"/>
      <c r="AG76" s="106"/>
      <c r="AH76" s="106"/>
      <c r="AI76" s="106"/>
      <c r="AJ76" s="106"/>
      <c r="AK76" s="106"/>
    </row>
    <row r="77" spans="1:105" x14ac:dyDescent="0.2">
      <c r="A77" s="52" t="s">
        <v>81</v>
      </c>
      <c r="B77" s="131">
        <v>5</v>
      </c>
      <c r="C77" s="52" t="s">
        <v>80</v>
      </c>
      <c r="AF77" s="109"/>
      <c r="AG77" s="106"/>
      <c r="AH77" s="106"/>
      <c r="AI77" s="106"/>
      <c r="AJ77" s="106"/>
      <c r="AK77" s="106"/>
    </row>
    <row r="78" spans="1:105" ht="12.75" customHeight="1" x14ac:dyDescent="0.2">
      <c r="A78" s="52" t="s">
        <v>390</v>
      </c>
      <c r="B78" s="131">
        <v>0.25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36</v>
      </c>
      <c r="B79" s="131">
        <v>3.62</v>
      </c>
      <c r="C79" s="52" t="s">
        <v>37</v>
      </c>
      <c r="AF79" s="109"/>
      <c r="AG79" s="106"/>
    </row>
    <row r="80" spans="1:105" x14ac:dyDescent="0.2">
      <c r="A80" s="83" t="s">
        <v>40</v>
      </c>
      <c r="B80" s="131">
        <v>0.25</v>
      </c>
      <c r="C80" s="52" t="s">
        <v>41</v>
      </c>
      <c r="AF80" s="109"/>
      <c r="AG80" s="106"/>
      <c r="AH80" s="106"/>
      <c r="AI80" s="106"/>
      <c r="AJ80" s="106"/>
      <c r="AK80" s="106"/>
    </row>
    <row r="81" spans="1:37" x14ac:dyDescent="0.2">
      <c r="A81" s="92" t="s">
        <v>52</v>
      </c>
      <c r="B81" s="131">
        <v>10950</v>
      </c>
      <c r="C81" s="52" t="s">
        <v>53</v>
      </c>
      <c r="AF81" s="109"/>
      <c r="AG81" s="106"/>
      <c r="AH81" s="106"/>
      <c r="AI81" s="106"/>
      <c r="AJ81" s="106"/>
      <c r="AK81" s="106"/>
    </row>
    <row r="82" spans="1:37" x14ac:dyDescent="0.2">
      <c r="A82" s="92" t="s">
        <v>55</v>
      </c>
      <c r="B82" s="131">
        <v>240</v>
      </c>
      <c r="C82" s="52" t="s">
        <v>56</v>
      </c>
      <c r="AF82" s="109"/>
      <c r="AG82" s="106"/>
      <c r="AH82" s="106"/>
      <c r="AI82" s="106"/>
      <c r="AJ82" s="106"/>
      <c r="AK82" s="106"/>
    </row>
    <row r="83" spans="1:37" x14ac:dyDescent="0.2">
      <c r="A83" s="92" t="s">
        <v>67</v>
      </c>
      <c r="B83" s="131">
        <v>60</v>
      </c>
      <c r="C83" s="83" t="s">
        <v>53</v>
      </c>
      <c r="AF83" s="109"/>
      <c r="AG83" s="106"/>
      <c r="AH83" s="106"/>
      <c r="AI83" s="106"/>
      <c r="AJ83" s="106"/>
      <c r="AK83" s="106"/>
    </row>
    <row r="84" spans="1:37" x14ac:dyDescent="0.2">
      <c r="A84" s="92" t="s">
        <v>68</v>
      </c>
      <c r="B84" s="131">
        <v>2</v>
      </c>
      <c r="C84" s="83" t="s">
        <v>56</v>
      </c>
      <c r="AF84" s="108"/>
      <c r="AG84" s="106"/>
    </row>
    <row r="85" spans="1:37" x14ac:dyDescent="0.2">
      <c r="A85" s="92" t="s">
        <v>70</v>
      </c>
      <c r="B85" s="131">
        <v>2.6999999999999999E-5</v>
      </c>
      <c r="C85" s="52" t="s">
        <v>64</v>
      </c>
      <c r="AF85" s="108"/>
      <c r="AG85" s="106"/>
      <c r="AH85" s="106"/>
      <c r="AI85" s="106"/>
      <c r="AJ85" s="106"/>
      <c r="AK85" s="106"/>
    </row>
    <row r="86" spans="1:37" x14ac:dyDescent="0.2">
      <c r="A86" s="92" t="s">
        <v>73</v>
      </c>
      <c r="B86" s="131">
        <v>1</v>
      </c>
      <c r="C86" s="52" t="s">
        <v>41</v>
      </c>
      <c r="AF86" s="108"/>
      <c r="AG86" s="106"/>
    </row>
    <row r="87" spans="1:37" x14ac:dyDescent="0.2">
      <c r="A87" s="92" t="s">
        <v>74</v>
      </c>
      <c r="B87" s="131">
        <v>14</v>
      </c>
      <c r="C87" s="52" t="s">
        <v>75</v>
      </c>
      <c r="AH87" s="108"/>
      <c r="AI87" s="108"/>
      <c r="AJ87" s="108"/>
      <c r="AK87" s="108"/>
    </row>
    <row r="88" spans="1:37" x14ac:dyDescent="0.2">
      <c r="A88" s="83" t="s">
        <v>408</v>
      </c>
      <c r="B88" s="130">
        <v>5</v>
      </c>
      <c r="C88" s="84" t="s">
        <v>194</v>
      </c>
    </row>
    <row r="89" spans="1:37" x14ac:dyDescent="0.2">
      <c r="A89" s="83" t="s">
        <v>409</v>
      </c>
      <c r="B89" s="130">
        <v>25</v>
      </c>
      <c r="C89" s="84" t="s">
        <v>194</v>
      </c>
    </row>
    <row r="90" spans="1:37" x14ac:dyDescent="0.2">
      <c r="A90" s="83" t="s">
        <v>389</v>
      </c>
      <c r="B90" s="130">
        <v>1</v>
      </c>
      <c r="C90" s="84"/>
    </row>
    <row r="91" spans="1:37" x14ac:dyDescent="0.2">
      <c r="A91" s="385" t="s">
        <v>387</v>
      </c>
      <c r="B91" s="385"/>
      <c r="C91" s="385"/>
    </row>
    <row r="92" spans="1:37" x14ac:dyDescent="0.2">
      <c r="A92" s="52" t="s">
        <v>34</v>
      </c>
      <c r="B92" s="131">
        <v>70</v>
      </c>
      <c r="C92" s="52" t="s">
        <v>60</v>
      </c>
    </row>
    <row r="93" spans="1:37" x14ac:dyDescent="0.2">
      <c r="A93" s="84" t="s">
        <v>38</v>
      </c>
      <c r="B93" s="131">
        <v>0.3</v>
      </c>
      <c r="C93" s="52" t="s">
        <v>391</v>
      </c>
    </row>
    <row r="94" spans="1:37" x14ac:dyDescent="0.2">
      <c r="A94" s="84" t="s">
        <v>42</v>
      </c>
      <c r="B94" s="130">
        <v>1.5</v>
      </c>
      <c r="C94" s="52" t="s">
        <v>286</v>
      </c>
    </row>
    <row r="95" spans="1:37" x14ac:dyDescent="0.2">
      <c r="A95" s="84" t="s">
        <v>47</v>
      </c>
      <c r="B95" s="131">
        <v>1</v>
      </c>
      <c r="C95" s="52" t="s">
        <v>60</v>
      </c>
    </row>
    <row r="96" spans="1:37" x14ac:dyDescent="0.2">
      <c r="A96" s="84" t="s">
        <v>225</v>
      </c>
      <c r="B96" s="130">
        <v>1</v>
      </c>
    </row>
    <row r="97" spans="1:3" x14ac:dyDescent="0.2">
      <c r="A97" s="52" t="s">
        <v>93</v>
      </c>
      <c r="B97" s="130">
        <v>5</v>
      </c>
      <c r="C97" s="52" t="s">
        <v>94</v>
      </c>
    </row>
    <row r="98" spans="1:3" x14ac:dyDescent="0.2">
      <c r="A98" s="52" t="s">
        <v>98</v>
      </c>
      <c r="B98" s="130">
        <v>0.18</v>
      </c>
      <c r="C98" s="52" t="s">
        <v>355</v>
      </c>
    </row>
    <row r="99" spans="1:3" x14ac:dyDescent="0.2">
      <c r="A99" s="52" t="s">
        <v>100</v>
      </c>
      <c r="B99" s="130">
        <v>55</v>
      </c>
      <c r="C99" s="52" t="s">
        <v>97</v>
      </c>
    </row>
    <row r="100" spans="1:3" x14ac:dyDescent="0.2">
      <c r="A100" s="52" t="s">
        <v>101</v>
      </c>
      <c r="B100" s="130">
        <v>5</v>
      </c>
      <c r="C100" s="52" t="s">
        <v>97</v>
      </c>
    </row>
    <row r="101" spans="1:3" x14ac:dyDescent="0.2">
      <c r="A101" s="52" t="s">
        <v>102</v>
      </c>
      <c r="B101" s="130">
        <v>5</v>
      </c>
      <c r="C101" s="52" t="s">
        <v>97</v>
      </c>
    </row>
    <row r="102" spans="1:3" x14ac:dyDescent="0.2">
      <c r="A102" s="384" t="s">
        <v>5</v>
      </c>
      <c r="B102" s="384"/>
      <c r="C102" s="384"/>
    </row>
    <row r="103" spans="1:3" x14ac:dyDescent="0.2">
      <c r="A103" s="83" t="s">
        <v>429</v>
      </c>
      <c r="B103" s="131">
        <v>5</v>
      </c>
      <c r="C103" s="92" t="s">
        <v>407</v>
      </c>
    </row>
    <row r="104" spans="1:3" x14ac:dyDescent="0.2">
      <c r="A104" s="83" t="s">
        <v>430</v>
      </c>
      <c r="B104" s="131">
        <v>10</v>
      </c>
      <c r="C104" s="92" t="s">
        <v>407</v>
      </c>
    </row>
    <row r="105" spans="1:3" x14ac:dyDescent="0.2">
      <c r="A105" s="83" t="s">
        <v>439</v>
      </c>
      <c r="B105" s="130">
        <v>2</v>
      </c>
      <c r="C105" s="83" t="s">
        <v>357</v>
      </c>
    </row>
    <row r="106" spans="1:3" x14ac:dyDescent="0.2">
      <c r="A106" s="83" t="s">
        <v>438</v>
      </c>
      <c r="B106" s="130">
        <v>2</v>
      </c>
      <c r="C106" s="83" t="s">
        <v>357</v>
      </c>
    </row>
    <row r="107" spans="1:3" x14ac:dyDescent="0.2">
      <c r="A107" s="83" t="s">
        <v>441</v>
      </c>
      <c r="B107" s="131">
        <v>100</v>
      </c>
      <c r="C107" s="84" t="s">
        <v>48</v>
      </c>
    </row>
    <row r="108" spans="1:3" x14ac:dyDescent="0.2">
      <c r="A108" s="83" t="s">
        <v>442</v>
      </c>
      <c r="B108" s="131">
        <v>50</v>
      </c>
      <c r="C108" s="84" t="s">
        <v>48</v>
      </c>
    </row>
    <row r="109" spans="1:3" x14ac:dyDescent="0.2">
      <c r="A109" s="52" t="s">
        <v>159</v>
      </c>
      <c r="B109" s="131">
        <v>3</v>
      </c>
      <c r="C109" s="52" t="s">
        <v>221</v>
      </c>
    </row>
    <row r="110" spans="1:3" x14ac:dyDescent="0.2">
      <c r="A110" s="52" t="s">
        <v>160</v>
      </c>
      <c r="B110" s="131">
        <v>3</v>
      </c>
      <c r="C110" s="52" t="s">
        <v>221</v>
      </c>
    </row>
    <row r="111" spans="1:3" x14ac:dyDescent="0.2">
      <c r="A111" s="83" t="s">
        <v>308</v>
      </c>
      <c r="B111" s="130">
        <v>0.23</v>
      </c>
    </row>
    <row r="112" spans="1:3" x14ac:dyDescent="0.2">
      <c r="A112" s="83" t="s">
        <v>309</v>
      </c>
      <c r="B112" s="130">
        <v>0.77</v>
      </c>
    </row>
    <row r="113" spans="1:3" x14ac:dyDescent="0.2">
      <c r="A113" s="52" t="s">
        <v>140</v>
      </c>
      <c r="B113" s="131">
        <v>55</v>
      </c>
      <c r="C113" s="52" t="s">
        <v>24</v>
      </c>
    </row>
    <row r="114" spans="1:3" x14ac:dyDescent="0.2">
      <c r="A114" s="52" t="s">
        <v>433</v>
      </c>
      <c r="B114" s="131">
        <v>55</v>
      </c>
      <c r="C114" s="52" t="s">
        <v>24</v>
      </c>
    </row>
    <row r="115" spans="1:3" x14ac:dyDescent="0.2">
      <c r="A115" s="52" t="s">
        <v>434</v>
      </c>
      <c r="B115" s="131">
        <v>55</v>
      </c>
      <c r="C115" s="52" t="s">
        <v>24</v>
      </c>
    </row>
    <row r="116" spans="1:3" x14ac:dyDescent="0.2">
      <c r="A116" s="52" t="s">
        <v>431</v>
      </c>
      <c r="B116" s="130">
        <v>5</v>
      </c>
      <c r="C116" s="52" t="s">
        <v>194</v>
      </c>
    </row>
    <row r="117" spans="1:3" x14ac:dyDescent="0.2">
      <c r="A117" s="52" t="s">
        <v>432</v>
      </c>
      <c r="B117" s="130">
        <v>5</v>
      </c>
      <c r="C117" s="52" t="s">
        <v>194</v>
      </c>
    </row>
    <row r="118" spans="1:3" x14ac:dyDescent="0.2">
      <c r="A118" s="52" t="s">
        <v>90</v>
      </c>
      <c r="B118" s="131">
        <v>5</v>
      </c>
      <c r="C118" s="52" t="s">
        <v>194</v>
      </c>
    </row>
    <row r="119" spans="1:3" x14ac:dyDescent="0.2">
      <c r="A119" s="52" t="s">
        <v>443</v>
      </c>
      <c r="B119" s="131">
        <v>5</v>
      </c>
      <c r="C119" s="52" t="s">
        <v>89</v>
      </c>
    </row>
    <row r="120" spans="1:3" x14ac:dyDescent="0.2">
      <c r="A120" s="52" t="s">
        <v>444</v>
      </c>
      <c r="B120" s="131">
        <v>5</v>
      </c>
      <c r="C120" s="52" t="s">
        <v>89</v>
      </c>
    </row>
    <row r="121" spans="1:3" x14ac:dyDescent="0.2">
      <c r="A121" s="83" t="s">
        <v>301</v>
      </c>
      <c r="B121" s="131">
        <v>2</v>
      </c>
    </row>
    <row r="122" spans="1:3" x14ac:dyDescent="0.2">
      <c r="A122" s="83" t="s">
        <v>433</v>
      </c>
      <c r="B122" s="130">
        <v>55</v>
      </c>
      <c r="C122" s="83" t="s">
        <v>24</v>
      </c>
    </row>
    <row r="123" spans="1:3" x14ac:dyDescent="0.2">
      <c r="A123" s="83" t="s">
        <v>434</v>
      </c>
      <c r="B123" s="130">
        <v>55</v>
      </c>
      <c r="C123" s="83" t="s">
        <v>24</v>
      </c>
    </row>
    <row r="124" spans="1:3" x14ac:dyDescent="0.2">
      <c r="A124" s="83" t="s">
        <v>435</v>
      </c>
      <c r="B124" s="131">
        <v>5</v>
      </c>
      <c r="C124" s="52" t="s">
        <v>80</v>
      </c>
    </row>
    <row r="125" spans="1:3" x14ac:dyDescent="0.2">
      <c r="A125" s="83" t="s">
        <v>436</v>
      </c>
      <c r="B125" s="131">
        <v>5</v>
      </c>
      <c r="C125" s="52" t="s">
        <v>80</v>
      </c>
    </row>
    <row r="126" spans="1:3" x14ac:dyDescent="0.2">
      <c r="A126" s="83" t="s">
        <v>65</v>
      </c>
      <c r="B126" s="130">
        <v>0.5</v>
      </c>
      <c r="C126" s="52" t="s">
        <v>66</v>
      </c>
    </row>
    <row r="127" spans="1:3" x14ac:dyDescent="0.2">
      <c r="A127" s="52" t="s">
        <v>51</v>
      </c>
      <c r="B127" s="131">
        <v>1</v>
      </c>
      <c r="C127" s="52" t="s">
        <v>60</v>
      </c>
    </row>
    <row r="128" spans="1:3" x14ac:dyDescent="0.2">
      <c r="A128" s="52" t="s">
        <v>159</v>
      </c>
      <c r="B128" s="130">
        <v>3</v>
      </c>
      <c r="C128" s="52" t="s">
        <v>221</v>
      </c>
    </row>
    <row r="129" spans="1:3" x14ac:dyDescent="0.2">
      <c r="A129" s="84" t="s">
        <v>164</v>
      </c>
      <c r="B129" s="130">
        <v>2</v>
      </c>
      <c r="C129" s="52" t="s">
        <v>246</v>
      </c>
    </row>
    <row r="130" spans="1:3" x14ac:dyDescent="0.2">
      <c r="A130" s="84" t="s">
        <v>161</v>
      </c>
      <c r="B130" s="130">
        <v>2</v>
      </c>
      <c r="C130" s="52" t="s">
        <v>246</v>
      </c>
    </row>
    <row r="131" spans="1:3" x14ac:dyDescent="0.2">
      <c r="A131" s="84" t="s">
        <v>162</v>
      </c>
      <c r="B131" s="130">
        <v>2</v>
      </c>
      <c r="C131" s="52" t="s">
        <v>41</v>
      </c>
    </row>
    <row r="132" spans="1:3" x14ac:dyDescent="0.2">
      <c r="A132" s="84" t="s">
        <v>163</v>
      </c>
      <c r="B132" s="130">
        <v>2</v>
      </c>
      <c r="C132" s="52" t="s">
        <v>41</v>
      </c>
    </row>
    <row r="133" spans="1:3" x14ac:dyDescent="0.2">
      <c r="A133" s="84" t="s">
        <v>169</v>
      </c>
      <c r="B133" s="130">
        <v>2</v>
      </c>
      <c r="C133" s="52" t="s">
        <v>28</v>
      </c>
    </row>
    <row r="134" spans="1:3" x14ac:dyDescent="0.2">
      <c r="A134" s="52" t="s">
        <v>160</v>
      </c>
      <c r="B134" s="130">
        <v>3</v>
      </c>
      <c r="C134" s="52" t="s">
        <v>221</v>
      </c>
    </row>
    <row r="135" spans="1:3" x14ac:dyDescent="0.2">
      <c r="A135" s="52" t="s">
        <v>165</v>
      </c>
      <c r="B135" s="130">
        <v>2</v>
      </c>
      <c r="C135" s="52" t="s">
        <v>246</v>
      </c>
    </row>
    <row r="136" spans="1:3" x14ac:dyDescent="0.2">
      <c r="A136" s="52" t="s">
        <v>166</v>
      </c>
      <c r="B136" s="130">
        <v>2</v>
      </c>
      <c r="C136" s="52" t="s">
        <v>246</v>
      </c>
    </row>
    <row r="137" spans="1:3" x14ac:dyDescent="0.2">
      <c r="A137" s="93" t="s">
        <v>167</v>
      </c>
      <c r="B137" s="130">
        <v>2</v>
      </c>
      <c r="C137" s="52" t="s">
        <v>41</v>
      </c>
    </row>
    <row r="138" spans="1:3" x14ac:dyDescent="0.2">
      <c r="A138" s="83" t="s">
        <v>168</v>
      </c>
      <c r="B138" s="130">
        <v>2</v>
      </c>
      <c r="C138" s="52" t="s">
        <v>41</v>
      </c>
    </row>
    <row r="139" spans="1:3" x14ac:dyDescent="0.2">
      <c r="A139" s="84" t="s">
        <v>170</v>
      </c>
      <c r="B139" s="130">
        <v>2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100</v>
      </c>
      <c r="C141" s="84" t="s">
        <v>48</v>
      </c>
    </row>
    <row r="142" spans="1:3" x14ac:dyDescent="0.2">
      <c r="A142" s="83" t="s">
        <v>458</v>
      </c>
      <c r="B142" s="130">
        <v>50</v>
      </c>
      <c r="C142" s="84" t="s">
        <v>48</v>
      </c>
    </row>
    <row r="143" spans="1:3" x14ac:dyDescent="0.2">
      <c r="A143" s="92" t="s">
        <v>451</v>
      </c>
      <c r="B143" s="131">
        <v>0.25</v>
      </c>
      <c r="C143" s="83" t="s">
        <v>28</v>
      </c>
    </row>
    <row r="144" spans="1:3" x14ac:dyDescent="0.2">
      <c r="A144" s="92" t="s">
        <v>460</v>
      </c>
      <c r="B144" s="131">
        <v>1.5</v>
      </c>
      <c r="C144" s="83" t="s">
        <v>28</v>
      </c>
    </row>
    <row r="145" spans="1:3" ht="15" x14ac:dyDescent="0.2">
      <c r="A145" s="92" t="s">
        <v>450</v>
      </c>
      <c r="B145" s="131">
        <v>5</v>
      </c>
      <c r="C145" s="83" t="s">
        <v>143</v>
      </c>
    </row>
    <row r="146" spans="1:3" ht="15" x14ac:dyDescent="0.2">
      <c r="A146" s="92" t="s">
        <v>459</v>
      </c>
      <c r="B146" s="131">
        <v>10</v>
      </c>
      <c r="C146" s="83" t="s">
        <v>143</v>
      </c>
    </row>
    <row r="147" spans="1:3" x14ac:dyDescent="0.2">
      <c r="A147" s="83" t="s">
        <v>467</v>
      </c>
      <c r="B147" s="130">
        <v>55</v>
      </c>
      <c r="C147" s="92" t="s">
        <v>221</v>
      </c>
    </row>
    <row r="148" spans="1:3" x14ac:dyDescent="0.2">
      <c r="A148" s="83" t="s">
        <v>468</v>
      </c>
      <c r="B148" s="130">
        <v>55</v>
      </c>
      <c r="C148" s="92" t="s">
        <v>221</v>
      </c>
    </row>
    <row r="149" spans="1:3" x14ac:dyDescent="0.2">
      <c r="A149" s="83" t="s">
        <v>469</v>
      </c>
      <c r="B149" s="130">
        <v>55</v>
      </c>
      <c r="C149" s="92" t="s">
        <v>221</v>
      </c>
    </row>
    <row r="150" spans="1:3" x14ac:dyDescent="0.2">
      <c r="A150" s="83" t="s">
        <v>470</v>
      </c>
      <c r="B150" s="130">
        <v>55</v>
      </c>
      <c r="C150" s="92" t="s">
        <v>221</v>
      </c>
    </row>
    <row r="151" spans="1:3" x14ac:dyDescent="0.2">
      <c r="A151" s="83" t="s">
        <v>452</v>
      </c>
      <c r="B151" s="130">
        <v>55</v>
      </c>
      <c r="C151" s="92" t="s">
        <v>221</v>
      </c>
    </row>
    <row r="152" spans="1:3" x14ac:dyDescent="0.2">
      <c r="A152" s="83" t="s">
        <v>461</v>
      </c>
      <c r="B152" s="130">
        <v>55</v>
      </c>
      <c r="C152" s="92" t="s">
        <v>221</v>
      </c>
    </row>
    <row r="153" spans="1:3" x14ac:dyDescent="0.2">
      <c r="A153" s="83" t="s">
        <v>453</v>
      </c>
      <c r="B153" s="130">
        <v>55</v>
      </c>
      <c r="C153" s="92" t="s">
        <v>221</v>
      </c>
    </row>
    <row r="154" spans="1:3" x14ac:dyDescent="0.2">
      <c r="A154" s="83" t="s">
        <v>462</v>
      </c>
      <c r="B154" s="130">
        <v>55</v>
      </c>
      <c r="C154" s="92" t="s">
        <v>221</v>
      </c>
    </row>
    <row r="155" spans="1:3" x14ac:dyDescent="0.2">
      <c r="A155" s="83" t="s">
        <v>454</v>
      </c>
      <c r="B155" s="130">
        <v>55</v>
      </c>
      <c r="C155" s="92" t="s">
        <v>221</v>
      </c>
    </row>
    <row r="156" spans="1:3" x14ac:dyDescent="0.2">
      <c r="A156" s="83" t="s">
        <v>463</v>
      </c>
      <c r="B156" s="130">
        <v>55</v>
      </c>
      <c r="C156" s="92" t="s">
        <v>221</v>
      </c>
    </row>
    <row r="157" spans="1:3" x14ac:dyDescent="0.2">
      <c r="A157" s="83" t="s">
        <v>471</v>
      </c>
      <c r="B157" s="130">
        <v>55</v>
      </c>
      <c r="C157" s="92" t="s">
        <v>221</v>
      </c>
    </row>
    <row r="158" spans="1:3" x14ac:dyDescent="0.2">
      <c r="A158" s="83" t="s">
        <v>472</v>
      </c>
      <c r="B158" s="130">
        <v>55</v>
      </c>
      <c r="C158" s="92" t="s">
        <v>221</v>
      </c>
    </row>
    <row r="159" spans="1:3" x14ac:dyDescent="0.2">
      <c r="A159" s="83" t="s">
        <v>473</v>
      </c>
      <c r="B159" s="130">
        <v>55</v>
      </c>
      <c r="C159" s="92" t="s">
        <v>221</v>
      </c>
    </row>
    <row r="160" spans="1:3" x14ac:dyDescent="0.2">
      <c r="A160" s="83" t="s">
        <v>474</v>
      </c>
      <c r="B160" s="130">
        <v>55</v>
      </c>
      <c r="C160" s="92" t="s">
        <v>221</v>
      </c>
    </row>
    <row r="161" spans="1:3" x14ac:dyDescent="0.2">
      <c r="A161" s="83" t="s">
        <v>455</v>
      </c>
      <c r="B161" s="130">
        <v>55</v>
      </c>
      <c r="C161" s="92" t="s">
        <v>221</v>
      </c>
    </row>
    <row r="162" spans="1:3" x14ac:dyDescent="0.2">
      <c r="A162" s="83" t="s">
        <v>464</v>
      </c>
      <c r="B162" s="130">
        <v>55</v>
      </c>
      <c r="C162" s="92" t="s">
        <v>221</v>
      </c>
    </row>
    <row r="163" spans="1:3" x14ac:dyDescent="0.2">
      <c r="A163" s="83" t="s">
        <v>475</v>
      </c>
      <c r="B163" s="130">
        <v>0.15</v>
      </c>
      <c r="C163" s="88"/>
    </row>
    <row r="164" spans="1:3" x14ac:dyDescent="0.2">
      <c r="A164" s="83" t="s">
        <v>476</v>
      </c>
      <c r="B164" s="130">
        <v>0.85</v>
      </c>
      <c r="C164" s="88"/>
    </row>
    <row r="165" spans="1:3" x14ac:dyDescent="0.2">
      <c r="A165" s="83" t="s">
        <v>456</v>
      </c>
      <c r="B165" s="130">
        <v>150</v>
      </c>
      <c r="C165" s="83" t="s">
        <v>24</v>
      </c>
    </row>
    <row r="166" spans="1:3" x14ac:dyDescent="0.2">
      <c r="A166" s="83" t="s">
        <v>465</v>
      </c>
      <c r="B166" s="130">
        <v>150</v>
      </c>
      <c r="C166" s="83" t="s">
        <v>24</v>
      </c>
    </row>
    <row r="167" spans="1:3" x14ac:dyDescent="0.2">
      <c r="A167" s="52" t="s">
        <v>362</v>
      </c>
      <c r="B167" s="131">
        <v>150</v>
      </c>
      <c r="C167" s="83" t="s">
        <v>24</v>
      </c>
    </row>
    <row r="168" spans="1:3" x14ac:dyDescent="0.2">
      <c r="A168" s="83" t="s">
        <v>363</v>
      </c>
      <c r="B168" s="130">
        <v>1</v>
      </c>
      <c r="C168" s="92" t="s">
        <v>60</v>
      </c>
    </row>
    <row r="169" spans="1:3" x14ac:dyDescent="0.2">
      <c r="A169" s="83" t="s">
        <v>364</v>
      </c>
      <c r="B169" s="130">
        <v>24</v>
      </c>
      <c r="C169" s="94" t="s">
        <v>194</v>
      </c>
    </row>
    <row r="170" spans="1:3" x14ac:dyDescent="0.2">
      <c r="A170" s="83" t="s">
        <v>365</v>
      </c>
      <c r="B170" s="130">
        <v>24</v>
      </c>
      <c r="C170" s="52" t="s">
        <v>194</v>
      </c>
    </row>
    <row r="171" spans="1:3" x14ac:dyDescent="0.2">
      <c r="A171" s="83" t="s">
        <v>361</v>
      </c>
      <c r="B171" s="130">
        <v>1</v>
      </c>
    </row>
    <row r="172" spans="1:3" x14ac:dyDescent="0.2">
      <c r="A172" s="83" t="s">
        <v>507</v>
      </c>
      <c r="B172" s="130">
        <v>15</v>
      </c>
      <c r="C172" s="84" t="s">
        <v>194</v>
      </c>
    </row>
    <row r="173" spans="1:3" x14ac:dyDescent="0.2">
      <c r="A173" s="83" t="s">
        <v>508</v>
      </c>
      <c r="B173" s="130">
        <v>5</v>
      </c>
      <c r="C173" s="84" t="s">
        <v>194</v>
      </c>
    </row>
    <row r="174" spans="1:3" x14ac:dyDescent="0.2">
      <c r="A174" s="83" t="s">
        <v>88</v>
      </c>
      <c r="B174" s="130">
        <v>0.4</v>
      </c>
    </row>
    <row r="175" spans="1:3" x14ac:dyDescent="0.2">
      <c r="A175" s="83" t="s">
        <v>303</v>
      </c>
      <c r="B175" s="130">
        <v>1</v>
      </c>
    </row>
    <row r="176" spans="1:3" x14ac:dyDescent="0.2">
      <c r="A176" s="83" t="s">
        <v>301</v>
      </c>
      <c r="B176" s="131">
        <v>2</v>
      </c>
    </row>
    <row r="177" spans="1:3" x14ac:dyDescent="0.2">
      <c r="A177" s="92" t="s">
        <v>457</v>
      </c>
      <c r="B177" s="130">
        <v>5</v>
      </c>
      <c r="C177" s="92" t="s">
        <v>144</v>
      </c>
    </row>
    <row r="178" spans="1:3" x14ac:dyDescent="0.2">
      <c r="A178" s="92" t="s">
        <v>466</v>
      </c>
      <c r="B178" s="130">
        <v>5</v>
      </c>
      <c r="C178" s="92" t="s">
        <v>144</v>
      </c>
    </row>
    <row r="179" spans="1:3" x14ac:dyDescent="0.2">
      <c r="A179" s="52" t="s">
        <v>477</v>
      </c>
      <c r="B179" s="130">
        <v>0.25</v>
      </c>
      <c r="C179" s="92" t="s">
        <v>358</v>
      </c>
    </row>
    <row r="180" spans="1:3" x14ac:dyDescent="0.2">
      <c r="A180" s="52" t="s">
        <v>478</v>
      </c>
      <c r="B180" s="130">
        <v>0.85</v>
      </c>
      <c r="C180" s="92" t="s">
        <v>358</v>
      </c>
    </row>
    <row r="181" spans="1:3" x14ac:dyDescent="0.2">
      <c r="A181" s="84" t="s">
        <v>65</v>
      </c>
      <c r="B181" s="130">
        <v>0.5</v>
      </c>
      <c r="C181" s="92" t="s">
        <v>600</v>
      </c>
    </row>
    <row r="182" spans="1:3" x14ac:dyDescent="0.2">
      <c r="A182" s="92" t="s">
        <v>361</v>
      </c>
      <c r="B182" s="130">
        <v>1</v>
      </c>
    </row>
    <row r="183" spans="1:3" x14ac:dyDescent="0.2">
      <c r="A183" s="92" t="s">
        <v>479</v>
      </c>
      <c r="B183" s="130">
        <v>1</v>
      </c>
    </row>
    <row r="184" spans="1:3" x14ac:dyDescent="0.2">
      <c r="A184" s="92" t="s">
        <v>480</v>
      </c>
      <c r="B184" s="130">
        <v>1</v>
      </c>
    </row>
    <row r="185" spans="1:3" x14ac:dyDescent="0.2">
      <c r="A185" s="92" t="s">
        <v>481</v>
      </c>
      <c r="B185" s="130">
        <v>1</v>
      </c>
    </row>
    <row r="186" spans="1:3" x14ac:dyDescent="0.2">
      <c r="A186" s="92" t="s">
        <v>482</v>
      </c>
      <c r="B186" s="130">
        <v>1</v>
      </c>
    </row>
    <row r="187" spans="1:3" x14ac:dyDescent="0.2">
      <c r="A187" s="92" t="s">
        <v>483</v>
      </c>
      <c r="B187" s="130">
        <v>1</v>
      </c>
    </row>
    <row r="188" spans="1:3" x14ac:dyDescent="0.2">
      <c r="A188" s="92" t="s">
        <v>484</v>
      </c>
      <c r="B188" s="131">
        <v>1</v>
      </c>
    </row>
    <row r="189" spans="1:3" x14ac:dyDescent="0.2">
      <c r="A189" s="83" t="s">
        <v>36</v>
      </c>
      <c r="B189" s="131">
        <v>3.62</v>
      </c>
      <c r="C189" s="52" t="s">
        <v>37</v>
      </c>
    </row>
    <row r="190" spans="1:3" x14ac:dyDescent="0.2">
      <c r="A190" s="83" t="s">
        <v>40</v>
      </c>
      <c r="B190" s="131">
        <v>0.25</v>
      </c>
      <c r="C190" s="52" t="s">
        <v>41</v>
      </c>
    </row>
    <row r="191" spans="1:3" x14ac:dyDescent="0.2">
      <c r="A191" s="92" t="s">
        <v>52</v>
      </c>
      <c r="B191" s="131">
        <v>10950</v>
      </c>
      <c r="C191" s="52" t="s">
        <v>53</v>
      </c>
    </row>
    <row r="192" spans="1:3" x14ac:dyDescent="0.2">
      <c r="A192" s="92" t="s">
        <v>55</v>
      </c>
      <c r="B192" s="131">
        <v>240</v>
      </c>
      <c r="C192" s="52" t="s">
        <v>56</v>
      </c>
    </row>
    <row r="193" spans="1:3" x14ac:dyDescent="0.2">
      <c r="A193" s="92" t="s">
        <v>61</v>
      </c>
      <c r="B193" s="131">
        <v>0.42</v>
      </c>
      <c r="C193" s="52" t="s">
        <v>41</v>
      </c>
    </row>
    <row r="194" spans="1:3" x14ac:dyDescent="0.2">
      <c r="A194" s="92" t="s">
        <v>67</v>
      </c>
      <c r="B194" s="131">
        <v>60</v>
      </c>
      <c r="C194" s="83" t="s">
        <v>53</v>
      </c>
    </row>
    <row r="195" spans="1:3" x14ac:dyDescent="0.2">
      <c r="A195" s="92" t="s">
        <v>68</v>
      </c>
      <c r="B195" s="131">
        <v>2</v>
      </c>
      <c r="C195" s="83" t="s">
        <v>56</v>
      </c>
    </row>
    <row r="196" spans="1:3" x14ac:dyDescent="0.2">
      <c r="A196" s="92" t="s">
        <v>70</v>
      </c>
      <c r="B196" s="131">
        <v>2.6999999999999999E-5</v>
      </c>
      <c r="C196" s="52" t="s">
        <v>64</v>
      </c>
    </row>
    <row r="197" spans="1:3" x14ac:dyDescent="0.2">
      <c r="A197" s="92" t="s">
        <v>73</v>
      </c>
      <c r="B197" s="131">
        <v>1</v>
      </c>
      <c r="C197" s="52" t="s">
        <v>41</v>
      </c>
    </row>
    <row r="198" spans="1:3" x14ac:dyDescent="0.2">
      <c r="A198" s="92" t="s">
        <v>74</v>
      </c>
      <c r="B198" s="131">
        <v>14</v>
      </c>
      <c r="C198" s="52" t="s">
        <v>75</v>
      </c>
    </row>
    <row r="199" spans="1:3" x14ac:dyDescent="0.2">
      <c r="A199" s="83" t="s">
        <v>27</v>
      </c>
      <c r="B199" s="131">
        <v>92</v>
      </c>
      <c r="C199" s="83" t="s">
        <v>28</v>
      </c>
    </row>
    <row r="200" spans="1:3" x14ac:dyDescent="0.2">
      <c r="A200" s="52" t="s">
        <v>285</v>
      </c>
      <c r="B200" s="130">
        <v>1.03</v>
      </c>
      <c r="C200" s="52" t="s">
        <v>286</v>
      </c>
    </row>
    <row r="201" spans="1:3" x14ac:dyDescent="0.2">
      <c r="A201" s="83" t="s">
        <v>498</v>
      </c>
      <c r="B201" s="131">
        <v>20.3</v>
      </c>
      <c r="C201" s="52" t="s">
        <v>246</v>
      </c>
    </row>
    <row r="202" spans="1:3" x14ac:dyDescent="0.2">
      <c r="A202" s="83" t="s">
        <v>499</v>
      </c>
      <c r="B202" s="131">
        <v>0.04</v>
      </c>
      <c r="C202" s="52" t="s">
        <v>246</v>
      </c>
    </row>
    <row r="203" spans="1:3" x14ac:dyDescent="0.2">
      <c r="A203" s="83" t="s">
        <v>500</v>
      </c>
      <c r="B203" s="131">
        <v>1</v>
      </c>
    </row>
    <row r="204" spans="1:3" x14ac:dyDescent="0.2">
      <c r="A204" s="83" t="s">
        <v>501</v>
      </c>
      <c r="B204" s="131">
        <v>1</v>
      </c>
    </row>
    <row r="205" spans="1:3" x14ac:dyDescent="0.2">
      <c r="A205" s="83" t="s">
        <v>29</v>
      </c>
      <c r="B205" s="131">
        <v>53</v>
      </c>
      <c r="C205" s="83" t="s">
        <v>28</v>
      </c>
    </row>
    <row r="206" spans="1:3" x14ac:dyDescent="0.2">
      <c r="A206" s="83" t="s">
        <v>494</v>
      </c>
      <c r="B206" s="131">
        <v>11.77</v>
      </c>
      <c r="C206" s="52" t="s">
        <v>246</v>
      </c>
    </row>
    <row r="207" spans="1:3" x14ac:dyDescent="0.2">
      <c r="A207" s="83" t="s">
        <v>495</v>
      </c>
      <c r="B207" s="131">
        <v>0.5</v>
      </c>
      <c r="C207" s="52" t="s">
        <v>246</v>
      </c>
    </row>
    <row r="208" spans="1:3" x14ac:dyDescent="0.2">
      <c r="A208" s="83" t="s">
        <v>496</v>
      </c>
      <c r="B208" s="131">
        <v>1</v>
      </c>
    </row>
    <row r="209" spans="1:3" x14ac:dyDescent="0.2">
      <c r="A209" s="83" t="s">
        <v>497</v>
      </c>
      <c r="B209" s="131">
        <v>1</v>
      </c>
    </row>
    <row r="210" spans="1:3" x14ac:dyDescent="0.2">
      <c r="A210" s="83" t="s">
        <v>148</v>
      </c>
      <c r="B210" s="130">
        <v>0.4</v>
      </c>
      <c r="C210" s="83" t="s">
        <v>28</v>
      </c>
    </row>
    <row r="211" spans="1:3" x14ac:dyDescent="0.2">
      <c r="A211" s="83" t="s">
        <v>152</v>
      </c>
      <c r="B211" s="131">
        <v>0.2</v>
      </c>
      <c r="C211" s="52" t="s">
        <v>246</v>
      </c>
    </row>
    <row r="212" spans="1:3" x14ac:dyDescent="0.2">
      <c r="A212" s="83" t="s">
        <v>151</v>
      </c>
      <c r="B212" s="131">
        <v>2.1999999999999999E-2</v>
      </c>
      <c r="C212" s="52" t="s">
        <v>246</v>
      </c>
    </row>
    <row r="213" spans="1:3" x14ac:dyDescent="0.2">
      <c r="A213" s="83" t="s">
        <v>153</v>
      </c>
      <c r="B213" s="130">
        <v>1</v>
      </c>
    </row>
    <row r="214" spans="1:3" x14ac:dyDescent="0.2">
      <c r="A214" s="83" t="s">
        <v>154</v>
      </c>
      <c r="B214" s="130">
        <v>1</v>
      </c>
    </row>
    <row r="215" spans="1:3" x14ac:dyDescent="0.2">
      <c r="A215" s="83" t="s">
        <v>485</v>
      </c>
      <c r="B215" s="130">
        <v>0.4</v>
      </c>
      <c r="C215" s="83" t="s">
        <v>28</v>
      </c>
    </row>
    <row r="216" spans="1:3" x14ac:dyDescent="0.2">
      <c r="A216" s="83" t="s">
        <v>486</v>
      </c>
      <c r="B216" s="131">
        <v>0.2</v>
      </c>
      <c r="C216" s="52" t="s">
        <v>246</v>
      </c>
    </row>
    <row r="217" spans="1:3" x14ac:dyDescent="0.2">
      <c r="A217" s="83" t="s">
        <v>487</v>
      </c>
      <c r="B217" s="131">
        <v>2.1999999999999999E-2</v>
      </c>
      <c r="C217" s="52" t="s">
        <v>246</v>
      </c>
    </row>
    <row r="218" spans="1:3" x14ac:dyDescent="0.2">
      <c r="A218" s="83" t="s">
        <v>488</v>
      </c>
      <c r="B218" s="131">
        <v>1</v>
      </c>
    </row>
    <row r="219" spans="1:3" x14ac:dyDescent="0.2">
      <c r="A219" s="83" t="s">
        <v>489</v>
      </c>
      <c r="B219" s="131">
        <v>1</v>
      </c>
    </row>
    <row r="220" spans="1:3" x14ac:dyDescent="0.2">
      <c r="A220" s="83" t="s">
        <v>150</v>
      </c>
      <c r="B220" s="131">
        <v>11.4</v>
      </c>
      <c r="C220" s="83" t="s">
        <v>28</v>
      </c>
    </row>
    <row r="221" spans="1:3" x14ac:dyDescent="0.2">
      <c r="A221" s="83" t="s">
        <v>490</v>
      </c>
      <c r="B221" s="131">
        <v>4.7</v>
      </c>
      <c r="C221" s="52" t="s">
        <v>246</v>
      </c>
    </row>
    <row r="222" spans="1:3" x14ac:dyDescent="0.2">
      <c r="A222" s="83" t="s">
        <v>491</v>
      </c>
      <c r="B222" s="131">
        <v>0.37</v>
      </c>
      <c r="C222" s="52" t="s">
        <v>246</v>
      </c>
    </row>
    <row r="223" spans="1:3" x14ac:dyDescent="0.2">
      <c r="A223" s="83" t="s">
        <v>492</v>
      </c>
      <c r="B223" s="131">
        <v>1</v>
      </c>
    </row>
    <row r="224" spans="1:3" x14ac:dyDescent="0.2">
      <c r="A224" s="83" t="s">
        <v>493</v>
      </c>
      <c r="B224" s="131">
        <v>1</v>
      </c>
    </row>
    <row r="225" spans="1:3" x14ac:dyDescent="0.2">
      <c r="A225" s="370" t="s">
        <v>311</v>
      </c>
      <c r="B225" s="370"/>
      <c r="C225" s="370"/>
    </row>
    <row r="226" spans="1:3" x14ac:dyDescent="0.2">
      <c r="A226" s="52" t="s">
        <v>504</v>
      </c>
      <c r="B226" s="130">
        <v>50</v>
      </c>
      <c r="C226" s="84" t="s">
        <v>407</v>
      </c>
    </row>
    <row r="227" spans="1:3" x14ac:dyDescent="0.2">
      <c r="A227" s="83" t="s">
        <v>316</v>
      </c>
      <c r="B227" s="130">
        <v>125</v>
      </c>
      <c r="C227" s="52" t="s">
        <v>24</v>
      </c>
    </row>
    <row r="228" spans="1:3" x14ac:dyDescent="0.2">
      <c r="A228" s="83" t="s">
        <v>422</v>
      </c>
      <c r="B228" s="131">
        <v>1</v>
      </c>
      <c r="C228" s="52" t="s">
        <v>60</v>
      </c>
    </row>
    <row r="229" spans="1:3" x14ac:dyDescent="0.2">
      <c r="A229" s="83" t="s">
        <v>317</v>
      </c>
      <c r="B229" s="130">
        <v>50</v>
      </c>
      <c r="C229" s="84" t="s">
        <v>48</v>
      </c>
    </row>
    <row r="230" spans="1:3" x14ac:dyDescent="0.2">
      <c r="A230" s="52" t="s">
        <v>318</v>
      </c>
      <c r="B230" s="131">
        <v>2</v>
      </c>
    </row>
    <row r="231" spans="1:3" x14ac:dyDescent="0.2">
      <c r="A231" s="83" t="s">
        <v>299</v>
      </c>
      <c r="B231" s="131">
        <v>1</v>
      </c>
    </row>
    <row r="232" spans="1:3" x14ac:dyDescent="0.2">
      <c r="A232" s="83" t="s">
        <v>83</v>
      </c>
      <c r="B232" s="130">
        <v>5</v>
      </c>
      <c r="C232" s="52" t="s">
        <v>194</v>
      </c>
    </row>
    <row r="233" spans="1:3" x14ac:dyDescent="0.2">
      <c r="A233" s="83" t="s">
        <v>85</v>
      </c>
      <c r="B233" s="130">
        <v>5</v>
      </c>
      <c r="C233" s="52" t="s">
        <v>194</v>
      </c>
    </row>
    <row r="234" spans="1:3" x14ac:dyDescent="0.2">
      <c r="A234" s="83" t="s">
        <v>88</v>
      </c>
      <c r="B234" s="130">
        <v>0.4</v>
      </c>
    </row>
    <row r="235" spans="1:3" x14ac:dyDescent="0.2">
      <c r="A235" s="370" t="s">
        <v>312</v>
      </c>
      <c r="B235" s="370"/>
      <c r="C235" s="370"/>
    </row>
    <row r="236" spans="1:3" x14ac:dyDescent="0.2">
      <c r="A236" s="52" t="s">
        <v>304</v>
      </c>
      <c r="B236" s="130">
        <v>50</v>
      </c>
      <c r="C236" s="84" t="s">
        <v>407</v>
      </c>
    </row>
    <row r="237" spans="1:3" x14ac:dyDescent="0.2">
      <c r="A237" s="83" t="s">
        <v>35</v>
      </c>
      <c r="B237" s="130">
        <v>125</v>
      </c>
      <c r="C237" s="52" t="s">
        <v>24</v>
      </c>
    </row>
    <row r="238" spans="1:3" x14ac:dyDescent="0.2">
      <c r="A238" s="83" t="s">
        <v>420</v>
      </c>
      <c r="B238" s="131">
        <v>1</v>
      </c>
      <c r="C238" s="52" t="s">
        <v>60</v>
      </c>
    </row>
    <row r="239" spans="1:3" x14ac:dyDescent="0.2">
      <c r="A239" s="83" t="s">
        <v>62</v>
      </c>
      <c r="B239" s="130">
        <v>50</v>
      </c>
      <c r="C239" s="84" t="s">
        <v>48</v>
      </c>
    </row>
    <row r="240" spans="1:3" x14ac:dyDescent="0.2">
      <c r="A240" s="52" t="s">
        <v>318</v>
      </c>
      <c r="B240" s="131">
        <v>2</v>
      </c>
    </row>
    <row r="241" spans="1:3" x14ac:dyDescent="0.2">
      <c r="A241" s="83" t="s">
        <v>299</v>
      </c>
      <c r="B241" s="131">
        <v>1</v>
      </c>
    </row>
    <row r="242" spans="1:3" x14ac:dyDescent="0.2">
      <c r="A242" s="83" t="s">
        <v>83</v>
      </c>
      <c r="B242" s="130">
        <v>5</v>
      </c>
      <c r="C242" s="52" t="s">
        <v>194</v>
      </c>
    </row>
    <row r="243" spans="1:3" x14ac:dyDescent="0.2">
      <c r="A243" s="83" t="s">
        <v>85</v>
      </c>
      <c r="B243" s="130">
        <v>5</v>
      </c>
      <c r="C243" s="52" t="s">
        <v>194</v>
      </c>
    </row>
    <row r="244" spans="1:3" x14ac:dyDescent="0.2">
      <c r="A244" s="83" t="s">
        <v>88</v>
      </c>
      <c r="B244" s="130">
        <v>0.4</v>
      </c>
    </row>
    <row r="245" spans="1:3" x14ac:dyDescent="0.2">
      <c r="A245" s="370" t="s">
        <v>313</v>
      </c>
      <c r="B245" s="370"/>
      <c r="C245" s="370"/>
    </row>
    <row r="246" spans="1:3" x14ac:dyDescent="0.2">
      <c r="A246" s="52" t="s">
        <v>50</v>
      </c>
      <c r="B246" s="130">
        <v>50</v>
      </c>
      <c r="C246" s="84" t="s">
        <v>407</v>
      </c>
    </row>
    <row r="247" spans="1:3" x14ac:dyDescent="0.2">
      <c r="A247" s="83" t="s">
        <v>423</v>
      </c>
      <c r="B247" s="130">
        <v>125</v>
      </c>
      <c r="C247" s="52" t="s">
        <v>24</v>
      </c>
    </row>
    <row r="248" spans="1:3" x14ac:dyDescent="0.2">
      <c r="A248" s="83" t="s">
        <v>424</v>
      </c>
      <c r="B248" s="131">
        <v>1</v>
      </c>
      <c r="C248" s="52" t="s">
        <v>60</v>
      </c>
    </row>
    <row r="249" spans="1:3" x14ac:dyDescent="0.2">
      <c r="A249" s="83" t="s">
        <v>503</v>
      </c>
      <c r="B249" s="130">
        <v>50</v>
      </c>
      <c r="C249" s="84" t="s">
        <v>48</v>
      </c>
    </row>
    <row r="250" spans="1:3" x14ac:dyDescent="0.2">
      <c r="A250" s="52" t="s">
        <v>318</v>
      </c>
      <c r="B250" s="131">
        <v>2</v>
      </c>
    </row>
    <row r="251" spans="1:3" x14ac:dyDescent="0.2">
      <c r="A251" s="83" t="s">
        <v>299</v>
      </c>
      <c r="B251" s="131">
        <v>1</v>
      </c>
    </row>
    <row r="252" spans="1:3" x14ac:dyDescent="0.2">
      <c r="A252" s="83" t="s">
        <v>83</v>
      </c>
      <c r="B252" s="130">
        <v>5</v>
      </c>
      <c r="C252" s="52" t="s">
        <v>194</v>
      </c>
    </row>
    <row r="253" spans="1:3" x14ac:dyDescent="0.2">
      <c r="A253" s="83" t="s">
        <v>85</v>
      </c>
      <c r="B253" s="130">
        <v>5</v>
      </c>
      <c r="C253" s="52" t="s">
        <v>194</v>
      </c>
    </row>
    <row r="254" spans="1:3" x14ac:dyDescent="0.2">
      <c r="A254" s="83" t="s">
        <v>88</v>
      </c>
      <c r="B254" s="130">
        <v>0.4</v>
      </c>
    </row>
    <row r="255" spans="1:3" x14ac:dyDescent="0.2">
      <c r="A255" s="370" t="s">
        <v>314</v>
      </c>
      <c r="B255" s="370"/>
      <c r="C255" s="370"/>
    </row>
    <row r="256" spans="1:3" x14ac:dyDescent="0.2">
      <c r="A256" s="52" t="s">
        <v>348</v>
      </c>
      <c r="B256" s="130">
        <v>50</v>
      </c>
      <c r="C256" s="84" t="s">
        <v>407</v>
      </c>
    </row>
    <row r="257" spans="1:3" x14ac:dyDescent="0.2">
      <c r="A257" s="83" t="s">
        <v>191</v>
      </c>
      <c r="B257" s="130">
        <v>125</v>
      </c>
      <c r="C257" s="52" t="s">
        <v>24</v>
      </c>
    </row>
    <row r="258" spans="1:3" x14ac:dyDescent="0.2">
      <c r="A258" s="83" t="s">
        <v>158</v>
      </c>
      <c r="B258" s="131">
        <v>1</v>
      </c>
      <c r="C258" s="52" t="s">
        <v>60</v>
      </c>
    </row>
    <row r="259" spans="1:3" x14ac:dyDescent="0.2">
      <c r="A259" s="83" t="s">
        <v>502</v>
      </c>
      <c r="B259" s="130">
        <v>200</v>
      </c>
      <c r="C259" s="84" t="s">
        <v>48</v>
      </c>
    </row>
    <row r="260" spans="1:3" x14ac:dyDescent="0.2">
      <c r="A260" s="52" t="s">
        <v>318</v>
      </c>
      <c r="B260" s="131">
        <v>2</v>
      </c>
    </row>
    <row r="261" spans="1:3" x14ac:dyDescent="0.2">
      <c r="A261" s="83" t="s">
        <v>299</v>
      </c>
      <c r="B261" s="131">
        <v>1</v>
      </c>
    </row>
    <row r="262" spans="1:3" x14ac:dyDescent="0.2">
      <c r="A262" s="83" t="s">
        <v>83</v>
      </c>
      <c r="B262" s="130">
        <v>5</v>
      </c>
      <c r="C262" s="52" t="s">
        <v>194</v>
      </c>
    </row>
    <row r="263" spans="1:3" x14ac:dyDescent="0.2">
      <c r="A263" s="83" t="s">
        <v>85</v>
      </c>
      <c r="B263" s="130">
        <v>5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83" t="s">
        <v>219</v>
      </c>
      <c r="B265" s="130">
        <v>3</v>
      </c>
      <c r="C265" s="52" t="s">
        <v>112</v>
      </c>
    </row>
    <row r="266" spans="1:3" x14ac:dyDescent="0.2">
      <c r="A266" s="83" t="s">
        <v>220</v>
      </c>
      <c r="B266" s="130">
        <v>25</v>
      </c>
      <c r="C266" s="52" t="s">
        <v>113</v>
      </c>
    </row>
    <row r="267" spans="1:3" x14ac:dyDescent="0.2">
      <c r="A267" s="370" t="s">
        <v>315</v>
      </c>
      <c r="B267" s="370"/>
      <c r="C267" s="370"/>
    </row>
    <row r="268" spans="1:3" x14ac:dyDescent="0.2">
      <c r="A268" s="52" t="s">
        <v>348</v>
      </c>
      <c r="B268" s="130">
        <v>50</v>
      </c>
      <c r="C268" s="84" t="s">
        <v>407</v>
      </c>
    </row>
    <row r="269" spans="1:3" x14ac:dyDescent="0.2">
      <c r="A269" s="83" t="s">
        <v>191</v>
      </c>
      <c r="B269" s="130">
        <v>125</v>
      </c>
      <c r="C269" s="52" t="s">
        <v>24</v>
      </c>
    </row>
    <row r="270" spans="1:3" x14ac:dyDescent="0.2">
      <c r="A270" s="83" t="s">
        <v>158</v>
      </c>
      <c r="B270" s="131">
        <v>1</v>
      </c>
      <c r="C270" s="52" t="s">
        <v>60</v>
      </c>
    </row>
    <row r="271" spans="1:3" x14ac:dyDescent="0.2">
      <c r="A271" s="83" t="s">
        <v>502</v>
      </c>
      <c r="B271" s="130">
        <v>200</v>
      </c>
      <c r="C271" s="84" t="s">
        <v>48</v>
      </c>
    </row>
    <row r="272" spans="1:3" x14ac:dyDescent="0.2">
      <c r="A272" s="83" t="s">
        <v>299</v>
      </c>
      <c r="B272" s="131">
        <v>1</v>
      </c>
    </row>
    <row r="273" spans="1:3" x14ac:dyDescent="0.2">
      <c r="A273" s="83" t="s">
        <v>83</v>
      </c>
      <c r="B273" s="130">
        <v>5</v>
      </c>
      <c r="C273" s="52" t="s">
        <v>194</v>
      </c>
    </row>
    <row r="274" spans="1:3" x14ac:dyDescent="0.2">
      <c r="A274" s="83" t="s">
        <v>85</v>
      </c>
      <c r="B274" s="130">
        <v>5</v>
      </c>
      <c r="C274" s="52" t="s">
        <v>194</v>
      </c>
    </row>
    <row r="275" spans="1:3" x14ac:dyDescent="0.2">
      <c r="A275" s="83" t="s">
        <v>88</v>
      </c>
      <c r="B275" s="130">
        <v>0.4</v>
      </c>
    </row>
    <row r="276" spans="1:3" x14ac:dyDescent="0.2">
      <c r="A276" s="83" t="s">
        <v>219</v>
      </c>
      <c r="B276" s="130">
        <v>3</v>
      </c>
      <c r="C276" s="52" t="s">
        <v>112</v>
      </c>
    </row>
    <row r="277" spans="1:3" x14ac:dyDescent="0.2">
      <c r="A277" s="83" t="s">
        <v>220</v>
      </c>
      <c r="B277" s="130">
        <v>25</v>
      </c>
      <c r="C277" s="52" t="s">
        <v>113</v>
      </c>
    </row>
    <row r="278" spans="1:3" x14ac:dyDescent="0.2">
      <c r="A278" s="84" t="s">
        <v>295</v>
      </c>
      <c r="B278" s="234">
        <v>132.90539999999999</v>
      </c>
      <c r="C278" s="84" t="s">
        <v>296</v>
      </c>
    </row>
    <row r="279" spans="1:3" x14ac:dyDescent="0.2">
      <c r="A279" s="84" t="s">
        <v>293</v>
      </c>
      <c r="B279" s="129">
        <f>2.8*(10^(-15))</f>
        <v>2.8000000000000001E-15</v>
      </c>
      <c r="C279" s="84"/>
    </row>
    <row r="280" spans="1:3" x14ac:dyDescent="0.2">
      <c r="A280" s="83" t="s">
        <v>293</v>
      </c>
      <c r="B280" s="129">
        <v>2.7955176153748299E-12</v>
      </c>
      <c r="C280" s="84"/>
    </row>
  </sheetData>
  <mergeCells count="348">
    <mergeCell ref="HD21:HF21"/>
    <mergeCell ref="V23:X23"/>
    <mergeCell ref="Y23:AA23"/>
    <mergeCell ref="D30:F30"/>
    <mergeCell ref="BJ21:BJ23"/>
    <mergeCell ref="BK21:BK23"/>
    <mergeCell ref="BL21:BL23"/>
    <mergeCell ref="BM21:BM23"/>
    <mergeCell ref="BN21:BN23"/>
    <mergeCell ref="BB21:BB23"/>
    <mergeCell ref="BC21:BC23"/>
    <mergeCell ref="BD21:BD23"/>
    <mergeCell ref="BE21:BE23"/>
    <mergeCell ref="BF21:BF23"/>
    <mergeCell ref="AT21:AT23"/>
    <mergeCell ref="AU21:AU23"/>
    <mergeCell ref="AV21:AV23"/>
    <mergeCell ref="CN20:CN22"/>
    <mergeCell ref="CO20:CO22"/>
    <mergeCell ref="CP20:CP22"/>
    <mergeCell ref="CQ20:CQ22"/>
    <mergeCell ref="CG19:CG21"/>
    <mergeCell ref="CM20:CM22"/>
    <mergeCell ref="CK19:CM19"/>
    <mergeCell ref="CC35:CG38"/>
    <mergeCell ref="BK39:BO42"/>
    <mergeCell ref="D43:F43"/>
    <mergeCell ref="D44:D45"/>
    <mergeCell ref="E44:E45"/>
    <mergeCell ref="F44:F45"/>
    <mergeCell ref="BO21:BO23"/>
    <mergeCell ref="AI21:AI23"/>
    <mergeCell ref="AJ21:AJ23"/>
    <mergeCell ref="AK21:AK23"/>
    <mergeCell ref="AL21:AL23"/>
    <mergeCell ref="AM21:AM23"/>
    <mergeCell ref="AN21:AN23"/>
    <mergeCell ref="AR21:AR23"/>
    <mergeCell ref="AS21:AS23"/>
    <mergeCell ref="CN19:CP19"/>
    <mergeCell ref="CQ19:CS19"/>
    <mergeCell ref="M20:O20"/>
    <mergeCell ref="P20:R20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CK20:CK22"/>
    <mergeCell ref="CL20:CL22"/>
    <mergeCell ref="CB19:CB21"/>
    <mergeCell ref="CC19:CC21"/>
    <mergeCell ref="CD19:CD21"/>
    <mergeCell ref="CE19:CE21"/>
    <mergeCell ref="CF19:CF21"/>
    <mergeCell ref="AW21:AW23"/>
    <mergeCell ref="BA21:BA23"/>
    <mergeCell ref="CR20:CR22"/>
    <mergeCell ref="CS20:CS22"/>
    <mergeCell ref="GZ2:GZ4"/>
    <mergeCell ref="HA2:HA4"/>
    <mergeCell ref="HB2:HB4"/>
    <mergeCell ref="HC2:HC4"/>
    <mergeCell ref="CB18:CD18"/>
    <mergeCell ref="CE18:CG18"/>
    <mergeCell ref="GU2:GU4"/>
    <mergeCell ref="GV2:GV4"/>
    <mergeCell ref="GW2:GW4"/>
    <mergeCell ref="GX2:GX4"/>
    <mergeCell ref="GY2:GY4"/>
    <mergeCell ref="GP2:GP4"/>
    <mergeCell ref="GQ2:GQ4"/>
    <mergeCell ref="GR2:GR4"/>
    <mergeCell ref="GS2:GS4"/>
    <mergeCell ref="GT2:GT4"/>
    <mergeCell ref="GK2:GK4"/>
    <mergeCell ref="GL2:GL4"/>
    <mergeCell ref="GM2:GM4"/>
    <mergeCell ref="GN2:GN4"/>
    <mergeCell ref="GO2:GO4"/>
    <mergeCell ref="GF2:GF4"/>
    <mergeCell ref="GG2:GG4"/>
    <mergeCell ref="GH2:GH4"/>
    <mergeCell ref="GI2:GI4"/>
    <mergeCell ref="GJ2:GJ4"/>
    <mergeCell ref="GA2:GA4"/>
    <mergeCell ref="GB2:GB4"/>
    <mergeCell ref="GC2:GC4"/>
    <mergeCell ref="GD2:GD4"/>
    <mergeCell ref="GE2:GE4"/>
    <mergeCell ref="FV2:FV4"/>
    <mergeCell ref="FW2:FW4"/>
    <mergeCell ref="FX2:FX4"/>
    <mergeCell ref="FY2:FY4"/>
    <mergeCell ref="FZ2:FZ4"/>
    <mergeCell ref="FQ2:FQ4"/>
    <mergeCell ref="FR2:FR4"/>
    <mergeCell ref="FS2:FS4"/>
    <mergeCell ref="FT2:FT4"/>
    <mergeCell ref="FU2:FU4"/>
    <mergeCell ref="FL2:FL4"/>
    <mergeCell ref="FM2:FM4"/>
    <mergeCell ref="FN2:FN4"/>
    <mergeCell ref="FO2:FO4"/>
    <mergeCell ref="FP2:FP4"/>
    <mergeCell ref="FG2:FG4"/>
    <mergeCell ref="FH2:FH4"/>
    <mergeCell ref="FI2:FI4"/>
    <mergeCell ref="FJ2:FJ4"/>
    <mergeCell ref="FK2:FK4"/>
    <mergeCell ref="FB2:FB4"/>
    <mergeCell ref="FC2:FC4"/>
    <mergeCell ref="FD2:FD4"/>
    <mergeCell ref="FE2:FE4"/>
    <mergeCell ref="FF2:FF4"/>
    <mergeCell ref="EW2:EW4"/>
    <mergeCell ref="EX2:EX4"/>
    <mergeCell ref="EY2:EY4"/>
    <mergeCell ref="EZ2:EZ4"/>
    <mergeCell ref="FA2:FA4"/>
    <mergeCell ref="ER2:ER4"/>
    <mergeCell ref="ES2:ES4"/>
    <mergeCell ref="ET2:ET4"/>
    <mergeCell ref="EU2:EU4"/>
    <mergeCell ref="EV2:EV4"/>
    <mergeCell ref="EM2:EM4"/>
    <mergeCell ref="EN2:EN4"/>
    <mergeCell ref="EO2:EO4"/>
    <mergeCell ref="EP2:EP4"/>
    <mergeCell ref="EQ2:EQ4"/>
    <mergeCell ref="EH2:EH4"/>
    <mergeCell ref="EI2:EI4"/>
    <mergeCell ref="EJ2:EJ4"/>
    <mergeCell ref="EK2:EK4"/>
    <mergeCell ref="EL2:EL4"/>
    <mergeCell ref="EC2:EC4"/>
    <mergeCell ref="ED2:ED4"/>
    <mergeCell ref="EE2:EE4"/>
    <mergeCell ref="EF2:EF4"/>
    <mergeCell ref="EG2:EG4"/>
    <mergeCell ref="DX2:DX4"/>
    <mergeCell ref="DY2:DY4"/>
    <mergeCell ref="DZ2:DZ4"/>
    <mergeCell ref="EA2:EA4"/>
    <mergeCell ref="EB2:EB4"/>
    <mergeCell ref="DS2:DS4"/>
    <mergeCell ref="DT2:DT4"/>
    <mergeCell ref="DU2:DU4"/>
    <mergeCell ref="DV2:DV4"/>
    <mergeCell ref="DW2:DW4"/>
    <mergeCell ref="DN2:DN4"/>
    <mergeCell ref="DO2:DO4"/>
    <mergeCell ref="DP2:DP4"/>
    <mergeCell ref="DQ2:DQ4"/>
    <mergeCell ref="DR2:DR4"/>
    <mergeCell ref="DI2:DI4"/>
    <mergeCell ref="DJ2:DJ4"/>
    <mergeCell ref="DK2:DK4"/>
    <mergeCell ref="DL2:DL4"/>
    <mergeCell ref="DM2:DM4"/>
    <mergeCell ref="DD2:DD4"/>
    <mergeCell ref="DE2:DE4"/>
    <mergeCell ref="DF2:DF4"/>
    <mergeCell ref="DG2:DG4"/>
    <mergeCell ref="DH2:DH4"/>
    <mergeCell ref="CV2:CV4"/>
    <mergeCell ref="CZ2:CZ4"/>
    <mergeCell ref="DA2:DA4"/>
    <mergeCell ref="DB2:DB4"/>
    <mergeCell ref="DC2:DC4"/>
    <mergeCell ref="CQ2:CQ4"/>
    <mergeCell ref="CR2:CR4"/>
    <mergeCell ref="CS2:CS4"/>
    <mergeCell ref="CT2:CT4"/>
    <mergeCell ref="CU2:CU4"/>
    <mergeCell ref="CL2:CL4"/>
    <mergeCell ref="CM2:CM4"/>
    <mergeCell ref="CN2:CN4"/>
    <mergeCell ref="CO2:CO4"/>
    <mergeCell ref="CP2:CP4"/>
    <mergeCell ref="CG2:CG4"/>
    <mergeCell ref="CH2:CH4"/>
    <mergeCell ref="CI2:CI4"/>
    <mergeCell ref="CJ2:CJ4"/>
    <mergeCell ref="CK2:CK4"/>
    <mergeCell ref="CB2:CB4"/>
    <mergeCell ref="CC2:CC4"/>
    <mergeCell ref="CD2:CD4"/>
    <mergeCell ref="CE2:CE4"/>
    <mergeCell ref="CF2:CF4"/>
    <mergeCell ref="BW2:BW4"/>
    <mergeCell ref="BX2:BX4"/>
    <mergeCell ref="BY2:BY4"/>
    <mergeCell ref="BZ2:BZ4"/>
    <mergeCell ref="CA2:CA4"/>
    <mergeCell ref="BO2:BO4"/>
    <mergeCell ref="BP2:BP4"/>
    <mergeCell ref="BQ2:BQ4"/>
    <mergeCell ref="BR2:BR4"/>
    <mergeCell ref="BV2:BV4"/>
    <mergeCell ref="BJ2:BJ4"/>
    <mergeCell ref="BK2:BK4"/>
    <mergeCell ref="BL2:BL4"/>
    <mergeCell ref="BM2:BM4"/>
    <mergeCell ref="BN2:BN4"/>
    <mergeCell ref="BE2:BE4"/>
    <mergeCell ref="BF2:BF4"/>
    <mergeCell ref="BG2:BG4"/>
    <mergeCell ref="BH2:BH4"/>
    <mergeCell ref="BI2:BI4"/>
    <mergeCell ref="AZ2:AZ4"/>
    <mergeCell ref="BA2:BA4"/>
    <mergeCell ref="BB2:BB4"/>
    <mergeCell ref="BC2:BC4"/>
    <mergeCell ref="BD2:BD4"/>
    <mergeCell ref="AU2:AU4"/>
    <mergeCell ref="AV2:AV4"/>
    <mergeCell ref="AW2:AW4"/>
    <mergeCell ref="AX2:AX4"/>
    <mergeCell ref="AY2:AY4"/>
    <mergeCell ref="AP2:AP4"/>
    <mergeCell ref="AQ2:AQ4"/>
    <mergeCell ref="AR2:AR4"/>
    <mergeCell ref="AS2:AS4"/>
    <mergeCell ref="AT2:AT4"/>
    <mergeCell ref="GX1:GZ1"/>
    <mergeCell ref="HA1:HC1"/>
    <mergeCell ref="HD1:HF1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R2:R4"/>
    <mergeCell ref="S2:S4"/>
    <mergeCell ref="GI1:GK1"/>
    <mergeCell ref="GL1:GN1"/>
    <mergeCell ref="GO1:GQ1"/>
    <mergeCell ref="AK2:AK4"/>
    <mergeCell ref="AL2:AL4"/>
    <mergeCell ref="AM2:AM4"/>
    <mergeCell ref="AN2:AN4"/>
    <mergeCell ref="AO2:AO4"/>
    <mergeCell ref="GR1:GT1"/>
    <mergeCell ref="GU1:GW1"/>
    <mergeCell ref="FT1:FV1"/>
    <mergeCell ref="FW1:FX1"/>
    <mergeCell ref="FZ1:GB1"/>
    <mergeCell ref="GC1:GE1"/>
    <mergeCell ref="GF1:GH1"/>
    <mergeCell ref="FE1:FG1"/>
    <mergeCell ref="FH1:FJ1"/>
    <mergeCell ref="FK1:FM1"/>
    <mergeCell ref="FN1:FP1"/>
    <mergeCell ref="FQ1:FS1"/>
    <mergeCell ref="EP1:ER1"/>
    <mergeCell ref="ES1:EU1"/>
    <mergeCell ref="EV1:EX1"/>
    <mergeCell ref="EY1:FA1"/>
    <mergeCell ref="FB1:FD1"/>
    <mergeCell ref="EA1:EC1"/>
    <mergeCell ref="ED1:EF1"/>
    <mergeCell ref="EG1:EI1"/>
    <mergeCell ref="EJ1:EL1"/>
    <mergeCell ref="EM1:EO1"/>
    <mergeCell ref="DL1:DN1"/>
    <mergeCell ref="DO1:DQ1"/>
    <mergeCell ref="DR1:DT1"/>
    <mergeCell ref="DU1:DW1"/>
    <mergeCell ref="DX1:DZ1"/>
    <mergeCell ref="CW1:CY1"/>
    <mergeCell ref="CZ1:DB1"/>
    <mergeCell ref="DC1:DE1"/>
    <mergeCell ref="DF1:DH1"/>
    <mergeCell ref="DI1:DK1"/>
    <mergeCell ref="CH1:CJ1"/>
    <mergeCell ref="CK1:CM1"/>
    <mergeCell ref="CN1:CP1"/>
    <mergeCell ref="CQ1:CS1"/>
    <mergeCell ref="CT1:CV1"/>
    <mergeCell ref="BS1:BU1"/>
    <mergeCell ref="BV1:BX1"/>
    <mergeCell ref="BY1:CA1"/>
    <mergeCell ref="CB1:CD1"/>
    <mergeCell ref="CE1:CG1"/>
    <mergeCell ref="BD1:BF1"/>
    <mergeCell ref="BG1:BI1"/>
    <mergeCell ref="BJ1:BL1"/>
    <mergeCell ref="BM1:BO1"/>
    <mergeCell ref="BP1:BR1"/>
    <mergeCell ref="AO1:AQ1"/>
    <mergeCell ref="AR1:AT1"/>
    <mergeCell ref="AU1:AW1"/>
    <mergeCell ref="AX1:AZ1"/>
    <mergeCell ref="BA1:BC1"/>
    <mergeCell ref="A267:C267"/>
    <mergeCell ref="D1:F1"/>
    <mergeCell ref="G1:I1"/>
    <mergeCell ref="J1:L1"/>
    <mergeCell ref="M1:O1"/>
    <mergeCell ref="D31:D32"/>
    <mergeCell ref="E31:E32"/>
    <mergeCell ref="F31:F32"/>
    <mergeCell ref="A49:C49"/>
    <mergeCell ref="A91:C91"/>
    <mergeCell ref="A102:C102"/>
    <mergeCell ref="A140:C140"/>
    <mergeCell ref="A225:C225"/>
    <mergeCell ref="A235:C235"/>
    <mergeCell ref="A245:C245"/>
    <mergeCell ref="A255:C255"/>
    <mergeCell ref="A1:C1"/>
    <mergeCell ref="M21:M23"/>
    <mergeCell ref="N21:N23"/>
    <mergeCell ref="O21:O23"/>
    <mergeCell ref="AI1:AK1"/>
    <mergeCell ref="AL1:AN1"/>
    <mergeCell ref="AE38:AG40"/>
    <mergeCell ref="A2:C2"/>
    <mergeCell ref="A5:C5"/>
    <mergeCell ref="A14:C16"/>
    <mergeCell ref="P1:R1"/>
    <mergeCell ref="S1:U1"/>
    <mergeCell ref="V1:X1"/>
    <mergeCell ref="Y1:AA1"/>
    <mergeCell ref="AB1:AB4"/>
    <mergeCell ref="T2:T4"/>
    <mergeCell ref="U2:U4"/>
    <mergeCell ref="AC2:AC4"/>
    <mergeCell ref="AD2:AD4"/>
    <mergeCell ref="AE2:AE4"/>
    <mergeCell ref="AF2:AF4"/>
    <mergeCell ref="AG2:AG4"/>
    <mergeCell ref="AH2:AH4"/>
    <mergeCell ref="AI2:AI4"/>
    <mergeCell ref="AJ2:AJ4"/>
    <mergeCell ref="P21:P23"/>
    <mergeCell ref="Q21:Q23"/>
    <mergeCell ref="R21:R2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80"/>
  <sheetViews>
    <sheetView zoomScale="80" zoomScaleNormal="80" workbookViewId="0">
      <selection activeCell="B21" sqref="B21"/>
    </sheetView>
  </sheetViews>
  <sheetFormatPr defaultRowHeight="12.75" x14ac:dyDescent="0.2"/>
  <cols>
    <col min="1" max="1" width="15" style="52" bestFit="1" customWidth="1"/>
    <col min="2" max="2" width="9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28515625" style="52" bestFit="1" customWidth="1"/>
    <col min="79" max="79" width="18.85546875" style="52" bestFit="1" customWidth="1"/>
    <col min="80" max="80" width="11" style="52" bestFit="1" customWidth="1"/>
    <col min="81" max="81" width="9.28515625" style="52" bestFit="1" customWidth="1"/>
    <col min="82" max="82" width="20.28515625" style="52" bestFit="1" customWidth="1"/>
    <col min="83" max="83" width="12.42578125" style="52" bestFit="1" customWidth="1"/>
    <col min="84" max="84" width="9.28515625" style="52" bestFit="1" customWidth="1"/>
    <col min="85" max="85" width="20.28515625" style="52" bestFit="1" customWidth="1"/>
    <col min="86" max="86" width="13.5703125" style="52" bestFit="1" customWidth="1"/>
    <col min="87" max="87" width="9.2851562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6.285156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9.28515625" style="52" bestFit="1" customWidth="1"/>
    <col min="142" max="142" width="7" style="52" bestFit="1" customWidth="1"/>
    <col min="143" max="143" width="12" style="52" bestFit="1" customWidth="1"/>
    <col min="144" max="144" width="9.28515625" style="52" bestFit="1" customWidth="1"/>
    <col min="145" max="145" width="7" style="52" bestFit="1" customWidth="1"/>
    <col min="146" max="146" width="12" style="52" bestFit="1" customWidth="1"/>
    <col min="147" max="147" width="9.28515625" style="52" bestFit="1" customWidth="1"/>
    <col min="148" max="148" width="7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7" style="52" bestFit="1" customWidth="1"/>
    <col min="158" max="158" width="12" style="52" bestFit="1" customWidth="1"/>
    <col min="159" max="159" width="9.28515625" style="52" bestFit="1" customWidth="1"/>
    <col min="160" max="160" width="7" style="52" bestFit="1" customWidth="1"/>
    <col min="161" max="161" width="12" style="52" bestFit="1" customWidth="1"/>
    <col min="162" max="162" width="9.28515625" style="52" bestFit="1" customWidth="1"/>
    <col min="163" max="163" width="7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6.285156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9.28515625" style="52" bestFit="1" customWidth="1"/>
    <col min="187" max="187" width="7" style="52" bestFit="1" customWidth="1"/>
    <col min="188" max="188" width="12" style="52" bestFit="1" customWidth="1"/>
    <col min="189" max="189" width="9.28515625" style="52" bestFit="1" customWidth="1"/>
    <col min="190" max="190" width="7" style="52" bestFit="1" customWidth="1"/>
    <col min="191" max="191" width="12" style="52" bestFit="1" customWidth="1"/>
    <col min="192" max="192" width="9.28515625" style="52" bestFit="1" customWidth="1"/>
    <col min="193" max="193" width="7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7" style="52" bestFit="1" customWidth="1"/>
    <col min="203" max="203" width="12" style="52" bestFit="1" customWidth="1"/>
    <col min="204" max="204" width="9.28515625" style="52" bestFit="1" customWidth="1"/>
    <col min="205" max="205" width="7" style="52" bestFit="1" customWidth="1"/>
    <col min="206" max="206" width="12" style="52" bestFit="1" customWidth="1"/>
    <col min="207" max="207" width="9.28515625" style="52" bestFit="1" customWidth="1"/>
    <col min="208" max="208" width="7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9.28515625" style="52" bestFit="1" customWidth="1"/>
    <col min="214" max="214" width="22.42578125" style="52" bestFit="1" customWidth="1"/>
    <col min="215" max="16384" width="9.140625" style="52"/>
  </cols>
  <sheetData>
    <row r="1" spans="1:214" ht="21.75" thickTop="1" thickBot="1" x14ac:dyDescent="0.25">
      <c r="A1" s="652" t="s">
        <v>359</v>
      </c>
      <c r="B1" s="653"/>
      <c r="C1" s="654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565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296" t="s">
        <v>557</v>
      </c>
      <c r="AJ1" s="294"/>
      <c r="AK1" s="297"/>
      <c r="AL1" s="293" t="s">
        <v>546</v>
      </c>
      <c r="AM1" s="294"/>
      <c r="AN1" s="297"/>
      <c r="AO1" s="293" t="s">
        <v>547</v>
      </c>
      <c r="AP1" s="294"/>
      <c r="AQ1" s="295"/>
      <c r="AR1" s="296" t="s">
        <v>559</v>
      </c>
      <c r="AS1" s="294"/>
      <c r="AT1" s="297"/>
      <c r="AU1" s="293" t="s">
        <v>548</v>
      </c>
      <c r="AV1" s="294"/>
      <c r="AW1" s="297"/>
      <c r="AX1" s="293" t="s">
        <v>549</v>
      </c>
      <c r="AY1" s="294"/>
      <c r="AZ1" s="295"/>
      <c r="BA1" s="296" t="s">
        <v>561</v>
      </c>
      <c r="BB1" s="294"/>
      <c r="BC1" s="297"/>
      <c r="BD1" s="293" t="s">
        <v>551</v>
      </c>
      <c r="BE1" s="294"/>
      <c r="BF1" s="297"/>
      <c r="BG1" s="293" t="s">
        <v>552</v>
      </c>
      <c r="BH1" s="294"/>
      <c r="BI1" s="295"/>
      <c r="BJ1" s="296" t="s">
        <v>564</v>
      </c>
      <c r="BK1" s="294"/>
      <c r="BL1" s="297"/>
      <c r="BM1" s="293" t="s">
        <v>554</v>
      </c>
      <c r="BN1" s="294"/>
      <c r="BO1" s="297"/>
      <c r="BP1" s="293" t="s">
        <v>555</v>
      </c>
      <c r="BQ1" s="294"/>
      <c r="BR1" s="295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274" t="s">
        <v>569</v>
      </c>
      <c r="CC1" s="270"/>
      <c r="CD1" s="270"/>
      <c r="CE1" s="271" t="s">
        <v>570</v>
      </c>
      <c r="CF1" s="270"/>
      <c r="CG1" s="272"/>
      <c r="CH1" s="270" t="s">
        <v>571</v>
      </c>
      <c r="CI1" s="270"/>
      <c r="CJ1" s="273"/>
      <c r="CK1" s="270" t="s">
        <v>575</v>
      </c>
      <c r="CL1" s="270"/>
      <c r="CM1" s="270"/>
      <c r="CN1" s="271" t="s">
        <v>575</v>
      </c>
      <c r="CO1" s="270"/>
      <c r="CP1" s="272"/>
      <c r="CQ1" s="270" t="s">
        <v>575</v>
      </c>
      <c r="CR1" s="270"/>
      <c r="CS1" s="273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4.25" thickTop="1" thickBot="1" x14ac:dyDescent="0.25">
      <c r="A2" s="681" t="s">
        <v>240</v>
      </c>
      <c r="B2" s="682"/>
      <c r="C2" s="683"/>
      <c r="D2" s="193"/>
      <c r="E2" s="194"/>
      <c r="F2" s="194"/>
      <c r="G2" s="363" t="s">
        <v>531</v>
      </c>
      <c r="H2" s="360">
        <f>1/((1/H10)+(1/H12)+(1/H13))</f>
        <v>1.1025380256006502E-14</v>
      </c>
      <c r="I2" s="625" t="s">
        <v>13</v>
      </c>
      <c r="J2" s="622" t="s">
        <v>531</v>
      </c>
      <c r="K2" s="360">
        <f>1/((1/K14)+(1/K15)+(1/K16)+(1/K17))</f>
        <v>5.3709708663049801E-13</v>
      </c>
      <c r="L2" s="345" t="s">
        <v>12</v>
      </c>
      <c r="M2" s="330" t="s">
        <v>537</v>
      </c>
      <c r="N2" s="333">
        <f>((N5*N6*N7)/((1-EXP(-N7*N6))*N15*N13*(N9/365)*(((N14/24)*N12)+((N16/24)*N11))))*N17*N18*N8</f>
        <v>2.79210018525633E-7</v>
      </c>
      <c r="O2" s="336" t="s">
        <v>12</v>
      </c>
      <c r="P2" s="339" t="s">
        <v>537</v>
      </c>
      <c r="Q2" s="333">
        <f>((Q5*Q6*Q7)/((1-EXP(-Q7*Q6))*Q15*Q13*(Q9/365)*(((Q14/24)*Q12)+((Q16/24)*Q11))))*Q17*Q18*Q8</f>
        <v>1.9448686392952783E-6</v>
      </c>
      <c r="R2" s="336" t="s">
        <v>12</v>
      </c>
      <c r="S2" s="339" t="s">
        <v>537</v>
      </c>
      <c r="T2" s="333">
        <f>((T5*T6*T7)/((1-EXP(-T7*T6))*T15*T13*(T9/365)*(((T14/24)*T12)+((T16/24)*T11))))*T17*T18*T8</f>
        <v>3.4893384635691821E-7</v>
      </c>
      <c r="U2" s="342" t="s">
        <v>12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8.1950826922928769E-6</v>
      </c>
      <c r="AD2" s="315">
        <f>1/((1/AD29)+(1/AD30)+(1/AD31))</f>
        <v>1.0656165278140018E-6</v>
      </c>
      <c r="AE2" s="315">
        <f>1/((1/AE29)+(1/AE30)+(1/AE31))</f>
        <v>8.1950826922928769E-6</v>
      </c>
      <c r="AF2" s="315">
        <f>1/((1/AF29)+(1/AF30)+(1/AF31))</f>
        <v>7.5718571517324069E-6</v>
      </c>
      <c r="AG2" s="320">
        <f>1/((1/AG29)+(1/AG31)+(1/AG30))</f>
        <v>1.0147674497302728E-5</v>
      </c>
      <c r="AH2" s="318" t="s">
        <v>12</v>
      </c>
      <c r="AI2" s="306" t="s">
        <v>537</v>
      </c>
      <c r="AJ2" s="303">
        <f>((AJ5*AJ6*AJ7)/((1-EXP(-AJ7*AJ6))*AJ15*(AJ9/365)*AJ10*(AJ16/24)*AJ11*AJ13))*AJ17*AJ18*AJ8</f>
        <v>1.7168065619104124E-6</v>
      </c>
      <c r="AK2" s="290" t="s">
        <v>12</v>
      </c>
      <c r="AL2" s="287" t="s">
        <v>537</v>
      </c>
      <c r="AM2" s="303">
        <f>((AM5*AM6*AM7)/((1-EXP(-AM7*AM6))*AM15*(AM9/365)*AM10*(AM16/24)*AM11*AM13))*AM17*AM18*AM8</f>
        <v>1.1804808077303335E-5</v>
      </c>
      <c r="AN2" s="290" t="s">
        <v>12</v>
      </c>
      <c r="AO2" s="287" t="s">
        <v>537</v>
      </c>
      <c r="AP2" s="303">
        <f>((AP5*AP6*AP7)/((1-EXP(-AP7*AP6))*AP15*(AP9/365)*AP10*(AP16/24)*AP11*AP13))*AP17*AP18*AP8</f>
        <v>2.1358938603199679E-6</v>
      </c>
      <c r="AQ2" s="281" t="s">
        <v>12</v>
      </c>
      <c r="AR2" s="306" t="s">
        <v>537</v>
      </c>
      <c r="AS2" s="303">
        <f>((AS5*AS6*AS7)/((1-EXP(-AS7*AS6))*AS15*(AS9/365)*AS10*(AS14/24)*AS12*AS13))*AS17*AS18*AS8</f>
        <v>1.384521420895494E-5</v>
      </c>
      <c r="AT2" s="290" t="s">
        <v>12</v>
      </c>
      <c r="AU2" s="287" t="s">
        <v>537</v>
      </c>
      <c r="AV2" s="303">
        <f>((AV5*AV6*AV7)/((1-EXP(-AV7*AV6))*AV15*(AV9/365)*AV10*(AV14/24)*AV12*AV13))*AV17*AV18*AV8</f>
        <v>2.0318086191572007E-4</v>
      </c>
      <c r="AW2" s="290" t="s">
        <v>12</v>
      </c>
      <c r="AX2" s="287" t="s">
        <v>537</v>
      </c>
      <c r="AY2" s="303">
        <f>((AY5*AY6*AY7)/((1-EXP(-AY7*AY6))*AY15*(AY9/365)*AY10*(AY14/24)*AY12*AY13))*AY17*AY18*AY8</f>
        <v>2.1147463963564039E-5</v>
      </c>
      <c r="AZ2" s="281" t="s">
        <v>12</v>
      </c>
      <c r="BA2" s="306" t="s">
        <v>537</v>
      </c>
      <c r="BB2" s="303">
        <f>((BB5*BB6*BB7)/((1-EXP(-BB7*BB6))*BB15*(BB9/365)*(BB14/24)*BB12*BB13))*BB17*BB18*BB8</f>
        <v>1.384521420895494E-5</v>
      </c>
      <c r="BC2" s="290" t="s">
        <v>12</v>
      </c>
      <c r="BD2" s="287" t="s">
        <v>537</v>
      </c>
      <c r="BE2" s="303">
        <f>((BE5*BE6*BE7)/((1-EXP(-BE7*BE6))*BE15*(BE9/365)*(BE14/24)*BE12*BE13))*BE17*BE18*BE8</f>
        <v>2.0318086191572007E-4</v>
      </c>
      <c r="BF2" s="290" t="s">
        <v>12</v>
      </c>
      <c r="BG2" s="287" t="s">
        <v>537</v>
      </c>
      <c r="BH2" s="303">
        <f>((BH5*BH6*BH7)/((1-EXP(-BH7*BH6))*BH15*(BH9/365)*(BH14/24)*BH12*BH13))*BH17*BH18*BH8</f>
        <v>2.1147463963564039E-5</v>
      </c>
      <c r="BI2" s="281" t="s">
        <v>12</v>
      </c>
      <c r="BJ2" s="306" t="s">
        <v>537</v>
      </c>
      <c r="BK2" s="284">
        <f>((BK5*BK6*BK7)/((1-EXP(-BK7*BK6))*BK16*(BK9/365)*(BK15/24)*BK13*BK14))*BK17*BK18*BK8</f>
        <v>2.3075357014924898E-5</v>
      </c>
      <c r="BL2" s="290" t="s">
        <v>12</v>
      </c>
      <c r="BM2" s="287" t="s">
        <v>537</v>
      </c>
      <c r="BN2" s="284">
        <f>((BN5*BN6*BN7)/((1-EXP(-BN7*BN6))*BN16*(BN9/365)*(BN15/24)*BN13*BN14))*BN17*BN18*BN8</f>
        <v>3.3863476985953342E-4</v>
      </c>
      <c r="BO2" s="290" t="s">
        <v>12</v>
      </c>
      <c r="BP2" s="287" t="s">
        <v>537</v>
      </c>
      <c r="BQ2" s="284">
        <f>((BQ5*BQ6*BQ7)/((1-EXP(-BQ7*BQ6))*BQ16*(BQ9/365)*(BQ15/24)*BQ13*BQ14))*BQ17*BQ18*BQ8</f>
        <v>3.5245773272606719E-5</v>
      </c>
      <c r="BR2" s="281" t="s">
        <v>12</v>
      </c>
      <c r="BS2" s="214"/>
      <c r="BT2" s="120"/>
      <c r="BU2" s="215"/>
      <c r="BV2" s="258" t="s">
        <v>531</v>
      </c>
      <c r="BW2" s="261">
        <f>1/((1/BW10)+(1/BW12))</f>
        <v>1.0263498152436691E-10</v>
      </c>
      <c r="BX2" s="278" t="s">
        <v>13</v>
      </c>
      <c r="BY2" s="258" t="s">
        <v>531</v>
      </c>
      <c r="BZ2" s="261">
        <f>1/((1/BZ13)+(1/BZ14)+(1/BZ15))</f>
        <v>2.6738346885340663E-5</v>
      </c>
      <c r="CA2" s="264" t="s">
        <v>12</v>
      </c>
      <c r="CB2" s="267" t="s">
        <v>537</v>
      </c>
      <c r="CC2" s="261">
        <f>((CC5*CC6*CC7)/((1-EXP(-CC7*CC6))*CC14*(CC9/365)*CC12*(CC13/24)*CC11))*CC15*CC16*CC8</f>
        <v>3.146639592944304E-5</v>
      </c>
      <c r="CD2" s="278" t="s">
        <v>12</v>
      </c>
      <c r="CE2" s="258" t="s">
        <v>537</v>
      </c>
      <c r="CF2" s="261">
        <f>((CF5*CF6*CF7)/((1-EXP(-CF7*CF6))*CF14*(CF9/365)*CF12*(CF13/24)*CF11))*CF15*CF16*CF8</f>
        <v>4.6177468617209107E-4</v>
      </c>
      <c r="CG2" s="278" t="s">
        <v>12</v>
      </c>
      <c r="CH2" s="258" t="s">
        <v>537</v>
      </c>
      <c r="CI2" s="261">
        <f>((CI5*CI6*CI7)/((1-EXP(-CI7*CI6))*CI14*(CI9/365)*CI12*(CI13/24)*CI11))*CI15*CI16*CI8</f>
        <v>4.8062418099009178E-5</v>
      </c>
      <c r="CJ2" s="264" t="s">
        <v>12</v>
      </c>
      <c r="CK2" s="267" t="s">
        <v>530</v>
      </c>
      <c r="CL2" s="261">
        <f>(CL5/(CL6*CL7*CL8))*CL9*CL10*CO16</f>
        <v>3.6490209386281483E-6</v>
      </c>
      <c r="CM2" s="255" t="s">
        <v>12</v>
      </c>
      <c r="CN2" s="258" t="s">
        <v>7</v>
      </c>
      <c r="CO2" s="261" t="e">
        <f>(CL2/(CO5*((CO10*CO12*CO13*(CO6+CO7))+(CO11*CO12))))*CO17</f>
        <v>#DIV/0!</v>
      </c>
      <c r="CP2" s="278" t="s">
        <v>12</v>
      </c>
      <c r="CQ2" s="275" t="s">
        <v>6</v>
      </c>
      <c r="CR2" s="261" t="e">
        <f>CL2/(CR5*CR6*(1/CR7))</f>
        <v>#DIV/0!</v>
      </c>
      <c r="CS2" s="264" t="s">
        <v>12</v>
      </c>
      <c r="CT2" s="395" t="s">
        <v>531</v>
      </c>
      <c r="CU2" s="392">
        <f>1/((1/CU14)+(1/CU15)+(1/CU16)+(1/CU17))</f>
        <v>1.1761237355787781E-7</v>
      </c>
      <c r="CV2" s="389" t="s">
        <v>12</v>
      </c>
      <c r="CW2" s="218"/>
      <c r="CX2" s="219"/>
      <c r="CY2" s="219"/>
      <c r="CZ2" s="407" t="s">
        <v>531</v>
      </c>
      <c r="DA2" s="404">
        <f>1/((1/DA13)+(1/DA15)+(1/DA16))</f>
        <v>4.0396218381314423E-10</v>
      </c>
      <c r="DB2" s="401" t="s">
        <v>13</v>
      </c>
      <c r="DC2" s="442" t="s">
        <v>530</v>
      </c>
      <c r="DD2" s="439">
        <f>DD7</f>
        <v>3.6490209386281489E-8</v>
      </c>
      <c r="DE2" s="436" t="s">
        <v>12</v>
      </c>
      <c r="DF2" s="433" t="s">
        <v>530</v>
      </c>
      <c r="DG2" s="424">
        <f>DD7/((1/DG24)*(DG5+DG6+DG7))</f>
        <v>2.7221267797763408E-6</v>
      </c>
      <c r="DH2" s="430" t="s">
        <v>13</v>
      </c>
      <c r="DI2" s="427" t="s">
        <v>530</v>
      </c>
      <c r="DJ2" s="424">
        <f>(DD7/(DJ5+DJ6))*DJ12</f>
        <v>1.3281700279369404E-7</v>
      </c>
      <c r="DK2" s="430" t="s">
        <v>12</v>
      </c>
      <c r="DL2" s="427" t="s">
        <v>581</v>
      </c>
      <c r="DM2" s="424">
        <f>((DD7)/(DM5+DM6))*DJ12</f>
        <v>1.3281700279369404E-7</v>
      </c>
      <c r="DN2" s="430" t="s">
        <v>12</v>
      </c>
      <c r="DO2" s="427" t="s">
        <v>582</v>
      </c>
      <c r="DP2" s="424">
        <f>-(DP5+DP6+DP7)/(DP23+DP24)</f>
        <v>-49.001215422593845</v>
      </c>
      <c r="DQ2" s="421" t="s">
        <v>18</v>
      </c>
      <c r="DR2" s="574" t="s">
        <v>530</v>
      </c>
      <c r="DS2" s="445">
        <f>DS7</f>
        <v>7.2980418772562978E-8</v>
      </c>
      <c r="DT2" s="484" t="s">
        <v>12</v>
      </c>
      <c r="DU2" s="481" t="s">
        <v>530</v>
      </c>
      <c r="DV2" s="463">
        <f>(DS7*DV8)/(DV5*DV6*(1/1000))</f>
        <v>2.150166800221392E-3</v>
      </c>
      <c r="DW2" s="466" t="s">
        <v>13</v>
      </c>
      <c r="DX2" s="478" t="s">
        <v>530</v>
      </c>
      <c r="DY2" s="463">
        <f>(DS7*DY14)/(DY9*((DY10*DY12*DY13*(DY5+DY6))+(DY11*DY12)))*DY18</f>
        <v>3.3995668132613311E-5</v>
      </c>
      <c r="DZ2" s="466" t="s">
        <v>12</v>
      </c>
      <c r="EA2" s="478" t="s">
        <v>581</v>
      </c>
      <c r="EB2" s="463">
        <f>(DS7*DY14)/(EB9*((EB10*EB12*EB13*(EB5+EB6))+(EB11*EB12)))*DY18</f>
        <v>3.3995668132613311E-5</v>
      </c>
      <c r="EC2" s="466" t="s">
        <v>12</v>
      </c>
      <c r="ED2" s="478" t="s">
        <v>582</v>
      </c>
      <c r="EE2" s="463">
        <f>-EE15/((EE10*EE12*EE13*(EE5+EE6))+(EE11*EE12))</f>
        <v>-15.807288534561259</v>
      </c>
      <c r="EF2" s="460" t="s">
        <v>18</v>
      </c>
      <c r="EG2" s="475" t="s">
        <v>530</v>
      </c>
      <c r="EH2" s="469">
        <f>EH7</f>
        <v>7.2980418772562978E-8</v>
      </c>
      <c r="EI2" s="457" t="s">
        <v>12</v>
      </c>
      <c r="EJ2" s="472" t="s">
        <v>530</v>
      </c>
      <c r="EK2" s="454">
        <f>EH7/(EK5*EK6)</f>
        <v>8.099935490850497E-7</v>
      </c>
      <c r="EL2" s="451" t="s">
        <v>13</v>
      </c>
      <c r="EM2" s="448" t="s">
        <v>530</v>
      </c>
      <c r="EN2" s="454">
        <f>(EH7/(EN9*((EN10*EN12*EN13*(EN5+EN6))+(EN11*EN12))))*EN17</f>
        <v>1.178802877258057E-5</v>
      </c>
      <c r="EO2" s="451" t="s">
        <v>12</v>
      </c>
      <c r="EP2" s="448" t="s">
        <v>581</v>
      </c>
      <c r="EQ2" s="454">
        <f>(EH7/(EQ9*((EQ10*EQ12*EQ13*(EQ5+EQ6))+(EQ11*EQ12))))*EN17</f>
        <v>1.178802877258057E-5</v>
      </c>
      <c r="ER2" s="451" t="s">
        <v>12</v>
      </c>
      <c r="ES2" s="448" t="s">
        <v>582</v>
      </c>
      <c r="ET2" s="454">
        <f>-ET15/((ET10*ET12*ET13*(ET5+ET6))+(ET11*ET12))</f>
        <v>-14.550086614194845</v>
      </c>
      <c r="EU2" s="499" t="s">
        <v>18</v>
      </c>
      <c r="EV2" s="496" t="s">
        <v>530</v>
      </c>
      <c r="EW2" s="493">
        <f>EW7</f>
        <v>7.2980418772562978E-8</v>
      </c>
      <c r="EX2" s="490" t="s">
        <v>12</v>
      </c>
      <c r="EY2" s="487" t="s">
        <v>530</v>
      </c>
      <c r="EZ2" s="586" t="e">
        <f>EW7/(EZ5*EZ6*(1/EZ7))</f>
        <v>#DIV/0!</v>
      </c>
      <c r="FA2" s="592" t="s">
        <v>13</v>
      </c>
      <c r="FB2" s="589" t="s">
        <v>530</v>
      </c>
      <c r="FC2" s="586" t="e">
        <f>(EW7/(FC9*((FC10*FC12*FC13*(FC5+FC6))+(FC11*FC12))))*FC17</f>
        <v>#DIV/0!</v>
      </c>
      <c r="FD2" s="595" t="s">
        <v>12</v>
      </c>
      <c r="FE2" s="589" t="s">
        <v>581</v>
      </c>
      <c r="FF2" s="586">
        <f>(EW7/(FF9*(FF10*FF12*FF13*(FF5*FF6))+(FF11*FF12)))*FC17</f>
        <v>3.3180102152461018E-6</v>
      </c>
      <c r="FG2" s="592" t="s">
        <v>12</v>
      </c>
      <c r="FH2" s="589" t="s">
        <v>582</v>
      </c>
      <c r="FI2" s="586">
        <f>FI15/((FI10*FI12*FI13*(FI5+FI6))+(FI11*FI12))</f>
        <v>5.3050397877984095</v>
      </c>
      <c r="FJ2" s="583" t="s">
        <v>18</v>
      </c>
      <c r="FK2" s="580" t="s">
        <v>530</v>
      </c>
      <c r="FL2" s="577">
        <f>FL7</f>
        <v>7.2980418772562978E-8</v>
      </c>
      <c r="FM2" s="571" t="s">
        <v>12</v>
      </c>
      <c r="FN2" s="568" t="s">
        <v>530</v>
      </c>
      <c r="FO2" s="505">
        <f>FL7/(FO5*(1/FO6))</f>
        <v>1.8245104693140746E-5</v>
      </c>
      <c r="FP2" s="511" t="s">
        <v>13</v>
      </c>
      <c r="FQ2" s="508" t="s">
        <v>530</v>
      </c>
      <c r="FR2" s="505">
        <f>((FL7*FR6)/FR5)*FR10</f>
        <v>1.8249056183853558E-8</v>
      </c>
      <c r="FS2" s="511" t="s">
        <v>12</v>
      </c>
      <c r="FT2" s="508" t="s">
        <v>581</v>
      </c>
      <c r="FU2" s="505">
        <f>((FL7*FU6)/FU5)*FR10</f>
        <v>1.8249056183853558E-8</v>
      </c>
      <c r="FV2" s="511" t="s">
        <v>12</v>
      </c>
      <c r="FW2" s="508" t="s">
        <v>582</v>
      </c>
      <c r="FX2" s="505">
        <f>-FX5/FX6</f>
        <v>-1E-3</v>
      </c>
      <c r="FY2" s="502" t="s">
        <v>18</v>
      </c>
      <c r="FZ2" s="556" t="s">
        <v>530</v>
      </c>
      <c r="GA2" s="553">
        <f>GA7</f>
        <v>7.2980418772562978E-8</v>
      </c>
      <c r="GB2" s="550" t="s">
        <v>12</v>
      </c>
      <c r="GC2" s="559" t="s">
        <v>530</v>
      </c>
      <c r="GD2" s="538" t="e">
        <f>GA7/(GD5*GD6*(1/GD7))</f>
        <v>#DIV/0!</v>
      </c>
      <c r="GE2" s="544" t="s">
        <v>13</v>
      </c>
      <c r="GF2" s="541" t="s">
        <v>530</v>
      </c>
      <c r="GG2" s="538" t="e">
        <f>(GA7/((GG9)*((GG10*GG12*GG13*(GG5+GG6))+(GG11*GG12))))*GG17</f>
        <v>#DIV/0!</v>
      </c>
      <c r="GH2" s="544" t="s">
        <v>12</v>
      </c>
      <c r="GI2" s="541" t="s">
        <v>581</v>
      </c>
      <c r="GJ2" s="538" t="e">
        <f>(GA7/((GJ9)*((GJ10*GJ12*GJ13*(GJ5+GJ6))+(GJ11*GJ12))))*GG17</f>
        <v>#DIV/0!</v>
      </c>
      <c r="GK2" s="544" t="s">
        <v>12</v>
      </c>
      <c r="GL2" s="541" t="s">
        <v>582</v>
      </c>
      <c r="GM2" s="538">
        <f>GM15/((GM10*GM12*GM13*(GM5+GM6))+(GM11*GM12))</f>
        <v>5.3050397877984095</v>
      </c>
      <c r="GN2" s="535" t="s">
        <v>18</v>
      </c>
      <c r="GO2" s="532" t="s">
        <v>530</v>
      </c>
      <c r="GP2" s="529">
        <f>GP7</f>
        <v>7.2980418772562978E-8</v>
      </c>
      <c r="GQ2" s="526" t="s">
        <v>12</v>
      </c>
      <c r="GR2" s="523" t="s">
        <v>530</v>
      </c>
      <c r="GS2" s="517" t="e">
        <f>GP7/(GS5*GS6*(1/GS7))</f>
        <v>#DIV/0!</v>
      </c>
      <c r="GT2" s="514" t="s">
        <v>13</v>
      </c>
      <c r="GU2" s="520" t="s">
        <v>530</v>
      </c>
      <c r="GV2" s="517" t="e">
        <f>(GP7/((GV9)*((GV10*GV12*GV13*(GV5+GV6))+(GV11*GV12))))*GV17</f>
        <v>#DIV/0!</v>
      </c>
      <c r="GW2" s="514" t="s">
        <v>12</v>
      </c>
      <c r="GX2" s="520" t="s">
        <v>581</v>
      </c>
      <c r="GY2" s="517" t="e">
        <f>(GP7/((GY9*((GY10*GY12*GY13*(GY5+GY6))+(GY11*GY12)))))*GV17</f>
        <v>#DIV/0!</v>
      </c>
      <c r="GZ2" s="514" t="s">
        <v>12</v>
      </c>
      <c r="HA2" s="520" t="s">
        <v>582</v>
      </c>
      <c r="HB2" s="517">
        <f>GP7/((HB10*HB12*HB13*(HB5+HB6))+(HB11*HB12))</f>
        <v>4.491379086255337E-8</v>
      </c>
      <c r="HC2" s="547" t="s">
        <v>18</v>
      </c>
      <c r="HD2" s="54"/>
      <c r="HE2" s="55"/>
      <c r="HF2" s="56"/>
    </row>
    <row r="3" spans="1:214" ht="13.5" thickTop="1" x14ac:dyDescent="0.2">
      <c r="A3" s="114" t="s">
        <v>302</v>
      </c>
      <c r="B3" s="228">
        <v>0.124</v>
      </c>
      <c r="C3" s="115"/>
      <c r="D3" s="189" t="s">
        <v>15</v>
      </c>
      <c r="E3" s="134">
        <f>1/((1/E19)+(1/E20))</f>
        <v>7.9528705241598613E-14</v>
      </c>
      <c r="F3" s="58" t="s">
        <v>294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8.8040225339030763E-13</v>
      </c>
      <c r="X3" s="62" t="s">
        <v>294</v>
      </c>
      <c r="Y3" s="202" t="s">
        <v>16</v>
      </c>
      <c r="Z3" s="187">
        <f>1/((1/Z18)+(1/Z19))</f>
        <v>8.8040225339030763E-13</v>
      </c>
      <c r="AA3" s="63" t="s">
        <v>294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307"/>
      <c r="AS3" s="304"/>
      <c r="AT3" s="291"/>
      <c r="AU3" s="288"/>
      <c r="AV3" s="304"/>
      <c r="AW3" s="291"/>
      <c r="AX3" s="288"/>
      <c r="AY3" s="304"/>
      <c r="AZ3" s="282"/>
      <c r="BA3" s="307"/>
      <c r="BB3" s="304"/>
      <c r="BC3" s="291"/>
      <c r="BD3" s="288"/>
      <c r="BE3" s="304"/>
      <c r="BF3" s="291"/>
      <c r="BG3" s="288"/>
      <c r="BH3" s="304"/>
      <c r="BI3" s="282"/>
      <c r="BJ3" s="307"/>
      <c r="BK3" s="285"/>
      <c r="BL3" s="291"/>
      <c r="BM3" s="288"/>
      <c r="BN3" s="285"/>
      <c r="BO3" s="291"/>
      <c r="BP3" s="288"/>
      <c r="BQ3" s="285"/>
      <c r="BR3" s="282"/>
      <c r="BS3" s="212" t="s">
        <v>15</v>
      </c>
      <c r="BT3" s="64">
        <f>1/((1/BT18)+(1/BT19))</f>
        <v>1.0411030504354724E-12</v>
      </c>
      <c r="BU3" s="53" t="s">
        <v>294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56"/>
      <c r="CN3" s="259"/>
      <c r="CO3" s="262"/>
      <c r="CP3" s="279"/>
      <c r="CQ3" s="276"/>
      <c r="CR3" s="262"/>
      <c r="CS3" s="265"/>
      <c r="CT3" s="396"/>
      <c r="CU3" s="393"/>
      <c r="CV3" s="390"/>
      <c r="CW3" s="216" t="s">
        <v>15</v>
      </c>
      <c r="CX3" s="65">
        <f>1/((1/CX19)+(1/CX20))</f>
        <v>7.9514450128110608E-14</v>
      </c>
      <c r="CY3" s="66" t="s">
        <v>294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222">
        <f>(HE5*HE14)*(10^-3)*(HE13+(HE10/HE11))*((HE12*HE7)/HE8)</f>
        <v>6.076878828010807E-12</v>
      </c>
      <c r="HF3" s="220" t="s">
        <v>597</v>
      </c>
    </row>
    <row r="4" spans="1:214" ht="13.5" thickBot="1" x14ac:dyDescent="0.25">
      <c r="A4" s="116" t="s">
        <v>54</v>
      </c>
      <c r="B4" s="229">
        <v>0.79200000000000004</v>
      </c>
      <c r="C4" s="117"/>
      <c r="D4" s="190" t="s">
        <v>16</v>
      </c>
      <c r="E4" s="135">
        <f>1/((1/E21)+(1/E22))</f>
        <v>7.9545929420108412E-14</v>
      </c>
      <c r="F4" s="68" t="s">
        <v>294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8.8021161880116733E-13</v>
      </c>
      <c r="X4" s="76" t="s">
        <v>294</v>
      </c>
      <c r="Y4" s="203" t="s">
        <v>15</v>
      </c>
      <c r="Z4" s="186">
        <f>1/((1/Z16)+(1/Z17))</f>
        <v>8.8021161880116733E-13</v>
      </c>
      <c r="AA4" s="77" t="s">
        <v>294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308"/>
      <c r="AS4" s="305"/>
      <c r="AT4" s="292"/>
      <c r="AU4" s="289"/>
      <c r="AV4" s="305"/>
      <c r="AW4" s="292"/>
      <c r="AX4" s="289"/>
      <c r="AY4" s="305"/>
      <c r="AZ4" s="283"/>
      <c r="BA4" s="308"/>
      <c r="BB4" s="305"/>
      <c r="BC4" s="292"/>
      <c r="BD4" s="289"/>
      <c r="BE4" s="305"/>
      <c r="BF4" s="292"/>
      <c r="BG4" s="289"/>
      <c r="BH4" s="305"/>
      <c r="BI4" s="283"/>
      <c r="BJ4" s="308"/>
      <c r="BK4" s="286"/>
      <c r="BL4" s="292"/>
      <c r="BM4" s="289"/>
      <c r="BN4" s="286"/>
      <c r="BO4" s="292"/>
      <c r="BP4" s="289"/>
      <c r="BQ4" s="286"/>
      <c r="BR4" s="283"/>
      <c r="BS4" s="213" t="s">
        <v>16</v>
      </c>
      <c r="BT4" s="78">
        <f>1/((1/BT20)+(1/BT21))</f>
        <v>1.0413285305905098E-12</v>
      </c>
      <c r="BU4" s="79" t="s">
        <v>294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57"/>
      <c r="CN4" s="260"/>
      <c r="CO4" s="263"/>
      <c r="CP4" s="280"/>
      <c r="CQ4" s="277"/>
      <c r="CR4" s="263"/>
      <c r="CS4" s="266"/>
      <c r="CT4" s="397"/>
      <c r="CU4" s="394"/>
      <c r="CV4" s="391"/>
      <c r="CW4" s="217" t="s">
        <v>16</v>
      </c>
      <c r="CX4" s="80">
        <f>1/((1/CX21)+(1/CX22))</f>
        <v>7.9531671219274515E-14</v>
      </c>
      <c r="CY4" s="81" t="s">
        <v>294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224">
        <f>(HE6*HE14)*10^-3*(HE13+(HE10/HE11))*((HE12*HE7)/(HE8))</f>
        <v>1.3233321734734992E-17</v>
      </c>
      <c r="HF4" s="221" t="s">
        <v>598</v>
      </c>
    </row>
    <row r="5" spans="1:214" ht="14.25" thickTop="1" thickBot="1" x14ac:dyDescent="0.25">
      <c r="A5" s="681" t="s">
        <v>241</v>
      </c>
      <c r="B5" s="682"/>
      <c r="C5" s="683"/>
      <c r="D5" s="52" t="s">
        <v>267</v>
      </c>
      <c r="E5" s="136">
        <f>B17</f>
        <v>1</v>
      </c>
      <c r="F5" s="52" t="s">
        <v>344</v>
      </c>
      <c r="G5" s="83" t="s">
        <v>267</v>
      </c>
      <c r="H5" s="136">
        <f>B17</f>
        <v>1</v>
      </c>
      <c r="I5" s="52" t="s">
        <v>344</v>
      </c>
      <c r="J5" s="83" t="s">
        <v>267</v>
      </c>
      <c r="K5" s="136">
        <f>B17</f>
        <v>1</v>
      </c>
      <c r="L5" s="52" t="s">
        <v>344</v>
      </c>
      <c r="M5" s="52" t="s">
        <v>267</v>
      </c>
      <c r="N5" s="136">
        <f>B17</f>
        <v>1</v>
      </c>
      <c r="O5" s="52" t="s">
        <v>344</v>
      </c>
      <c r="P5" s="52" t="s">
        <v>267</v>
      </c>
      <c r="Q5" s="136">
        <f>B17</f>
        <v>1</v>
      </c>
      <c r="R5" s="52" t="s">
        <v>344</v>
      </c>
      <c r="S5" s="52" t="s">
        <v>267</v>
      </c>
      <c r="T5" s="136">
        <f>B17</f>
        <v>1</v>
      </c>
      <c r="U5" s="52" t="s">
        <v>344</v>
      </c>
      <c r="V5" s="52" t="s">
        <v>267</v>
      </c>
      <c r="W5" s="136">
        <f>B17</f>
        <v>1</v>
      </c>
      <c r="X5" s="52" t="s">
        <v>344</v>
      </c>
      <c r="Y5" s="52" t="s">
        <v>267</v>
      </c>
      <c r="Z5" s="136">
        <f>B17</f>
        <v>1</v>
      </c>
      <c r="AA5" s="52" t="s">
        <v>344</v>
      </c>
      <c r="AB5" s="83" t="s">
        <v>267</v>
      </c>
      <c r="AC5" s="136">
        <f>B17</f>
        <v>1</v>
      </c>
      <c r="AD5" s="136">
        <f>B17</f>
        <v>1</v>
      </c>
      <c r="AE5" s="136">
        <f>B17</f>
        <v>1</v>
      </c>
      <c r="AF5" s="136">
        <f>B17</f>
        <v>1</v>
      </c>
      <c r="AG5" s="136">
        <f>B17</f>
        <v>1</v>
      </c>
      <c r="AH5" s="52" t="s">
        <v>344</v>
      </c>
      <c r="AI5" s="52" t="s">
        <v>267</v>
      </c>
      <c r="AJ5" s="136">
        <f>B17</f>
        <v>1</v>
      </c>
      <c r="AK5" s="52" t="s">
        <v>344</v>
      </c>
      <c r="AL5" s="52" t="s">
        <v>267</v>
      </c>
      <c r="AM5" s="136">
        <f>B17</f>
        <v>1</v>
      </c>
      <c r="AN5" s="52" t="s">
        <v>344</v>
      </c>
      <c r="AO5" s="52" t="s">
        <v>267</v>
      </c>
      <c r="AP5" s="136">
        <f>B17</f>
        <v>1</v>
      </c>
      <c r="AQ5" s="52" t="s">
        <v>344</v>
      </c>
      <c r="AR5" s="52" t="s">
        <v>267</v>
      </c>
      <c r="AS5" s="136">
        <f>B17</f>
        <v>1</v>
      </c>
      <c r="AT5" s="52" t="s">
        <v>344</v>
      </c>
      <c r="AU5" s="52" t="s">
        <v>267</v>
      </c>
      <c r="AV5" s="136">
        <f>B17</f>
        <v>1</v>
      </c>
      <c r="AW5" s="52" t="s">
        <v>344</v>
      </c>
      <c r="AX5" s="52" t="s">
        <v>267</v>
      </c>
      <c r="AY5" s="136">
        <f>B17</f>
        <v>1</v>
      </c>
      <c r="AZ5" s="52" t="s">
        <v>344</v>
      </c>
      <c r="BA5" s="52" t="s">
        <v>267</v>
      </c>
      <c r="BB5" s="136">
        <f>B17</f>
        <v>1</v>
      </c>
      <c r="BC5" s="52" t="s">
        <v>344</v>
      </c>
      <c r="BD5" s="52" t="s">
        <v>267</v>
      </c>
      <c r="BE5" s="136">
        <f>B17</f>
        <v>1</v>
      </c>
      <c r="BF5" s="52" t="s">
        <v>344</v>
      </c>
      <c r="BG5" s="52" t="s">
        <v>267</v>
      </c>
      <c r="BH5" s="136">
        <f>B17</f>
        <v>1</v>
      </c>
      <c r="BI5" s="52" t="s">
        <v>344</v>
      </c>
      <c r="BJ5" s="52" t="s">
        <v>267</v>
      </c>
      <c r="BK5" s="136">
        <f>B17</f>
        <v>1</v>
      </c>
      <c r="BL5" s="52" t="s">
        <v>344</v>
      </c>
      <c r="BM5" s="52" t="s">
        <v>267</v>
      </c>
      <c r="BN5" s="136">
        <f>B17</f>
        <v>1</v>
      </c>
      <c r="BO5" s="52" t="s">
        <v>344</v>
      </c>
      <c r="BP5" s="52" t="s">
        <v>267</v>
      </c>
      <c r="BQ5" s="136">
        <f>B17</f>
        <v>1</v>
      </c>
      <c r="BR5" s="52" t="s">
        <v>344</v>
      </c>
      <c r="BS5" s="52" t="s">
        <v>267</v>
      </c>
      <c r="BT5" s="136">
        <f>B17</f>
        <v>1</v>
      </c>
      <c r="BU5" s="52" t="s">
        <v>344</v>
      </c>
      <c r="BV5" s="83" t="s">
        <v>267</v>
      </c>
      <c r="BW5" s="136">
        <f>B17</f>
        <v>1</v>
      </c>
      <c r="BX5" s="52" t="s">
        <v>344</v>
      </c>
      <c r="BY5" s="83" t="s">
        <v>267</v>
      </c>
      <c r="BZ5" s="136">
        <f>B17</f>
        <v>1</v>
      </c>
      <c r="CA5" s="52" t="s">
        <v>344</v>
      </c>
      <c r="CB5" s="52" t="s">
        <v>267</v>
      </c>
      <c r="CC5" s="136">
        <f>B17</f>
        <v>1</v>
      </c>
      <c r="CD5" s="52" t="s">
        <v>344</v>
      </c>
      <c r="CE5" s="52" t="s">
        <v>267</v>
      </c>
      <c r="CF5" s="136">
        <f>B17</f>
        <v>1</v>
      </c>
      <c r="CG5" s="52" t="s">
        <v>344</v>
      </c>
      <c r="CH5" s="52" t="s">
        <v>267</v>
      </c>
      <c r="CI5" s="136">
        <f>B17</f>
        <v>1</v>
      </c>
      <c r="CJ5" s="52" t="s">
        <v>344</v>
      </c>
      <c r="CK5" s="52" t="s">
        <v>267</v>
      </c>
      <c r="CL5" s="136">
        <f>B17</f>
        <v>1</v>
      </c>
      <c r="CM5" s="52" t="s">
        <v>344</v>
      </c>
      <c r="CN5" s="83" t="s">
        <v>228</v>
      </c>
      <c r="CO5" s="136">
        <f>B42</f>
        <v>0</v>
      </c>
      <c r="CP5" s="52" t="s">
        <v>268</v>
      </c>
      <c r="CQ5" s="83" t="s">
        <v>228</v>
      </c>
      <c r="CR5" s="136">
        <f>CO5</f>
        <v>0</v>
      </c>
      <c r="CS5" s="52" t="s">
        <v>268</v>
      </c>
      <c r="CT5" s="83" t="s">
        <v>267</v>
      </c>
      <c r="CU5" s="136">
        <f>B17</f>
        <v>1</v>
      </c>
      <c r="CV5" s="52" t="s">
        <v>344</v>
      </c>
      <c r="CW5" s="52" t="s">
        <v>267</v>
      </c>
      <c r="CX5" s="136">
        <f>B17</f>
        <v>1</v>
      </c>
      <c r="CY5" s="52" t="s">
        <v>344</v>
      </c>
      <c r="CZ5" s="83" t="s">
        <v>267</v>
      </c>
      <c r="DA5" s="136">
        <f>B17</f>
        <v>1</v>
      </c>
      <c r="DB5" s="52" t="s">
        <v>344</v>
      </c>
      <c r="DC5" s="83" t="s">
        <v>267</v>
      </c>
      <c r="DD5" s="136">
        <f>B17</f>
        <v>1</v>
      </c>
      <c r="DE5" s="52" t="s">
        <v>344</v>
      </c>
      <c r="DF5" s="52" t="s">
        <v>17</v>
      </c>
      <c r="DG5" s="137">
        <f>(DG8*DG9*DG10*((1-EXP(-DG11*DG12))))/(DG13*DG11)</f>
        <v>0.52579260245651049</v>
      </c>
      <c r="DH5" s="52" t="s">
        <v>18</v>
      </c>
      <c r="DI5" s="83" t="s">
        <v>19</v>
      </c>
      <c r="DJ5" s="161">
        <f>DJ7</f>
        <v>1.4800000000000001E-2</v>
      </c>
      <c r="DK5" s="83"/>
      <c r="DL5" s="83" t="s">
        <v>19</v>
      </c>
      <c r="DM5" s="161">
        <f>DM7</f>
        <v>1.4800000000000001E-2</v>
      </c>
      <c r="DO5" s="52" t="s">
        <v>17</v>
      </c>
      <c r="DP5" s="137">
        <f>(DP8*DP9*DP10*((1-EXP(-DP11*DP12))))/(DP13*DP11)</f>
        <v>0.52904687928279526</v>
      </c>
      <c r="DQ5" s="52" t="s">
        <v>18</v>
      </c>
      <c r="DR5" s="83" t="s">
        <v>267</v>
      </c>
      <c r="DS5" s="136">
        <f>B17</f>
        <v>1</v>
      </c>
      <c r="DT5" s="52" t="s">
        <v>344</v>
      </c>
      <c r="DU5" s="83" t="s">
        <v>239</v>
      </c>
      <c r="DV5" s="169">
        <f>B36</f>
        <v>3.8000000000000002E-4</v>
      </c>
      <c r="DW5" s="52" t="s">
        <v>601</v>
      </c>
      <c r="DX5" s="83" t="s">
        <v>20</v>
      </c>
      <c r="DY5" s="161">
        <f>DY7</f>
        <v>1.7000000000000001E-2</v>
      </c>
      <c r="DZ5" s="83"/>
      <c r="EA5" s="83" t="s">
        <v>20</v>
      </c>
      <c r="EB5" s="161">
        <f>EB7</f>
        <v>1.7000000000000001E-2</v>
      </c>
      <c r="EC5" s="84"/>
      <c r="ED5" s="83" t="s">
        <v>20</v>
      </c>
      <c r="EE5" s="161">
        <f>EE7</f>
        <v>1.7000000000000001E-2</v>
      </c>
      <c r="EF5" s="84"/>
      <c r="EG5" s="83" t="s">
        <v>267</v>
      </c>
      <c r="EH5" s="136">
        <f>B17</f>
        <v>1</v>
      </c>
      <c r="EI5" s="52" t="s">
        <v>344</v>
      </c>
      <c r="EJ5" s="83" t="s">
        <v>236</v>
      </c>
      <c r="EK5" s="169">
        <f>B37</f>
        <v>1.6999999999999999E-3</v>
      </c>
      <c r="EL5" s="52" t="s">
        <v>388</v>
      </c>
      <c r="EM5" s="83" t="s">
        <v>20</v>
      </c>
      <c r="EN5" s="161">
        <f>EN7</f>
        <v>1.7000000000000001E-2</v>
      </c>
      <c r="EO5" s="83"/>
      <c r="EP5" s="83" t="s">
        <v>20</v>
      </c>
      <c r="EQ5" s="161">
        <f>EQ7</f>
        <v>1.7000000000000001E-2</v>
      </c>
      <c r="ER5" s="84"/>
      <c r="ES5" s="83" t="s">
        <v>20</v>
      </c>
      <c r="ET5" s="161">
        <f>ET7</f>
        <v>1.7000000000000001E-2</v>
      </c>
      <c r="EU5" s="84"/>
      <c r="EV5" s="83" t="s">
        <v>267</v>
      </c>
      <c r="EW5" s="136">
        <f>B17</f>
        <v>1</v>
      </c>
      <c r="EX5" s="52" t="s">
        <v>344</v>
      </c>
      <c r="EY5" s="83" t="s">
        <v>171</v>
      </c>
      <c r="EZ5" s="169">
        <f>B39</f>
        <v>0</v>
      </c>
      <c r="FA5" s="52" t="s">
        <v>388</v>
      </c>
      <c r="FB5" s="83" t="s">
        <v>20</v>
      </c>
      <c r="FC5" s="161">
        <f>FC7</f>
        <v>1.7000000000000001E-2</v>
      </c>
      <c r="FD5" s="83"/>
      <c r="FE5" s="83" t="s">
        <v>20</v>
      </c>
      <c r="FF5" s="161">
        <f>FF7</f>
        <v>1.7000000000000001E-2</v>
      </c>
      <c r="FG5" s="83"/>
      <c r="FH5" s="83" t="s">
        <v>20</v>
      </c>
      <c r="FI5" s="161">
        <f>FI7</f>
        <v>1.7000000000000001E-2</v>
      </c>
      <c r="FJ5" s="84"/>
      <c r="FK5" s="83" t="s">
        <v>267</v>
      </c>
      <c r="FL5" s="136">
        <f>B17</f>
        <v>1</v>
      </c>
      <c r="FM5" s="52" t="s">
        <v>344</v>
      </c>
      <c r="FN5" s="83" t="s">
        <v>105</v>
      </c>
      <c r="FO5" s="161">
        <f>B35</f>
        <v>4</v>
      </c>
      <c r="FP5" s="83" t="s">
        <v>18</v>
      </c>
      <c r="FQ5" s="83" t="s">
        <v>105</v>
      </c>
      <c r="FR5" s="161">
        <f>B35</f>
        <v>4</v>
      </c>
      <c r="FS5" s="83" t="s">
        <v>18</v>
      </c>
      <c r="FT5" s="83" t="s">
        <v>105</v>
      </c>
      <c r="FU5" s="161">
        <f>B35</f>
        <v>4</v>
      </c>
      <c r="FV5" s="83" t="s">
        <v>18</v>
      </c>
      <c r="FW5" s="83" t="s">
        <v>156</v>
      </c>
      <c r="FX5" s="161">
        <f>B45</f>
        <v>1</v>
      </c>
      <c r="FY5" s="88" t="s">
        <v>18</v>
      </c>
      <c r="FZ5" s="83" t="s">
        <v>267</v>
      </c>
      <c r="GA5" s="136">
        <f>B17</f>
        <v>1</v>
      </c>
      <c r="GB5" s="52" t="s">
        <v>344</v>
      </c>
      <c r="GC5" s="83" t="s">
        <v>237</v>
      </c>
      <c r="GD5" s="169">
        <f>B38</f>
        <v>0</v>
      </c>
      <c r="GE5" s="52" t="s">
        <v>388</v>
      </c>
      <c r="GF5" s="83" t="s">
        <v>20</v>
      </c>
      <c r="GG5" s="161">
        <f>GG7</f>
        <v>1.7000000000000001E-2</v>
      </c>
      <c r="GH5" s="83"/>
      <c r="GI5" s="83" t="s">
        <v>20</v>
      </c>
      <c r="GJ5" s="161">
        <f>GJ7</f>
        <v>1.7000000000000001E-2</v>
      </c>
      <c r="GK5" s="83"/>
      <c r="GL5" s="83" t="s">
        <v>20</v>
      </c>
      <c r="GM5" s="161">
        <f>GM7</f>
        <v>1.7000000000000001E-2</v>
      </c>
      <c r="GN5" s="84"/>
      <c r="GO5" s="83" t="s">
        <v>267</v>
      </c>
      <c r="GP5" s="136">
        <f>B17</f>
        <v>1</v>
      </c>
      <c r="GQ5" s="52" t="s">
        <v>344</v>
      </c>
      <c r="GR5" s="83" t="s">
        <v>238</v>
      </c>
      <c r="GS5" s="169">
        <f>B40</f>
        <v>0</v>
      </c>
      <c r="GT5" s="52" t="s">
        <v>388</v>
      </c>
      <c r="GU5" s="83" t="s">
        <v>20</v>
      </c>
      <c r="GV5" s="161">
        <f>GV7</f>
        <v>1.7000000000000001E-2</v>
      </c>
      <c r="GW5" s="83"/>
      <c r="GX5" s="83" t="s">
        <v>20</v>
      </c>
      <c r="GY5" s="161">
        <f>GY7</f>
        <v>1.7000000000000001E-2</v>
      </c>
      <c r="GZ5" s="83"/>
      <c r="HA5" s="83" t="s">
        <v>20</v>
      </c>
      <c r="HB5" s="161">
        <f>HB7</f>
        <v>1.7000000000000001E-2</v>
      </c>
      <c r="HC5" s="84"/>
      <c r="HD5" s="89" t="s">
        <v>21</v>
      </c>
      <c r="HE5" s="225">
        <f>B46</f>
        <v>5.0629691616000001E-9</v>
      </c>
      <c r="HF5" s="83" t="s">
        <v>13</v>
      </c>
    </row>
    <row r="6" spans="1:214" ht="13.5" thickTop="1" x14ac:dyDescent="0.2">
      <c r="A6" s="114" t="s">
        <v>339</v>
      </c>
      <c r="B6" s="228">
        <v>5.8099999999999999E-2</v>
      </c>
      <c r="C6" s="231"/>
      <c r="D6" s="83" t="s">
        <v>22</v>
      </c>
      <c r="E6" s="137">
        <f>0.693/E7</f>
        <v>4.3312499999999997E-4</v>
      </c>
      <c r="G6" s="83" t="s">
        <v>248</v>
      </c>
      <c r="H6" s="136">
        <f>B19</f>
        <v>1.67911012348351E-3</v>
      </c>
      <c r="I6" s="83" t="s">
        <v>259</v>
      </c>
      <c r="J6" s="83" t="s">
        <v>249</v>
      </c>
      <c r="K6" s="136">
        <f>B20</f>
        <v>1.67911012348351E-3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4.3312499999999997E-4</v>
      </c>
      <c r="BV6" s="83" t="s">
        <v>248</v>
      </c>
      <c r="BW6" s="136">
        <f>B19</f>
        <v>1.67911012348351E-3</v>
      </c>
      <c r="BX6" s="83" t="s">
        <v>259</v>
      </c>
      <c r="BY6" s="83" t="s">
        <v>249</v>
      </c>
      <c r="BZ6" s="136">
        <f>B20</f>
        <v>1.67911012348351E-3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B29</f>
        <v>1.67911012348351E-3</v>
      </c>
      <c r="CM6" s="91" t="s">
        <v>10</v>
      </c>
      <c r="CN6" s="84" t="s">
        <v>20</v>
      </c>
      <c r="CO6" s="139">
        <f>CO8</f>
        <v>1.7000000000000001E-2</v>
      </c>
      <c r="CQ6" s="84" t="s">
        <v>169</v>
      </c>
      <c r="CR6" s="162">
        <f>B133</f>
        <v>2</v>
      </c>
      <c r="CS6" s="52" t="s">
        <v>28</v>
      </c>
      <c r="CT6" s="83" t="s">
        <v>249</v>
      </c>
      <c r="CU6" s="136">
        <f>B20</f>
        <v>1.67911012348351E-3</v>
      </c>
      <c r="CV6" s="83" t="s">
        <v>259</v>
      </c>
      <c r="CW6" s="83" t="s">
        <v>22</v>
      </c>
      <c r="CX6" s="137">
        <f>0.693/CX7</f>
        <v>4.3312499999999997E-4</v>
      </c>
      <c r="CZ6" s="83" t="s">
        <v>248</v>
      </c>
      <c r="DA6" s="136">
        <f>B19</f>
        <v>1.67911012348351E-3</v>
      </c>
      <c r="DB6" s="83" t="s">
        <v>259</v>
      </c>
      <c r="DC6" s="83" t="s">
        <v>258</v>
      </c>
      <c r="DD6" s="136">
        <f>B29</f>
        <v>1.67911012348351E-3</v>
      </c>
      <c r="DE6" s="92" t="s">
        <v>259</v>
      </c>
      <c r="DF6" s="52" t="s">
        <v>25</v>
      </c>
      <c r="DG6" s="137">
        <f>(DG8*DG9*DG14*((1-EXP(-DG11*DG12))))/(DG13*DG11)</f>
        <v>9.2368970701819411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B29</f>
        <v>1.67911012348351E-3</v>
      </c>
      <c r="DT6" s="83" t="s">
        <v>259</v>
      </c>
      <c r="DU6" s="83" t="s">
        <v>27</v>
      </c>
      <c r="DV6" s="142">
        <f>B199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B29</f>
        <v>1.67911012348351E-3</v>
      </c>
      <c r="EI6" s="83" t="s">
        <v>259</v>
      </c>
      <c r="EJ6" s="83" t="s">
        <v>29</v>
      </c>
      <c r="EK6" s="142">
        <f>B205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B29</f>
        <v>1.67911012348351E-3</v>
      </c>
      <c r="EX6" s="83" t="s">
        <v>259</v>
      </c>
      <c r="EY6" s="83" t="s">
        <v>148</v>
      </c>
      <c r="EZ6" s="164">
        <f>B210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B29</f>
        <v>1.67911012348351E-3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B45</f>
        <v>1</v>
      </c>
      <c r="FS6" s="83" t="s">
        <v>18</v>
      </c>
      <c r="FT6" s="83" t="s">
        <v>156</v>
      </c>
      <c r="FU6" s="161">
        <f>B45</f>
        <v>1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B29</f>
        <v>1.67911012348351E-3</v>
      </c>
      <c r="GB6" s="83" t="s">
        <v>259</v>
      </c>
      <c r="GC6" s="83" t="s">
        <v>485</v>
      </c>
      <c r="GD6" s="164">
        <f>B215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B29</f>
        <v>1.67911012348351E-3</v>
      </c>
      <c r="GQ6" s="83" t="s">
        <v>259</v>
      </c>
      <c r="GR6" s="83" t="s">
        <v>150</v>
      </c>
      <c r="GS6" s="142">
        <f>B220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1.1025380256006502E-14</v>
      </c>
      <c r="HF6" s="83" t="s">
        <v>13</v>
      </c>
    </row>
    <row r="7" spans="1:214" x14ac:dyDescent="0.2">
      <c r="A7" s="116" t="s">
        <v>242</v>
      </c>
      <c r="B7" s="229">
        <v>0.624</v>
      </c>
      <c r="C7" s="232"/>
      <c r="D7" s="91" t="s">
        <v>231</v>
      </c>
      <c r="E7" s="136">
        <f>B30</f>
        <v>1600</v>
      </c>
      <c r="F7" s="52" t="s">
        <v>60</v>
      </c>
      <c r="G7" s="83" t="s">
        <v>247</v>
      </c>
      <c r="H7" s="139">
        <f>B18</f>
        <v>3.8043873993229303E-2</v>
      </c>
      <c r="I7" s="84" t="s">
        <v>259</v>
      </c>
      <c r="J7" s="83" t="s">
        <v>247</v>
      </c>
      <c r="K7" s="136">
        <f>B18</f>
        <v>3.8043873993229303E-2</v>
      </c>
      <c r="L7" s="84" t="s">
        <v>259</v>
      </c>
      <c r="M7" s="83" t="s">
        <v>22</v>
      </c>
      <c r="N7" s="137">
        <f>0.693/N8</f>
        <v>4.3312499999999997E-4</v>
      </c>
      <c r="P7" s="83" t="s">
        <v>22</v>
      </c>
      <c r="Q7" s="137">
        <f>0.693/Q8</f>
        <v>4.3312499999999997E-4</v>
      </c>
      <c r="S7" s="83" t="s">
        <v>22</v>
      </c>
      <c r="T7" s="137">
        <f>0.693/T8</f>
        <v>4.3312499999999997E-4</v>
      </c>
      <c r="V7" s="83" t="s">
        <v>22</v>
      </c>
      <c r="W7" s="137">
        <f>0.693/W8</f>
        <v>4.3312499999999997E-4</v>
      </c>
      <c r="Y7" s="83" t="s">
        <v>22</v>
      </c>
      <c r="Z7" s="137">
        <f>0.693/Z8</f>
        <v>4.3312499999999997E-4</v>
      </c>
      <c r="AB7" s="83" t="s">
        <v>425</v>
      </c>
      <c r="AC7" s="150">
        <f>B227</f>
        <v>125</v>
      </c>
      <c r="AD7" s="150">
        <f>B237</f>
        <v>125</v>
      </c>
      <c r="AE7" s="150">
        <f>B247</f>
        <v>125</v>
      </c>
      <c r="AF7" s="150">
        <f>B257</f>
        <v>125</v>
      </c>
      <c r="AG7" s="150">
        <f>B269</f>
        <v>125</v>
      </c>
      <c r="AH7" s="83" t="s">
        <v>24</v>
      </c>
      <c r="AI7" s="83" t="s">
        <v>22</v>
      </c>
      <c r="AJ7" s="137">
        <f>0.693/AJ8</f>
        <v>4.3312499999999997E-4</v>
      </c>
      <c r="AL7" s="83" t="s">
        <v>22</v>
      </c>
      <c r="AM7" s="137">
        <f>0.693/AM8</f>
        <v>4.3312499999999997E-4</v>
      </c>
      <c r="AO7" s="83" t="s">
        <v>22</v>
      </c>
      <c r="AP7" s="137">
        <f>0.693/AP8</f>
        <v>4.3312499999999997E-4</v>
      </c>
      <c r="AR7" s="83" t="s">
        <v>22</v>
      </c>
      <c r="AS7" s="137">
        <f>0.693/AS8</f>
        <v>4.3312499999999997E-4</v>
      </c>
      <c r="AU7" s="83" t="s">
        <v>22</v>
      </c>
      <c r="AV7" s="137">
        <f>0.693/AV8</f>
        <v>4.3312499999999997E-4</v>
      </c>
      <c r="AX7" s="83" t="s">
        <v>22</v>
      </c>
      <c r="AY7" s="137">
        <f>0.693/AY8</f>
        <v>4.3312499999999997E-4</v>
      </c>
      <c r="BA7" s="83" t="s">
        <v>22</v>
      </c>
      <c r="BB7" s="137">
        <f>0.693/BB8</f>
        <v>4.3312499999999997E-4</v>
      </c>
      <c r="BD7" s="83" t="s">
        <v>22</v>
      </c>
      <c r="BE7" s="137">
        <f>0.693/BE8</f>
        <v>4.3312499999999997E-4</v>
      </c>
      <c r="BG7" s="83" t="s">
        <v>22</v>
      </c>
      <c r="BH7" s="137">
        <f>0.693/BH8</f>
        <v>4.3312499999999997E-4</v>
      </c>
      <c r="BJ7" s="83" t="s">
        <v>22</v>
      </c>
      <c r="BK7" s="137">
        <f>0.693/BK8</f>
        <v>4.3312499999999997E-4</v>
      </c>
      <c r="BM7" s="83" t="s">
        <v>22</v>
      </c>
      <c r="BN7" s="137">
        <f>0.693/BN8</f>
        <v>4.3312499999999997E-4</v>
      </c>
      <c r="BP7" s="83" t="s">
        <v>22</v>
      </c>
      <c r="BQ7" s="137">
        <f>0.693/BQ8</f>
        <v>4.3312499999999997E-4</v>
      </c>
      <c r="BS7" s="91" t="s">
        <v>231</v>
      </c>
      <c r="BT7" s="136">
        <f>B30</f>
        <v>1600</v>
      </c>
      <c r="BU7" s="52" t="s">
        <v>60</v>
      </c>
      <c r="BV7" s="83" t="s">
        <v>247</v>
      </c>
      <c r="BW7" s="139">
        <f>B18</f>
        <v>3.8043873993229303E-2</v>
      </c>
      <c r="BX7" s="84" t="s">
        <v>259</v>
      </c>
      <c r="BY7" s="83" t="s">
        <v>247</v>
      </c>
      <c r="BZ7" s="139">
        <f>B18</f>
        <v>3.8043873993229303E-2</v>
      </c>
      <c r="CA7" s="84" t="s">
        <v>259</v>
      </c>
      <c r="CB7" s="83" t="s">
        <v>22</v>
      </c>
      <c r="CC7" s="137">
        <f>0.693/CC8</f>
        <v>4.3312499999999997E-4</v>
      </c>
      <c r="CE7" s="83" t="s">
        <v>22</v>
      </c>
      <c r="CF7" s="137">
        <f>0.693/CF8</f>
        <v>4.3312499999999997E-4</v>
      </c>
      <c r="CH7" s="83" t="s">
        <v>22</v>
      </c>
      <c r="CI7" s="137">
        <f>0.693/CI8</f>
        <v>4.3312499999999997E-4</v>
      </c>
      <c r="CK7" s="52" t="s">
        <v>140</v>
      </c>
      <c r="CL7" s="138">
        <f>B113</f>
        <v>55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B18</f>
        <v>3.8043873993229303E-2</v>
      </c>
      <c r="CV7" s="84" t="s">
        <v>259</v>
      </c>
      <c r="CW7" s="91" t="s">
        <v>231</v>
      </c>
      <c r="CX7" s="136">
        <f>B30</f>
        <v>1600</v>
      </c>
      <c r="CY7" s="52" t="s">
        <v>60</v>
      </c>
      <c r="CZ7" s="84" t="s">
        <v>247</v>
      </c>
      <c r="DA7" s="139">
        <f>B18</f>
        <v>3.8043873993229303E-2</v>
      </c>
      <c r="DB7" s="84" t="s">
        <v>259</v>
      </c>
      <c r="DC7" s="83" t="s">
        <v>260</v>
      </c>
      <c r="DD7" s="166">
        <f>((DD5)/(DD6*(DD8+DD11)*DD19))*DD22*DD23*DJ11</f>
        <v>3.6490209386281489E-8</v>
      </c>
      <c r="DE7" s="92" t="s">
        <v>12</v>
      </c>
      <c r="DF7" s="52" t="s">
        <v>31</v>
      </c>
      <c r="DG7" s="137">
        <f>(DG8*DG9*DG15*DG21*((1-EXP(-DG16*DG17))))/(DG18*DG16)</f>
        <v>3.6423470278489711</v>
      </c>
      <c r="DH7" s="52" t="s">
        <v>18</v>
      </c>
      <c r="DI7" s="83" t="s">
        <v>32</v>
      </c>
      <c r="DJ7" s="136">
        <f>B43</f>
        <v>1.4800000000000001E-2</v>
      </c>
      <c r="DL7" s="83" t="s">
        <v>32</v>
      </c>
      <c r="DM7" s="136">
        <f>B43</f>
        <v>1.4800000000000001E-2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(DS5/(DS6*DS8*DS15))*DS19*DS20*DY17</f>
        <v>7.2980418772562978E-8</v>
      </c>
      <c r="DT7" s="52" t="s">
        <v>12</v>
      </c>
      <c r="DV7" s="138"/>
      <c r="DX7" s="83" t="s">
        <v>33</v>
      </c>
      <c r="DY7" s="136">
        <f>B44</f>
        <v>1.7000000000000001E-2</v>
      </c>
      <c r="EA7" s="83" t="s">
        <v>33</v>
      </c>
      <c r="EB7" s="136">
        <f>B44</f>
        <v>1.7000000000000001E-2</v>
      </c>
      <c r="EC7" s="84"/>
      <c r="ED7" s="83" t="s">
        <v>33</v>
      </c>
      <c r="EE7" s="136">
        <f>B44</f>
        <v>1.7000000000000001E-2</v>
      </c>
      <c r="EF7" s="84"/>
      <c r="EG7" s="83" t="s">
        <v>260</v>
      </c>
      <c r="EH7" s="168">
        <f>(EH5/(EH6*EH8*EH15))*EH19*EH20*EN16</f>
        <v>7.2980418772562978E-8</v>
      </c>
      <c r="EI7" s="52" t="s">
        <v>12</v>
      </c>
      <c r="EM7" s="83" t="s">
        <v>33</v>
      </c>
      <c r="EN7" s="136">
        <f>B44</f>
        <v>1.7000000000000001E-2</v>
      </c>
      <c r="EP7" s="83" t="s">
        <v>33</v>
      </c>
      <c r="EQ7" s="136">
        <f>B44</f>
        <v>1.7000000000000001E-2</v>
      </c>
      <c r="ER7" s="84"/>
      <c r="ES7" s="83" t="s">
        <v>33</v>
      </c>
      <c r="ET7" s="136">
        <f>B44</f>
        <v>1.7000000000000001E-2</v>
      </c>
      <c r="EU7" s="84"/>
      <c r="EV7" s="83" t="s">
        <v>260</v>
      </c>
      <c r="EW7" s="168">
        <f>(EW5/(EW6*EW8*EW15))*EW19*EW20*FC16</f>
        <v>7.2980418772562978E-8</v>
      </c>
      <c r="EX7" s="52" t="s">
        <v>12</v>
      </c>
      <c r="EY7" s="83"/>
      <c r="EZ7" s="142">
        <v>1000</v>
      </c>
      <c r="FA7" s="83" t="s">
        <v>132</v>
      </c>
      <c r="FB7" s="83" t="s">
        <v>33</v>
      </c>
      <c r="FC7" s="161">
        <f>B44</f>
        <v>1.7000000000000001E-2</v>
      </c>
      <c r="FD7" s="83"/>
      <c r="FE7" s="83" t="s">
        <v>33</v>
      </c>
      <c r="FF7" s="161">
        <f>B44</f>
        <v>1.7000000000000001E-2</v>
      </c>
      <c r="FG7" s="83"/>
      <c r="FH7" s="83" t="s">
        <v>33</v>
      </c>
      <c r="FI7" s="161">
        <f>B44</f>
        <v>1.7000000000000001E-2</v>
      </c>
      <c r="FJ7" s="84"/>
      <c r="FK7" s="83" t="s">
        <v>260</v>
      </c>
      <c r="FL7" s="168">
        <f>(FL5/(FL6*FL8*FL15))*FL19*FL20*FR9</f>
        <v>7.2980418772562978E-8</v>
      </c>
      <c r="FM7" s="52" t="s">
        <v>12</v>
      </c>
      <c r="FN7" s="83"/>
      <c r="FO7" s="138"/>
      <c r="FQ7" s="52" t="s">
        <v>350</v>
      </c>
      <c r="FR7" s="164">
        <f>B168</f>
        <v>1</v>
      </c>
      <c r="FT7" s="83"/>
      <c r="FU7" s="142"/>
      <c r="FV7" s="83"/>
      <c r="FX7" s="138"/>
      <c r="FZ7" s="83" t="s">
        <v>260</v>
      </c>
      <c r="GA7" s="168">
        <f>(GA5/(GA6*GA8*GA15))*GA19*GA20*GG16</f>
        <v>7.2980418772562978E-8</v>
      </c>
      <c r="GB7" s="52" t="s">
        <v>12</v>
      </c>
      <c r="GC7" s="83"/>
      <c r="GD7" s="142">
        <v>1000</v>
      </c>
      <c r="GE7" s="83" t="s">
        <v>132</v>
      </c>
      <c r="GF7" s="83" t="s">
        <v>33</v>
      </c>
      <c r="GG7" s="161">
        <f>B44</f>
        <v>1.7000000000000001E-2</v>
      </c>
      <c r="GH7" s="83"/>
      <c r="GI7" s="83" t="s">
        <v>33</v>
      </c>
      <c r="GJ7" s="161">
        <f>B44</f>
        <v>1.7000000000000001E-2</v>
      </c>
      <c r="GK7" s="83"/>
      <c r="GL7" s="83" t="s">
        <v>33</v>
      </c>
      <c r="GM7" s="161">
        <f>B44</f>
        <v>1.7000000000000001E-2</v>
      </c>
      <c r="GN7" s="84"/>
      <c r="GO7" s="83" t="s">
        <v>260</v>
      </c>
      <c r="GP7" s="168">
        <f>(GP5/(GP6*GP8*GP14))*GP18*GP19*GV16</f>
        <v>7.2980418772562978E-8</v>
      </c>
      <c r="GQ7" s="52" t="s">
        <v>12</v>
      </c>
      <c r="GR7" s="88"/>
      <c r="GS7" s="142">
        <v>1000</v>
      </c>
      <c r="GT7" s="83" t="s">
        <v>132</v>
      </c>
      <c r="GU7" s="83" t="s">
        <v>33</v>
      </c>
      <c r="GV7" s="161">
        <f>B44</f>
        <v>1.7000000000000001E-2</v>
      </c>
      <c r="GW7" s="83"/>
      <c r="GX7" s="83" t="s">
        <v>33</v>
      </c>
      <c r="GY7" s="161">
        <f>B44</f>
        <v>1.7000000000000001E-2</v>
      </c>
      <c r="GZ7" s="83"/>
      <c r="HA7" s="83" t="s">
        <v>33</v>
      </c>
      <c r="HB7" s="161">
        <f>B44</f>
        <v>1.7000000000000001E-2</v>
      </c>
      <c r="HC7" s="84"/>
      <c r="HD7" s="83" t="s">
        <v>22</v>
      </c>
      <c r="HE7" s="137">
        <f>0.693/HE9</f>
        <v>4.3312499999999997E-4</v>
      </c>
    </row>
    <row r="8" spans="1:214" x14ac:dyDescent="0.2">
      <c r="A8" s="116" t="s">
        <v>340</v>
      </c>
      <c r="B8" s="229">
        <v>6.8599999999999994E-2</v>
      </c>
      <c r="C8" s="232"/>
      <c r="D8" s="52" t="s">
        <v>382</v>
      </c>
      <c r="E8" s="138">
        <f>B68</f>
        <v>150</v>
      </c>
      <c r="F8" s="52" t="s">
        <v>24</v>
      </c>
      <c r="G8" s="91" t="s">
        <v>257</v>
      </c>
      <c r="H8" s="136">
        <f>B28</f>
        <v>33.437199999999997</v>
      </c>
      <c r="I8" s="84" t="s">
        <v>259</v>
      </c>
      <c r="J8" s="83" t="s">
        <v>269</v>
      </c>
      <c r="K8" s="136">
        <f>B22</f>
        <v>10.423439999999999</v>
      </c>
      <c r="L8" s="83" t="s">
        <v>351</v>
      </c>
      <c r="M8" s="91" t="s">
        <v>231</v>
      </c>
      <c r="N8" s="136">
        <f>B30</f>
        <v>1600</v>
      </c>
      <c r="O8" s="52" t="s">
        <v>60</v>
      </c>
      <c r="P8" s="91" t="s">
        <v>231</v>
      </c>
      <c r="Q8" s="136">
        <f>B30</f>
        <v>1600</v>
      </c>
      <c r="R8" s="52" t="s">
        <v>60</v>
      </c>
      <c r="S8" s="91" t="s">
        <v>231</v>
      </c>
      <c r="T8" s="136">
        <f>B30</f>
        <v>1600</v>
      </c>
      <c r="U8" s="52" t="s">
        <v>60</v>
      </c>
      <c r="V8" s="91" t="s">
        <v>231</v>
      </c>
      <c r="W8" s="136">
        <f>B30</f>
        <v>1600</v>
      </c>
      <c r="X8" s="52" t="s">
        <v>60</v>
      </c>
      <c r="Y8" s="91" t="s">
        <v>231</v>
      </c>
      <c r="Z8" s="136">
        <f>B30</f>
        <v>1600</v>
      </c>
      <c r="AA8" s="52" t="s">
        <v>60</v>
      </c>
      <c r="AB8" s="83" t="s">
        <v>249</v>
      </c>
      <c r="AC8" s="136">
        <f>B21</f>
        <v>1.036E-3</v>
      </c>
      <c r="AD8" s="136">
        <f>B21</f>
        <v>1.036E-3</v>
      </c>
      <c r="AE8" s="136">
        <f>B21</f>
        <v>1.036E-3</v>
      </c>
      <c r="AF8" s="136">
        <f>B21</f>
        <v>1.036E-3</v>
      </c>
      <c r="AG8" s="136">
        <f>B21</f>
        <v>1.036E-3</v>
      </c>
      <c r="AH8" s="83" t="s">
        <v>259</v>
      </c>
      <c r="AI8" s="91" t="s">
        <v>231</v>
      </c>
      <c r="AJ8" s="136">
        <f>B30</f>
        <v>1600</v>
      </c>
      <c r="AK8" s="52" t="s">
        <v>60</v>
      </c>
      <c r="AL8" s="91" t="s">
        <v>231</v>
      </c>
      <c r="AM8" s="136">
        <f>B30</f>
        <v>1600</v>
      </c>
      <c r="AN8" s="52" t="s">
        <v>60</v>
      </c>
      <c r="AO8" s="91" t="s">
        <v>231</v>
      </c>
      <c r="AP8" s="136">
        <f>B30</f>
        <v>1600</v>
      </c>
      <c r="AQ8" s="52" t="s">
        <v>60</v>
      </c>
      <c r="AR8" s="91" t="s">
        <v>231</v>
      </c>
      <c r="AS8" s="136">
        <f>B30</f>
        <v>1600</v>
      </c>
      <c r="AT8" s="52" t="s">
        <v>60</v>
      </c>
      <c r="AU8" s="91" t="s">
        <v>231</v>
      </c>
      <c r="AV8" s="136">
        <f>B30</f>
        <v>1600</v>
      </c>
      <c r="AW8" s="52" t="s">
        <v>60</v>
      </c>
      <c r="AX8" s="91" t="s">
        <v>231</v>
      </c>
      <c r="AY8" s="136">
        <f>B30</f>
        <v>1600</v>
      </c>
      <c r="AZ8" s="52" t="s">
        <v>60</v>
      </c>
      <c r="BA8" s="91" t="s">
        <v>231</v>
      </c>
      <c r="BB8" s="136">
        <f>B30</f>
        <v>1600</v>
      </c>
      <c r="BC8" s="52" t="s">
        <v>60</v>
      </c>
      <c r="BD8" s="91" t="s">
        <v>231</v>
      </c>
      <c r="BE8" s="136">
        <f>B30</f>
        <v>1600</v>
      </c>
      <c r="BF8" s="52" t="s">
        <v>60</v>
      </c>
      <c r="BG8" s="91" t="s">
        <v>231</v>
      </c>
      <c r="BH8" s="136">
        <f>B30</f>
        <v>1600</v>
      </c>
      <c r="BI8" s="52" t="s">
        <v>60</v>
      </c>
      <c r="BJ8" s="91" t="s">
        <v>231</v>
      </c>
      <c r="BK8" s="136">
        <f>B30</f>
        <v>1600</v>
      </c>
      <c r="BL8" s="52" t="s">
        <v>60</v>
      </c>
      <c r="BM8" s="91" t="s">
        <v>231</v>
      </c>
      <c r="BN8" s="136">
        <f>B30</f>
        <v>1600</v>
      </c>
      <c r="BO8" s="52" t="s">
        <v>60</v>
      </c>
      <c r="BP8" s="91" t="s">
        <v>231</v>
      </c>
      <c r="BQ8" s="136">
        <f>B30</f>
        <v>1600</v>
      </c>
      <c r="BR8" s="52" t="s">
        <v>60</v>
      </c>
      <c r="BS8" s="52" t="s">
        <v>140</v>
      </c>
      <c r="BT8" s="138">
        <f>B113</f>
        <v>55</v>
      </c>
      <c r="BU8" s="52" t="s">
        <v>24</v>
      </c>
      <c r="BV8" s="91" t="s">
        <v>257</v>
      </c>
      <c r="BW8" s="136">
        <f>B28</f>
        <v>33.437199999999997</v>
      </c>
      <c r="BX8" s="84" t="s">
        <v>259</v>
      </c>
      <c r="BY8" s="83" t="s">
        <v>269</v>
      </c>
      <c r="BZ8" s="136">
        <f>B22</f>
        <v>10.423439999999999</v>
      </c>
      <c r="CA8" s="83" t="s">
        <v>351</v>
      </c>
      <c r="CB8" s="91" t="s">
        <v>231</v>
      </c>
      <c r="CC8" s="136">
        <f>B30</f>
        <v>1600</v>
      </c>
      <c r="CD8" s="52" t="s">
        <v>60</v>
      </c>
      <c r="CE8" s="91" t="s">
        <v>231</v>
      </c>
      <c r="CF8" s="136">
        <f>B30</f>
        <v>1600</v>
      </c>
      <c r="CG8" s="52" t="s">
        <v>60</v>
      </c>
      <c r="CH8" s="91" t="s">
        <v>231</v>
      </c>
      <c r="CI8" s="136">
        <f>B30</f>
        <v>1600</v>
      </c>
      <c r="CJ8" s="52" t="s">
        <v>60</v>
      </c>
      <c r="CK8" s="52" t="s">
        <v>159</v>
      </c>
      <c r="CL8" s="162">
        <f>B128</f>
        <v>3</v>
      </c>
      <c r="CM8" s="52" t="s">
        <v>221</v>
      </c>
      <c r="CN8" s="84" t="s">
        <v>33</v>
      </c>
      <c r="CO8" s="136">
        <f>B44</f>
        <v>1.7000000000000001E-2</v>
      </c>
      <c r="CT8" s="83" t="s">
        <v>269</v>
      </c>
      <c r="CU8" s="136">
        <f>B22</f>
        <v>10.423439999999999</v>
      </c>
      <c r="CV8" s="83" t="s">
        <v>351</v>
      </c>
      <c r="CW8" s="52" t="s">
        <v>362</v>
      </c>
      <c r="CX8" s="138">
        <f>B167</f>
        <v>150</v>
      </c>
      <c r="CY8" s="52" t="s">
        <v>24</v>
      </c>
      <c r="CZ8" s="83" t="s">
        <v>270</v>
      </c>
      <c r="DA8" s="165">
        <f>B28</f>
        <v>33.437199999999997</v>
      </c>
      <c r="DB8" s="83" t="s">
        <v>259</v>
      </c>
      <c r="DC8" s="83" t="s">
        <v>516</v>
      </c>
      <c r="DD8" s="149">
        <f>(DD9*DD15*DD20)+(DD10*DD14*DD21)</f>
        <v>8250</v>
      </c>
      <c r="DE8" s="92" t="s">
        <v>347</v>
      </c>
      <c r="DF8" s="83" t="s">
        <v>36</v>
      </c>
      <c r="DG8" s="138">
        <f>B189</f>
        <v>3.62</v>
      </c>
      <c r="DH8" s="52" t="s">
        <v>37</v>
      </c>
      <c r="DI8" s="83" t="s">
        <v>393</v>
      </c>
      <c r="DJ8" s="138">
        <f>B47</f>
        <v>0.26</v>
      </c>
      <c r="DL8" s="83" t="s">
        <v>393</v>
      </c>
      <c r="DM8" s="138">
        <f>B47</f>
        <v>0.26</v>
      </c>
      <c r="DO8" s="83" t="s">
        <v>36</v>
      </c>
      <c r="DP8" s="138">
        <f>B189</f>
        <v>3.62</v>
      </c>
      <c r="DQ8" s="52" t="s">
        <v>37</v>
      </c>
      <c r="DR8" s="83" t="s">
        <v>147</v>
      </c>
      <c r="DS8" s="149">
        <f>(DS11*DS9*DS17)+(DS12*DS10*DS18)</f>
        <v>8250</v>
      </c>
      <c r="DT8" s="92" t="s">
        <v>347</v>
      </c>
      <c r="DU8" s="52" t="s">
        <v>518</v>
      </c>
      <c r="DV8" s="146">
        <f>B200</f>
        <v>1.03</v>
      </c>
      <c r="DW8" s="52" t="s">
        <v>286</v>
      </c>
      <c r="DX8" s="83" t="s">
        <v>392</v>
      </c>
      <c r="DY8" s="138">
        <f>B48</f>
        <v>0.25</v>
      </c>
      <c r="EA8" s="83" t="s">
        <v>392</v>
      </c>
      <c r="EB8" s="138">
        <f>B48</f>
        <v>0.25</v>
      </c>
      <c r="EC8" s="84"/>
      <c r="ED8" s="83" t="s">
        <v>392</v>
      </c>
      <c r="EE8" s="138">
        <f>B48</f>
        <v>0.25</v>
      </c>
      <c r="EF8" s="84"/>
      <c r="EG8" s="83" t="s">
        <v>519</v>
      </c>
      <c r="EH8" s="149">
        <f>(EH11*EH9*EH17)+(EH12*EH10*EH18)</f>
        <v>8250</v>
      </c>
      <c r="EI8" s="92" t="s">
        <v>347</v>
      </c>
      <c r="EJ8" s="83"/>
      <c r="EM8" s="83" t="s">
        <v>392</v>
      </c>
      <c r="EN8" s="138">
        <f>B48</f>
        <v>0.25</v>
      </c>
      <c r="EP8" s="83" t="s">
        <v>392</v>
      </c>
      <c r="EQ8" s="138">
        <f>B48</f>
        <v>0.25</v>
      </c>
      <c r="ER8" s="84"/>
      <c r="ES8" s="83" t="s">
        <v>392</v>
      </c>
      <c r="ET8" s="138">
        <f>B48</f>
        <v>0.25</v>
      </c>
      <c r="EU8" s="84"/>
      <c r="EV8" s="83" t="s">
        <v>520</v>
      </c>
      <c r="EW8" s="149">
        <f>(EW11*EW9*EW17)+(EW12*EW10*EW18)</f>
        <v>8250</v>
      </c>
      <c r="EX8" s="92" t="s">
        <v>347</v>
      </c>
      <c r="EY8" s="83"/>
      <c r="EZ8" s="142"/>
      <c r="FA8" s="83"/>
      <c r="FB8" s="83" t="s">
        <v>392</v>
      </c>
      <c r="FC8" s="142">
        <f>B48</f>
        <v>0.25</v>
      </c>
      <c r="FD8" s="83"/>
      <c r="FE8" s="83" t="s">
        <v>392</v>
      </c>
      <c r="FF8" s="142">
        <f>B48</f>
        <v>0.25</v>
      </c>
      <c r="FG8" s="83"/>
      <c r="FH8" s="83" t="s">
        <v>392</v>
      </c>
      <c r="FI8" s="142">
        <f>B48</f>
        <v>0.25</v>
      </c>
      <c r="FJ8" s="84"/>
      <c r="FK8" s="83" t="s">
        <v>521</v>
      </c>
      <c r="FL8" s="173">
        <f>(FL9*FL11*FL17)+(FL10*FL12*FL18)</f>
        <v>8250</v>
      </c>
      <c r="FM8" s="92" t="s">
        <v>347</v>
      </c>
      <c r="FN8" s="83"/>
      <c r="FO8" s="142"/>
      <c r="FP8" s="83"/>
      <c r="FQ8" s="83" t="s">
        <v>22</v>
      </c>
      <c r="FR8" s="137">
        <f>0.693/FR9</f>
        <v>4.3312499999999997E-4</v>
      </c>
      <c r="FT8" s="83"/>
      <c r="FU8" s="142"/>
      <c r="FV8" s="83"/>
      <c r="FZ8" s="83" t="s">
        <v>522</v>
      </c>
      <c r="GA8" s="173">
        <f>(GA11*GA9*GA17)+(GA10*GA12*GA18)</f>
        <v>8250</v>
      </c>
      <c r="GB8" s="92" t="s">
        <v>347</v>
      </c>
      <c r="GC8" s="83"/>
      <c r="GD8" s="142"/>
      <c r="GE8" s="83"/>
      <c r="GF8" s="83" t="s">
        <v>392</v>
      </c>
      <c r="GG8" s="142">
        <f>B48</f>
        <v>0.25</v>
      </c>
      <c r="GH8" s="83"/>
      <c r="GI8" s="83" t="s">
        <v>392</v>
      </c>
      <c r="GJ8" s="142">
        <f>B48</f>
        <v>0.25</v>
      </c>
      <c r="GK8" s="83"/>
      <c r="GL8" s="83" t="s">
        <v>392</v>
      </c>
      <c r="GM8" s="142">
        <f>B48</f>
        <v>0.25</v>
      </c>
      <c r="GN8" s="84"/>
      <c r="GO8" s="83" t="s">
        <v>523</v>
      </c>
      <c r="GP8" s="149">
        <f>(GP9*GP11*GP16)+(GP10*GP12*GP17)</f>
        <v>8250</v>
      </c>
      <c r="GQ8" s="92" t="s">
        <v>347</v>
      </c>
      <c r="GR8" s="83"/>
      <c r="GS8" s="142"/>
      <c r="GT8" s="83"/>
      <c r="GU8" s="83" t="s">
        <v>392</v>
      </c>
      <c r="GV8" s="142">
        <f>B48</f>
        <v>0.25</v>
      </c>
      <c r="GW8" s="83"/>
      <c r="GX8" s="83" t="s">
        <v>392</v>
      </c>
      <c r="GY8" s="142">
        <f>B48</f>
        <v>0.25</v>
      </c>
      <c r="GZ8" s="83"/>
      <c r="HA8" s="83" t="s">
        <v>392</v>
      </c>
      <c r="HB8" s="142">
        <f>B48</f>
        <v>0.25</v>
      </c>
      <c r="HC8" s="84"/>
      <c r="HD8" s="52" t="s">
        <v>16</v>
      </c>
      <c r="HE8" s="137">
        <f>1-EXP(-HE7*HE12)</f>
        <v>4.3303121490789742E-4</v>
      </c>
    </row>
    <row r="9" spans="1:214" x14ac:dyDescent="0.2">
      <c r="A9" s="116" t="s">
        <v>243</v>
      </c>
      <c r="B9" s="229">
        <v>0.73699999999999999</v>
      </c>
      <c r="C9" s="232"/>
      <c r="D9" s="52" t="s">
        <v>379</v>
      </c>
      <c r="E9" s="138">
        <f>B65</f>
        <v>1</v>
      </c>
      <c r="F9" s="52" t="s">
        <v>146</v>
      </c>
      <c r="G9" s="83" t="s">
        <v>258</v>
      </c>
      <c r="H9" s="136">
        <f>B29</f>
        <v>1.67911012348351E-3</v>
      </c>
      <c r="I9" s="92" t="s">
        <v>259</v>
      </c>
      <c r="J9" s="83" t="s">
        <v>258</v>
      </c>
      <c r="K9" s="136">
        <f>B29</f>
        <v>1.67911012348351E-3</v>
      </c>
      <c r="L9" s="92" t="s">
        <v>259</v>
      </c>
      <c r="M9" s="52" t="s">
        <v>382</v>
      </c>
      <c r="N9" s="138">
        <f>B68</f>
        <v>150</v>
      </c>
      <c r="O9" s="52" t="s">
        <v>24</v>
      </c>
      <c r="P9" s="52" t="s">
        <v>382</v>
      </c>
      <c r="Q9" s="138">
        <f>B68</f>
        <v>150</v>
      </c>
      <c r="R9" s="52" t="s">
        <v>24</v>
      </c>
      <c r="S9" s="52" t="s">
        <v>382</v>
      </c>
      <c r="T9" s="138">
        <f>B68</f>
        <v>150</v>
      </c>
      <c r="U9" s="52" t="s">
        <v>24</v>
      </c>
      <c r="V9" s="52" t="s">
        <v>423</v>
      </c>
      <c r="W9" s="138">
        <f>B247</f>
        <v>125</v>
      </c>
      <c r="X9" s="52" t="s">
        <v>24</v>
      </c>
      <c r="Y9" s="52" t="s">
        <v>316</v>
      </c>
      <c r="Z9" s="138">
        <f>B227</f>
        <v>125</v>
      </c>
      <c r="AA9" s="52" t="s">
        <v>24</v>
      </c>
      <c r="AB9" s="83" t="s">
        <v>34</v>
      </c>
      <c r="AC9" s="146">
        <f>B228</f>
        <v>1</v>
      </c>
      <c r="AD9" s="146">
        <f>B238</f>
        <v>1</v>
      </c>
      <c r="AE9" s="146">
        <f>B248</f>
        <v>1</v>
      </c>
      <c r="AF9" s="146">
        <f>B258</f>
        <v>1</v>
      </c>
      <c r="AG9" s="146">
        <f>B270</f>
        <v>1</v>
      </c>
      <c r="AH9" s="83" t="s">
        <v>60</v>
      </c>
      <c r="AI9" s="52" t="s">
        <v>35</v>
      </c>
      <c r="AJ9" s="138">
        <f>B237</f>
        <v>125</v>
      </c>
      <c r="AK9" s="52" t="s">
        <v>24</v>
      </c>
      <c r="AL9" s="52" t="s">
        <v>35</v>
      </c>
      <c r="AM9" s="138">
        <f>B237</f>
        <v>125</v>
      </c>
      <c r="AN9" s="52" t="s">
        <v>24</v>
      </c>
      <c r="AO9" s="52" t="s">
        <v>35</v>
      </c>
      <c r="AP9" s="138">
        <f>B237</f>
        <v>125</v>
      </c>
      <c r="AQ9" s="52" t="s">
        <v>24</v>
      </c>
      <c r="AR9" s="52" t="s">
        <v>423</v>
      </c>
      <c r="AS9" s="138">
        <f>B247</f>
        <v>125</v>
      </c>
      <c r="AT9" s="52" t="s">
        <v>24</v>
      </c>
      <c r="AU9" s="52" t="s">
        <v>423</v>
      </c>
      <c r="AV9" s="138">
        <f>B247</f>
        <v>125</v>
      </c>
      <c r="AW9" s="52" t="s">
        <v>24</v>
      </c>
      <c r="AX9" s="52" t="s">
        <v>423</v>
      </c>
      <c r="AY9" s="138">
        <f>B247</f>
        <v>125</v>
      </c>
      <c r="AZ9" s="52" t="s">
        <v>24</v>
      </c>
      <c r="BA9" s="52" t="s">
        <v>316</v>
      </c>
      <c r="BB9" s="138">
        <f>B227</f>
        <v>125</v>
      </c>
      <c r="BC9" s="52" t="s">
        <v>24</v>
      </c>
      <c r="BD9" s="52" t="s">
        <v>316</v>
      </c>
      <c r="BE9" s="138">
        <f>B227</f>
        <v>125</v>
      </c>
      <c r="BF9" s="52" t="s">
        <v>24</v>
      </c>
      <c r="BG9" s="52" t="s">
        <v>316</v>
      </c>
      <c r="BH9" s="138">
        <f>B227</f>
        <v>125</v>
      </c>
      <c r="BI9" s="52" t="s">
        <v>24</v>
      </c>
      <c r="BJ9" s="52" t="s">
        <v>191</v>
      </c>
      <c r="BK9" s="138">
        <f>BK10*BK11</f>
        <v>75</v>
      </c>
      <c r="BL9" s="52" t="s">
        <v>24</v>
      </c>
      <c r="BM9" s="52" t="s">
        <v>191</v>
      </c>
      <c r="BN9" s="138">
        <f>BN10*BN11</f>
        <v>75</v>
      </c>
      <c r="BO9" s="52" t="s">
        <v>24</v>
      </c>
      <c r="BP9" s="52" t="s">
        <v>191</v>
      </c>
      <c r="BQ9" s="138">
        <f>BQ10*BQ11</f>
        <v>75</v>
      </c>
      <c r="BR9" s="52" t="s">
        <v>24</v>
      </c>
      <c r="BS9" s="52" t="s">
        <v>247</v>
      </c>
      <c r="BT9" s="139">
        <f>E11</f>
        <v>3.8043873993229303E-2</v>
      </c>
      <c r="BU9" s="84" t="s">
        <v>259</v>
      </c>
      <c r="BV9" s="83" t="s">
        <v>258</v>
      </c>
      <c r="BW9" s="136">
        <f>B29</f>
        <v>1.67911012348351E-3</v>
      </c>
      <c r="BX9" s="92" t="s">
        <v>259</v>
      </c>
      <c r="BY9" s="83" t="s">
        <v>77</v>
      </c>
      <c r="BZ9" s="136">
        <f>B31</f>
        <v>1359344473.5814338</v>
      </c>
      <c r="CA9" s="83" t="s">
        <v>78</v>
      </c>
      <c r="CB9" s="52" t="s">
        <v>140</v>
      </c>
      <c r="CC9" s="138">
        <f>B113</f>
        <v>55</v>
      </c>
      <c r="CD9" s="52" t="s">
        <v>24</v>
      </c>
      <c r="CE9" s="52" t="s">
        <v>140</v>
      </c>
      <c r="CF9" s="138">
        <f>B113</f>
        <v>55</v>
      </c>
      <c r="CG9" s="52" t="s">
        <v>24</v>
      </c>
      <c r="CH9" s="52" t="s">
        <v>140</v>
      </c>
      <c r="CI9" s="138">
        <f>B113</f>
        <v>55</v>
      </c>
      <c r="CJ9" s="52" t="s">
        <v>24</v>
      </c>
      <c r="CK9" s="94" t="s">
        <v>295</v>
      </c>
      <c r="CL9" s="150">
        <f>B278</f>
        <v>226.025409</v>
      </c>
      <c r="CM9" s="90" t="s">
        <v>296</v>
      </c>
      <c r="CN9" s="84" t="s">
        <v>392</v>
      </c>
      <c r="CO9" s="162">
        <f>B48</f>
        <v>0.25</v>
      </c>
      <c r="CT9" s="83" t="s">
        <v>258</v>
      </c>
      <c r="CU9" s="136">
        <f>B29</f>
        <v>1.67911012348351E-3</v>
      </c>
      <c r="CV9" s="92" t="s">
        <v>259</v>
      </c>
      <c r="CW9" s="52" t="s">
        <v>363</v>
      </c>
      <c r="CX9" s="138">
        <f>B168</f>
        <v>1</v>
      </c>
      <c r="CY9" s="52" t="s">
        <v>146</v>
      </c>
      <c r="CZ9" s="83" t="s">
        <v>258</v>
      </c>
      <c r="DA9" s="136">
        <f>B29</f>
        <v>1.67911012348351E-3</v>
      </c>
      <c r="DB9" s="84" t="s">
        <v>259</v>
      </c>
      <c r="DC9" s="83" t="s">
        <v>513</v>
      </c>
      <c r="DD9" s="146">
        <f>B149</f>
        <v>55</v>
      </c>
      <c r="DE9" s="92" t="s">
        <v>221</v>
      </c>
      <c r="DF9" s="83" t="s">
        <v>40</v>
      </c>
      <c r="DG9" s="138">
        <f>B190</f>
        <v>0.25</v>
      </c>
      <c r="DH9" s="52" t="s">
        <v>41</v>
      </c>
      <c r="DI9" s="52" t="s">
        <v>350</v>
      </c>
      <c r="DJ9" s="164">
        <f>B168</f>
        <v>1</v>
      </c>
      <c r="DL9" s="83"/>
      <c r="DM9" s="138"/>
      <c r="DO9" s="83" t="s">
        <v>40</v>
      </c>
      <c r="DP9" s="138">
        <f>B190</f>
        <v>0.25</v>
      </c>
      <c r="DQ9" s="52" t="s">
        <v>41</v>
      </c>
      <c r="DR9" s="83" t="s">
        <v>452</v>
      </c>
      <c r="DS9" s="146">
        <f>B151</f>
        <v>55</v>
      </c>
      <c r="DT9" s="92" t="s">
        <v>221</v>
      </c>
      <c r="DU9" s="83"/>
      <c r="DX9" s="83" t="s">
        <v>517</v>
      </c>
      <c r="DY9" s="136">
        <f>B36</f>
        <v>3.8000000000000002E-4</v>
      </c>
      <c r="DZ9" s="52" t="s">
        <v>601</v>
      </c>
      <c r="EA9" s="83" t="s">
        <v>517</v>
      </c>
      <c r="EB9" s="136">
        <f>B36</f>
        <v>3.8000000000000002E-4</v>
      </c>
      <c r="EC9" s="52" t="s">
        <v>601</v>
      </c>
      <c r="ED9" s="83" t="s">
        <v>517</v>
      </c>
      <c r="EE9" s="136">
        <f>B36</f>
        <v>3.8000000000000002E-4</v>
      </c>
      <c r="EF9" s="52" t="s">
        <v>601</v>
      </c>
      <c r="EG9" s="83" t="s">
        <v>453</v>
      </c>
      <c r="EH9" s="170">
        <f>B153</f>
        <v>55</v>
      </c>
      <c r="EI9" s="92" t="s">
        <v>221</v>
      </c>
      <c r="EJ9" s="83"/>
      <c r="EM9" s="83" t="s">
        <v>236</v>
      </c>
      <c r="EN9" s="136">
        <f>B37</f>
        <v>1.6999999999999999E-3</v>
      </c>
      <c r="EO9" s="52" t="s">
        <v>388</v>
      </c>
      <c r="EP9" s="83" t="s">
        <v>236</v>
      </c>
      <c r="EQ9" s="169">
        <f>B37</f>
        <v>1.6999999999999999E-3</v>
      </c>
      <c r="ER9" s="52" t="s">
        <v>388</v>
      </c>
      <c r="ES9" s="83" t="s">
        <v>236</v>
      </c>
      <c r="ET9" s="169">
        <f>B37</f>
        <v>1.6999999999999999E-3</v>
      </c>
      <c r="EU9" s="52" t="s">
        <v>388</v>
      </c>
      <c r="EV9" s="83" t="s">
        <v>454</v>
      </c>
      <c r="EW9" s="171">
        <f>B155</f>
        <v>55</v>
      </c>
      <c r="EX9" s="92" t="s">
        <v>221</v>
      </c>
      <c r="EY9" s="83"/>
      <c r="EZ9" s="142"/>
      <c r="FA9" s="83"/>
      <c r="FB9" s="83" t="s">
        <v>171</v>
      </c>
      <c r="FC9" s="169">
        <f>B39</f>
        <v>0</v>
      </c>
      <c r="FD9" s="52" t="s">
        <v>388</v>
      </c>
      <c r="FE9" s="83" t="s">
        <v>171</v>
      </c>
      <c r="FF9" s="169">
        <f>B39</f>
        <v>0</v>
      </c>
      <c r="FG9" s="52" t="s">
        <v>388</v>
      </c>
      <c r="FH9" s="83" t="s">
        <v>171</v>
      </c>
      <c r="FI9" s="169">
        <f>B39</f>
        <v>0</v>
      </c>
      <c r="FJ9" s="52" t="s">
        <v>388</v>
      </c>
      <c r="FK9" s="83" t="s">
        <v>471</v>
      </c>
      <c r="FL9" s="150">
        <f>B157</f>
        <v>55</v>
      </c>
      <c r="FM9" s="92" t="s">
        <v>221</v>
      </c>
      <c r="FN9" s="83"/>
      <c r="FO9" s="83"/>
      <c r="FP9" s="83"/>
      <c r="FQ9" s="91" t="s">
        <v>231</v>
      </c>
      <c r="FR9" s="136">
        <f>B30</f>
        <v>1600</v>
      </c>
      <c r="FS9" s="52" t="s">
        <v>60</v>
      </c>
      <c r="FT9" s="83"/>
      <c r="FU9" s="164"/>
      <c r="FV9" s="83"/>
      <c r="FW9" s="83"/>
      <c r="FX9" s="93"/>
      <c r="FY9" s="83"/>
      <c r="FZ9" s="83" t="s">
        <v>473</v>
      </c>
      <c r="GA9" s="174">
        <f>B159</f>
        <v>55</v>
      </c>
      <c r="GB9" s="92" t="s">
        <v>221</v>
      </c>
      <c r="GC9" s="83"/>
      <c r="GD9" s="142"/>
      <c r="GE9" s="83"/>
      <c r="GF9" s="83" t="s">
        <v>237</v>
      </c>
      <c r="GG9" s="169">
        <f>B38</f>
        <v>0</v>
      </c>
      <c r="GH9" s="52" t="s">
        <v>388</v>
      </c>
      <c r="GI9" s="83" t="s">
        <v>237</v>
      </c>
      <c r="GJ9" s="169">
        <f>B38</f>
        <v>0</v>
      </c>
      <c r="GK9" s="52" t="s">
        <v>388</v>
      </c>
      <c r="GL9" s="83" t="s">
        <v>237</v>
      </c>
      <c r="GM9" s="169">
        <f>B38</f>
        <v>0</v>
      </c>
      <c r="GN9" s="52" t="s">
        <v>388</v>
      </c>
      <c r="GO9" s="83" t="s">
        <v>455</v>
      </c>
      <c r="GP9" s="150">
        <f>B161</f>
        <v>55</v>
      </c>
      <c r="GQ9" s="92" t="s">
        <v>221</v>
      </c>
      <c r="GR9" s="83"/>
      <c r="GS9" s="142"/>
      <c r="GT9" s="83"/>
      <c r="GU9" s="83" t="s">
        <v>238</v>
      </c>
      <c r="GV9" s="169">
        <f>B40</f>
        <v>0</v>
      </c>
      <c r="GW9" s="52" t="s">
        <v>388</v>
      </c>
      <c r="GX9" s="83" t="s">
        <v>238</v>
      </c>
      <c r="GY9" s="169">
        <f>B40</f>
        <v>0</v>
      </c>
      <c r="GZ9" s="52" t="s">
        <v>388</v>
      </c>
      <c r="HA9" s="83" t="s">
        <v>238</v>
      </c>
      <c r="HB9" s="169">
        <f>B40</f>
        <v>0</v>
      </c>
      <c r="HC9" s="52" t="s">
        <v>388</v>
      </c>
      <c r="HD9" s="91" t="s">
        <v>231</v>
      </c>
      <c r="HE9" s="136">
        <f>B30</f>
        <v>1600</v>
      </c>
      <c r="HF9" s="52" t="s">
        <v>60</v>
      </c>
    </row>
    <row r="10" spans="1:214" x14ac:dyDescent="0.2">
      <c r="A10" s="116" t="s">
        <v>341</v>
      </c>
      <c r="B10" s="229">
        <v>0.10100000000000001</v>
      </c>
      <c r="C10" s="232"/>
      <c r="D10" s="52" t="s">
        <v>92</v>
      </c>
      <c r="E10" s="138">
        <f>E9</f>
        <v>1</v>
      </c>
      <c r="G10" s="83" t="s">
        <v>260</v>
      </c>
      <c r="H10" s="143">
        <f>(H5/(H6*H15))*H70*H71*H73</f>
        <v>3.3157600254734634E-9</v>
      </c>
      <c r="I10" s="92" t="s">
        <v>13</v>
      </c>
      <c r="J10" s="83" t="s">
        <v>77</v>
      </c>
      <c r="K10" s="136">
        <f>B31</f>
        <v>1359344473.5814338</v>
      </c>
      <c r="L10" s="83" t="s">
        <v>78</v>
      </c>
      <c r="M10" s="52" t="s">
        <v>379</v>
      </c>
      <c r="N10" s="138">
        <f>B65</f>
        <v>1</v>
      </c>
      <c r="O10" s="52" t="s">
        <v>146</v>
      </c>
      <c r="P10" s="52" t="s">
        <v>379</v>
      </c>
      <c r="Q10" s="138">
        <f>B65</f>
        <v>1</v>
      </c>
      <c r="R10" s="52" t="s">
        <v>146</v>
      </c>
      <c r="S10" s="52" t="s">
        <v>379</v>
      </c>
      <c r="T10" s="138">
        <f>B65</f>
        <v>1</v>
      </c>
      <c r="U10" s="52" t="s">
        <v>146</v>
      </c>
      <c r="V10" s="52" t="s">
        <v>424</v>
      </c>
      <c r="W10" s="138">
        <f>B248</f>
        <v>1</v>
      </c>
      <c r="X10" s="52" t="s">
        <v>146</v>
      </c>
      <c r="Y10" s="52" t="s">
        <v>422</v>
      </c>
      <c r="Z10" s="138">
        <f>B228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B265</f>
        <v>3</v>
      </c>
      <c r="AG10" s="146">
        <f>B276</f>
        <v>3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B238</f>
        <v>1</v>
      </c>
      <c r="AN10" s="52" t="s">
        <v>146</v>
      </c>
      <c r="AO10" s="52" t="s">
        <v>420</v>
      </c>
      <c r="AP10" s="138">
        <f>B238</f>
        <v>1</v>
      </c>
      <c r="AQ10" s="52" t="s">
        <v>146</v>
      </c>
      <c r="AR10" s="52" t="s">
        <v>424</v>
      </c>
      <c r="AS10" s="138">
        <f>B248</f>
        <v>1</v>
      </c>
      <c r="AT10" s="52" t="s">
        <v>146</v>
      </c>
      <c r="AU10" s="52" t="s">
        <v>424</v>
      </c>
      <c r="AV10" s="138">
        <f>B248</f>
        <v>1</v>
      </c>
      <c r="AW10" s="52" t="s">
        <v>146</v>
      </c>
      <c r="AX10" s="52" t="s">
        <v>424</v>
      </c>
      <c r="AY10" s="138">
        <f>B248</f>
        <v>1</v>
      </c>
      <c r="AZ10" s="52" t="s">
        <v>146</v>
      </c>
      <c r="BA10" s="52" t="s">
        <v>422</v>
      </c>
      <c r="BB10" s="138">
        <f>B228</f>
        <v>1</v>
      </c>
      <c r="BC10" s="52" t="s">
        <v>146</v>
      </c>
      <c r="BD10" s="52" t="s">
        <v>422</v>
      </c>
      <c r="BE10" s="138">
        <f>B228</f>
        <v>1</v>
      </c>
      <c r="BF10" s="52" t="s">
        <v>146</v>
      </c>
      <c r="BG10" s="52" t="s">
        <v>422</v>
      </c>
      <c r="BH10" s="138">
        <f>B228</f>
        <v>1</v>
      </c>
      <c r="BI10" s="52" t="s">
        <v>146</v>
      </c>
      <c r="BJ10" s="52" t="s">
        <v>220</v>
      </c>
      <c r="BK10" s="138">
        <f>B266</f>
        <v>25</v>
      </c>
      <c r="BL10" s="52" t="s">
        <v>113</v>
      </c>
      <c r="BM10" s="52" t="s">
        <v>220</v>
      </c>
      <c r="BN10" s="138">
        <f>B266</f>
        <v>25</v>
      </c>
      <c r="BO10" s="52" t="s">
        <v>113</v>
      </c>
      <c r="BP10" s="52" t="s">
        <v>220</v>
      </c>
      <c r="BQ10" s="138">
        <f>B266</f>
        <v>25</v>
      </c>
      <c r="BR10" s="52" t="s">
        <v>113</v>
      </c>
      <c r="BS10" s="83" t="s">
        <v>428</v>
      </c>
      <c r="BT10" s="149">
        <f>(BT22*BT13*(1/24)*BT11*BT25)+(BT23*BT14*(1/24)*BT12*BT26)</f>
        <v>101.40624999999999</v>
      </c>
      <c r="BU10" s="52" t="s">
        <v>426</v>
      </c>
      <c r="BV10" s="83" t="s">
        <v>260</v>
      </c>
      <c r="BW10" s="143">
        <f>(BW5/(BW6*BW13))*BW32*BW33*BW34</f>
        <v>2.1929231077563131E-10</v>
      </c>
      <c r="BX10" s="92" t="s">
        <v>13</v>
      </c>
      <c r="BY10" s="84" t="s">
        <v>16</v>
      </c>
      <c r="BZ10" s="137">
        <f>(BZ30*BZ11)/(1-EXP(-BZ11*BZ30))</f>
        <v>1.0002165781331087</v>
      </c>
      <c r="CB10" s="52" t="s">
        <v>51</v>
      </c>
      <c r="CC10" s="138">
        <f>B127</f>
        <v>1</v>
      </c>
      <c r="CD10" s="52" t="s">
        <v>146</v>
      </c>
      <c r="CE10" s="52" t="s">
        <v>51</v>
      </c>
      <c r="CF10" s="138">
        <f>B127</f>
        <v>1</v>
      </c>
      <c r="CG10" s="52" t="s">
        <v>146</v>
      </c>
      <c r="CH10" s="52" t="s">
        <v>51</v>
      </c>
      <c r="CI10" s="138">
        <f>B127</f>
        <v>1</v>
      </c>
      <c r="CJ10" s="52" t="s">
        <v>146</v>
      </c>
      <c r="CK10" s="84" t="s">
        <v>293</v>
      </c>
      <c r="CL10" s="85">
        <f>B280</f>
        <v>2.7955176153748299E-12</v>
      </c>
      <c r="CN10" s="84" t="s">
        <v>164</v>
      </c>
      <c r="CO10" s="162">
        <f>B129</f>
        <v>2</v>
      </c>
      <c r="CP10" s="52" t="s">
        <v>246</v>
      </c>
      <c r="CT10" s="83" t="s">
        <v>77</v>
      </c>
      <c r="CU10" s="136">
        <f>B31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1.0002165781331087</v>
      </c>
      <c r="DC10" s="83" t="s">
        <v>514</v>
      </c>
      <c r="DD10" s="146">
        <f>B150</f>
        <v>55</v>
      </c>
      <c r="DE10" s="92" t="s">
        <v>221</v>
      </c>
      <c r="DF10" s="92" t="s">
        <v>32</v>
      </c>
      <c r="DG10" s="136">
        <f>B43</f>
        <v>1.4800000000000001E-2</v>
      </c>
      <c r="DI10" s="83" t="s">
        <v>22</v>
      </c>
      <c r="DJ10" s="137">
        <f>0.693/DJ11</f>
        <v>4.3312499999999997E-4</v>
      </c>
      <c r="DL10" s="92"/>
      <c r="DO10" s="92" t="s">
        <v>32</v>
      </c>
      <c r="DP10" s="136">
        <f>B43</f>
        <v>1.4800000000000001E-2</v>
      </c>
      <c r="DR10" s="83" t="s">
        <v>461</v>
      </c>
      <c r="DS10" s="146">
        <f>B152</f>
        <v>55</v>
      </c>
      <c r="DT10" s="92" t="s">
        <v>221</v>
      </c>
      <c r="DU10" s="92"/>
      <c r="DX10" s="83" t="s">
        <v>498</v>
      </c>
      <c r="DY10" s="138">
        <f>B201</f>
        <v>20.3</v>
      </c>
      <c r="DZ10" s="52" t="s">
        <v>246</v>
      </c>
      <c r="EA10" s="83" t="s">
        <v>498</v>
      </c>
      <c r="EB10" s="138">
        <f>B201</f>
        <v>20.3</v>
      </c>
      <c r="EC10" s="52" t="s">
        <v>246</v>
      </c>
      <c r="ED10" s="83" t="s">
        <v>498</v>
      </c>
      <c r="EE10" s="138">
        <f>B201</f>
        <v>20.3</v>
      </c>
      <c r="EF10" s="52" t="s">
        <v>246</v>
      </c>
      <c r="EG10" s="83" t="s">
        <v>462</v>
      </c>
      <c r="EH10" s="170">
        <f>B154</f>
        <v>55</v>
      </c>
      <c r="EI10" s="92" t="s">
        <v>221</v>
      </c>
      <c r="EJ10" s="92"/>
      <c r="EM10" s="83" t="s">
        <v>494</v>
      </c>
      <c r="EN10" s="138">
        <f>B206</f>
        <v>11.77</v>
      </c>
      <c r="EO10" s="52" t="s">
        <v>246</v>
      </c>
      <c r="EP10" s="83" t="s">
        <v>494</v>
      </c>
      <c r="EQ10" s="138">
        <f>B206</f>
        <v>11.77</v>
      </c>
      <c r="ER10" s="52" t="s">
        <v>246</v>
      </c>
      <c r="ES10" s="83" t="s">
        <v>494</v>
      </c>
      <c r="ET10" s="138">
        <f>B206</f>
        <v>11.77</v>
      </c>
      <c r="EU10" s="52" t="s">
        <v>246</v>
      </c>
      <c r="EV10" s="83" t="s">
        <v>463</v>
      </c>
      <c r="EW10" s="170">
        <f>B156</f>
        <v>55</v>
      </c>
      <c r="EX10" s="92" t="s">
        <v>221</v>
      </c>
      <c r="EY10" s="83"/>
      <c r="EZ10" s="142"/>
      <c r="FA10" s="83"/>
      <c r="FB10" s="83" t="s">
        <v>152</v>
      </c>
      <c r="FC10" s="142">
        <f>B211</f>
        <v>0.2</v>
      </c>
      <c r="FD10" s="52" t="s">
        <v>246</v>
      </c>
      <c r="FE10" s="83" t="s">
        <v>152</v>
      </c>
      <c r="FF10" s="142">
        <f>B211</f>
        <v>0.2</v>
      </c>
      <c r="FG10" s="52" t="s">
        <v>246</v>
      </c>
      <c r="FH10" s="83" t="s">
        <v>152</v>
      </c>
      <c r="FI10" s="142">
        <f>B211</f>
        <v>0.2</v>
      </c>
      <c r="FJ10" s="52" t="s">
        <v>246</v>
      </c>
      <c r="FK10" s="83" t="s">
        <v>472</v>
      </c>
      <c r="FL10" s="150">
        <f>B158</f>
        <v>55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1.0002165781331087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B160</f>
        <v>55</v>
      </c>
      <c r="GB10" s="92" t="s">
        <v>221</v>
      </c>
      <c r="GC10" s="83"/>
      <c r="GD10" s="83"/>
      <c r="GE10" s="83"/>
      <c r="GF10" s="83" t="s">
        <v>486</v>
      </c>
      <c r="GG10" s="142">
        <f>B216</f>
        <v>0.2</v>
      </c>
      <c r="GH10" s="52" t="s">
        <v>246</v>
      </c>
      <c r="GI10" s="83" t="s">
        <v>486</v>
      </c>
      <c r="GJ10" s="142">
        <f>B216</f>
        <v>0.2</v>
      </c>
      <c r="GK10" s="52" t="s">
        <v>246</v>
      </c>
      <c r="GL10" s="83" t="s">
        <v>486</v>
      </c>
      <c r="GM10" s="142">
        <f>B216</f>
        <v>0.2</v>
      </c>
      <c r="GN10" s="52" t="s">
        <v>246</v>
      </c>
      <c r="GO10" s="83" t="s">
        <v>464</v>
      </c>
      <c r="GP10" s="150">
        <f>B162</f>
        <v>55</v>
      </c>
      <c r="GQ10" s="92" t="s">
        <v>221</v>
      </c>
      <c r="GR10" s="83"/>
      <c r="GS10" s="83"/>
      <c r="GT10" s="83"/>
      <c r="GU10" s="83" t="s">
        <v>490</v>
      </c>
      <c r="GV10" s="142">
        <f>B221</f>
        <v>4.7</v>
      </c>
      <c r="GW10" s="52" t="s">
        <v>246</v>
      </c>
      <c r="GX10" s="83" t="s">
        <v>490</v>
      </c>
      <c r="GY10" s="142">
        <f>B221</f>
        <v>4.7</v>
      </c>
      <c r="GZ10" s="52" t="s">
        <v>246</v>
      </c>
      <c r="HA10" s="83" t="s">
        <v>490</v>
      </c>
      <c r="HB10" s="142">
        <f>B221</f>
        <v>4.7</v>
      </c>
      <c r="HC10" s="52" t="s">
        <v>246</v>
      </c>
      <c r="HD10" s="84" t="s">
        <v>38</v>
      </c>
      <c r="HE10" s="163">
        <f>B93</f>
        <v>0.3</v>
      </c>
    </row>
    <row r="11" spans="1:214" x14ac:dyDescent="0.2">
      <c r="A11" s="116" t="s">
        <v>244</v>
      </c>
      <c r="B11" s="229">
        <v>0.751</v>
      </c>
      <c r="C11" s="232"/>
      <c r="D11" s="52" t="s">
        <v>247</v>
      </c>
      <c r="E11" s="139">
        <f>B18</f>
        <v>3.8043873993229303E-2</v>
      </c>
      <c r="F11" s="84" t="s">
        <v>259</v>
      </c>
      <c r="G11" s="83" t="s">
        <v>261</v>
      </c>
      <c r="H11" s="144">
        <f>(H5/(H7*H16*H28))*H70*H71*H73</f>
        <v>4.0100151105681757E-11</v>
      </c>
      <c r="I11" s="92" t="s">
        <v>13</v>
      </c>
      <c r="J11" s="84" t="s">
        <v>16</v>
      </c>
      <c r="K11" s="137">
        <f>(K43*K12)/(1-EXP(-K12*K43))</f>
        <v>1.0002165781331087</v>
      </c>
      <c r="M11" s="52" t="s">
        <v>299</v>
      </c>
      <c r="N11" s="138">
        <f>B73</f>
        <v>1</v>
      </c>
      <c r="P11" s="52" t="s">
        <v>299</v>
      </c>
      <c r="Q11" s="138">
        <f>B73</f>
        <v>1</v>
      </c>
      <c r="S11" s="52" t="s">
        <v>299</v>
      </c>
      <c r="T11" s="138">
        <f>B73</f>
        <v>1</v>
      </c>
      <c r="V11" s="52" t="s">
        <v>247</v>
      </c>
      <c r="W11" s="139">
        <f>B18</f>
        <v>3.8043873993229303E-2</v>
      </c>
      <c r="X11" s="84" t="s">
        <v>39</v>
      </c>
      <c r="Y11" s="52" t="s">
        <v>247</v>
      </c>
      <c r="Z11" s="139">
        <f>B18</f>
        <v>3.8043873993229303E-2</v>
      </c>
      <c r="AA11" s="84" t="s">
        <v>39</v>
      </c>
      <c r="AB11" s="83" t="s">
        <v>220</v>
      </c>
      <c r="AC11" s="146"/>
      <c r="AD11" s="146"/>
      <c r="AE11" s="146"/>
      <c r="AF11" s="146">
        <f>B266</f>
        <v>25</v>
      </c>
      <c r="AG11" s="146">
        <f>B277</f>
        <v>25</v>
      </c>
      <c r="AH11" s="83" t="s">
        <v>113</v>
      </c>
      <c r="AI11" s="52" t="s">
        <v>299</v>
      </c>
      <c r="AJ11" s="138">
        <f>B241</f>
        <v>1</v>
      </c>
      <c r="AL11" s="52" t="s">
        <v>299</v>
      </c>
      <c r="AM11" s="138">
        <f>B241</f>
        <v>1</v>
      </c>
      <c r="AO11" s="52" t="s">
        <v>299</v>
      </c>
      <c r="AP11" s="138">
        <f>B241</f>
        <v>1</v>
      </c>
      <c r="AR11" s="52" t="s">
        <v>299</v>
      </c>
      <c r="AS11" s="138">
        <f>B251</f>
        <v>1</v>
      </c>
      <c r="AU11" s="52" t="s">
        <v>299</v>
      </c>
      <c r="AV11" s="138">
        <f>B251</f>
        <v>1</v>
      </c>
      <c r="AX11" s="52" t="s">
        <v>299</v>
      </c>
      <c r="AY11" s="138">
        <f>B251</f>
        <v>1</v>
      </c>
      <c r="BA11" s="52" t="s">
        <v>299</v>
      </c>
      <c r="BB11" s="138">
        <f>B231</f>
        <v>1</v>
      </c>
      <c r="BD11" s="52" t="s">
        <v>299</v>
      </c>
      <c r="BE11" s="138">
        <f>B231</f>
        <v>1</v>
      </c>
      <c r="BG11" s="52" t="s">
        <v>299</v>
      </c>
      <c r="BH11" s="138">
        <f>B231</f>
        <v>1</v>
      </c>
      <c r="BJ11" s="52" t="s">
        <v>219</v>
      </c>
      <c r="BK11" s="138">
        <f>B265</f>
        <v>3</v>
      </c>
      <c r="BL11" s="52" t="s">
        <v>112</v>
      </c>
      <c r="BM11" s="52" t="s">
        <v>219</v>
      </c>
      <c r="BN11" s="138">
        <f>B265</f>
        <v>3</v>
      </c>
      <c r="BO11" s="52" t="s">
        <v>112</v>
      </c>
      <c r="BP11" s="52" t="s">
        <v>219</v>
      </c>
      <c r="BQ11" s="138">
        <f>B265</f>
        <v>3</v>
      </c>
      <c r="BR11" s="52" t="s">
        <v>112</v>
      </c>
      <c r="BS11" s="83" t="s">
        <v>429</v>
      </c>
      <c r="BT11" s="141">
        <f>B103</f>
        <v>5</v>
      </c>
      <c r="BU11" s="92" t="s">
        <v>407</v>
      </c>
      <c r="BV11" s="83" t="s">
        <v>261</v>
      </c>
      <c r="BW11" s="159"/>
      <c r="BX11" s="92" t="s">
        <v>13</v>
      </c>
      <c r="BY11" s="83" t="s">
        <v>22</v>
      </c>
      <c r="BZ11" s="137">
        <f>0.693/BZ12</f>
        <v>4.3312499999999997E-4</v>
      </c>
      <c r="CB11" s="52" t="s">
        <v>300</v>
      </c>
      <c r="CC11" s="136">
        <f>B3</f>
        <v>0.124</v>
      </c>
      <c r="CE11" s="52" t="s">
        <v>300</v>
      </c>
      <c r="CF11" s="136">
        <f>B6</f>
        <v>5.8099999999999999E-2</v>
      </c>
      <c r="CH11" s="52" t="s">
        <v>300</v>
      </c>
      <c r="CI11" s="136">
        <f>B10</f>
        <v>0.10100000000000001</v>
      </c>
      <c r="CN11" s="84" t="s">
        <v>161</v>
      </c>
      <c r="CO11" s="162">
        <f>B130</f>
        <v>2</v>
      </c>
      <c r="CP11" s="52" t="s">
        <v>246</v>
      </c>
      <c r="CT11" s="84" t="s">
        <v>16</v>
      </c>
      <c r="CU11" s="137">
        <f>(CU43*CU12)/(1-EXP(-CU12*CU43))</f>
        <v>1.0002165781331087</v>
      </c>
      <c r="CW11" s="52" t="s">
        <v>247</v>
      </c>
      <c r="CX11" s="139">
        <f>B18</f>
        <v>3.8043873993229303E-2</v>
      </c>
      <c r="CY11" s="84" t="s">
        <v>259</v>
      </c>
      <c r="CZ11" s="83" t="s">
        <v>22</v>
      </c>
      <c r="DA11" s="137">
        <f>0.693/DA12</f>
        <v>4.3312499999999997E-4</v>
      </c>
      <c r="DC11" s="83" t="s">
        <v>515</v>
      </c>
      <c r="DD11" s="149">
        <f>(DD12*DD15*DD20)+(DD13*DD14*DD21)</f>
        <v>8250</v>
      </c>
      <c r="DE11" s="92" t="s">
        <v>347</v>
      </c>
      <c r="DF11" s="92" t="s">
        <v>49</v>
      </c>
      <c r="DG11" s="137">
        <f>DG19+DG20</f>
        <v>2.8186643835616437E-5</v>
      </c>
      <c r="DI11" s="91" t="s">
        <v>231</v>
      </c>
      <c r="DJ11" s="136">
        <f>B30</f>
        <v>1600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B166</f>
        <v>150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B166</f>
        <v>150</v>
      </c>
      <c r="EI11" s="83" t="s">
        <v>24</v>
      </c>
      <c r="EJ11" s="92"/>
      <c r="EM11" s="83" t="s">
        <v>495</v>
      </c>
      <c r="EN11" s="138">
        <f>B207</f>
        <v>0.5</v>
      </c>
      <c r="EO11" s="52" t="s">
        <v>246</v>
      </c>
      <c r="EP11" s="83" t="s">
        <v>495</v>
      </c>
      <c r="EQ11" s="138">
        <f>B207</f>
        <v>0.5</v>
      </c>
      <c r="ER11" s="52" t="s">
        <v>246</v>
      </c>
      <c r="ES11" s="83" t="s">
        <v>495</v>
      </c>
      <c r="ET11" s="138">
        <f>B207</f>
        <v>0.5</v>
      </c>
      <c r="EU11" s="52" t="s">
        <v>246</v>
      </c>
      <c r="EV11" s="83" t="s">
        <v>456</v>
      </c>
      <c r="EW11" s="150">
        <f>B166</f>
        <v>150</v>
      </c>
      <c r="EX11" s="83" t="s">
        <v>24</v>
      </c>
      <c r="EY11" s="83"/>
      <c r="EZ11" s="83"/>
      <c r="FA11" s="83"/>
      <c r="FB11" s="83" t="s">
        <v>151</v>
      </c>
      <c r="FC11" s="142">
        <f>B212</f>
        <v>2.1999999999999999E-2</v>
      </c>
      <c r="FD11" s="52" t="s">
        <v>246</v>
      </c>
      <c r="FE11" s="83" t="s">
        <v>151</v>
      </c>
      <c r="FF11" s="142">
        <f>B212</f>
        <v>2.1999999999999999E-2</v>
      </c>
      <c r="FG11" s="52" t="s">
        <v>246</v>
      </c>
      <c r="FH11" s="83" t="s">
        <v>151</v>
      </c>
      <c r="FI11" s="142">
        <f>B212</f>
        <v>2.1999999999999999E-2</v>
      </c>
      <c r="FJ11" s="52" t="s">
        <v>246</v>
      </c>
      <c r="FK11" s="83" t="s">
        <v>456</v>
      </c>
      <c r="FL11" s="150">
        <f>B166</f>
        <v>150</v>
      </c>
      <c r="FM11" s="83" t="s">
        <v>24</v>
      </c>
      <c r="FN11" s="83"/>
      <c r="FO11" s="83"/>
      <c r="FP11" s="83"/>
      <c r="FQ11" s="88"/>
      <c r="FR11" s="169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B166</f>
        <v>150</v>
      </c>
      <c r="GB11" s="83" t="s">
        <v>24</v>
      </c>
      <c r="GC11" s="83"/>
      <c r="GD11" s="83"/>
      <c r="GE11" s="83"/>
      <c r="GF11" s="83" t="s">
        <v>487</v>
      </c>
      <c r="GG11" s="142">
        <f>B217</f>
        <v>2.1999999999999999E-2</v>
      </c>
      <c r="GH11" s="52" t="s">
        <v>246</v>
      </c>
      <c r="GI11" s="83" t="s">
        <v>487</v>
      </c>
      <c r="GJ11" s="142">
        <f>B217</f>
        <v>2.1999999999999999E-2</v>
      </c>
      <c r="GK11" s="52" t="s">
        <v>246</v>
      </c>
      <c r="GL11" s="83" t="s">
        <v>487</v>
      </c>
      <c r="GM11" s="142">
        <f>B217</f>
        <v>2.1999999999999999E-2</v>
      </c>
      <c r="GN11" s="52" t="s">
        <v>246</v>
      </c>
      <c r="GO11" s="83" t="s">
        <v>456</v>
      </c>
      <c r="GP11" s="150">
        <f>B166</f>
        <v>150</v>
      </c>
      <c r="GQ11" s="83" t="s">
        <v>24</v>
      </c>
      <c r="GR11" s="83"/>
      <c r="GS11" s="83"/>
      <c r="GT11" s="83"/>
      <c r="GU11" s="83" t="s">
        <v>491</v>
      </c>
      <c r="GV11" s="142">
        <f>B222</f>
        <v>0.37</v>
      </c>
      <c r="GW11" s="52" t="s">
        <v>246</v>
      </c>
      <c r="GX11" s="83" t="s">
        <v>491</v>
      </c>
      <c r="GY11" s="142">
        <f>B222</f>
        <v>0.37</v>
      </c>
      <c r="GZ11" s="52" t="s">
        <v>246</v>
      </c>
      <c r="HA11" s="83" t="s">
        <v>491</v>
      </c>
      <c r="HB11" s="142">
        <f>B222</f>
        <v>0.37</v>
      </c>
      <c r="HC11" s="52" t="s">
        <v>246</v>
      </c>
      <c r="HD11" s="84" t="s">
        <v>42</v>
      </c>
      <c r="HE11" s="150">
        <f>B94</f>
        <v>1.5</v>
      </c>
    </row>
    <row r="12" spans="1:214" x14ac:dyDescent="0.2">
      <c r="A12" s="116" t="s">
        <v>342</v>
      </c>
      <c r="B12" s="229">
        <v>3.44E-2</v>
      </c>
      <c r="C12" s="232"/>
      <c r="D12" s="83" t="s">
        <v>43</v>
      </c>
      <c r="E12" s="140">
        <f>((E15/E16)*E23*E13*E25)+((E15/E16)*E24*E14*E26)</f>
        <v>1327.5</v>
      </c>
      <c r="F12" s="52" t="s">
        <v>426</v>
      </c>
      <c r="G12" s="83" t="s">
        <v>266</v>
      </c>
      <c r="H12" s="144">
        <f>(H5/(H8*(1/H43)*H21))*H70*H71*H73</f>
        <v>5.5702475000485583E-10</v>
      </c>
      <c r="I12" s="92" t="s">
        <v>13</v>
      </c>
      <c r="J12" s="83" t="s">
        <v>22</v>
      </c>
      <c r="K12" s="137">
        <f>0.693/K13</f>
        <v>4.3312499999999997E-4</v>
      </c>
      <c r="M12" s="52" t="s">
        <v>300</v>
      </c>
      <c r="N12" s="136">
        <f>B3</f>
        <v>0.124</v>
      </c>
      <c r="P12" s="52" t="s">
        <v>300</v>
      </c>
      <c r="Q12" s="136">
        <f>B6</f>
        <v>5.8099999999999999E-2</v>
      </c>
      <c r="S12" s="52" t="s">
        <v>300</v>
      </c>
      <c r="T12" s="136">
        <f>B10</f>
        <v>0.10100000000000001</v>
      </c>
      <c r="V12" s="52" t="s">
        <v>44</v>
      </c>
      <c r="W12" s="150">
        <f>B252</f>
        <v>5</v>
      </c>
      <c r="X12" s="84" t="s">
        <v>194</v>
      </c>
      <c r="Y12" s="52" t="s">
        <v>44</v>
      </c>
      <c r="Z12" s="150">
        <f>B233</f>
        <v>5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B262</f>
        <v>5</v>
      </c>
      <c r="AG12" s="150">
        <f>B273</f>
        <v>5</v>
      </c>
      <c r="AH12" s="83" t="s">
        <v>194</v>
      </c>
      <c r="AI12" s="52" t="s">
        <v>300</v>
      </c>
      <c r="AJ12" s="136">
        <f>B3</f>
        <v>0.124</v>
      </c>
      <c r="AL12" s="52" t="s">
        <v>300</v>
      </c>
      <c r="AM12" s="136">
        <f>B6</f>
        <v>5.8099999999999999E-2</v>
      </c>
      <c r="AO12" s="52" t="s">
        <v>300</v>
      </c>
      <c r="AP12" s="136">
        <f>B10</f>
        <v>0.10100000000000001</v>
      </c>
      <c r="AR12" s="52" t="s">
        <v>300</v>
      </c>
      <c r="AS12" s="136">
        <f>B3</f>
        <v>0.124</v>
      </c>
      <c r="AU12" s="52" t="s">
        <v>300</v>
      </c>
      <c r="AV12" s="136">
        <f>B6</f>
        <v>5.8099999999999999E-2</v>
      </c>
      <c r="AX12" s="52" t="s">
        <v>300</v>
      </c>
      <c r="AY12" s="136">
        <f>B10</f>
        <v>0.10100000000000001</v>
      </c>
      <c r="BA12" s="52" t="s">
        <v>300</v>
      </c>
      <c r="BB12" s="136">
        <f>B3</f>
        <v>0.124</v>
      </c>
      <c r="BD12" s="52" t="s">
        <v>300</v>
      </c>
      <c r="BE12" s="136">
        <f>B6</f>
        <v>5.8099999999999999E-2</v>
      </c>
      <c r="BG12" s="52" t="s">
        <v>300</v>
      </c>
      <c r="BH12" s="136">
        <f>B10</f>
        <v>0.10100000000000001</v>
      </c>
      <c r="BJ12" s="52" t="s">
        <v>158</v>
      </c>
      <c r="BK12" s="138">
        <f>B258</f>
        <v>1</v>
      </c>
      <c r="BL12" s="52" t="s">
        <v>146</v>
      </c>
      <c r="BM12" s="52" t="s">
        <v>158</v>
      </c>
      <c r="BN12" s="138">
        <f>B258</f>
        <v>1</v>
      </c>
      <c r="BO12" s="52" t="s">
        <v>146</v>
      </c>
      <c r="BP12" s="52" t="s">
        <v>158</v>
      </c>
      <c r="BQ12" s="138">
        <f>B258</f>
        <v>1</v>
      </c>
      <c r="BR12" s="52" t="s">
        <v>146</v>
      </c>
      <c r="BS12" s="83" t="s">
        <v>430</v>
      </c>
      <c r="BT12" s="141">
        <f>B104</f>
        <v>10</v>
      </c>
      <c r="BU12" s="92" t="s">
        <v>407</v>
      </c>
      <c r="BV12" s="83" t="s">
        <v>266</v>
      </c>
      <c r="BW12" s="145">
        <f>(BW5/(BW8*(1/BW29)*BW16))*BW32*BW33*BW34</f>
        <v>1.9293311795622736E-10</v>
      </c>
      <c r="BX12" s="92" t="s">
        <v>13</v>
      </c>
      <c r="BY12" s="91" t="s">
        <v>231</v>
      </c>
      <c r="BZ12" s="136">
        <f>B30</f>
        <v>1600</v>
      </c>
      <c r="CA12" s="52" t="s">
        <v>60</v>
      </c>
      <c r="CB12" s="52" t="s">
        <v>413</v>
      </c>
      <c r="CC12" s="136">
        <f>B4</f>
        <v>0.79200000000000004</v>
      </c>
      <c r="CE12" s="52" t="s">
        <v>414</v>
      </c>
      <c r="CF12" s="136">
        <f>B7</f>
        <v>0.624</v>
      </c>
      <c r="CH12" s="52" t="s">
        <v>416</v>
      </c>
      <c r="CI12" s="136">
        <f>B11</f>
        <v>0.751</v>
      </c>
      <c r="CN12" s="84" t="s">
        <v>162</v>
      </c>
      <c r="CO12" s="162">
        <f>B131</f>
        <v>2</v>
      </c>
      <c r="CP12" s="52" t="s">
        <v>41</v>
      </c>
      <c r="CT12" s="83" t="s">
        <v>22</v>
      </c>
      <c r="CU12" s="137">
        <f>0.693/CU13</f>
        <v>4.3312499999999997E-4</v>
      </c>
      <c r="CW12" s="83" t="s">
        <v>506</v>
      </c>
      <c r="CX12" s="140">
        <f>((CX16/24)*CX23*CX13*CX25)+((CX15/24)*CX24*CX14*CX26)</f>
        <v>1387.5</v>
      </c>
      <c r="CY12" s="52" t="s">
        <v>426</v>
      </c>
      <c r="CZ12" s="91" t="s">
        <v>231</v>
      </c>
      <c r="DA12" s="136">
        <f>B30</f>
        <v>1600</v>
      </c>
      <c r="DB12" s="52" t="s">
        <v>60</v>
      </c>
      <c r="DC12" s="83" t="s">
        <v>467</v>
      </c>
      <c r="DD12" s="146">
        <f>B147</f>
        <v>55</v>
      </c>
      <c r="DE12" s="92" t="s">
        <v>221</v>
      </c>
      <c r="DF12" s="92" t="s">
        <v>52</v>
      </c>
      <c r="DG12" s="138">
        <f>B191</f>
        <v>10950</v>
      </c>
      <c r="DH12" s="52" t="s">
        <v>53</v>
      </c>
      <c r="DI12" s="84" t="s">
        <v>16</v>
      </c>
      <c r="DJ12" s="137">
        <f>(DJ9*DJ10)/(1-EXP(-DJ10*DJ9))</f>
        <v>1.0002165781331087</v>
      </c>
      <c r="DL12" s="92"/>
      <c r="DO12" s="92" t="s">
        <v>52</v>
      </c>
      <c r="DP12" s="138">
        <f>B191</f>
        <v>10950</v>
      </c>
      <c r="DQ12" s="52" t="s">
        <v>53</v>
      </c>
      <c r="DR12" s="83" t="s">
        <v>465</v>
      </c>
      <c r="DS12" s="150">
        <f>B166</f>
        <v>150</v>
      </c>
      <c r="DT12" s="83" t="s">
        <v>24</v>
      </c>
      <c r="DU12" s="92"/>
      <c r="DX12" s="83" t="s">
        <v>500</v>
      </c>
      <c r="DY12" s="138">
        <f>B203</f>
        <v>1</v>
      </c>
      <c r="EA12" s="83" t="s">
        <v>500</v>
      </c>
      <c r="EB12" s="138">
        <f>B203</f>
        <v>1</v>
      </c>
      <c r="EC12" s="84"/>
      <c r="ED12" s="83" t="s">
        <v>500</v>
      </c>
      <c r="EE12" s="138">
        <f>B203</f>
        <v>1</v>
      </c>
      <c r="EF12" s="84"/>
      <c r="EG12" s="83" t="s">
        <v>465</v>
      </c>
      <c r="EH12" s="150">
        <f>B166</f>
        <v>150</v>
      </c>
      <c r="EI12" s="83" t="s">
        <v>24</v>
      </c>
      <c r="EJ12" s="92"/>
      <c r="EM12" s="83" t="s">
        <v>496</v>
      </c>
      <c r="EN12" s="138">
        <f>B208</f>
        <v>1</v>
      </c>
      <c r="EP12" s="83" t="s">
        <v>496</v>
      </c>
      <c r="EQ12" s="138">
        <f>B208</f>
        <v>1</v>
      </c>
      <c r="ER12" s="84"/>
      <c r="ES12" s="83" t="s">
        <v>496</v>
      </c>
      <c r="ET12" s="138">
        <f>B208</f>
        <v>1</v>
      </c>
      <c r="EU12" s="84"/>
      <c r="EV12" s="83" t="s">
        <v>465</v>
      </c>
      <c r="EW12" s="150">
        <f>B166</f>
        <v>150</v>
      </c>
      <c r="EX12" s="83" t="s">
        <v>24</v>
      </c>
      <c r="EY12" s="83"/>
      <c r="EZ12" s="83"/>
      <c r="FA12" s="83"/>
      <c r="FB12" s="83" t="s">
        <v>153</v>
      </c>
      <c r="FC12" s="164">
        <f>B213</f>
        <v>1</v>
      </c>
      <c r="FD12" s="83"/>
      <c r="FE12" s="83" t="s">
        <v>153</v>
      </c>
      <c r="FF12" s="164">
        <f>B213</f>
        <v>1</v>
      </c>
      <c r="FG12" s="83"/>
      <c r="FH12" s="83" t="s">
        <v>153</v>
      </c>
      <c r="FI12" s="164">
        <f>B213</f>
        <v>1</v>
      </c>
      <c r="FJ12" s="84"/>
      <c r="FK12" s="83" t="s">
        <v>465</v>
      </c>
      <c r="FL12" s="150">
        <f>B166</f>
        <v>150</v>
      </c>
      <c r="FM12" s="83" t="s">
        <v>24</v>
      </c>
      <c r="FN12" s="83"/>
      <c r="FO12" s="83"/>
      <c r="FP12" s="83"/>
      <c r="FQ12" s="88"/>
      <c r="FR12" s="227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B166</f>
        <v>150</v>
      </c>
      <c r="GB12" s="83" t="s">
        <v>24</v>
      </c>
      <c r="GC12" s="83"/>
      <c r="GD12" s="83"/>
      <c r="GE12" s="83"/>
      <c r="GF12" s="83" t="s">
        <v>488</v>
      </c>
      <c r="GG12" s="142">
        <f>B218</f>
        <v>1</v>
      </c>
      <c r="GH12" s="83"/>
      <c r="GI12" s="83" t="s">
        <v>488</v>
      </c>
      <c r="GJ12" s="142">
        <f>B218</f>
        <v>1</v>
      </c>
      <c r="GK12" s="83"/>
      <c r="GL12" s="83" t="s">
        <v>488</v>
      </c>
      <c r="GM12" s="142">
        <f>B218</f>
        <v>1</v>
      </c>
      <c r="GN12" s="84"/>
      <c r="GO12" s="83" t="s">
        <v>465</v>
      </c>
      <c r="GP12" s="150">
        <f>B166</f>
        <v>150</v>
      </c>
      <c r="GQ12" s="83" t="s">
        <v>24</v>
      </c>
      <c r="GR12" s="83"/>
      <c r="GS12" s="83"/>
      <c r="GT12" s="83"/>
      <c r="GU12" s="83" t="s">
        <v>492</v>
      </c>
      <c r="GV12" s="142">
        <f>B223</f>
        <v>1</v>
      </c>
      <c r="GW12" s="83"/>
      <c r="GX12" s="83" t="s">
        <v>492</v>
      </c>
      <c r="GY12" s="142">
        <f>B223</f>
        <v>1</v>
      </c>
      <c r="GZ12" s="83"/>
      <c r="HA12" s="83" t="s">
        <v>492</v>
      </c>
      <c r="HB12" s="142">
        <f>B223</f>
        <v>1</v>
      </c>
      <c r="HC12" s="84"/>
      <c r="HD12" s="84" t="s">
        <v>47</v>
      </c>
      <c r="HE12" s="163">
        <v>1</v>
      </c>
    </row>
    <row r="13" spans="1:214" ht="13.5" customHeight="1" thickBot="1" x14ac:dyDescent="0.25">
      <c r="A13" s="118" t="s">
        <v>245</v>
      </c>
      <c r="B13" s="230">
        <v>3.44E-2</v>
      </c>
      <c r="C13" s="233"/>
      <c r="D13" s="83" t="s">
        <v>366</v>
      </c>
      <c r="E13" s="141">
        <f>B50</f>
        <v>5</v>
      </c>
      <c r="F13" s="92" t="s">
        <v>407</v>
      </c>
      <c r="G13" s="83" t="s">
        <v>263</v>
      </c>
      <c r="H13" s="144">
        <f>(H14/((1/H40)*(H48+H49+H50)))*H70*H71*H73</f>
        <v>1.1025635151978503E-14</v>
      </c>
      <c r="I13" s="92" t="s">
        <v>13</v>
      </c>
      <c r="J13" s="91" t="s">
        <v>231</v>
      </c>
      <c r="K13" s="136">
        <f>B30</f>
        <v>1600</v>
      </c>
      <c r="L13" s="52" t="s">
        <v>60</v>
      </c>
      <c r="M13" s="52" t="s">
        <v>54</v>
      </c>
      <c r="N13" s="136">
        <f>B4</f>
        <v>0.79200000000000004</v>
      </c>
      <c r="P13" s="52" t="s">
        <v>54</v>
      </c>
      <c r="Q13" s="136">
        <f>B7</f>
        <v>0.624</v>
      </c>
      <c r="S13" s="52" t="s">
        <v>54</v>
      </c>
      <c r="T13" s="136">
        <f>B11</f>
        <v>0.751</v>
      </c>
      <c r="V13" s="52" t="s">
        <v>50</v>
      </c>
      <c r="W13" s="146">
        <f>B246</f>
        <v>50</v>
      </c>
      <c r="X13" s="84" t="s">
        <v>407</v>
      </c>
      <c r="Y13" s="52" t="s">
        <v>50</v>
      </c>
      <c r="Z13" s="146">
        <f>B226</f>
        <v>50</v>
      </c>
      <c r="AA13" s="84" t="s">
        <v>407</v>
      </c>
      <c r="AB13" s="83" t="s">
        <v>349</v>
      </c>
      <c r="AC13" s="146">
        <f>B229</f>
        <v>50</v>
      </c>
      <c r="AD13" s="146">
        <f>B239</f>
        <v>50</v>
      </c>
      <c r="AE13" s="146">
        <f>B249</f>
        <v>50</v>
      </c>
      <c r="AF13" s="146">
        <f>B259</f>
        <v>200</v>
      </c>
      <c r="AG13" s="146">
        <f>B271</f>
        <v>200</v>
      </c>
      <c r="AH13" s="52" t="s">
        <v>48</v>
      </c>
      <c r="AI13" s="52" t="s">
        <v>54</v>
      </c>
      <c r="AJ13" s="136">
        <f>B4</f>
        <v>0.79200000000000004</v>
      </c>
      <c r="AL13" s="52" t="s">
        <v>54</v>
      </c>
      <c r="AM13" s="136">
        <f>B7</f>
        <v>0.624</v>
      </c>
      <c r="AO13" s="52" t="s">
        <v>54</v>
      </c>
      <c r="AP13" s="136">
        <f>B11</f>
        <v>0.751</v>
      </c>
      <c r="AR13" s="52" t="s">
        <v>54</v>
      </c>
      <c r="AS13" s="136">
        <f>B4</f>
        <v>0.79200000000000004</v>
      </c>
      <c r="AU13" s="52" t="s">
        <v>54</v>
      </c>
      <c r="AV13" s="136">
        <f>B7</f>
        <v>0.624</v>
      </c>
      <c r="AX13" s="52" t="s">
        <v>54</v>
      </c>
      <c r="AY13" s="136">
        <f>B11</f>
        <v>0.751</v>
      </c>
      <c r="BA13" s="52" t="s">
        <v>54</v>
      </c>
      <c r="BB13" s="136">
        <f>B4</f>
        <v>0.79200000000000004</v>
      </c>
      <c r="BD13" s="52" t="s">
        <v>54</v>
      </c>
      <c r="BE13" s="136">
        <f>B7</f>
        <v>0.624</v>
      </c>
      <c r="BG13" s="52" t="s">
        <v>54</v>
      </c>
      <c r="BH13" s="136">
        <f>B11</f>
        <v>0.751</v>
      </c>
      <c r="BJ13" s="52" t="s">
        <v>300</v>
      </c>
      <c r="BK13" s="136">
        <f>B3</f>
        <v>0.124</v>
      </c>
      <c r="BM13" s="52" t="s">
        <v>300</v>
      </c>
      <c r="BN13" s="136">
        <f>B6</f>
        <v>5.8099999999999999E-2</v>
      </c>
      <c r="BP13" s="52" t="s">
        <v>300</v>
      </c>
      <c r="BQ13" s="136">
        <f>B10</f>
        <v>0.10100000000000001</v>
      </c>
      <c r="BS13" s="52" t="s">
        <v>431</v>
      </c>
      <c r="BT13" s="141">
        <f>B116</f>
        <v>5</v>
      </c>
      <c r="BU13" s="52" t="s">
        <v>194</v>
      </c>
      <c r="BV13" s="83" t="s">
        <v>440</v>
      </c>
      <c r="BW13" s="160">
        <f>((BW18*BW20*BW23*BW14*BW30)+(BW19*BW21*BW24*BW15*BW31))</f>
        <v>2750</v>
      </c>
      <c r="BX13" s="83" t="s">
        <v>345</v>
      </c>
      <c r="BY13" s="83" t="s">
        <v>260</v>
      </c>
      <c r="BZ13" s="143">
        <f>((BZ5/(BZ6*BZ16*(1/BZ33)))*BZ10)*BZ36*BZ37*BZ12</f>
        <v>1.7803957252540055E-4</v>
      </c>
      <c r="CA13" s="92" t="s">
        <v>12</v>
      </c>
      <c r="CB13" s="52" t="s">
        <v>90</v>
      </c>
      <c r="CC13" s="138">
        <f>B118</f>
        <v>5</v>
      </c>
      <c r="CD13" s="52" t="s">
        <v>194</v>
      </c>
      <c r="CE13" s="52" t="s">
        <v>90</v>
      </c>
      <c r="CF13" s="138">
        <f>B118</f>
        <v>5</v>
      </c>
      <c r="CG13" s="52" t="s">
        <v>194</v>
      </c>
      <c r="CH13" s="52" t="s">
        <v>90</v>
      </c>
      <c r="CI13" s="138">
        <f>B118</f>
        <v>5</v>
      </c>
      <c r="CJ13" s="52" t="s">
        <v>194</v>
      </c>
      <c r="CN13" s="84" t="s">
        <v>163</v>
      </c>
      <c r="CO13" s="162">
        <f>B132</f>
        <v>2</v>
      </c>
      <c r="CP13" s="52" t="s">
        <v>41</v>
      </c>
      <c r="CT13" s="91" t="s">
        <v>231</v>
      </c>
      <c r="CU13" s="136">
        <f>B30</f>
        <v>1600</v>
      </c>
      <c r="CV13" s="52" t="s">
        <v>60</v>
      </c>
      <c r="CW13" s="83" t="s">
        <v>450</v>
      </c>
      <c r="CX13" s="141">
        <f>B145</f>
        <v>5</v>
      </c>
      <c r="CY13" s="92" t="s">
        <v>407</v>
      </c>
      <c r="CZ13" s="83" t="s">
        <v>260</v>
      </c>
      <c r="DA13" s="143">
        <f>(DA5/(DA6*DA24))*DA51*DA52*DA12</f>
        <v>3.0631306901992946E-9</v>
      </c>
      <c r="DB13" s="83" t="s">
        <v>13</v>
      </c>
      <c r="DC13" s="83" t="s">
        <v>468</v>
      </c>
      <c r="DD13" s="146">
        <f>B148</f>
        <v>55</v>
      </c>
      <c r="DE13" s="92" t="s">
        <v>221</v>
      </c>
      <c r="DF13" s="92" t="s">
        <v>55</v>
      </c>
      <c r="DG13" s="138">
        <f>B192</f>
        <v>240</v>
      </c>
      <c r="DH13" s="52" t="s">
        <v>56</v>
      </c>
      <c r="DJ13" s="138"/>
      <c r="DL13" s="92"/>
      <c r="DO13" s="92" t="s">
        <v>55</v>
      </c>
      <c r="DP13" s="138">
        <f>B192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B204</f>
        <v>1</v>
      </c>
      <c r="EA13" s="83" t="s">
        <v>501</v>
      </c>
      <c r="EB13" s="138">
        <f>B204</f>
        <v>1</v>
      </c>
      <c r="EC13" s="84"/>
      <c r="ED13" s="83" t="s">
        <v>501</v>
      </c>
      <c r="EE13" s="138">
        <f>B204</f>
        <v>1</v>
      </c>
      <c r="EF13" s="84"/>
      <c r="EG13" s="83" t="s">
        <v>363</v>
      </c>
      <c r="EH13" s="150">
        <f>B168</f>
        <v>1</v>
      </c>
      <c r="EI13" s="84" t="s">
        <v>60</v>
      </c>
      <c r="EJ13" s="92"/>
      <c r="EM13" s="83" t="s">
        <v>497</v>
      </c>
      <c r="EN13" s="138">
        <f>B209</f>
        <v>1</v>
      </c>
      <c r="EP13" s="83" t="s">
        <v>497</v>
      </c>
      <c r="EQ13" s="138">
        <f>B209</f>
        <v>1</v>
      </c>
      <c r="ER13" s="84"/>
      <c r="ES13" s="83" t="s">
        <v>497</v>
      </c>
      <c r="ET13" s="138">
        <f>B209</f>
        <v>1</v>
      </c>
      <c r="EU13" s="84"/>
      <c r="EV13" s="83" t="s">
        <v>363</v>
      </c>
      <c r="EW13" s="150">
        <f>B168</f>
        <v>1</v>
      </c>
      <c r="EX13" s="84" t="s">
        <v>60</v>
      </c>
      <c r="EY13" s="83"/>
      <c r="EZ13" s="83"/>
      <c r="FA13" s="83"/>
      <c r="FB13" s="83" t="s">
        <v>154</v>
      </c>
      <c r="FC13" s="164">
        <f>B214</f>
        <v>1</v>
      </c>
      <c r="FD13" s="83"/>
      <c r="FE13" s="83" t="s">
        <v>154</v>
      </c>
      <c r="FF13" s="164">
        <f>B214</f>
        <v>1</v>
      </c>
      <c r="FG13" s="83"/>
      <c r="FH13" s="83" t="s">
        <v>154</v>
      </c>
      <c r="FI13" s="164">
        <f>B214</f>
        <v>1</v>
      </c>
      <c r="FJ13" s="84"/>
      <c r="FK13" s="83" t="s">
        <v>363</v>
      </c>
      <c r="FL13" s="141">
        <f>B168</f>
        <v>1</v>
      </c>
      <c r="FM13" s="92" t="s">
        <v>60</v>
      </c>
      <c r="FN13" s="83"/>
      <c r="FO13" s="83"/>
      <c r="FP13" s="83"/>
      <c r="FQ13" s="88"/>
      <c r="FR13" s="227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B168</f>
        <v>1</v>
      </c>
      <c r="GB13" s="92" t="s">
        <v>60</v>
      </c>
      <c r="GC13" s="83"/>
      <c r="GD13" s="83"/>
      <c r="GE13" s="83"/>
      <c r="GF13" s="83" t="s">
        <v>489</v>
      </c>
      <c r="GG13" s="142">
        <f>B219</f>
        <v>1</v>
      </c>
      <c r="GH13" s="83"/>
      <c r="GI13" s="83" t="s">
        <v>489</v>
      </c>
      <c r="GJ13" s="142">
        <f>B219</f>
        <v>1</v>
      </c>
      <c r="GK13" s="83"/>
      <c r="GL13" s="83" t="s">
        <v>489</v>
      </c>
      <c r="GM13" s="142">
        <f>B219</f>
        <v>1</v>
      </c>
      <c r="GN13" s="84"/>
      <c r="GO13" s="83" t="s">
        <v>363</v>
      </c>
      <c r="GP13" s="141">
        <f>B168</f>
        <v>1</v>
      </c>
      <c r="GQ13" s="92" t="s">
        <v>60</v>
      </c>
      <c r="GR13" s="83"/>
      <c r="GS13" s="83"/>
      <c r="GT13" s="83"/>
      <c r="GU13" s="83" t="s">
        <v>493</v>
      </c>
      <c r="GV13" s="142">
        <f>B224</f>
        <v>1</v>
      </c>
      <c r="GW13" s="83"/>
      <c r="GX13" s="83" t="s">
        <v>493</v>
      </c>
      <c r="GY13" s="142">
        <f>B224</f>
        <v>1</v>
      </c>
      <c r="GZ13" s="83"/>
      <c r="HA13" s="83" t="s">
        <v>493</v>
      </c>
      <c r="HB13" s="142">
        <f>B224</f>
        <v>1</v>
      </c>
      <c r="HC13" s="84"/>
      <c r="HD13" s="84" t="s">
        <v>59</v>
      </c>
      <c r="HE13" s="150">
        <f>B45</f>
        <v>1</v>
      </c>
    </row>
    <row r="14" spans="1:214" ht="13.5" thickTop="1" x14ac:dyDescent="0.2">
      <c r="A14" s="375" t="s">
        <v>233</v>
      </c>
      <c r="B14" s="376"/>
      <c r="C14" s="377"/>
      <c r="D14" s="83" t="s">
        <v>367</v>
      </c>
      <c r="E14" s="141">
        <f>B51</f>
        <v>10</v>
      </c>
      <c r="F14" s="92" t="s">
        <v>407</v>
      </c>
      <c r="G14" s="83" t="s">
        <v>264</v>
      </c>
      <c r="H14" s="145">
        <f>(H5/(H9*(H22+H25)*H41))*H70*H72*H73</f>
        <v>1.4596083754512596E-7</v>
      </c>
      <c r="I14" s="92" t="s">
        <v>12</v>
      </c>
      <c r="J14" s="83" t="s">
        <v>260</v>
      </c>
      <c r="K14" s="143">
        <f>((K5/(K6*K19*(1/K46)))*K11)*K53*K54*K13</f>
        <v>6.5281176592646851E-5</v>
      </c>
      <c r="L14" s="92" t="s">
        <v>12</v>
      </c>
      <c r="M14" s="52" t="s">
        <v>408</v>
      </c>
      <c r="N14" s="150">
        <f>B88</f>
        <v>5</v>
      </c>
      <c r="O14" s="52" t="s">
        <v>194</v>
      </c>
      <c r="P14" s="52" t="s">
        <v>408</v>
      </c>
      <c r="Q14" s="150">
        <f>B88</f>
        <v>5</v>
      </c>
      <c r="R14" s="52" t="s">
        <v>194</v>
      </c>
      <c r="S14" s="52" t="s">
        <v>408</v>
      </c>
      <c r="T14" s="150">
        <f>B88</f>
        <v>5</v>
      </c>
      <c r="U14" s="52" t="s">
        <v>194</v>
      </c>
      <c r="V14" s="83" t="s">
        <v>256</v>
      </c>
      <c r="W14" s="136">
        <f>B27</f>
        <v>15429.68</v>
      </c>
      <c r="X14" s="83" t="s">
        <v>343</v>
      </c>
      <c r="Y14" s="83" t="s">
        <v>256</v>
      </c>
      <c r="Z14" s="136">
        <f>B27</f>
        <v>15429.68</v>
      </c>
      <c r="AA14" s="83" t="s">
        <v>343</v>
      </c>
      <c r="AB14" s="83" t="s">
        <v>300</v>
      </c>
      <c r="AC14" s="161">
        <f>B3</f>
        <v>0.124</v>
      </c>
      <c r="AD14" s="161">
        <f>B3</f>
        <v>0.124</v>
      </c>
      <c r="AE14" s="161">
        <f>B3</f>
        <v>0.124</v>
      </c>
      <c r="AF14" s="161">
        <f>B3</f>
        <v>0.124</v>
      </c>
      <c r="AG14" s="161">
        <f>B3</f>
        <v>0.124</v>
      </c>
      <c r="AH14" s="92"/>
      <c r="AI14" s="52" t="s">
        <v>57</v>
      </c>
      <c r="AJ14" s="136">
        <f>B242</f>
        <v>5</v>
      </c>
      <c r="AK14" s="52" t="s">
        <v>194</v>
      </c>
      <c r="AL14" s="52" t="s">
        <v>57</v>
      </c>
      <c r="AM14" s="136">
        <f>B242</f>
        <v>5</v>
      </c>
      <c r="AN14" s="52" t="s">
        <v>194</v>
      </c>
      <c r="AO14" s="52" t="s">
        <v>57</v>
      </c>
      <c r="AP14" s="136">
        <f>B242</f>
        <v>5</v>
      </c>
      <c r="AQ14" s="52" t="s">
        <v>194</v>
      </c>
      <c r="AR14" s="52" t="s">
        <v>57</v>
      </c>
      <c r="AS14" s="136">
        <f>B252</f>
        <v>5</v>
      </c>
      <c r="AT14" s="52" t="s">
        <v>194</v>
      </c>
      <c r="AU14" s="52" t="s">
        <v>57</v>
      </c>
      <c r="AV14" s="136">
        <f>B252</f>
        <v>5</v>
      </c>
      <c r="AW14" s="52" t="s">
        <v>194</v>
      </c>
      <c r="AX14" s="52" t="s">
        <v>57</v>
      </c>
      <c r="AY14" s="136">
        <f>B252</f>
        <v>5</v>
      </c>
      <c r="AZ14" s="52" t="s">
        <v>194</v>
      </c>
      <c r="BA14" s="52" t="s">
        <v>57</v>
      </c>
      <c r="BB14" s="136">
        <f>B232</f>
        <v>5</v>
      </c>
      <c r="BC14" s="52" t="s">
        <v>194</v>
      </c>
      <c r="BD14" s="52" t="s">
        <v>57</v>
      </c>
      <c r="BE14" s="136">
        <f>B232</f>
        <v>5</v>
      </c>
      <c r="BF14" s="52" t="s">
        <v>194</v>
      </c>
      <c r="BG14" s="52" t="s">
        <v>58</v>
      </c>
      <c r="BH14" s="136">
        <f>B232</f>
        <v>5</v>
      </c>
      <c r="BI14" s="52" t="s">
        <v>194</v>
      </c>
      <c r="BJ14" s="52" t="s">
        <v>413</v>
      </c>
      <c r="BK14" s="136">
        <f>B4</f>
        <v>0.79200000000000004</v>
      </c>
      <c r="BM14" s="52" t="s">
        <v>414</v>
      </c>
      <c r="BN14" s="136">
        <f>B7</f>
        <v>0.624</v>
      </c>
      <c r="BP14" s="52" t="s">
        <v>416</v>
      </c>
      <c r="BQ14" s="136">
        <f>B11</f>
        <v>0.751</v>
      </c>
      <c r="BS14" s="52" t="s">
        <v>432</v>
      </c>
      <c r="BT14" s="141">
        <f>B117</f>
        <v>5</v>
      </c>
      <c r="BU14" s="52" t="s">
        <v>194</v>
      </c>
      <c r="BV14" s="83" t="s">
        <v>439</v>
      </c>
      <c r="BW14" s="146">
        <f>B105</f>
        <v>2</v>
      </c>
      <c r="BX14" s="83" t="s">
        <v>357</v>
      </c>
      <c r="BY14" s="83" t="s">
        <v>261</v>
      </c>
      <c r="BZ14" s="144">
        <f>((BZ5/(BZ7*BZ17*(1/BZ9)*BZ32))*BZ10)*BZ36*BZ37*BZ12</f>
        <v>0.35629817405948133</v>
      </c>
      <c r="CA14" s="92" t="s">
        <v>12</v>
      </c>
      <c r="CB14" s="52" t="s">
        <v>412</v>
      </c>
      <c r="CC14" s="139">
        <f>B22</f>
        <v>10.423439999999999</v>
      </c>
      <c r="CD14" s="84" t="s">
        <v>353</v>
      </c>
      <c r="CE14" s="52" t="s">
        <v>415</v>
      </c>
      <c r="CF14" s="139">
        <f>B24</f>
        <v>1.92404</v>
      </c>
      <c r="CG14" s="84" t="s">
        <v>353</v>
      </c>
      <c r="CH14" s="52" t="s">
        <v>417</v>
      </c>
      <c r="CI14" s="139">
        <f>B26</f>
        <v>8.8356399999999997</v>
      </c>
      <c r="CJ14" s="84" t="s">
        <v>353</v>
      </c>
      <c r="CK14" s="84"/>
      <c r="CL14" s="84"/>
      <c r="CM14" s="84"/>
      <c r="CN14" s="52" t="s">
        <v>95</v>
      </c>
      <c r="CO14" s="164">
        <f>B127</f>
        <v>1</v>
      </c>
      <c r="CQ14" s="84"/>
      <c r="CR14" s="84"/>
      <c r="CS14" s="84"/>
      <c r="CT14" s="83" t="s">
        <v>260</v>
      </c>
      <c r="CU14" s="143">
        <f>((CU5/(CU6*CU25*(1/CU46)))*CU11)*CU49*CU50*CU13</f>
        <v>6.9822475833874469E-5</v>
      </c>
      <c r="CV14" s="92" t="s">
        <v>12</v>
      </c>
      <c r="CW14" s="83" t="s">
        <v>459</v>
      </c>
      <c r="CX14" s="141">
        <f>B146</f>
        <v>10</v>
      </c>
      <c r="CY14" s="92" t="s">
        <v>407</v>
      </c>
      <c r="CZ14" s="83" t="s">
        <v>261</v>
      </c>
      <c r="DA14" s="144">
        <f>(DA5/(DA7*DA25*DA45))*DA51*DA52*DA12</f>
        <v>3.8366090517327948E-11</v>
      </c>
      <c r="DB14" s="83" t="s">
        <v>13</v>
      </c>
      <c r="DC14" s="83" t="s">
        <v>465</v>
      </c>
      <c r="DD14" s="146">
        <f>B166</f>
        <v>150</v>
      </c>
      <c r="DE14" s="83" t="s">
        <v>24</v>
      </c>
      <c r="DF14" s="92" t="s">
        <v>393</v>
      </c>
      <c r="DG14" s="138">
        <f>B47</f>
        <v>0.26</v>
      </c>
      <c r="DJ14" s="138"/>
      <c r="DL14" s="92"/>
      <c r="DO14" s="92" t="s">
        <v>393</v>
      </c>
      <c r="DP14" s="138">
        <f>B47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B200</f>
        <v>1.03</v>
      </c>
      <c r="DZ14" s="52" t="s">
        <v>286</v>
      </c>
      <c r="EA14" s="52" t="s">
        <v>518</v>
      </c>
      <c r="EB14" s="146">
        <f>B200</f>
        <v>1.03</v>
      </c>
      <c r="EC14" s="52" t="s">
        <v>286</v>
      </c>
      <c r="ED14" s="92" t="s">
        <v>392</v>
      </c>
      <c r="EE14" s="163">
        <f>B48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B168</f>
        <v>1</v>
      </c>
      <c r="EP14" s="92"/>
      <c r="EQ14" s="163"/>
      <c r="ER14" s="84"/>
      <c r="ES14" s="92" t="s">
        <v>392</v>
      </c>
      <c r="ET14" s="163">
        <f>B48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B168</f>
        <v>1</v>
      </c>
      <c r="FE14" s="83"/>
      <c r="FF14" s="142"/>
      <c r="FG14" s="83"/>
      <c r="FH14" s="83" t="s">
        <v>392</v>
      </c>
      <c r="FI14" s="142">
        <f>B48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227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B168</f>
        <v>1</v>
      </c>
      <c r="GI14" s="83"/>
      <c r="GJ14" s="142"/>
      <c r="GK14" s="83"/>
      <c r="GL14" s="83" t="s">
        <v>392</v>
      </c>
      <c r="GM14" s="142">
        <f>B48</f>
        <v>0.25</v>
      </c>
      <c r="GN14" s="84"/>
      <c r="GO14" s="92" t="s">
        <v>484</v>
      </c>
      <c r="GP14" s="146">
        <f>B188</f>
        <v>1</v>
      </c>
      <c r="GR14" s="83"/>
      <c r="GS14" s="83"/>
      <c r="GT14" s="83"/>
      <c r="GU14" s="52" t="s">
        <v>350</v>
      </c>
      <c r="GV14" s="164">
        <f>B168</f>
        <v>1</v>
      </c>
      <c r="GX14" s="83"/>
      <c r="GY14" s="142"/>
      <c r="GZ14" s="83"/>
      <c r="HA14" s="83" t="s">
        <v>392</v>
      </c>
      <c r="HB14" s="142">
        <f>B48</f>
        <v>0.25</v>
      </c>
      <c r="HC14" s="84"/>
      <c r="HD14" s="52" t="s">
        <v>225</v>
      </c>
      <c r="HE14" s="138">
        <v>1</v>
      </c>
    </row>
    <row r="15" spans="1:214" x14ac:dyDescent="0.2">
      <c r="A15" s="375"/>
      <c r="B15" s="376"/>
      <c r="C15" s="377"/>
      <c r="D15" s="52" t="s">
        <v>384</v>
      </c>
      <c r="E15" s="138">
        <f>B71</f>
        <v>24</v>
      </c>
      <c r="F15" s="52" t="s">
        <v>194</v>
      </c>
      <c r="G15" s="83" t="s">
        <v>395</v>
      </c>
      <c r="H15" s="147">
        <f>(H29*H17*H68)+(H30*H18*H69)</f>
        <v>181.875</v>
      </c>
      <c r="I15" s="83" t="s">
        <v>345</v>
      </c>
      <c r="J15" s="83" t="s">
        <v>261</v>
      </c>
      <c r="K15" s="144">
        <f>((K5/(K7*K20*(1/K10)*K45))*K11)*K53*K54*K13</f>
        <v>2.7217221629543712E-2</v>
      </c>
      <c r="L15" s="92" t="s">
        <v>12</v>
      </c>
      <c r="M15" s="52" t="s">
        <v>412</v>
      </c>
      <c r="N15" s="139">
        <f>B22</f>
        <v>10.423439999999999</v>
      </c>
      <c r="O15" s="84" t="s">
        <v>353</v>
      </c>
      <c r="P15" s="52" t="s">
        <v>415</v>
      </c>
      <c r="Q15" s="139">
        <f>B24</f>
        <v>1.92404</v>
      </c>
      <c r="R15" s="84" t="s">
        <v>353</v>
      </c>
      <c r="S15" s="52" t="s">
        <v>417</v>
      </c>
      <c r="T15" s="139">
        <f>B26</f>
        <v>8.8356399999999997</v>
      </c>
      <c r="U15" s="84" t="s">
        <v>353</v>
      </c>
      <c r="V15" s="83" t="s">
        <v>301</v>
      </c>
      <c r="W15" s="142">
        <f>B250</f>
        <v>2</v>
      </c>
      <c r="Y15" s="83" t="s">
        <v>301</v>
      </c>
      <c r="Z15" s="142">
        <f>B230</f>
        <v>2</v>
      </c>
      <c r="AB15" s="83" t="s">
        <v>232</v>
      </c>
      <c r="AC15" s="141">
        <f>B226</f>
        <v>50</v>
      </c>
      <c r="AD15" s="141">
        <f>B236</f>
        <v>50</v>
      </c>
      <c r="AE15" s="141">
        <f>B246</f>
        <v>50</v>
      </c>
      <c r="AF15" s="141">
        <f>B256</f>
        <v>50</v>
      </c>
      <c r="AG15" s="141">
        <f>B268</f>
        <v>50</v>
      </c>
      <c r="AH15" s="92" t="s">
        <v>407</v>
      </c>
      <c r="AI15" s="52" t="s">
        <v>412</v>
      </c>
      <c r="AJ15" s="139">
        <f>B22</f>
        <v>10.423439999999999</v>
      </c>
      <c r="AK15" s="84" t="s">
        <v>353</v>
      </c>
      <c r="AL15" s="52" t="s">
        <v>415</v>
      </c>
      <c r="AM15" s="139">
        <f>B24</f>
        <v>1.92404</v>
      </c>
      <c r="AN15" s="84" t="s">
        <v>353</v>
      </c>
      <c r="AO15" s="52" t="s">
        <v>417</v>
      </c>
      <c r="AP15" s="139">
        <f>B26</f>
        <v>8.8356399999999997</v>
      </c>
      <c r="AQ15" s="84" t="s">
        <v>353</v>
      </c>
      <c r="AR15" s="52" t="s">
        <v>412</v>
      </c>
      <c r="AS15" s="139">
        <f>B22</f>
        <v>10.423439999999999</v>
      </c>
      <c r="AT15" s="84" t="s">
        <v>353</v>
      </c>
      <c r="AU15" s="52" t="s">
        <v>415</v>
      </c>
      <c r="AV15" s="139">
        <f>B24</f>
        <v>1.92404</v>
      </c>
      <c r="AW15" s="84" t="s">
        <v>353</v>
      </c>
      <c r="AX15" s="52" t="s">
        <v>417</v>
      </c>
      <c r="AY15" s="139">
        <f>B26</f>
        <v>8.8356399999999997</v>
      </c>
      <c r="AZ15" s="84" t="s">
        <v>353</v>
      </c>
      <c r="BA15" s="52" t="s">
        <v>412</v>
      </c>
      <c r="BB15" s="139">
        <f>B22</f>
        <v>10.423439999999999</v>
      </c>
      <c r="BC15" s="84" t="s">
        <v>353</v>
      </c>
      <c r="BD15" s="52" t="s">
        <v>415</v>
      </c>
      <c r="BE15" s="139">
        <f>B24</f>
        <v>1.92404</v>
      </c>
      <c r="BF15" s="84" t="s">
        <v>353</v>
      </c>
      <c r="BG15" s="52" t="s">
        <v>417</v>
      </c>
      <c r="BH15" s="139">
        <f>B26</f>
        <v>8.8356399999999997</v>
      </c>
      <c r="BI15" s="84" t="s">
        <v>353</v>
      </c>
      <c r="BJ15" s="52" t="s">
        <v>57</v>
      </c>
      <c r="BK15" s="136">
        <f>B262</f>
        <v>5</v>
      </c>
      <c r="BL15" s="52" t="s">
        <v>194</v>
      </c>
      <c r="BM15" s="52" t="s">
        <v>57</v>
      </c>
      <c r="BN15" s="136">
        <f>B262</f>
        <v>5</v>
      </c>
      <c r="BO15" s="52" t="s">
        <v>194</v>
      </c>
      <c r="BP15" s="52" t="s">
        <v>57</v>
      </c>
      <c r="BQ15" s="136">
        <f>B262</f>
        <v>5</v>
      </c>
      <c r="BR15" s="52" t="s">
        <v>194</v>
      </c>
      <c r="BS15" s="52" t="s">
        <v>90</v>
      </c>
      <c r="BT15" s="138">
        <f>B118</f>
        <v>5</v>
      </c>
      <c r="BU15" s="52" t="s">
        <v>194</v>
      </c>
      <c r="BV15" s="83" t="s">
        <v>438</v>
      </c>
      <c r="BW15" s="146">
        <f>B106</f>
        <v>2</v>
      </c>
      <c r="BX15" s="83" t="s">
        <v>357</v>
      </c>
      <c r="BY15" s="83" t="s">
        <v>262</v>
      </c>
      <c r="BZ15" s="145">
        <f>(((BZ5)/(BZ8*BZ22*(1/BZ31)*BZ25*(1/24)*BZ28*BZ29))*BZ10)*BZ36*BZ37*BZ12</f>
        <v>3.1466395929443053E-5</v>
      </c>
      <c r="CA15" s="92" t="s">
        <v>12</v>
      </c>
      <c r="CB15" s="94" t="s">
        <v>295</v>
      </c>
      <c r="CC15" s="150">
        <f>B278</f>
        <v>226.025409</v>
      </c>
      <c r="CD15" s="90" t="s">
        <v>296</v>
      </c>
      <c r="CE15" s="94" t="s">
        <v>295</v>
      </c>
      <c r="CF15" s="150">
        <f>B278</f>
        <v>226.025409</v>
      </c>
      <c r="CG15" s="90" t="s">
        <v>296</v>
      </c>
      <c r="CH15" s="94" t="s">
        <v>295</v>
      </c>
      <c r="CI15" s="150">
        <f>B278</f>
        <v>226.025409</v>
      </c>
      <c r="CJ15" s="90" t="s">
        <v>296</v>
      </c>
      <c r="CN15" s="83" t="s">
        <v>22</v>
      </c>
      <c r="CO15" s="137">
        <f>0.693/CO16</f>
        <v>4.3312499999999997E-4</v>
      </c>
      <c r="CT15" s="83" t="s">
        <v>261</v>
      </c>
      <c r="CU15" s="144">
        <f>((CU5/(CU7*CU26*(1/CU10)*CU45))*CU11)*CU49*CU50*CU13</f>
        <v>2.6040260694212083E-2</v>
      </c>
      <c r="CV15" s="92" t="s">
        <v>12</v>
      </c>
      <c r="CW15" s="52" t="s">
        <v>365</v>
      </c>
      <c r="CX15" s="138">
        <f>B170</f>
        <v>24</v>
      </c>
      <c r="CY15" s="52" t="s">
        <v>194</v>
      </c>
      <c r="CZ15" s="83" t="s">
        <v>266</v>
      </c>
      <c r="DA15" s="153">
        <f>(DA5/(DA8*DA26*(DA46/DA47)))*DA51*DA52*DA12</f>
        <v>4.6540883717510976E-10</v>
      </c>
      <c r="DB15" s="83" t="s">
        <v>13</v>
      </c>
      <c r="DC15" s="83" t="s">
        <v>456</v>
      </c>
      <c r="DD15" s="146">
        <f>B165</f>
        <v>150</v>
      </c>
      <c r="DE15" s="83" t="s">
        <v>24</v>
      </c>
      <c r="DF15" s="92" t="s">
        <v>61</v>
      </c>
      <c r="DG15" s="138">
        <f>B193</f>
        <v>0.42</v>
      </c>
      <c r="DH15" s="52" t="s">
        <v>41</v>
      </c>
      <c r="DL15" s="92"/>
      <c r="DO15" s="92" t="s">
        <v>61</v>
      </c>
      <c r="DP15" s="138">
        <f>B193</f>
        <v>0.42</v>
      </c>
      <c r="DQ15" s="52" t="s">
        <v>41</v>
      </c>
      <c r="DR15" s="92" t="s">
        <v>479</v>
      </c>
      <c r="DS15" s="146">
        <f>B183</f>
        <v>1</v>
      </c>
      <c r="DU15" s="92"/>
      <c r="DX15" s="52" t="s">
        <v>350</v>
      </c>
      <c r="DY15" s="164">
        <f>B168</f>
        <v>1</v>
      </c>
      <c r="EA15" s="92"/>
      <c r="EB15" s="84"/>
      <c r="EC15" s="84"/>
      <c r="ED15" s="83" t="s">
        <v>27</v>
      </c>
      <c r="EE15" s="142">
        <f>B199</f>
        <v>92</v>
      </c>
      <c r="EF15" s="83" t="s">
        <v>28</v>
      </c>
      <c r="EG15" s="92" t="s">
        <v>480</v>
      </c>
      <c r="EH15" s="146">
        <f>B184</f>
        <v>1</v>
      </c>
      <c r="EJ15" s="92"/>
      <c r="EM15" s="83" t="s">
        <v>22</v>
      </c>
      <c r="EN15" s="137">
        <f>0.693/EN16</f>
        <v>4.3312499999999997E-4</v>
      </c>
      <c r="EP15" s="92"/>
      <c r="EQ15" s="84"/>
      <c r="ER15" s="84"/>
      <c r="ES15" s="83" t="s">
        <v>29</v>
      </c>
      <c r="ET15" s="142">
        <f>B205</f>
        <v>53</v>
      </c>
      <c r="EU15" s="83" t="s">
        <v>28</v>
      </c>
      <c r="EV15" s="92" t="s">
        <v>481</v>
      </c>
      <c r="EW15" s="146">
        <f>B185</f>
        <v>1</v>
      </c>
      <c r="EY15" s="83"/>
      <c r="EZ15" s="83"/>
      <c r="FA15" s="83"/>
      <c r="FB15" s="83" t="s">
        <v>22</v>
      </c>
      <c r="FC15" s="137">
        <f>0.693/FC16</f>
        <v>4.3312499999999997E-4</v>
      </c>
      <c r="FE15" s="83"/>
      <c r="FF15" s="83"/>
      <c r="FG15" s="83"/>
      <c r="FH15" s="83" t="s">
        <v>148</v>
      </c>
      <c r="FI15" s="164">
        <f>B210</f>
        <v>0.4</v>
      </c>
      <c r="FJ15" s="83" t="s">
        <v>28</v>
      </c>
      <c r="FK15" s="92" t="s">
        <v>482</v>
      </c>
      <c r="FL15" s="146">
        <f>B186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B187</f>
        <v>1</v>
      </c>
      <c r="GC15" s="83"/>
      <c r="GD15" s="83"/>
      <c r="GE15" s="83"/>
      <c r="GF15" s="83" t="s">
        <v>22</v>
      </c>
      <c r="GG15" s="137">
        <f>0.693/GG16</f>
        <v>4.3312499999999997E-4</v>
      </c>
      <c r="GI15" s="83"/>
      <c r="GJ15" s="83"/>
      <c r="GK15" s="83"/>
      <c r="GL15" s="83" t="s">
        <v>149</v>
      </c>
      <c r="GM15" s="164">
        <f>B215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4.3312499999999997E-4</v>
      </c>
      <c r="GX15" s="83"/>
      <c r="GY15" s="83"/>
      <c r="GZ15" s="83"/>
      <c r="HA15" s="83" t="s">
        <v>150</v>
      </c>
      <c r="HB15" s="142">
        <f>B220</f>
        <v>11.4</v>
      </c>
      <c r="HC15" s="83" t="s">
        <v>28</v>
      </c>
      <c r="HD15" s="84"/>
      <c r="HE15" s="138"/>
    </row>
    <row r="16" spans="1:214" s="83" customFormat="1" ht="13.5" thickBot="1" x14ac:dyDescent="0.25">
      <c r="A16" s="378"/>
      <c r="B16" s="379"/>
      <c r="C16" s="380"/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1327.5</v>
      </c>
      <c r="I16" s="83" t="s">
        <v>426</v>
      </c>
      <c r="J16" s="83" t="s">
        <v>262</v>
      </c>
      <c r="K16" s="144">
        <f>((K5/(K8*K42*((K37*K41*(1/K35))+(K38*K40*(1/K35)))*K32*(1/K44)*K33))*K11)*K53*K54*K13</f>
        <v>6.7357445147144251E-7</v>
      </c>
      <c r="L16" s="92" t="s">
        <v>12</v>
      </c>
      <c r="M16" s="52" t="s">
        <v>409</v>
      </c>
      <c r="N16" s="150">
        <f>B89</f>
        <v>25</v>
      </c>
      <c r="O16" s="52" t="s">
        <v>194</v>
      </c>
      <c r="P16" s="52" t="s">
        <v>409</v>
      </c>
      <c r="Q16" s="150">
        <f>B89</f>
        <v>25</v>
      </c>
      <c r="R16" s="52" t="s">
        <v>194</v>
      </c>
      <c r="S16" s="52" t="s">
        <v>409</v>
      </c>
      <c r="T16" s="150">
        <f>B89</f>
        <v>25</v>
      </c>
      <c r="U16" s="52" t="s">
        <v>194</v>
      </c>
      <c r="V16" s="52" t="s">
        <v>261</v>
      </c>
      <c r="W16" s="143">
        <f>((W5)/((W12/24)*W9*W10*W11*W13))*W20*W21*W8</f>
        <v>2.0441453027632328E-11</v>
      </c>
      <c r="X16" s="52" t="s">
        <v>15</v>
      </c>
      <c r="Y16" s="52" t="s">
        <v>261</v>
      </c>
      <c r="Z16" s="143">
        <f>((Z5)/((Z12/24)*Z9*Z10*Z11*Z13))*Z20*Z21*Z8</f>
        <v>2.0441453027632328E-11</v>
      </c>
      <c r="AA16" s="52" t="s">
        <v>15</v>
      </c>
      <c r="AB16" s="83" t="s">
        <v>299</v>
      </c>
      <c r="AC16" s="141">
        <f>B231</f>
        <v>1</v>
      </c>
      <c r="AD16" s="141">
        <f>B241</f>
        <v>1</v>
      </c>
      <c r="AE16" s="141">
        <f>B251</f>
        <v>1</v>
      </c>
      <c r="AF16" s="141">
        <f>B261</f>
        <v>1</v>
      </c>
      <c r="AG16" s="141">
        <f>B272</f>
        <v>1</v>
      </c>
      <c r="AH16" s="92"/>
      <c r="AI16" s="52" t="s">
        <v>69</v>
      </c>
      <c r="AJ16" s="136">
        <f>B243</f>
        <v>5</v>
      </c>
      <c r="AK16" s="52" t="s">
        <v>194</v>
      </c>
      <c r="AL16" s="52" t="s">
        <v>69</v>
      </c>
      <c r="AM16" s="136">
        <f>B243</f>
        <v>5</v>
      </c>
      <c r="AN16" s="52" t="s">
        <v>194</v>
      </c>
      <c r="AO16" s="52" t="s">
        <v>69</v>
      </c>
      <c r="AP16" s="136">
        <f>B243</f>
        <v>5</v>
      </c>
      <c r="AQ16" s="52" t="s">
        <v>194</v>
      </c>
      <c r="AR16" s="52" t="s">
        <v>69</v>
      </c>
      <c r="AS16" s="136">
        <f>B253</f>
        <v>5</v>
      </c>
      <c r="AT16" s="52" t="s">
        <v>194</v>
      </c>
      <c r="AU16" s="52" t="s">
        <v>69</v>
      </c>
      <c r="AV16" s="136">
        <f>B253</f>
        <v>5</v>
      </c>
      <c r="AW16" s="52" t="s">
        <v>194</v>
      </c>
      <c r="AX16" s="52" t="s">
        <v>69</v>
      </c>
      <c r="AY16" s="136">
        <f>B253</f>
        <v>5</v>
      </c>
      <c r="AZ16" s="52" t="s">
        <v>194</v>
      </c>
      <c r="BA16" s="52" t="s">
        <v>69</v>
      </c>
      <c r="BB16" s="136">
        <f>B233</f>
        <v>5</v>
      </c>
      <c r="BC16" s="52" t="s">
        <v>194</v>
      </c>
      <c r="BD16" s="52" t="s">
        <v>69</v>
      </c>
      <c r="BE16" s="136">
        <f>B233</f>
        <v>5</v>
      </c>
      <c r="BF16" s="52" t="s">
        <v>194</v>
      </c>
      <c r="BG16" s="52" t="s">
        <v>69</v>
      </c>
      <c r="BH16" s="136">
        <f>B233</f>
        <v>5</v>
      </c>
      <c r="BI16" s="52" t="s">
        <v>194</v>
      </c>
      <c r="BJ16" s="52" t="s">
        <v>412</v>
      </c>
      <c r="BK16" s="139">
        <f>B22</f>
        <v>10.423439999999999</v>
      </c>
      <c r="BL16" s="84" t="s">
        <v>353</v>
      </c>
      <c r="BM16" s="52" t="s">
        <v>415</v>
      </c>
      <c r="BN16" s="139">
        <f>B24</f>
        <v>1.92404</v>
      </c>
      <c r="BO16" s="84" t="s">
        <v>353</v>
      </c>
      <c r="BP16" s="52" t="s">
        <v>417</v>
      </c>
      <c r="BQ16" s="139">
        <f>B26</f>
        <v>8.8356399999999997</v>
      </c>
      <c r="BR16" s="84" t="s">
        <v>353</v>
      </c>
      <c r="BS16" s="83" t="s">
        <v>256</v>
      </c>
      <c r="BT16" s="136">
        <f>E17</f>
        <v>15429.68</v>
      </c>
      <c r="BU16" s="83" t="s">
        <v>343</v>
      </c>
      <c r="BV16" s="83" t="s">
        <v>437</v>
      </c>
      <c r="BW16" s="140">
        <f>((BW18*BW20*BW23*BW30)+(BW19*BW21*BW24*BW31))</f>
        <v>1375</v>
      </c>
      <c r="BX16" s="83" t="s">
        <v>356</v>
      </c>
      <c r="BY16" s="83" t="s">
        <v>46</v>
      </c>
      <c r="BZ16" s="149">
        <f>(BZ18*BZ22*BZ34)+(BZ19*BZ23*BZ35)</f>
        <v>3382.5</v>
      </c>
      <c r="CA16" s="83" t="s">
        <v>346</v>
      </c>
      <c r="CB16" s="84" t="s">
        <v>293</v>
      </c>
      <c r="CC16" s="85">
        <f>B280</f>
        <v>2.7955176153748299E-12</v>
      </c>
      <c r="CD16" s="52"/>
      <c r="CE16" s="84" t="s">
        <v>293</v>
      </c>
      <c r="CF16" s="85">
        <f>B280</f>
        <v>2.7955176153748299E-12</v>
      </c>
      <c r="CG16" s="52"/>
      <c r="CH16" s="84" t="s">
        <v>293</v>
      </c>
      <c r="CI16" s="85">
        <f>B280</f>
        <v>2.7955176153748299E-12</v>
      </c>
      <c r="CJ16" s="52"/>
      <c r="CN16" s="91" t="s">
        <v>231</v>
      </c>
      <c r="CO16" s="136">
        <f>B30</f>
        <v>1600</v>
      </c>
      <c r="CP16" s="52" t="s">
        <v>60</v>
      </c>
      <c r="CT16" s="83" t="s">
        <v>262</v>
      </c>
      <c r="CU16" s="144">
        <f>((CU5/(CU8*CU42*((CU37*CU41*(1/24))+(CU38*CU40*(1/24)))*CU32*(1/CU44)))*CU11)*CU49*CU50*CU13</f>
        <v>1.0427639467385891E-6</v>
      </c>
      <c r="CV16" s="92" t="s">
        <v>12</v>
      </c>
      <c r="CW16" s="52" t="s">
        <v>364</v>
      </c>
      <c r="CX16" s="138">
        <f>B169</f>
        <v>24</v>
      </c>
      <c r="CY16" s="52" t="s">
        <v>194</v>
      </c>
      <c r="CZ16" s="83" t="s">
        <v>512</v>
      </c>
      <c r="DA16" s="153">
        <f>DG2</f>
        <v>2.7221267797763408E-6</v>
      </c>
      <c r="DB16" s="83" t="s">
        <v>13</v>
      </c>
      <c r="DC16" s="83" t="s">
        <v>363</v>
      </c>
      <c r="DD16" s="146">
        <f>B168</f>
        <v>1</v>
      </c>
      <c r="DE16" s="83" t="s">
        <v>60</v>
      </c>
      <c r="DF16" s="92" t="s">
        <v>63</v>
      </c>
      <c r="DG16" s="151">
        <f>DG20+(0.693/DG22)</f>
        <v>4.9501186643835612E-2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4.3312499999999997E-4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B30</f>
        <v>1600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B30</f>
        <v>1600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B30</f>
        <v>1600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B163</f>
        <v>0.15</v>
      </c>
      <c r="GQ16" s="52"/>
      <c r="GU16" s="91" t="s">
        <v>231</v>
      </c>
      <c r="GV16" s="136">
        <f>B30</f>
        <v>1600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  <c r="HE16" s="142"/>
    </row>
    <row r="17" spans="1:214" ht="14.25" thickTop="1" thickBot="1" x14ac:dyDescent="0.25">
      <c r="A17" s="52" t="s">
        <v>267</v>
      </c>
      <c r="B17" s="129">
        <v>1</v>
      </c>
      <c r="C17" s="52" t="s">
        <v>344</v>
      </c>
      <c r="D17" s="83" t="s">
        <v>256</v>
      </c>
      <c r="E17" s="136">
        <f>B27</f>
        <v>15429.68</v>
      </c>
      <c r="F17" s="83" t="s">
        <v>343</v>
      </c>
      <c r="G17" s="83" t="s">
        <v>370</v>
      </c>
      <c r="H17" s="146">
        <f>B54</f>
        <v>0.25</v>
      </c>
      <c r="I17" s="52" t="s">
        <v>28</v>
      </c>
      <c r="J17" s="83" t="s">
        <v>263</v>
      </c>
      <c r="K17" s="153">
        <f>((K18/(K47+K48))*K11)*K53*K54*K13</f>
        <v>5.3709751933268198E-13</v>
      </c>
      <c r="L17" s="92" t="s">
        <v>12</v>
      </c>
      <c r="M17" s="84" t="s">
        <v>295</v>
      </c>
      <c r="N17" s="150">
        <f>B278</f>
        <v>226.025409</v>
      </c>
      <c r="O17" s="52" t="s">
        <v>296</v>
      </c>
      <c r="P17" s="84" t="s">
        <v>295</v>
      </c>
      <c r="Q17" s="150">
        <f>B278</f>
        <v>226.025409</v>
      </c>
      <c r="R17" s="52" t="s">
        <v>296</v>
      </c>
      <c r="S17" s="84" t="s">
        <v>295</v>
      </c>
      <c r="T17" s="150">
        <f>B278</f>
        <v>226.025409</v>
      </c>
      <c r="U17" s="52" t="s">
        <v>296</v>
      </c>
      <c r="V17" s="52" t="s">
        <v>271</v>
      </c>
      <c r="W17" s="144">
        <f>((W5)/((W12/24)*W9*W14*(1/365)))*W20*W21*W8</f>
        <v>9.198191507404639E-13</v>
      </c>
      <c r="X17" s="52" t="s">
        <v>15</v>
      </c>
      <c r="Y17" s="52" t="s">
        <v>271</v>
      </c>
      <c r="Z17" s="144">
        <f>((Z5)/((Z12/24)*Z9*Z14*(1/365)))*Z20*Z21*Z8</f>
        <v>9.198191507404639E-13</v>
      </c>
      <c r="AA17" s="52" t="s">
        <v>15</v>
      </c>
      <c r="AB17" s="83" t="s">
        <v>413</v>
      </c>
      <c r="AC17" s="161">
        <f>B4</f>
        <v>0.79200000000000004</v>
      </c>
      <c r="AD17" s="161">
        <f>B4</f>
        <v>0.79200000000000004</v>
      </c>
      <c r="AE17" s="161">
        <f>B4</f>
        <v>0.79200000000000004</v>
      </c>
      <c r="AF17" s="161">
        <f>B4</f>
        <v>0.79200000000000004</v>
      </c>
      <c r="AG17" s="161">
        <f>B4</f>
        <v>0.79200000000000004</v>
      </c>
      <c r="AH17" s="92"/>
      <c r="AI17" s="84" t="s">
        <v>295</v>
      </c>
      <c r="AJ17" s="236">
        <f>B278</f>
        <v>226.025409</v>
      </c>
      <c r="AK17" s="52" t="s">
        <v>296</v>
      </c>
      <c r="AL17" s="84" t="s">
        <v>295</v>
      </c>
      <c r="AM17" s="150">
        <f>B278</f>
        <v>226.025409</v>
      </c>
      <c r="AN17" s="90" t="s">
        <v>296</v>
      </c>
      <c r="AO17" s="94" t="s">
        <v>295</v>
      </c>
      <c r="AP17" s="150">
        <f>B278</f>
        <v>226.025409</v>
      </c>
      <c r="AQ17" s="90" t="s">
        <v>296</v>
      </c>
      <c r="AR17" s="94" t="s">
        <v>295</v>
      </c>
      <c r="AS17" s="150">
        <f>B278</f>
        <v>226.025409</v>
      </c>
      <c r="AT17" s="90" t="s">
        <v>296</v>
      </c>
      <c r="AU17" s="94" t="s">
        <v>295</v>
      </c>
      <c r="AV17" s="150">
        <f>B278</f>
        <v>226.025409</v>
      </c>
      <c r="AW17" s="90" t="s">
        <v>296</v>
      </c>
      <c r="AX17" s="94" t="s">
        <v>295</v>
      </c>
      <c r="AY17" s="150">
        <f>B278</f>
        <v>226.025409</v>
      </c>
      <c r="AZ17" s="90" t="s">
        <v>296</v>
      </c>
      <c r="BA17" s="94" t="s">
        <v>295</v>
      </c>
      <c r="BB17" s="150">
        <f>B278</f>
        <v>226.025409</v>
      </c>
      <c r="BC17" s="90" t="s">
        <v>296</v>
      </c>
      <c r="BD17" s="94" t="s">
        <v>295</v>
      </c>
      <c r="BE17" s="150">
        <f>B278</f>
        <v>226.025409</v>
      </c>
      <c r="BF17" s="90" t="s">
        <v>296</v>
      </c>
      <c r="BG17" s="94" t="s">
        <v>295</v>
      </c>
      <c r="BH17" s="150">
        <f>B278</f>
        <v>226.025409</v>
      </c>
      <c r="BI17" s="90" t="s">
        <v>296</v>
      </c>
      <c r="BJ17" s="94" t="s">
        <v>295</v>
      </c>
      <c r="BK17" s="150">
        <f>B278</f>
        <v>226.025409</v>
      </c>
      <c r="BL17" s="90" t="s">
        <v>296</v>
      </c>
      <c r="BM17" s="94" t="s">
        <v>295</v>
      </c>
      <c r="BN17" s="150">
        <f>B278</f>
        <v>226.025409</v>
      </c>
      <c r="BO17" s="90" t="s">
        <v>296</v>
      </c>
      <c r="BP17" s="94" t="s">
        <v>295</v>
      </c>
      <c r="BQ17" s="150">
        <f>B278</f>
        <v>226.025409</v>
      </c>
      <c r="BR17" s="90" t="s">
        <v>296</v>
      </c>
      <c r="BS17" s="83" t="s">
        <v>301</v>
      </c>
      <c r="BT17" s="142">
        <f>B121</f>
        <v>2</v>
      </c>
      <c r="BV17" s="83" t="s">
        <v>65</v>
      </c>
      <c r="BW17" s="141">
        <f>B126</f>
        <v>0.5</v>
      </c>
      <c r="BX17" s="52" t="s">
        <v>66</v>
      </c>
      <c r="BY17" s="83" t="s">
        <v>43</v>
      </c>
      <c r="BZ17" s="149">
        <f>(BZ24*BZ20*(BZ26/24)*BZ34)+(BZ23*BZ21*(BZ27/24)*BZ35)</f>
        <v>101.40625</v>
      </c>
      <c r="CA17" s="52" t="s">
        <v>426</v>
      </c>
      <c r="CN17" s="84" t="s">
        <v>16</v>
      </c>
      <c r="CO17" s="137">
        <f>(CO14*CO15)/(1-EXP(-CO15*CO14))</f>
        <v>1.0002165781331087</v>
      </c>
      <c r="CT17" s="83" t="s">
        <v>263</v>
      </c>
      <c r="CU17" s="153">
        <f>DJ2</f>
        <v>1.3281700279369404E-7</v>
      </c>
      <c r="CV17" s="92" t="s">
        <v>12</v>
      </c>
      <c r="CW17" s="83" t="s">
        <v>256</v>
      </c>
      <c r="CX17" s="136">
        <f>B27</f>
        <v>15429.68</v>
      </c>
      <c r="CY17" s="83" t="s">
        <v>343</v>
      </c>
      <c r="CZ17" s="83" t="s">
        <v>511</v>
      </c>
      <c r="DA17" s="153">
        <f>DD2</f>
        <v>3.6490209386281489E-8</v>
      </c>
      <c r="DB17" s="83" t="s">
        <v>12</v>
      </c>
      <c r="DC17" s="93"/>
      <c r="DD17" s="136">
        <v>9.9999999999999995E-7</v>
      </c>
      <c r="DE17" s="88"/>
      <c r="DF17" s="92" t="s">
        <v>67</v>
      </c>
      <c r="DG17" s="142">
        <f>B194</f>
        <v>60</v>
      </c>
      <c r="DH17" s="83" t="s">
        <v>53</v>
      </c>
      <c r="DL17" s="92"/>
      <c r="DM17" s="83"/>
      <c r="DN17" s="83"/>
      <c r="DO17" s="92" t="s">
        <v>67</v>
      </c>
      <c r="DP17" s="142">
        <f>B194</f>
        <v>60</v>
      </c>
      <c r="DQ17" s="83" t="s">
        <v>53</v>
      </c>
      <c r="DR17" s="83" t="s">
        <v>475</v>
      </c>
      <c r="DS17" s="146">
        <f>B163</f>
        <v>0.15</v>
      </c>
      <c r="DU17" s="92"/>
      <c r="DV17" s="87"/>
      <c r="DW17" s="83"/>
      <c r="DX17" s="91" t="s">
        <v>231</v>
      </c>
      <c r="DY17" s="136">
        <f>B30</f>
        <v>1600</v>
      </c>
      <c r="DZ17" s="52" t="s">
        <v>60</v>
      </c>
      <c r="EA17" s="92"/>
      <c r="EB17" s="83"/>
      <c r="EC17" s="83"/>
      <c r="ED17" s="92" t="s">
        <v>67</v>
      </c>
      <c r="EE17" s="142">
        <f>B194</f>
        <v>60</v>
      </c>
      <c r="EF17" s="83" t="s">
        <v>53</v>
      </c>
      <c r="EG17" s="83" t="s">
        <v>475</v>
      </c>
      <c r="EH17" s="146">
        <f>B163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1.0002165781331087</v>
      </c>
      <c r="EP17" s="92"/>
      <c r="EQ17" s="83"/>
      <c r="ER17" s="83"/>
      <c r="ES17" s="92" t="s">
        <v>67</v>
      </c>
      <c r="ET17" s="142">
        <f>B194</f>
        <v>60</v>
      </c>
      <c r="EU17" s="83" t="s">
        <v>53</v>
      </c>
      <c r="EV17" s="83" t="s">
        <v>475</v>
      </c>
      <c r="EW17" s="141">
        <f>B163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1.0002165781331087</v>
      </c>
      <c r="FE17" s="83"/>
      <c r="FF17" s="83"/>
      <c r="FG17" s="83"/>
      <c r="FH17" s="83" t="s">
        <v>67</v>
      </c>
      <c r="FI17" s="142">
        <f>B194</f>
        <v>60</v>
      </c>
      <c r="FJ17" s="83" t="s">
        <v>53</v>
      </c>
      <c r="FK17" s="83" t="s">
        <v>475</v>
      </c>
      <c r="FL17" s="141">
        <f>B163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B163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1.0002165781331087</v>
      </c>
      <c r="GI17" s="83"/>
      <c r="GJ17" s="83"/>
      <c r="GK17" s="83"/>
      <c r="GL17" s="83" t="s">
        <v>67</v>
      </c>
      <c r="GM17" s="142">
        <f>B194</f>
        <v>60</v>
      </c>
      <c r="GN17" s="83" t="s">
        <v>53</v>
      </c>
      <c r="GO17" s="83" t="s">
        <v>476</v>
      </c>
      <c r="GP17" s="141">
        <f>B164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1.0002165781331087</v>
      </c>
      <c r="GX17" s="83"/>
      <c r="GY17" s="83"/>
      <c r="GZ17" s="83"/>
      <c r="HA17" s="83" t="s">
        <v>67</v>
      </c>
      <c r="HB17" s="142">
        <f>B194</f>
        <v>60</v>
      </c>
      <c r="HC17" s="83" t="s">
        <v>53</v>
      </c>
      <c r="HD17" s="84"/>
      <c r="HE17" s="163"/>
    </row>
    <row r="18" spans="1:214" ht="19.5" thickTop="1" thickBot="1" x14ac:dyDescent="0.25">
      <c r="A18" s="83" t="s">
        <v>247</v>
      </c>
      <c r="B18" s="184">
        <v>3.8043873993229303E-2</v>
      </c>
      <c r="C18" s="84" t="s">
        <v>259</v>
      </c>
      <c r="D18" s="83" t="s">
        <v>301</v>
      </c>
      <c r="E18" s="142">
        <f>B72</f>
        <v>2</v>
      </c>
      <c r="G18" s="83" t="s">
        <v>371</v>
      </c>
      <c r="H18" s="146">
        <f>B55</f>
        <v>1.5</v>
      </c>
      <c r="I18" s="52" t="s">
        <v>28</v>
      </c>
      <c r="J18" s="83" t="s">
        <v>264</v>
      </c>
      <c r="K18" s="154">
        <f>(K5/(K9*(K25+K28)*K36))*K53*K54*K13</f>
        <v>1.4596083754512596E-7</v>
      </c>
      <c r="L18" s="92" t="s">
        <v>12</v>
      </c>
      <c r="M18" s="84" t="s">
        <v>293</v>
      </c>
      <c r="N18" s="85">
        <f>B280</f>
        <v>2.7955176153748299E-12</v>
      </c>
      <c r="P18" s="84" t="s">
        <v>293</v>
      </c>
      <c r="Q18" s="85">
        <f>B280</f>
        <v>2.7955176153748299E-12</v>
      </c>
      <c r="S18" s="84" t="s">
        <v>293</v>
      </c>
      <c r="T18" s="85">
        <f>B280</f>
        <v>2.7955176153748299E-12</v>
      </c>
      <c r="V18" s="52" t="s">
        <v>261</v>
      </c>
      <c r="W18" s="144">
        <f>((W5*W7*W6)/((W12/24)*(1-EXP(-W7*W10))*W11*W13*W9*W10))*W20*W21*W8</f>
        <v>2.0445880199367088E-11</v>
      </c>
      <c r="X18" s="52" t="s">
        <v>16</v>
      </c>
      <c r="Y18" s="52" t="s">
        <v>261</v>
      </c>
      <c r="Z18" s="144">
        <f>((Z5*Z7*Z6)/((Z12/24)*(1-EXP(-Z7*Z10))*Z11*Z13*Z9*Z10))*Z20*Z21*Z8</f>
        <v>2.0445880199367088E-11</v>
      </c>
      <c r="AA18" s="52" t="s">
        <v>16</v>
      </c>
      <c r="AB18" s="83" t="s">
        <v>412</v>
      </c>
      <c r="AC18" s="136">
        <f>B22</f>
        <v>10.423439999999999</v>
      </c>
      <c r="AD18" s="136">
        <f>B22</f>
        <v>10.423439999999999</v>
      </c>
      <c r="AE18" s="136">
        <f>B22</f>
        <v>10.423439999999999</v>
      </c>
      <c r="AF18" s="136">
        <f>B22</f>
        <v>10.423439999999999</v>
      </c>
      <c r="AG18" s="136">
        <f>B22</f>
        <v>10.423439999999999</v>
      </c>
      <c r="AH18" s="83" t="s">
        <v>351</v>
      </c>
      <c r="AI18" s="84" t="s">
        <v>293</v>
      </c>
      <c r="AJ18" s="85">
        <f>B280</f>
        <v>2.7955176153748299E-12</v>
      </c>
      <c r="AL18" s="84" t="s">
        <v>293</v>
      </c>
      <c r="AM18" s="85">
        <f>B280</f>
        <v>2.7955176153748299E-12</v>
      </c>
      <c r="AO18" s="84" t="s">
        <v>293</v>
      </c>
      <c r="AP18" s="85">
        <f>B280</f>
        <v>2.7955176153748299E-12</v>
      </c>
      <c r="AR18" s="84" t="s">
        <v>293</v>
      </c>
      <c r="AS18" s="85">
        <f>B280</f>
        <v>2.7955176153748299E-12</v>
      </c>
      <c r="AU18" s="84" t="s">
        <v>293</v>
      </c>
      <c r="AV18" s="85">
        <f>B280</f>
        <v>2.7955176153748299E-12</v>
      </c>
      <c r="AX18" s="84" t="s">
        <v>293</v>
      </c>
      <c r="AY18" s="85">
        <f>B280</f>
        <v>2.7955176153748299E-12</v>
      </c>
      <c r="BA18" s="84" t="s">
        <v>293</v>
      </c>
      <c r="BB18" s="85">
        <f>B280</f>
        <v>2.7955176153748299E-12</v>
      </c>
      <c r="BD18" s="84" t="s">
        <v>293</v>
      </c>
      <c r="BE18" s="85">
        <f>B280</f>
        <v>2.7955176153748299E-12</v>
      </c>
      <c r="BG18" s="84" t="s">
        <v>293</v>
      </c>
      <c r="BH18" s="85">
        <f>B280</f>
        <v>2.7955176153748299E-12</v>
      </c>
      <c r="BJ18" s="84" t="s">
        <v>293</v>
      </c>
      <c r="BK18" s="85">
        <f>B280</f>
        <v>2.7955176153748299E-12</v>
      </c>
      <c r="BM18" s="84" t="s">
        <v>293</v>
      </c>
      <c r="BN18" s="85">
        <f>B280</f>
        <v>2.7955176153748299E-12</v>
      </c>
      <c r="BP18" s="84" t="s">
        <v>293</v>
      </c>
      <c r="BQ18" s="85">
        <f>B280</f>
        <v>2.7955176153748299E-12</v>
      </c>
      <c r="BS18" s="52" t="s">
        <v>261</v>
      </c>
      <c r="BT18" s="143">
        <f>((BT5)/(BT9*BT10))*BT27*BT28*BT7</f>
        <v>2.6247371632809878E-10</v>
      </c>
      <c r="BU18" s="52" t="s">
        <v>15</v>
      </c>
      <c r="BV18" s="83" t="s">
        <v>433</v>
      </c>
      <c r="BW18" s="150">
        <f>B122</f>
        <v>55</v>
      </c>
      <c r="BX18" s="83" t="s">
        <v>24</v>
      </c>
      <c r="BY18" s="83" t="s">
        <v>441</v>
      </c>
      <c r="BZ18" s="146">
        <f>B107</f>
        <v>100</v>
      </c>
      <c r="CA18" s="84" t="s">
        <v>48</v>
      </c>
      <c r="CB18" s="274" t="s">
        <v>572</v>
      </c>
      <c r="CC18" s="270"/>
      <c r="CD18" s="270"/>
      <c r="CE18" s="271" t="s">
        <v>573</v>
      </c>
      <c r="CF18" s="270"/>
      <c r="CG18" s="273"/>
      <c r="CH18" s="83"/>
      <c r="CI18" s="83"/>
      <c r="CJ18" s="83"/>
      <c r="CT18" s="83" t="s">
        <v>264</v>
      </c>
      <c r="CU18" s="153">
        <f>DD2</f>
        <v>3.6490209386281489E-8</v>
      </c>
      <c r="CV18" s="92" t="s">
        <v>12</v>
      </c>
      <c r="CW18" s="83" t="s">
        <v>301</v>
      </c>
      <c r="CX18" s="142">
        <f>B176</f>
        <v>2</v>
      </c>
      <c r="CZ18" s="91" t="s">
        <v>272</v>
      </c>
      <c r="DA18" s="144" t="e">
        <f>EZ2</f>
        <v>#DIV/0!</v>
      </c>
      <c r="DB18" s="83" t="s">
        <v>12</v>
      </c>
      <c r="DC18" s="88"/>
      <c r="DD18" s="136">
        <v>1000</v>
      </c>
      <c r="DE18" s="92" t="s">
        <v>99</v>
      </c>
      <c r="DF18" s="92" t="s">
        <v>68</v>
      </c>
      <c r="DG18" s="142">
        <f>B195</f>
        <v>2</v>
      </c>
      <c r="DH18" s="83" t="s">
        <v>56</v>
      </c>
      <c r="DL18" s="92"/>
      <c r="DM18" s="83"/>
      <c r="DN18" s="83"/>
      <c r="DO18" s="92" t="s">
        <v>68</v>
      </c>
      <c r="DP18" s="142">
        <f>B195</f>
        <v>2</v>
      </c>
      <c r="DQ18" s="83" t="s">
        <v>56</v>
      </c>
      <c r="DR18" s="83" t="s">
        <v>476</v>
      </c>
      <c r="DS18" s="146">
        <f>B164</f>
        <v>0.85</v>
      </c>
      <c r="DU18" s="92"/>
      <c r="DV18" s="83"/>
      <c r="DW18" s="83"/>
      <c r="DX18" s="84" t="s">
        <v>16</v>
      </c>
      <c r="DY18" s="137">
        <f>(DY15*DY16)/(1-EXP(-DY16*DY15))</f>
        <v>1.0002165781331087</v>
      </c>
      <c r="EA18" s="92"/>
      <c r="EB18" s="83"/>
      <c r="EC18" s="83"/>
      <c r="ED18" s="92" t="s">
        <v>68</v>
      </c>
      <c r="EE18" s="142">
        <f>B195</f>
        <v>2</v>
      </c>
      <c r="EF18" s="83" t="s">
        <v>56</v>
      </c>
      <c r="EG18" s="83" t="s">
        <v>476</v>
      </c>
      <c r="EH18" s="146">
        <f>B164</f>
        <v>0.85</v>
      </c>
      <c r="EJ18" s="92"/>
      <c r="EK18" s="83"/>
      <c r="EL18" s="83"/>
      <c r="EN18" s="138"/>
      <c r="EP18" s="92"/>
      <c r="EQ18" s="83"/>
      <c r="ER18" s="83"/>
      <c r="ES18" s="92" t="s">
        <v>68</v>
      </c>
      <c r="ET18" s="142">
        <f>B195</f>
        <v>2</v>
      </c>
      <c r="EU18" s="83" t="s">
        <v>56</v>
      </c>
      <c r="EV18" s="83" t="s">
        <v>476</v>
      </c>
      <c r="EW18" s="141">
        <f>B164</f>
        <v>0.85</v>
      </c>
      <c r="EX18" s="92"/>
      <c r="EY18" s="83"/>
      <c r="EZ18" s="83"/>
      <c r="FA18" s="83"/>
      <c r="FB18" s="83"/>
      <c r="FC18" s="142"/>
      <c r="FD18" s="83"/>
      <c r="FE18" s="83"/>
      <c r="FF18" s="83"/>
      <c r="FG18" s="83"/>
      <c r="FH18" s="83" t="s">
        <v>68</v>
      </c>
      <c r="FI18" s="142">
        <f>B195</f>
        <v>2</v>
      </c>
      <c r="FJ18" s="83" t="s">
        <v>56</v>
      </c>
      <c r="FK18" s="83" t="s">
        <v>476</v>
      </c>
      <c r="FL18" s="141">
        <f>B164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B164</f>
        <v>0.85</v>
      </c>
      <c r="GB18" s="92"/>
      <c r="GC18" s="83"/>
      <c r="GD18" s="83"/>
      <c r="GE18" s="83"/>
      <c r="GF18" s="83"/>
      <c r="GG18" s="142"/>
      <c r="GH18" s="83"/>
      <c r="GI18" s="83"/>
      <c r="GJ18" s="83"/>
      <c r="GK18" s="83"/>
      <c r="GL18" s="83" t="s">
        <v>68</v>
      </c>
      <c r="GM18" s="142">
        <f>B195</f>
        <v>2</v>
      </c>
      <c r="GN18" s="83" t="s">
        <v>56</v>
      </c>
      <c r="GO18" s="94" t="s">
        <v>295</v>
      </c>
      <c r="GP18" s="150">
        <f>B278</f>
        <v>226.025409</v>
      </c>
      <c r="GQ18" s="90" t="s">
        <v>296</v>
      </c>
      <c r="GR18" s="83"/>
      <c r="GS18" s="83"/>
      <c r="GT18" s="83"/>
      <c r="GU18" s="83"/>
      <c r="GV18" s="142"/>
      <c r="GW18" s="83"/>
      <c r="GX18" s="83"/>
      <c r="GY18" s="83"/>
      <c r="GZ18" s="83"/>
      <c r="HA18" s="83" t="s">
        <v>68</v>
      </c>
      <c r="HB18" s="142">
        <f>B195</f>
        <v>2</v>
      </c>
      <c r="HC18" s="83" t="s">
        <v>56</v>
      </c>
    </row>
    <row r="19" spans="1:214" ht="19.5" thickTop="1" thickBot="1" x14ac:dyDescent="0.25">
      <c r="A19" s="83" t="s">
        <v>248</v>
      </c>
      <c r="B19" s="183">
        <v>1.67911012348351E-3</v>
      </c>
      <c r="C19" s="84" t="s">
        <v>259</v>
      </c>
      <c r="D19" s="52" t="s">
        <v>261</v>
      </c>
      <c r="E19" s="143">
        <f>((E5)/((E15/E16)*E11*E12))*E27*E28*E7</f>
        <v>2.0050075552840879E-11</v>
      </c>
      <c r="F19" s="52" t="s">
        <v>15</v>
      </c>
      <c r="G19" s="83" t="s">
        <v>366</v>
      </c>
      <c r="H19" s="146">
        <f>B50</f>
        <v>5</v>
      </c>
      <c r="I19" s="52" t="s">
        <v>407</v>
      </c>
      <c r="J19" s="83" t="s">
        <v>445</v>
      </c>
      <c r="K19" s="155">
        <f>K21*K31*K51+K22*K32*K52</f>
        <v>9225</v>
      </c>
      <c r="L19" s="83" t="s">
        <v>346</v>
      </c>
      <c r="V19" s="52" t="s">
        <v>271</v>
      </c>
      <c r="W19" s="145">
        <f>((W5*W7*W6)/((W12/24)*(1-EXP(-W7*W6))*W14*W9*(1/365)))*W20*W21*W8</f>
        <v>9.2001836345492874E-13</v>
      </c>
      <c r="X19" s="52" t="s">
        <v>16</v>
      </c>
      <c r="Y19" s="52" t="s">
        <v>271</v>
      </c>
      <c r="Z19" s="145">
        <f>((Z5*Z7*Z6)/((Z12/24)*(1-EXP(-Z7*Z6))*Z14*Z9*(1/365)))*Z20*Z21*Z8</f>
        <v>9.2001836345492874E-13</v>
      </c>
      <c r="AA19" s="52" t="s">
        <v>16</v>
      </c>
      <c r="AB19" s="83" t="s">
        <v>247</v>
      </c>
      <c r="AC19" s="139">
        <f>B18</f>
        <v>3.8043873993229303E-2</v>
      </c>
      <c r="AD19" s="139">
        <f>B18</f>
        <v>3.8043873993229303E-2</v>
      </c>
      <c r="AE19" s="139">
        <f>B18</f>
        <v>3.8043873993229303E-2</v>
      </c>
      <c r="AF19" s="139">
        <f>B18</f>
        <v>3.8043873993229303E-2</v>
      </c>
      <c r="AG19" s="139">
        <f>B18</f>
        <v>3.8043873993229303E-2</v>
      </c>
      <c r="AH19" s="84" t="s">
        <v>259</v>
      </c>
      <c r="BS19" s="52" t="s">
        <v>271</v>
      </c>
      <c r="BT19" s="144">
        <f>((BT5)/(BT16*BT8*(1/365)*BT15*(1/24)*BT17))*BT27*BT28*BT7</f>
        <v>1.045249034932345E-12</v>
      </c>
      <c r="BU19" s="52" t="s">
        <v>15</v>
      </c>
      <c r="BV19" s="83" t="s">
        <v>434</v>
      </c>
      <c r="BW19" s="150">
        <f>B123</f>
        <v>55</v>
      </c>
      <c r="BX19" s="83" t="s">
        <v>24</v>
      </c>
      <c r="BY19" s="83" t="s">
        <v>442</v>
      </c>
      <c r="BZ19" s="146">
        <f>B108</f>
        <v>50</v>
      </c>
      <c r="CA19" s="84" t="s">
        <v>48</v>
      </c>
      <c r="CB19" s="267" t="s">
        <v>537</v>
      </c>
      <c r="CC19" s="261">
        <f>((CC22*CC23*CC24)/((1-EXP(-CC24*CC23))*CC31*(CC26/365)*CC29*(CC30/24)*CC28))*CC32*CC33*CC25</f>
        <v>1.3943027150618953E-2</v>
      </c>
      <c r="CD19" s="278" t="s">
        <v>12</v>
      </c>
      <c r="CE19" s="258" t="s">
        <v>537</v>
      </c>
      <c r="CF19" s="261">
        <f>((CF22*CF23*CF24)/((1-EXP(-CF24*CF23))*CF31*(CF26/365)*CF29*(CF30/24)*CF28))*CF32*CF33*CF25</f>
        <v>1.1522447923696196E-4</v>
      </c>
      <c r="CG19" s="264" t="s">
        <v>12</v>
      </c>
      <c r="CK19" s="274" t="s">
        <v>576</v>
      </c>
      <c r="CL19" s="270"/>
      <c r="CM19" s="270"/>
      <c r="CN19" s="271" t="s">
        <v>576</v>
      </c>
      <c r="CO19" s="270"/>
      <c r="CP19" s="270"/>
      <c r="CQ19" s="271" t="s">
        <v>576</v>
      </c>
      <c r="CR19" s="270"/>
      <c r="CS19" s="273"/>
      <c r="CT19" s="91" t="s">
        <v>272</v>
      </c>
      <c r="CU19" s="144" t="e">
        <f>FC2</f>
        <v>#DIV/0!</v>
      </c>
      <c r="CV19" s="92" t="s">
        <v>12</v>
      </c>
      <c r="CW19" s="52" t="s">
        <v>261</v>
      </c>
      <c r="CX19" s="143">
        <f>((CX5)/((CX15/CX16)*CX11*CX12))*CX27*CX28*CX7</f>
        <v>1.9183045258663974E-11</v>
      </c>
      <c r="CY19" s="52" t="s">
        <v>15</v>
      </c>
      <c r="CZ19" s="91" t="s">
        <v>273</v>
      </c>
      <c r="DA19" s="144" t="e">
        <f>GS2</f>
        <v>#DIV/0!</v>
      </c>
      <c r="DB19" s="83" t="s">
        <v>12</v>
      </c>
      <c r="DC19" s="92" t="s">
        <v>72</v>
      </c>
      <c r="DD19" s="146">
        <f>B182</f>
        <v>1</v>
      </c>
      <c r="DE19" s="93"/>
      <c r="DF19" s="92" t="s">
        <v>70</v>
      </c>
      <c r="DG19" s="138">
        <f>B196</f>
        <v>2.6999999999999999E-5</v>
      </c>
      <c r="DH19" s="52" t="s">
        <v>64</v>
      </c>
      <c r="DL19" s="92"/>
      <c r="DO19" s="92" t="s">
        <v>70</v>
      </c>
      <c r="DP19" s="138">
        <f>B196</f>
        <v>2.6999999999999999E-5</v>
      </c>
      <c r="DQ19" s="52" t="s">
        <v>64</v>
      </c>
      <c r="DR19" s="94" t="s">
        <v>295</v>
      </c>
      <c r="DS19" s="150">
        <f>B278</f>
        <v>226.025409</v>
      </c>
      <c r="DT19" s="90" t="s">
        <v>296</v>
      </c>
      <c r="DU19" s="92"/>
      <c r="EA19" s="92"/>
      <c r="EB19" s="84"/>
      <c r="EC19" s="84"/>
      <c r="ED19" s="92" t="s">
        <v>70</v>
      </c>
      <c r="EE19" s="163">
        <f>B196</f>
        <v>2.6999999999999999E-5</v>
      </c>
      <c r="EF19" s="84" t="s">
        <v>64</v>
      </c>
      <c r="EG19" s="94" t="s">
        <v>295</v>
      </c>
      <c r="EH19" s="150">
        <f>B278</f>
        <v>226.025409</v>
      </c>
      <c r="EI19" s="90" t="s">
        <v>296</v>
      </c>
      <c r="EJ19" s="92"/>
      <c r="EP19" s="92"/>
      <c r="EQ19" s="84"/>
      <c r="ER19" s="84"/>
      <c r="ES19" s="92" t="s">
        <v>70</v>
      </c>
      <c r="ET19" s="163">
        <f>B196</f>
        <v>2.6999999999999999E-5</v>
      </c>
      <c r="EU19" s="84" t="s">
        <v>64</v>
      </c>
      <c r="EV19" s="94" t="s">
        <v>295</v>
      </c>
      <c r="EW19" s="150">
        <f>B278</f>
        <v>226.025409</v>
      </c>
      <c r="EX19" s="90" t="s">
        <v>296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B196</f>
        <v>2.6999999999999999E-5</v>
      </c>
      <c r="FJ19" s="84" t="s">
        <v>64</v>
      </c>
      <c r="FK19" s="94" t="s">
        <v>295</v>
      </c>
      <c r="FL19" s="150">
        <f>B278</f>
        <v>226.025409</v>
      </c>
      <c r="FM19" s="90" t="s">
        <v>296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94" t="s">
        <v>295</v>
      </c>
      <c r="GA19" s="150">
        <f>B278</f>
        <v>226.025409</v>
      </c>
      <c r="GB19" s="90" t="s">
        <v>296</v>
      </c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B196</f>
        <v>2.6999999999999999E-5</v>
      </c>
      <c r="GN19" s="84" t="s">
        <v>64</v>
      </c>
      <c r="GO19" s="84" t="s">
        <v>293</v>
      </c>
      <c r="GP19" s="85">
        <f>B280</f>
        <v>2.7955176153748299E-12</v>
      </c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B196</f>
        <v>2.6999999999999999E-5</v>
      </c>
      <c r="HC19" s="84" t="s">
        <v>64</v>
      </c>
    </row>
    <row r="20" spans="1:214" ht="19.5" thickTop="1" thickBot="1" x14ac:dyDescent="0.25">
      <c r="A20" s="83" t="s">
        <v>249</v>
      </c>
      <c r="B20" s="183">
        <v>1.67911012348351E-3</v>
      </c>
      <c r="C20" s="83" t="s">
        <v>259</v>
      </c>
      <c r="D20" s="52" t="s">
        <v>271</v>
      </c>
      <c r="E20" s="144">
        <f>((E5)/((E15/E16)*E8*E17*(1/365)*E18))*E27*E28*E7</f>
        <v>7.9845412390665265E-14</v>
      </c>
      <c r="F20" s="52" t="s">
        <v>15</v>
      </c>
      <c r="G20" s="83" t="s">
        <v>367</v>
      </c>
      <c r="H20" s="146">
        <f>B51</f>
        <v>10</v>
      </c>
      <c r="I20" s="52" t="s">
        <v>407</v>
      </c>
      <c r="J20" s="83" t="s">
        <v>396</v>
      </c>
      <c r="K20" s="155">
        <f>(K31*K23*(K34/24)*K51)+(K32*K24*(K35/24)*K52)</f>
        <v>1327.5</v>
      </c>
      <c r="L20" s="52" t="s">
        <v>407</v>
      </c>
      <c r="M20" s="325" t="s">
        <v>566</v>
      </c>
      <c r="N20" s="326"/>
      <c r="O20" s="326"/>
      <c r="P20" s="327" t="s">
        <v>536</v>
      </c>
      <c r="Q20" s="326"/>
      <c r="R20" s="329"/>
      <c r="V20" s="84" t="s">
        <v>295</v>
      </c>
      <c r="W20" s="150">
        <f>B278</f>
        <v>226.025409</v>
      </c>
      <c r="X20" s="52" t="s">
        <v>296</v>
      </c>
      <c r="Y20" s="84" t="s">
        <v>295</v>
      </c>
      <c r="Z20" s="150">
        <f>B278</f>
        <v>226.025409</v>
      </c>
      <c r="AA20" s="52" t="s">
        <v>296</v>
      </c>
      <c r="AB20" s="83" t="s">
        <v>83</v>
      </c>
      <c r="AC20" s="139">
        <f>B232</f>
        <v>5</v>
      </c>
      <c r="AD20" s="139">
        <f>B242</f>
        <v>5</v>
      </c>
      <c r="AE20" s="139">
        <f>B252</f>
        <v>5</v>
      </c>
      <c r="AF20" s="139">
        <f>B262</f>
        <v>5</v>
      </c>
      <c r="AG20" s="139">
        <f>B273</f>
        <v>5</v>
      </c>
      <c r="AH20" s="84" t="s">
        <v>194</v>
      </c>
      <c r="AI20" s="296" t="s">
        <v>558</v>
      </c>
      <c r="AJ20" s="294"/>
      <c r="AK20" s="297"/>
      <c r="AL20" s="293" t="s">
        <v>545</v>
      </c>
      <c r="AM20" s="294"/>
      <c r="AN20" s="295"/>
      <c r="AR20" s="296" t="s">
        <v>560</v>
      </c>
      <c r="AS20" s="294"/>
      <c r="AT20" s="297"/>
      <c r="AU20" s="293" t="s">
        <v>550</v>
      </c>
      <c r="AV20" s="294"/>
      <c r="AW20" s="295"/>
      <c r="BA20" s="296" t="s">
        <v>562</v>
      </c>
      <c r="BB20" s="294"/>
      <c r="BC20" s="297"/>
      <c r="BD20" s="293" t="s">
        <v>553</v>
      </c>
      <c r="BE20" s="294"/>
      <c r="BF20" s="295"/>
      <c r="BJ20" s="296" t="s">
        <v>563</v>
      </c>
      <c r="BK20" s="294"/>
      <c r="BL20" s="297"/>
      <c r="BM20" s="293" t="s">
        <v>556</v>
      </c>
      <c r="BN20" s="294"/>
      <c r="BO20" s="295"/>
      <c r="BS20" s="52" t="s">
        <v>261</v>
      </c>
      <c r="BT20" s="144">
        <f>((BT5*BT24*BT6)/((1-EXP(-BT6*BT24))*BT9*BT10))*BT27*BT28*BT7</f>
        <v>2.6253056239557123E-10</v>
      </c>
      <c r="BU20" s="52" t="s">
        <v>16</v>
      </c>
      <c r="BV20" s="52" t="s">
        <v>443</v>
      </c>
      <c r="BW20" s="138">
        <f>B119</f>
        <v>5</v>
      </c>
      <c r="BX20" s="52" t="s">
        <v>89</v>
      </c>
      <c r="BY20" s="83" t="s">
        <v>429</v>
      </c>
      <c r="BZ20" s="141">
        <f>B103</f>
        <v>5</v>
      </c>
      <c r="CA20" s="92" t="s">
        <v>407</v>
      </c>
      <c r="CB20" s="268"/>
      <c r="CC20" s="262"/>
      <c r="CD20" s="279"/>
      <c r="CE20" s="259"/>
      <c r="CF20" s="262"/>
      <c r="CG20" s="265"/>
      <c r="CK20" s="267" t="s">
        <v>530</v>
      </c>
      <c r="CL20" s="261">
        <f>(CL23/(CL24*CL25*CL26))*CL27*CL28*CO33</f>
        <v>3.6490209386281483E-6</v>
      </c>
      <c r="CM20" s="255" t="s">
        <v>12</v>
      </c>
      <c r="CN20" s="258" t="s">
        <v>7</v>
      </c>
      <c r="CO20" s="261">
        <f>(CL20/(CO23*((CO28*CO30*CO31*(CO24+CO25))+(CO29*CO30))))*CO34</f>
        <v>3.499694808846639E-4</v>
      </c>
      <c r="CP20" s="255" t="s">
        <v>12</v>
      </c>
      <c r="CQ20" s="258" t="s">
        <v>6</v>
      </c>
      <c r="CR20" s="261">
        <f>CL20/(CR23*CR24*(1/CR25))</f>
        <v>1.0732414525376905</v>
      </c>
      <c r="CS20" s="264" t="s">
        <v>12</v>
      </c>
      <c r="CT20" s="91" t="s">
        <v>273</v>
      </c>
      <c r="CU20" s="144" t="e">
        <f>GV2</f>
        <v>#DIV/0!</v>
      </c>
      <c r="CV20" s="92" t="s">
        <v>12</v>
      </c>
      <c r="CW20" s="52" t="s">
        <v>271</v>
      </c>
      <c r="CX20" s="144">
        <f>((CX5)/((CX15/CX16)*CX8*CX17*(1/365)*CX18))*CX27*CX28*CX7</f>
        <v>7.9845412390665265E-14</v>
      </c>
      <c r="CY20" s="52" t="s">
        <v>15</v>
      </c>
      <c r="CZ20" s="91" t="s">
        <v>274</v>
      </c>
      <c r="DA20" s="144">
        <f>EK2</f>
        <v>8.099935490850497E-7</v>
      </c>
      <c r="DB20" s="83" t="s">
        <v>12</v>
      </c>
      <c r="DC20" s="83" t="s">
        <v>475</v>
      </c>
      <c r="DD20" s="146">
        <f>B163</f>
        <v>0.15</v>
      </c>
      <c r="DF20" s="92" t="s">
        <v>71</v>
      </c>
      <c r="DG20" s="137">
        <f>0.693/DG23</f>
        <v>1.1866438356164383E-6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R20" s="84" t="s">
        <v>293</v>
      </c>
      <c r="DS20" s="85">
        <f>B280</f>
        <v>2.7955176153748299E-12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G20" s="84" t="s">
        <v>293</v>
      </c>
      <c r="EH20" s="85">
        <f>B280</f>
        <v>2.7955176153748299E-12</v>
      </c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V20" s="84" t="s">
        <v>293</v>
      </c>
      <c r="EW20" s="85">
        <f>B280</f>
        <v>2.7955176153748299E-12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K20" s="84" t="s">
        <v>293</v>
      </c>
      <c r="FL20" s="85">
        <f>B280</f>
        <v>2.7955176153748299E-12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FZ20" s="84" t="s">
        <v>293</v>
      </c>
      <c r="GA20" s="85">
        <f>B280</f>
        <v>2.7955176153748299E-12</v>
      </c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83" t="s">
        <v>250</v>
      </c>
      <c r="B21" s="183">
        <v>1.036E-3</v>
      </c>
      <c r="C21" s="83" t="s">
        <v>259</v>
      </c>
      <c r="D21" s="52" t="s">
        <v>261</v>
      </c>
      <c r="E21" s="144">
        <f>((E5*E10*E6)/((1-EXP(-E6*E10))*E11*E12))*E27*E28*E7</f>
        <v>2.0054417960772797E-11</v>
      </c>
      <c r="F21" s="52" t="s">
        <v>16</v>
      </c>
      <c r="G21" s="83" t="s">
        <v>397</v>
      </c>
      <c r="H21" s="148">
        <f>(H29*H36*H32*H68)+(H30*H37*H33*H69)</f>
        <v>476.25</v>
      </c>
      <c r="I21" s="83" t="s">
        <v>356</v>
      </c>
      <c r="J21" s="83" t="s">
        <v>368</v>
      </c>
      <c r="K21" s="146">
        <f>B52</f>
        <v>100</v>
      </c>
      <c r="L21" s="84" t="s">
        <v>48</v>
      </c>
      <c r="M21" s="330" t="s">
        <v>537</v>
      </c>
      <c r="N21" s="333">
        <f>((N24*N25*N26)/((1-EXP(-N26*N25))*N34*N32*(N28/365)*(((N33/24)*N31)+((N35/24)*N30))))*N36*N37*N27</f>
        <v>3.49332689350218E-5</v>
      </c>
      <c r="O21" s="336" t="s">
        <v>298</v>
      </c>
      <c r="P21" s="339" t="s">
        <v>537</v>
      </c>
      <c r="Q21" s="333">
        <f>((Q24*Q25*Q26)/((1-EXP(-Q26*Q25))*Q34*Q32*(Q28/365)*(((Q33/24)*Q31)+((Q35/24)*Q30))))*Q36*Q37*Q27</f>
        <v>5.7181070402222492E-7</v>
      </c>
      <c r="R21" s="342" t="s">
        <v>12</v>
      </c>
      <c r="V21" s="84" t="s">
        <v>293</v>
      </c>
      <c r="W21" s="85">
        <f>B279</f>
        <v>2.8000000000000001E-15</v>
      </c>
      <c r="Y21" s="84" t="s">
        <v>293</v>
      </c>
      <c r="Z21" s="85">
        <f>B279</f>
        <v>2.8000000000000001E-15</v>
      </c>
      <c r="AB21" s="83" t="s">
        <v>85</v>
      </c>
      <c r="AC21" s="139">
        <f>B233</f>
        <v>5</v>
      </c>
      <c r="AD21" s="139">
        <f>B243</f>
        <v>5</v>
      </c>
      <c r="AE21" s="139">
        <f>B253</f>
        <v>5</v>
      </c>
      <c r="AF21" s="139">
        <f>B263</f>
        <v>5</v>
      </c>
      <c r="AG21" s="139">
        <f>B274</f>
        <v>5</v>
      </c>
      <c r="AH21" s="84" t="s">
        <v>194</v>
      </c>
      <c r="AI21" s="306" t="s">
        <v>537</v>
      </c>
      <c r="AJ21" s="303">
        <f>((AJ24*AJ25*AJ26)/((1-EXP(-AJ26*AJ25))*AJ34*(AJ28/365)*AJ29*(AJ35/24)*AJ30*AJ32))*AJ36*AJ37*AJ27</f>
        <v>2.110416589517685E-4</v>
      </c>
      <c r="AK21" s="290" t="s">
        <v>298</v>
      </c>
      <c r="AL21" s="287" t="s">
        <v>537</v>
      </c>
      <c r="AM21" s="303">
        <f>((AM24*AM25*AM26)/((1-EXP(-AM26*AM25))*AM34*(AM28/365)*AM29*(AM35/24)*AM30*AM32))*AM36*AM37*AM27</f>
        <v>3.4779356812884591E-6</v>
      </c>
      <c r="AN21" s="281" t="s">
        <v>12</v>
      </c>
      <c r="AR21" s="306" t="s">
        <v>537</v>
      </c>
      <c r="AS21" s="303">
        <f>((AS24*AS25*AS26)/((1-EXP(-AS26*AS25))*AS34*(AS28/365)*AS29*(AS33/24)*AS31*AS32))*AS36*AS37*AS27</f>
        <v>6.1349319462723406E-3</v>
      </c>
      <c r="AT21" s="290" t="s">
        <v>298</v>
      </c>
      <c r="AU21" s="287" t="s">
        <v>537</v>
      </c>
      <c r="AV21" s="303">
        <f>((AV24*AV25*AV26)/((1-EXP(-AV26*AV25))*AV34*(AV28/365)*AV29*(AV33/24)*AV31*AV32))*AV36*AV37*AV27</f>
        <v>5.0698770864263252E-5</v>
      </c>
      <c r="AW21" s="281" t="s">
        <v>12</v>
      </c>
      <c r="BA21" s="306" t="s">
        <v>537</v>
      </c>
      <c r="BB21" s="303">
        <f>((BB24*BB25*BB26)/((1-EXP(-BB26*BB25))*BB34*(BB28/365)*(BB33/24)*BB31*BB32))*BB36*BB37*BB27</f>
        <v>6.1349319462723406E-3</v>
      </c>
      <c r="BC21" s="290" t="s">
        <v>298</v>
      </c>
      <c r="BD21" s="287" t="s">
        <v>537</v>
      </c>
      <c r="BE21" s="303">
        <f>((BE24*BE25*BE26)/((1-EXP(-BE26*BE25))*BE34*(BE28/365)*(BE33/24)*BE31*BE32))*BE36*BE37*BE27</f>
        <v>5.0698770864263252E-5</v>
      </c>
      <c r="BF21" s="281" t="s">
        <v>12</v>
      </c>
      <c r="BJ21" s="306" t="s">
        <v>537</v>
      </c>
      <c r="BK21" s="284">
        <f>((BK24*BK25*BK26)/((1-EXP(-BK26*BK25))*BK35*(BK28/365)*(BK34/24)*BK32*BK33))*BK36*BK37*BK27</f>
        <v>1.0224886577120571E-2</v>
      </c>
      <c r="BL21" s="290" t="s">
        <v>298</v>
      </c>
      <c r="BM21" s="287" t="s">
        <v>537</v>
      </c>
      <c r="BN21" s="284">
        <f>((BN24*BN25*BN26)/((1-EXP(-BN26*BN25))*BN35*(BN28/365)*(BN34/24)*BN32*BN33))*BN36*BN37*BN27</f>
        <v>8.4497951440438765E-5</v>
      </c>
      <c r="BO21" s="281" t="s">
        <v>12</v>
      </c>
      <c r="BS21" s="52" t="s">
        <v>271</v>
      </c>
      <c r="BT21" s="145">
        <f>((BT5*BT24*BT6)/((1-EXP(-BT6*BT24))*BT16*BT8*(1/365)*BT15*(1/24)*BT17))*BT27*BT28*BT7</f>
        <v>1.0454754130169645E-12</v>
      </c>
      <c r="BU21" s="52" t="s">
        <v>16</v>
      </c>
      <c r="BV21" s="52" t="s">
        <v>444</v>
      </c>
      <c r="BW21" s="138">
        <f>B120</f>
        <v>5</v>
      </c>
      <c r="BX21" s="52" t="s">
        <v>89</v>
      </c>
      <c r="BY21" s="83" t="s">
        <v>430</v>
      </c>
      <c r="BZ21" s="141">
        <f>B104</f>
        <v>10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56"/>
      <c r="CN21" s="259"/>
      <c r="CO21" s="262"/>
      <c r="CP21" s="256"/>
      <c r="CQ21" s="259"/>
      <c r="CR21" s="262"/>
      <c r="CS21" s="265"/>
      <c r="CT21" s="91" t="s">
        <v>274</v>
      </c>
      <c r="CU21" s="144">
        <f>EN2</f>
        <v>1.178802877258057E-5</v>
      </c>
      <c r="CV21" s="92" t="s">
        <v>12</v>
      </c>
      <c r="CW21" s="52" t="s">
        <v>261</v>
      </c>
      <c r="CX21" s="144">
        <f>((CX5*CX10*CX6)/((CX15/CX16)*(1-EXP(-CX6*CX9))*CX11*CX12))*CX27*CX28*CX7</f>
        <v>1.9187199886793434E-11</v>
      </c>
      <c r="CY21" s="52" t="s">
        <v>16</v>
      </c>
      <c r="CZ21" s="91" t="s">
        <v>509</v>
      </c>
      <c r="DA21" s="144">
        <f>DV2</f>
        <v>2.150166800221392E-3</v>
      </c>
      <c r="DB21" s="83" t="s">
        <v>12</v>
      </c>
      <c r="DC21" s="83" t="s">
        <v>476</v>
      </c>
      <c r="DD21" s="146">
        <f>B164</f>
        <v>0.85</v>
      </c>
      <c r="DF21" s="92" t="s">
        <v>73</v>
      </c>
      <c r="DG21" s="138">
        <f>B197</f>
        <v>1</v>
      </c>
      <c r="DH21" s="52" t="s">
        <v>41</v>
      </c>
      <c r="DL21" s="92"/>
      <c r="DO21" s="92" t="s">
        <v>73</v>
      </c>
      <c r="DP21" s="138">
        <f>B197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B197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B197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B197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B197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B197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83" t="s">
        <v>251</v>
      </c>
      <c r="B22" s="183">
        <v>10.423439999999999</v>
      </c>
      <c r="C22" s="83" t="s">
        <v>351</v>
      </c>
      <c r="D22" s="52" t="s">
        <v>271</v>
      </c>
      <c r="E22" s="145">
        <f>((E5*E10*E6)/((E15/E16)*E8*(1-EXP(-E6*E10))*E17*(1/365)*E18))*E27*E28*E7</f>
        <v>7.9862705161018134E-14</v>
      </c>
      <c r="F22" s="52" t="s">
        <v>16</v>
      </c>
      <c r="G22" s="83" t="s">
        <v>398</v>
      </c>
      <c r="H22" s="149">
        <f>(H29*H23*H68)+(H30*H24*H69)</f>
        <v>8250</v>
      </c>
      <c r="I22" s="92" t="s">
        <v>347</v>
      </c>
      <c r="J22" s="83" t="s">
        <v>369</v>
      </c>
      <c r="K22" s="146">
        <f>B53</f>
        <v>50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B234</f>
        <v>0.4</v>
      </c>
      <c r="AD22" s="150">
        <f>B244</f>
        <v>0.4</v>
      </c>
      <c r="AE22" s="150">
        <f>B254</f>
        <v>0.4</v>
      </c>
      <c r="AF22" s="150">
        <f>B264</f>
        <v>0.4</v>
      </c>
      <c r="AG22" s="150">
        <f>B275</f>
        <v>0.4</v>
      </c>
      <c r="AI22" s="307"/>
      <c r="AJ22" s="304"/>
      <c r="AK22" s="291"/>
      <c r="AL22" s="288"/>
      <c r="AM22" s="304"/>
      <c r="AN22" s="282"/>
      <c r="AR22" s="307"/>
      <c r="AS22" s="304"/>
      <c r="AT22" s="291"/>
      <c r="AU22" s="288"/>
      <c r="AV22" s="304"/>
      <c r="AW22" s="282"/>
      <c r="BA22" s="307"/>
      <c r="BB22" s="304"/>
      <c r="BC22" s="291"/>
      <c r="BD22" s="288"/>
      <c r="BE22" s="304"/>
      <c r="BF22" s="282"/>
      <c r="BJ22" s="307"/>
      <c r="BK22" s="285"/>
      <c r="BL22" s="291"/>
      <c r="BM22" s="288"/>
      <c r="BN22" s="285"/>
      <c r="BO22" s="282"/>
      <c r="BS22" s="52" t="s">
        <v>433</v>
      </c>
      <c r="BT22" s="138">
        <f>B114</f>
        <v>55</v>
      </c>
      <c r="BU22" s="52" t="s">
        <v>24</v>
      </c>
      <c r="BV22" s="83" t="s">
        <v>90</v>
      </c>
      <c r="BW22" s="150">
        <f>B118</f>
        <v>5</v>
      </c>
      <c r="BX22" s="52" t="s">
        <v>194</v>
      </c>
      <c r="BY22" s="83" t="s">
        <v>140</v>
      </c>
      <c r="BZ22" s="150">
        <f>B113</f>
        <v>55</v>
      </c>
      <c r="CA22" s="83" t="s">
        <v>24</v>
      </c>
      <c r="CB22" s="52" t="s">
        <v>267</v>
      </c>
      <c r="CC22" s="136">
        <f>B17</f>
        <v>1</v>
      </c>
      <c r="CD22" s="52" t="s">
        <v>344</v>
      </c>
      <c r="CE22" s="52" t="s">
        <v>267</v>
      </c>
      <c r="CF22" s="136">
        <f>B17</f>
        <v>1</v>
      </c>
      <c r="CG22" s="52" t="s">
        <v>344</v>
      </c>
      <c r="CK22" s="269"/>
      <c r="CL22" s="263"/>
      <c r="CM22" s="257"/>
      <c r="CN22" s="260"/>
      <c r="CO22" s="263"/>
      <c r="CP22" s="257"/>
      <c r="CQ22" s="260"/>
      <c r="CR22" s="263"/>
      <c r="CS22" s="266"/>
      <c r="CT22" s="91" t="s">
        <v>275</v>
      </c>
      <c r="CU22" s="144">
        <f>DY2</f>
        <v>3.3995668132613311E-5</v>
      </c>
      <c r="CV22" s="92" t="s">
        <v>12</v>
      </c>
      <c r="CW22" s="52" t="s">
        <v>271</v>
      </c>
      <c r="CX22" s="145">
        <f>((CX5*CX10*CX6)/((CX15/CX16)*CX8*(1-EXP(-CX6*CX10))*CX17*(1/365)*CX18))*CX27*CX28*CX7</f>
        <v>7.9862705161018134E-14</v>
      </c>
      <c r="CY22" s="52" t="s">
        <v>16</v>
      </c>
      <c r="CZ22" s="91" t="s">
        <v>510</v>
      </c>
      <c r="DA22" s="144" t="e">
        <f>GD2</f>
        <v>#DIV/0!</v>
      </c>
      <c r="DB22" s="83" t="s">
        <v>12</v>
      </c>
      <c r="DC22" s="94" t="s">
        <v>295</v>
      </c>
      <c r="DD22" s="150">
        <f>B278</f>
        <v>226.025409</v>
      </c>
      <c r="DE22" s="90" t="s">
        <v>296</v>
      </c>
      <c r="DF22" s="92" t="s">
        <v>74</v>
      </c>
      <c r="DG22" s="138">
        <f>B198</f>
        <v>14</v>
      </c>
      <c r="DH22" s="52" t="s">
        <v>75</v>
      </c>
      <c r="DL22" s="92"/>
      <c r="DO22" s="92" t="s">
        <v>74</v>
      </c>
      <c r="DP22" s="138">
        <f>B198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B198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B198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B198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B198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B198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252</v>
      </c>
      <c r="B23" s="183">
        <v>1.9522299999999999</v>
      </c>
      <c r="C23" s="83" t="s">
        <v>352</v>
      </c>
      <c r="D23" s="52" t="s">
        <v>380</v>
      </c>
      <c r="E23" s="138">
        <f>B66</f>
        <v>150</v>
      </c>
      <c r="F23" s="52" t="s">
        <v>24</v>
      </c>
      <c r="G23" s="83" t="s">
        <v>399</v>
      </c>
      <c r="H23" s="146">
        <f>B147</f>
        <v>55</v>
      </c>
      <c r="I23" s="92" t="s">
        <v>221</v>
      </c>
      <c r="J23" s="83" t="s">
        <v>366</v>
      </c>
      <c r="K23" s="141">
        <f>B50</f>
        <v>5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308"/>
      <c r="AS23" s="305"/>
      <c r="AT23" s="292"/>
      <c r="AU23" s="289"/>
      <c r="AV23" s="305"/>
      <c r="AW23" s="283"/>
      <c r="BA23" s="308"/>
      <c r="BB23" s="305"/>
      <c r="BC23" s="292"/>
      <c r="BD23" s="289"/>
      <c r="BE23" s="305"/>
      <c r="BF23" s="283"/>
      <c r="BJ23" s="308"/>
      <c r="BK23" s="286"/>
      <c r="BL23" s="292"/>
      <c r="BM23" s="289"/>
      <c r="BN23" s="286"/>
      <c r="BO23" s="283"/>
      <c r="BS23" s="52" t="s">
        <v>434</v>
      </c>
      <c r="BT23" s="138">
        <f>B115</f>
        <v>55</v>
      </c>
      <c r="BU23" s="52" t="s">
        <v>24</v>
      </c>
      <c r="BV23" s="83" t="s">
        <v>435</v>
      </c>
      <c r="BW23" s="138">
        <f>B124</f>
        <v>5</v>
      </c>
      <c r="BX23" s="52" t="s">
        <v>80</v>
      </c>
      <c r="BY23" s="83" t="s">
        <v>434</v>
      </c>
      <c r="BZ23" s="150">
        <f>B115</f>
        <v>55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B17</f>
        <v>1</v>
      </c>
      <c r="CM23" s="52" t="s">
        <v>344</v>
      </c>
      <c r="CN23" s="52" t="s">
        <v>229</v>
      </c>
      <c r="CO23" s="136">
        <f>B41</f>
        <v>1.6999999999999999E-3</v>
      </c>
      <c r="CP23" s="52" t="s">
        <v>268</v>
      </c>
      <c r="CQ23" s="83" t="s">
        <v>229</v>
      </c>
      <c r="CR23" s="136">
        <f>CO23</f>
        <v>1.6999999999999999E-3</v>
      </c>
      <c r="CS23" s="52" t="s">
        <v>268</v>
      </c>
      <c r="CT23" s="91" t="s">
        <v>276</v>
      </c>
      <c r="CU23" s="144" t="e">
        <f>GG2</f>
        <v>#DIV/0!</v>
      </c>
      <c r="CV23" s="92" t="s">
        <v>12</v>
      </c>
      <c r="CW23" s="52" t="s">
        <v>456</v>
      </c>
      <c r="CX23" s="138">
        <f>B165</f>
        <v>150</v>
      </c>
      <c r="CY23" s="52" t="s">
        <v>24</v>
      </c>
      <c r="CZ23" s="91" t="s">
        <v>277</v>
      </c>
      <c r="DA23" s="145">
        <f>FO2</f>
        <v>1.8245104693140746E-5</v>
      </c>
      <c r="DB23" s="83" t="s">
        <v>12</v>
      </c>
      <c r="DC23" s="84" t="s">
        <v>293</v>
      </c>
      <c r="DD23" s="85">
        <f>B280</f>
        <v>2.7955176153748299E-12</v>
      </c>
      <c r="DF23" s="83" t="s">
        <v>267</v>
      </c>
      <c r="DG23" s="136">
        <f>B34</f>
        <v>584000</v>
      </c>
      <c r="DH23" s="52" t="s">
        <v>222</v>
      </c>
      <c r="DO23" s="83" t="s">
        <v>19</v>
      </c>
      <c r="DP23" s="161">
        <f>DP25</f>
        <v>1.4800000000000001E-2</v>
      </c>
      <c r="EA23" s="83"/>
      <c r="EB23" s="83"/>
      <c r="EC23" s="84"/>
      <c r="ED23" s="83" t="s">
        <v>19</v>
      </c>
      <c r="EE23" s="161">
        <f>EE25</f>
        <v>1.7000000000000001E-2</v>
      </c>
      <c r="EF23" s="84"/>
      <c r="EP23" s="83"/>
      <c r="EQ23" s="83"/>
      <c r="ER23" s="84"/>
      <c r="ES23" s="83" t="s">
        <v>19</v>
      </c>
      <c r="ET23" s="161">
        <f>ET25</f>
        <v>1.7000000000000001E-2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1.7000000000000001E-2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1.7000000000000001E-2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1.7000000000000001E-2</v>
      </c>
      <c r="HC23" s="84"/>
      <c r="HD23" s="67" t="s">
        <v>14</v>
      </c>
      <c r="HE23" s="222">
        <f>((HE25*HE42)*HE38*HE33*10^-3*HE32*HE27)/(HE31*HE41*(1-EXP(-HE27*HE32)))</f>
        <v>2.688918819852209E-11</v>
      </c>
      <c r="HF23" s="220" t="s">
        <v>597</v>
      </c>
    </row>
    <row r="24" spans="1:214" ht="14.25" thickTop="1" thickBot="1" x14ac:dyDescent="0.25">
      <c r="A24" s="83" t="s">
        <v>253</v>
      </c>
      <c r="B24" s="183">
        <v>1.92404</v>
      </c>
      <c r="C24" s="83" t="s">
        <v>351</v>
      </c>
      <c r="D24" s="52" t="s">
        <v>381</v>
      </c>
      <c r="E24" s="138">
        <f>B67</f>
        <v>150</v>
      </c>
      <c r="F24" s="52" t="s">
        <v>24</v>
      </c>
      <c r="G24" s="83" t="s">
        <v>310</v>
      </c>
      <c r="H24" s="146">
        <f>B58</f>
        <v>55</v>
      </c>
      <c r="I24" s="92" t="s">
        <v>221</v>
      </c>
      <c r="J24" s="83" t="s">
        <v>367</v>
      </c>
      <c r="K24" s="141">
        <f>B51</f>
        <v>10</v>
      </c>
      <c r="L24" s="52" t="s">
        <v>407</v>
      </c>
      <c r="M24" s="52" t="s">
        <v>267</v>
      </c>
      <c r="N24" s="136">
        <f>B17</f>
        <v>1</v>
      </c>
      <c r="O24" s="52" t="s">
        <v>344</v>
      </c>
      <c r="P24" s="52" t="s">
        <v>267</v>
      </c>
      <c r="Q24" s="136">
        <f>B17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4.3312499999999997E-4</v>
      </c>
      <c r="AD24" s="137">
        <f>0.693/AD25</f>
        <v>4.3312499999999997E-4</v>
      </c>
      <c r="AE24" s="137">
        <f>0.693/AE25</f>
        <v>4.3312499999999997E-4</v>
      </c>
      <c r="AF24" s="137">
        <f>0.693/AF25</f>
        <v>4.3312499999999997E-4</v>
      </c>
      <c r="AG24" s="137">
        <f>0.693/AG25</f>
        <v>4.3312499999999997E-4</v>
      </c>
      <c r="AI24" s="52" t="s">
        <v>267</v>
      </c>
      <c r="AJ24" s="136">
        <f>B17</f>
        <v>1</v>
      </c>
      <c r="AK24" s="52" t="s">
        <v>344</v>
      </c>
      <c r="AL24" s="52" t="s">
        <v>267</v>
      </c>
      <c r="AM24" s="136">
        <f>B17</f>
        <v>1</v>
      </c>
      <c r="AN24" s="52" t="s">
        <v>344</v>
      </c>
      <c r="AR24" s="52" t="s">
        <v>267</v>
      </c>
      <c r="AS24" s="136">
        <f>B17</f>
        <v>1</v>
      </c>
      <c r="AT24" s="52" t="s">
        <v>344</v>
      </c>
      <c r="AU24" s="52" t="s">
        <v>267</v>
      </c>
      <c r="AV24" s="136">
        <f>B17</f>
        <v>1</v>
      </c>
      <c r="AW24" s="52" t="s">
        <v>344</v>
      </c>
      <c r="BA24" s="52" t="s">
        <v>267</v>
      </c>
      <c r="BB24" s="136">
        <f>B17</f>
        <v>1</v>
      </c>
      <c r="BC24" s="52" t="s">
        <v>344</v>
      </c>
      <c r="BD24" s="52" t="s">
        <v>267</v>
      </c>
      <c r="BE24" s="136">
        <f>B17</f>
        <v>1</v>
      </c>
      <c r="BF24" s="52" t="s">
        <v>344</v>
      </c>
      <c r="BJ24" s="52" t="s">
        <v>267</v>
      </c>
      <c r="BK24" s="136">
        <f>B17</f>
        <v>1</v>
      </c>
      <c r="BL24" s="52" t="s">
        <v>344</v>
      </c>
      <c r="BM24" s="52" t="s">
        <v>267</v>
      </c>
      <c r="BN24" s="136">
        <f>B17</f>
        <v>1</v>
      </c>
      <c r="BO24" s="52" t="s">
        <v>344</v>
      </c>
      <c r="BS24" s="91" t="s">
        <v>95</v>
      </c>
      <c r="BT24" s="158">
        <f>B127</f>
        <v>1</v>
      </c>
      <c r="BU24" s="91" t="s">
        <v>60</v>
      </c>
      <c r="BV24" s="83" t="s">
        <v>436</v>
      </c>
      <c r="BW24" s="138">
        <f>B125</f>
        <v>5</v>
      </c>
      <c r="BX24" s="52" t="s">
        <v>80</v>
      </c>
      <c r="BY24" s="83" t="s">
        <v>433</v>
      </c>
      <c r="BZ24" s="150">
        <f>B114</f>
        <v>55</v>
      </c>
      <c r="CA24" s="83" t="s">
        <v>24</v>
      </c>
      <c r="CB24" s="83" t="s">
        <v>22</v>
      </c>
      <c r="CC24" s="137">
        <f>0.693/CC25</f>
        <v>4.3312499999999997E-4</v>
      </c>
      <c r="CE24" s="83" t="s">
        <v>22</v>
      </c>
      <c r="CF24" s="137">
        <f>0.693/CF25</f>
        <v>4.3312499999999997E-4</v>
      </c>
      <c r="CK24" s="52" t="s">
        <v>258</v>
      </c>
      <c r="CL24" s="136">
        <f>B29</f>
        <v>1.67911012348351E-3</v>
      </c>
      <c r="CM24" s="91" t="s">
        <v>10</v>
      </c>
      <c r="CN24" s="52" t="s">
        <v>20</v>
      </c>
      <c r="CO24" s="139">
        <f>CO26</f>
        <v>1.7000000000000001E-2</v>
      </c>
      <c r="CQ24" s="84" t="s">
        <v>170</v>
      </c>
      <c r="CR24" s="162">
        <f>B139</f>
        <v>2</v>
      </c>
      <c r="CS24" s="52" t="s">
        <v>28</v>
      </c>
      <c r="CT24" s="91" t="s">
        <v>277</v>
      </c>
      <c r="CU24" s="145">
        <f>FR2</f>
        <v>1.8249056183853558E-8</v>
      </c>
      <c r="CV24" s="92" t="s">
        <v>12</v>
      </c>
      <c r="CW24" s="52" t="s">
        <v>465</v>
      </c>
      <c r="CX24" s="138">
        <f>B166</f>
        <v>150</v>
      </c>
      <c r="CY24" s="52" t="s">
        <v>24</v>
      </c>
      <c r="CZ24" s="83" t="s">
        <v>45</v>
      </c>
      <c r="DA24" s="149">
        <f>(DA35*DA27*DA49)+(DA36*DA28*DA50)</f>
        <v>196.875</v>
      </c>
      <c r="DB24" s="52" t="s">
        <v>345</v>
      </c>
      <c r="DD24" s="138"/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223">
        <f>((HE26*HE42)*HE38*HE33*10^-3*HE32*HE27)/(HE31*HE41*(1-EXP(-HE27*HE32)))</f>
        <v>5.8555269684941179E-17</v>
      </c>
      <c r="HF24" s="221" t="s">
        <v>598</v>
      </c>
    </row>
    <row r="25" spans="1:214" ht="15" thickTop="1" x14ac:dyDescent="0.2">
      <c r="A25" s="83" t="s">
        <v>254</v>
      </c>
      <c r="B25" s="183">
        <v>5.52928</v>
      </c>
      <c r="C25" s="83" t="s">
        <v>351</v>
      </c>
      <c r="D25" s="83" t="s">
        <v>376</v>
      </c>
      <c r="E25" s="146">
        <f>B61</f>
        <v>0.23</v>
      </c>
      <c r="G25" s="83" t="s">
        <v>400</v>
      </c>
      <c r="H25" s="149">
        <f>(H29*H26*H68)+(H30*H27*H69)</f>
        <v>8250</v>
      </c>
      <c r="I25" s="92" t="s">
        <v>347</v>
      </c>
      <c r="J25" s="83" t="s">
        <v>446</v>
      </c>
      <c r="K25" s="149">
        <f>(K31*K26*K51)+(K32*K27*K52)</f>
        <v>8250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8.8040225339030763E-13</v>
      </c>
      <c r="X25" s="62" t="s">
        <v>294</v>
      </c>
      <c r="Y25" s="202" t="s">
        <v>16</v>
      </c>
      <c r="Z25" s="187">
        <f>1/((1/Z41)+(1/Z40))</f>
        <v>8.8040225339030763E-13</v>
      </c>
      <c r="AA25" s="63" t="s">
        <v>294</v>
      </c>
      <c r="AB25" s="91" t="s">
        <v>231</v>
      </c>
      <c r="AC25" s="136">
        <f>B30</f>
        <v>1600</v>
      </c>
      <c r="AD25" s="136">
        <f>B30</f>
        <v>1600</v>
      </c>
      <c r="AE25" s="136">
        <f>B30</f>
        <v>1600</v>
      </c>
      <c r="AF25" s="136">
        <f>B30</f>
        <v>1600</v>
      </c>
      <c r="AG25" s="136">
        <f>B30</f>
        <v>1600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B111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B118</f>
        <v>5</v>
      </c>
      <c r="CA25" s="94" t="s">
        <v>194</v>
      </c>
      <c r="CB25" s="91" t="s">
        <v>231</v>
      </c>
      <c r="CC25" s="136">
        <f>B30</f>
        <v>1600</v>
      </c>
      <c r="CD25" s="52" t="s">
        <v>60</v>
      </c>
      <c r="CE25" s="91" t="s">
        <v>231</v>
      </c>
      <c r="CF25" s="136">
        <f>B30</f>
        <v>1600</v>
      </c>
      <c r="CG25" s="52" t="s">
        <v>60</v>
      </c>
      <c r="CK25" s="52" t="s">
        <v>140</v>
      </c>
      <c r="CL25" s="138">
        <f>B113</f>
        <v>55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8625</v>
      </c>
      <c r="CV25" s="83" t="s">
        <v>346</v>
      </c>
      <c r="CW25" s="83" t="s">
        <v>475</v>
      </c>
      <c r="CX25" s="146">
        <f>B163</f>
        <v>0.15</v>
      </c>
      <c r="CZ25" s="83" t="s">
        <v>43</v>
      </c>
      <c r="DA25" s="140">
        <f>(DA35*DA29*(DA38/24)*DA49)+(DA36*DA30*(DA39/24)*DA50)</f>
        <v>1387.5</v>
      </c>
      <c r="DB25" s="83" t="s">
        <v>426</v>
      </c>
      <c r="DF25" s="52" t="s">
        <v>33</v>
      </c>
      <c r="DG25" s="136">
        <f>B44</f>
        <v>1.7000000000000001E-2</v>
      </c>
      <c r="DO25" s="83" t="s">
        <v>32</v>
      </c>
      <c r="DP25" s="136">
        <f>B43</f>
        <v>1.4800000000000001E-2</v>
      </c>
      <c r="EA25" s="83"/>
      <c r="EC25" s="84"/>
      <c r="ED25" s="83" t="s">
        <v>33</v>
      </c>
      <c r="EE25" s="136">
        <f>B44</f>
        <v>1.7000000000000001E-2</v>
      </c>
      <c r="EF25" s="84"/>
      <c r="EP25" s="83"/>
      <c r="ER25" s="84"/>
      <c r="ES25" s="83" t="s">
        <v>33</v>
      </c>
      <c r="ET25" s="136">
        <f>B44</f>
        <v>1.7000000000000001E-2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B44</f>
        <v>1.7000000000000001E-2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B44</f>
        <v>1.7000000000000001E-2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B44</f>
        <v>1.7000000000000001E-2</v>
      </c>
      <c r="HC25" s="84"/>
      <c r="HD25" s="89" t="s">
        <v>21</v>
      </c>
      <c r="HE25" s="139">
        <f>B46</f>
        <v>5.0629691616000001E-9</v>
      </c>
      <c r="HF25" s="83" t="s">
        <v>13</v>
      </c>
    </row>
    <row r="26" spans="1:214" ht="13.5" thickBot="1" x14ac:dyDescent="0.25">
      <c r="A26" s="83" t="s">
        <v>255</v>
      </c>
      <c r="B26" s="183">
        <v>8.8356399999999997</v>
      </c>
      <c r="C26" s="83" t="s">
        <v>351</v>
      </c>
      <c r="D26" s="83" t="s">
        <v>377</v>
      </c>
      <c r="E26" s="146">
        <f>B62</f>
        <v>0.77</v>
      </c>
      <c r="G26" s="83" t="s">
        <v>401</v>
      </c>
      <c r="H26" s="146">
        <f>B149</f>
        <v>55</v>
      </c>
      <c r="I26" s="92" t="s">
        <v>221</v>
      </c>
      <c r="J26" s="83" t="s">
        <v>399</v>
      </c>
      <c r="K26" s="146">
        <f>B57</f>
        <v>55</v>
      </c>
      <c r="L26" s="92" t="s">
        <v>221</v>
      </c>
      <c r="M26" s="83" t="s">
        <v>22</v>
      </c>
      <c r="N26" s="137">
        <f>0.693/N27</f>
        <v>4.3312499999999997E-4</v>
      </c>
      <c r="P26" s="83" t="s">
        <v>22</v>
      </c>
      <c r="Q26" s="137">
        <f>0.693/Q27</f>
        <v>4.3312499999999997E-4</v>
      </c>
      <c r="V26" s="201" t="s">
        <v>15</v>
      </c>
      <c r="W26" s="75">
        <f>1/((1/W38)+(1/W39))</f>
        <v>8.8021161880116733E-13</v>
      </c>
      <c r="X26" s="76" t="s">
        <v>294</v>
      </c>
      <c r="Y26" s="203" t="s">
        <v>15</v>
      </c>
      <c r="Z26" s="185">
        <f>1/((1/Z38)+(1/Z39))</f>
        <v>8.8021161880116733E-13</v>
      </c>
      <c r="AA26" s="77" t="s">
        <v>294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4.3312499999999997E-4</v>
      </c>
      <c r="AL26" s="83" t="s">
        <v>22</v>
      </c>
      <c r="AM26" s="137">
        <f>0.693/AM27</f>
        <v>4.3312499999999997E-4</v>
      </c>
      <c r="AR26" s="83" t="s">
        <v>22</v>
      </c>
      <c r="AS26" s="137">
        <f>0.693/AS27</f>
        <v>4.3312499999999997E-4</v>
      </c>
      <c r="AU26" s="83" t="s">
        <v>22</v>
      </c>
      <c r="AV26" s="137">
        <f>0.693/AV27</f>
        <v>4.3312499999999997E-4</v>
      </c>
      <c r="BA26" s="83" t="s">
        <v>22</v>
      </c>
      <c r="BB26" s="137">
        <f>0.693/BB27</f>
        <v>4.3312499999999997E-4</v>
      </c>
      <c r="BD26" s="83" t="s">
        <v>22</v>
      </c>
      <c r="BE26" s="137">
        <f>0.693/BE27</f>
        <v>4.3312499999999997E-4</v>
      </c>
      <c r="BJ26" s="83" t="s">
        <v>22</v>
      </c>
      <c r="BK26" s="137">
        <f>0.693/BK27</f>
        <v>4.3312499999999997E-4</v>
      </c>
      <c r="BM26" s="83" t="s">
        <v>22</v>
      </c>
      <c r="BN26" s="137">
        <f>0.693/BN27</f>
        <v>4.3312499999999997E-4</v>
      </c>
      <c r="BS26" s="91" t="s">
        <v>309</v>
      </c>
      <c r="BT26" s="177">
        <f>B112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B116</f>
        <v>5</v>
      </c>
      <c r="CA26" s="94" t="s">
        <v>194</v>
      </c>
      <c r="CB26" s="52" t="s">
        <v>140</v>
      </c>
      <c r="CC26" s="138">
        <f>B113</f>
        <v>55</v>
      </c>
      <c r="CD26" s="52" t="s">
        <v>24</v>
      </c>
      <c r="CE26" s="52" t="s">
        <v>140</v>
      </c>
      <c r="CF26" s="138">
        <f>B113</f>
        <v>55</v>
      </c>
      <c r="CG26" s="52" t="s">
        <v>24</v>
      </c>
      <c r="CK26" s="52" t="s">
        <v>160</v>
      </c>
      <c r="CL26" s="162">
        <f>B134</f>
        <v>3</v>
      </c>
      <c r="CM26" s="52" t="s">
        <v>221</v>
      </c>
      <c r="CN26" s="52" t="s">
        <v>33</v>
      </c>
      <c r="CO26" s="136">
        <f>B44</f>
        <v>1.7000000000000001E-2</v>
      </c>
      <c r="CT26" s="83" t="s">
        <v>506</v>
      </c>
      <c r="CU26" s="155">
        <f>((CU31*CU29*CU47)+(CU32*CU30*CU48))</f>
        <v>1387.5</v>
      </c>
      <c r="CV26" s="52" t="s">
        <v>426</v>
      </c>
      <c r="CW26" s="83" t="s">
        <v>476</v>
      </c>
      <c r="CX26" s="141">
        <f>B164</f>
        <v>0.85</v>
      </c>
      <c r="CY26" s="83"/>
      <c r="CZ26" s="83" t="s">
        <v>142</v>
      </c>
      <c r="DA26" s="149">
        <f>(DA35*DA40*DA42*DA49)+(DA36*DA41*DA43*DA50)</f>
        <v>570</v>
      </c>
      <c r="DB26" s="52" t="s">
        <v>356</v>
      </c>
      <c r="DG26" s="138"/>
      <c r="DO26" s="83" t="s">
        <v>393</v>
      </c>
      <c r="DP26" s="138">
        <f>B47</f>
        <v>0.26</v>
      </c>
      <c r="EA26" s="83"/>
      <c r="EB26" s="84"/>
      <c r="EC26" s="84"/>
      <c r="ED26" s="83" t="s">
        <v>392</v>
      </c>
      <c r="EE26" s="163">
        <f>B48</f>
        <v>0.25</v>
      </c>
      <c r="EF26" s="84"/>
      <c r="EP26" s="83"/>
      <c r="EQ26" s="84"/>
      <c r="ER26" s="84"/>
      <c r="ES26" s="83" t="s">
        <v>392</v>
      </c>
      <c r="ET26" s="163">
        <f>B48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B48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B48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B48</f>
        <v>0.25</v>
      </c>
      <c r="HC26" s="84"/>
      <c r="HD26" s="84" t="s">
        <v>265</v>
      </c>
      <c r="HE26" s="139">
        <f>H2</f>
        <v>1.1025380256006502E-14</v>
      </c>
      <c r="HF26" s="83" t="s">
        <v>13</v>
      </c>
    </row>
    <row r="27" spans="1:214" ht="12.75" customHeight="1" thickTop="1" x14ac:dyDescent="0.2">
      <c r="A27" s="83" t="s">
        <v>256</v>
      </c>
      <c r="B27" s="183">
        <v>15429.68</v>
      </c>
      <c r="C27" s="83" t="s">
        <v>351</v>
      </c>
      <c r="D27" s="84" t="s">
        <v>295</v>
      </c>
      <c r="E27" s="150">
        <f>B278</f>
        <v>226.025409</v>
      </c>
      <c r="F27" s="52" t="s">
        <v>296</v>
      </c>
      <c r="G27" s="83" t="s">
        <v>402</v>
      </c>
      <c r="H27" s="146">
        <f>B60</f>
        <v>55</v>
      </c>
      <c r="I27" s="92" t="s">
        <v>221</v>
      </c>
      <c r="J27" s="83" t="s">
        <v>310</v>
      </c>
      <c r="K27" s="146">
        <f>B58</f>
        <v>55</v>
      </c>
      <c r="L27" s="92" t="s">
        <v>221</v>
      </c>
      <c r="M27" s="91" t="s">
        <v>231</v>
      </c>
      <c r="N27" s="136">
        <f>B30</f>
        <v>1600</v>
      </c>
      <c r="O27" s="52" t="s">
        <v>60</v>
      </c>
      <c r="P27" s="91" t="s">
        <v>231</v>
      </c>
      <c r="Q27" s="136">
        <f>B30</f>
        <v>1600</v>
      </c>
      <c r="R27" s="52" t="s">
        <v>60</v>
      </c>
      <c r="V27" s="52" t="s">
        <v>267</v>
      </c>
      <c r="W27" s="136">
        <f>B17</f>
        <v>1</v>
      </c>
      <c r="X27" s="52" t="s">
        <v>344</v>
      </c>
      <c r="Y27" s="52" t="s">
        <v>267</v>
      </c>
      <c r="Z27" s="136">
        <f>B17</f>
        <v>1</v>
      </c>
      <c r="AA27" s="52" t="s">
        <v>344</v>
      </c>
      <c r="AB27" s="84" t="s">
        <v>16</v>
      </c>
      <c r="AC27" s="156">
        <f>(AC23*AC24)/(1-EXP(-AC24*AC23))</f>
        <v>1.0002165781331087</v>
      </c>
      <c r="AD27" s="156">
        <f>(AD23*AD24)/(1-EXP(-AD24*AD23))</f>
        <v>1.0002165781331087</v>
      </c>
      <c r="AE27" s="156">
        <f>(AE23*AE24)/(1-EXP(-AE24*AE23))</f>
        <v>1.0002165781331087</v>
      </c>
      <c r="AF27" s="156">
        <f>(AF23*AF24)/(1-EXP(-AF24*AF23))</f>
        <v>1.0002165781331087</v>
      </c>
      <c r="AG27" s="156">
        <f>(AG23*AG24)/(1-EXP(-AG24*AG23))</f>
        <v>1.0002165781331087</v>
      </c>
      <c r="AI27" s="91" t="s">
        <v>231</v>
      </c>
      <c r="AJ27" s="136">
        <f>B30</f>
        <v>1600</v>
      </c>
      <c r="AK27" s="52" t="s">
        <v>60</v>
      </c>
      <c r="AL27" s="91" t="s">
        <v>231</v>
      </c>
      <c r="AM27" s="136">
        <f>B30</f>
        <v>1600</v>
      </c>
      <c r="AN27" s="52" t="s">
        <v>60</v>
      </c>
      <c r="AR27" s="91" t="s">
        <v>231</v>
      </c>
      <c r="AS27" s="136">
        <f>B30</f>
        <v>1600</v>
      </c>
      <c r="AT27" s="52" t="s">
        <v>60</v>
      </c>
      <c r="AU27" s="91" t="s">
        <v>231</v>
      </c>
      <c r="AV27" s="136">
        <f>B30</f>
        <v>1600</v>
      </c>
      <c r="AW27" s="52" t="s">
        <v>60</v>
      </c>
      <c r="BA27" s="91" t="s">
        <v>231</v>
      </c>
      <c r="BB27" s="136">
        <f>B30</f>
        <v>1600</v>
      </c>
      <c r="BC27" s="52" t="s">
        <v>60</v>
      </c>
      <c r="BD27" s="91" t="s">
        <v>231</v>
      </c>
      <c r="BE27" s="136">
        <f>B30</f>
        <v>1600</v>
      </c>
      <c r="BF27" s="52" t="s">
        <v>60</v>
      </c>
      <c r="BJ27" s="91" t="s">
        <v>231</v>
      </c>
      <c r="BK27" s="136">
        <f>B30</f>
        <v>1600</v>
      </c>
      <c r="BL27" s="52" t="s">
        <v>60</v>
      </c>
      <c r="BM27" s="91" t="s">
        <v>231</v>
      </c>
      <c r="BN27" s="136">
        <f>B30</f>
        <v>1600</v>
      </c>
      <c r="BO27" s="52" t="s">
        <v>60</v>
      </c>
      <c r="BS27" s="94" t="s">
        <v>295</v>
      </c>
      <c r="BT27" s="150">
        <f>B278</f>
        <v>226.025409</v>
      </c>
      <c r="BU27" s="90" t="s">
        <v>296</v>
      </c>
      <c r="BW27" s="138">
        <v>1000</v>
      </c>
      <c r="BX27" s="52" t="s">
        <v>218</v>
      </c>
      <c r="BY27" s="83" t="s">
        <v>90</v>
      </c>
      <c r="BZ27" s="150">
        <f>B117</f>
        <v>5</v>
      </c>
      <c r="CA27" s="52" t="s">
        <v>194</v>
      </c>
      <c r="CB27" s="52" t="s">
        <v>51</v>
      </c>
      <c r="CC27" s="138">
        <f>B127</f>
        <v>1</v>
      </c>
      <c r="CD27" s="52" t="s">
        <v>146</v>
      </c>
      <c r="CE27" s="52" t="s">
        <v>51</v>
      </c>
      <c r="CF27" s="138">
        <f>B127</f>
        <v>1</v>
      </c>
      <c r="CG27" s="52" t="s">
        <v>146</v>
      </c>
      <c r="CK27" s="94" t="s">
        <v>295</v>
      </c>
      <c r="CL27" s="150">
        <f>B278</f>
        <v>226.025409</v>
      </c>
      <c r="CM27" s="90" t="s">
        <v>296</v>
      </c>
      <c r="CN27" s="52" t="s">
        <v>392</v>
      </c>
      <c r="CO27" s="162">
        <f>B48</f>
        <v>0.25</v>
      </c>
      <c r="CT27" s="83" t="s">
        <v>449</v>
      </c>
      <c r="CU27" s="146">
        <f>B141</f>
        <v>100</v>
      </c>
      <c r="CV27" s="84" t="s">
        <v>48</v>
      </c>
      <c r="CW27" s="94" t="s">
        <v>295</v>
      </c>
      <c r="CX27" s="150">
        <f>B278</f>
        <v>226.025409</v>
      </c>
      <c r="CY27" s="90" t="s">
        <v>296</v>
      </c>
      <c r="CZ27" s="92" t="s">
        <v>451</v>
      </c>
      <c r="DA27" s="142">
        <f t="shared" ref="DA27:DA34" si="0">B143</f>
        <v>0.25</v>
      </c>
      <c r="DB27" s="83" t="s">
        <v>28</v>
      </c>
      <c r="DG27" s="138"/>
      <c r="DW27" s="88"/>
      <c r="DX27" s="88"/>
      <c r="DY27" s="88"/>
      <c r="DZ27" s="88"/>
      <c r="EA27" s="83"/>
      <c r="EB27" s="85"/>
      <c r="ED27" s="83" t="s">
        <v>517</v>
      </c>
      <c r="EE27" s="136">
        <f>B36</f>
        <v>3.8000000000000002E-4</v>
      </c>
      <c r="EF27" s="52" t="s">
        <v>601</v>
      </c>
      <c r="EP27" s="83"/>
      <c r="EQ27" s="86"/>
      <c r="ES27" s="83" t="s">
        <v>236</v>
      </c>
      <c r="ET27" s="169">
        <f>B37</f>
        <v>1.6999999999999999E-3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B39</f>
        <v>0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B38</f>
        <v>0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B40</f>
        <v>0</v>
      </c>
      <c r="HC27" s="52" t="s">
        <v>388</v>
      </c>
      <c r="HD27" s="83" t="s">
        <v>22</v>
      </c>
      <c r="HE27" s="137">
        <f>0.693/HE29</f>
        <v>4.3312499999999997E-4</v>
      </c>
    </row>
    <row r="28" spans="1:214" x14ac:dyDescent="0.2">
      <c r="A28" s="91" t="s">
        <v>257</v>
      </c>
      <c r="B28" s="183">
        <v>33.437199999999997</v>
      </c>
      <c r="C28" s="84" t="s">
        <v>259</v>
      </c>
      <c r="D28" s="84" t="s">
        <v>293</v>
      </c>
      <c r="E28" s="85">
        <f>B279</f>
        <v>2.8000000000000001E-15</v>
      </c>
      <c r="G28" s="83" t="s">
        <v>65</v>
      </c>
      <c r="H28" s="141">
        <f>B75</f>
        <v>0.5</v>
      </c>
      <c r="I28" s="52" t="s">
        <v>66</v>
      </c>
      <c r="J28" s="83" t="s">
        <v>447</v>
      </c>
      <c r="K28" s="149">
        <f>(K31*K29*K51)+(K32*K30*K52)</f>
        <v>8250</v>
      </c>
      <c r="L28" s="92" t="s">
        <v>347</v>
      </c>
      <c r="M28" s="52" t="s">
        <v>382</v>
      </c>
      <c r="N28" s="138">
        <f>B68</f>
        <v>150</v>
      </c>
      <c r="O28" s="52" t="s">
        <v>24</v>
      </c>
      <c r="P28" s="52" t="s">
        <v>382</v>
      </c>
      <c r="Q28" s="138">
        <f>B68</f>
        <v>150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B237</f>
        <v>125</v>
      </c>
      <c r="AK28" s="52" t="s">
        <v>24</v>
      </c>
      <c r="AL28" s="52" t="s">
        <v>35</v>
      </c>
      <c r="AM28" s="138">
        <f>B237</f>
        <v>125</v>
      </c>
      <c r="AN28" s="52" t="s">
        <v>24</v>
      </c>
      <c r="AR28" s="52" t="s">
        <v>423</v>
      </c>
      <c r="AS28" s="138">
        <f>B247</f>
        <v>125</v>
      </c>
      <c r="AT28" s="52" t="s">
        <v>24</v>
      </c>
      <c r="AU28" s="52" t="s">
        <v>423</v>
      </c>
      <c r="AV28" s="138">
        <f>B247</f>
        <v>125</v>
      </c>
      <c r="AW28" s="52" t="s">
        <v>24</v>
      </c>
      <c r="BA28" s="52" t="s">
        <v>316</v>
      </c>
      <c r="BB28" s="138">
        <f>B227</f>
        <v>125</v>
      </c>
      <c r="BC28" s="52" t="s">
        <v>24</v>
      </c>
      <c r="BD28" s="52" t="s">
        <v>316</v>
      </c>
      <c r="BE28" s="138">
        <f>B227</f>
        <v>125</v>
      </c>
      <c r="BF28" s="52" t="s">
        <v>24</v>
      </c>
      <c r="BJ28" s="52" t="s">
        <v>191</v>
      </c>
      <c r="BK28" s="138">
        <f>BK29*BK30</f>
        <v>75</v>
      </c>
      <c r="BL28" s="52" t="s">
        <v>24</v>
      </c>
      <c r="BM28" s="52" t="s">
        <v>191</v>
      </c>
      <c r="BN28" s="138">
        <f>BN29*BN30</f>
        <v>75</v>
      </c>
      <c r="BO28" s="52" t="s">
        <v>24</v>
      </c>
      <c r="BS28" s="84" t="s">
        <v>293</v>
      </c>
      <c r="BT28" s="85">
        <f>B279</f>
        <v>2.8000000000000001E-15</v>
      </c>
      <c r="BV28" s="83"/>
      <c r="BW28" s="146">
        <v>365</v>
      </c>
      <c r="BX28" s="84" t="s">
        <v>24</v>
      </c>
      <c r="BY28" s="83" t="s">
        <v>302</v>
      </c>
      <c r="BZ28" s="161">
        <f>B3</f>
        <v>0.124</v>
      </c>
      <c r="CB28" s="52" t="s">
        <v>300</v>
      </c>
      <c r="CC28" s="136">
        <f>B12</f>
        <v>3.44E-2</v>
      </c>
      <c r="CE28" s="52" t="s">
        <v>300</v>
      </c>
      <c r="CF28" s="136">
        <f>B8</f>
        <v>6.8599999999999994E-2</v>
      </c>
      <c r="CK28" s="84" t="s">
        <v>293</v>
      </c>
      <c r="CL28" s="85">
        <f>B280</f>
        <v>2.7955176153748299E-12</v>
      </c>
      <c r="CN28" s="52" t="s">
        <v>165</v>
      </c>
      <c r="CO28" s="162">
        <f>B135</f>
        <v>2</v>
      </c>
      <c r="CP28" s="52" t="s">
        <v>246</v>
      </c>
      <c r="CT28" s="83" t="s">
        <v>458</v>
      </c>
      <c r="CU28" s="146">
        <f>B142</f>
        <v>50</v>
      </c>
      <c r="CV28" s="84" t="s">
        <v>48</v>
      </c>
      <c r="CW28" s="84" t="s">
        <v>293</v>
      </c>
      <c r="CX28" s="85">
        <f>B279</f>
        <v>2.8000000000000001E-15</v>
      </c>
      <c r="CZ28" s="92" t="s">
        <v>460</v>
      </c>
      <c r="DA28" s="142">
        <f t="shared" si="0"/>
        <v>1.5</v>
      </c>
      <c r="DB28" s="83" t="s">
        <v>28</v>
      </c>
      <c r="DW28" s="88"/>
      <c r="DX28" s="88"/>
      <c r="DY28" s="88"/>
      <c r="DZ28" s="88"/>
      <c r="ET28" s="138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227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D28" s="52" t="s">
        <v>16</v>
      </c>
      <c r="HE28" s="137">
        <f>1-EXP(-HE27*HE32)</f>
        <v>4.3303121490789742E-4</v>
      </c>
    </row>
    <row r="29" spans="1:214" ht="15.75" thickBot="1" x14ac:dyDescent="0.25">
      <c r="A29" s="83" t="s">
        <v>258</v>
      </c>
      <c r="B29" s="183">
        <v>1.67911012348351E-3</v>
      </c>
      <c r="C29" s="92" t="s">
        <v>259</v>
      </c>
      <c r="G29" s="83" t="s">
        <v>380</v>
      </c>
      <c r="H29" s="150">
        <f>B66</f>
        <v>150</v>
      </c>
      <c r="I29" s="83" t="s">
        <v>24</v>
      </c>
      <c r="J29" s="83" t="s">
        <v>401</v>
      </c>
      <c r="K29" s="146">
        <f>B59</f>
        <v>55</v>
      </c>
      <c r="L29" s="92" t="s">
        <v>221</v>
      </c>
      <c r="M29" s="52" t="s">
        <v>379</v>
      </c>
      <c r="N29" s="138">
        <f>B65</f>
        <v>1</v>
      </c>
      <c r="O29" s="52" t="s">
        <v>146</v>
      </c>
      <c r="P29" s="52" t="s">
        <v>379</v>
      </c>
      <c r="Q29" s="138">
        <f>B65</f>
        <v>1</v>
      </c>
      <c r="R29" s="52" t="s">
        <v>146</v>
      </c>
      <c r="V29" s="83" t="s">
        <v>22</v>
      </c>
      <c r="W29" s="137">
        <f>0.693/W30</f>
        <v>4.3312499999999997E-4</v>
      </c>
      <c r="Y29" s="83" t="s">
        <v>22</v>
      </c>
      <c r="Z29" s="137">
        <f>0.693/Z30</f>
        <v>4.3312499999999997E-4</v>
      </c>
      <c r="AB29" s="83" t="s">
        <v>260</v>
      </c>
      <c r="AC29" s="143">
        <f>((AC5/(AC8*AC13*AC7*AC9*(1/AC6)))*AC27)*AC35*AC36*AC25</f>
        <v>1.5616861380954739E-4</v>
      </c>
      <c r="AD29" s="143">
        <f>((AD5/(AD8*AD13*AD7*AD9*(1/AD6)))*AD27)*AD35*AD36*AD25</f>
        <v>1.5616861380954739E-4</v>
      </c>
      <c r="AE29" s="143">
        <f>((AE5/(AE8*AE13*AE7*AE9*(1/AE6)))*AE27)*AE35*AE36*AE25</f>
        <v>1.5616861380954739E-4</v>
      </c>
      <c r="AF29" s="143">
        <f>((AF5*AF23*AF24)/((1-EXP(-AF24*AF23))*AF8*AF7*AF9*AF13*(1/AF28)))*AF35*AF36*AF25</f>
        <v>3.9042153452386848E-5</v>
      </c>
      <c r="AG29" s="143">
        <f>((AG5*AG23*AG24)/((1-EXP(-AG24*AG23))*AG8*AG7*AG9*AG13*(1/AG28)))*AG35*AG36*AG25</f>
        <v>3.9042153452386848E-5</v>
      </c>
      <c r="AH29" s="83" t="s">
        <v>12</v>
      </c>
      <c r="AI29" s="52" t="s">
        <v>420</v>
      </c>
      <c r="AJ29" s="138">
        <f>B238</f>
        <v>1</v>
      </c>
      <c r="AK29" s="52" t="s">
        <v>146</v>
      </c>
      <c r="AL29" s="52" t="s">
        <v>420</v>
      </c>
      <c r="AM29" s="138">
        <f>B238</f>
        <v>1</v>
      </c>
      <c r="AN29" s="52" t="s">
        <v>146</v>
      </c>
      <c r="AR29" s="52" t="s">
        <v>424</v>
      </c>
      <c r="AS29" s="138">
        <f>B248</f>
        <v>1</v>
      </c>
      <c r="AT29" s="52" t="s">
        <v>146</v>
      </c>
      <c r="AU29" s="52" t="s">
        <v>424</v>
      </c>
      <c r="AV29" s="138">
        <f>B248</f>
        <v>1</v>
      </c>
      <c r="AW29" s="52" t="s">
        <v>146</v>
      </c>
      <c r="BA29" s="52" t="s">
        <v>422</v>
      </c>
      <c r="BB29" s="138">
        <f>B228</f>
        <v>1</v>
      </c>
      <c r="BC29" s="52" t="s">
        <v>146</v>
      </c>
      <c r="BD29" s="52" t="s">
        <v>422</v>
      </c>
      <c r="BE29" s="138">
        <f>B228</f>
        <v>1</v>
      </c>
      <c r="BF29" s="52" t="s">
        <v>146</v>
      </c>
      <c r="BJ29" s="52" t="s">
        <v>220</v>
      </c>
      <c r="BK29" s="138">
        <f>B266</f>
        <v>25</v>
      </c>
      <c r="BL29" s="52" t="s">
        <v>113</v>
      </c>
      <c r="BM29" s="52" t="s">
        <v>220</v>
      </c>
      <c r="BN29" s="138">
        <f>B266</f>
        <v>25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61">
        <f>B4</f>
        <v>0.79200000000000004</v>
      </c>
      <c r="CB29" s="52" t="s">
        <v>411</v>
      </c>
      <c r="CC29" s="136">
        <f>B13</f>
        <v>3.44E-2</v>
      </c>
      <c r="CE29" s="52" t="s">
        <v>418</v>
      </c>
      <c r="CF29" s="136">
        <f>B9</f>
        <v>0.73699999999999999</v>
      </c>
      <c r="CN29" s="52" t="s">
        <v>166</v>
      </c>
      <c r="CO29" s="162">
        <f>B136</f>
        <v>2</v>
      </c>
      <c r="CP29" s="52" t="s">
        <v>246</v>
      </c>
      <c r="CT29" s="83" t="s">
        <v>450</v>
      </c>
      <c r="CU29" s="141">
        <f>B145</f>
        <v>5</v>
      </c>
      <c r="CV29" s="92" t="s">
        <v>407</v>
      </c>
      <c r="CZ29" s="92" t="s">
        <v>450</v>
      </c>
      <c r="DA29" s="142">
        <f t="shared" si="0"/>
        <v>5</v>
      </c>
      <c r="DB29" s="83" t="s">
        <v>143</v>
      </c>
      <c r="DW29" s="88"/>
      <c r="DX29" s="88"/>
      <c r="DY29" s="88"/>
      <c r="DZ29" s="88"/>
      <c r="ET29" s="13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B30</f>
        <v>1600</v>
      </c>
      <c r="HF29" s="52" t="s">
        <v>60</v>
      </c>
    </row>
    <row r="30" spans="1:214" ht="19.5" thickTop="1" thickBot="1" x14ac:dyDescent="0.25">
      <c r="A30" s="91" t="s">
        <v>231</v>
      </c>
      <c r="B30" s="183">
        <v>1600</v>
      </c>
      <c r="C30" s="52" t="s">
        <v>235</v>
      </c>
      <c r="D30" s="353" t="s">
        <v>528</v>
      </c>
      <c r="E30" s="354"/>
      <c r="F30" s="355"/>
      <c r="G30" s="83" t="s">
        <v>381</v>
      </c>
      <c r="H30" s="150">
        <f>B67</f>
        <v>150</v>
      </c>
      <c r="I30" s="83" t="s">
        <v>24</v>
      </c>
      <c r="J30" s="83" t="s">
        <v>402</v>
      </c>
      <c r="K30" s="146">
        <f>B60</f>
        <v>55</v>
      </c>
      <c r="L30" s="92" t="s">
        <v>221</v>
      </c>
      <c r="M30" s="52" t="s">
        <v>299</v>
      </c>
      <c r="N30" s="138">
        <f>B73</f>
        <v>1</v>
      </c>
      <c r="P30" s="52" t="s">
        <v>299</v>
      </c>
      <c r="Q30" s="138">
        <f>B73</f>
        <v>1</v>
      </c>
      <c r="V30" s="91" t="s">
        <v>231</v>
      </c>
      <c r="W30" s="136">
        <f>B30</f>
        <v>1600</v>
      </c>
      <c r="X30" s="52" t="s">
        <v>60</v>
      </c>
      <c r="Y30" s="91" t="s">
        <v>231</v>
      </c>
      <c r="Z30" s="136">
        <f>B30</f>
        <v>1600</v>
      </c>
      <c r="AA30" s="52" t="s">
        <v>60</v>
      </c>
      <c r="AB30" s="83" t="s">
        <v>261</v>
      </c>
      <c r="AC30" s="144">
        <f>((AC5/(AC19*AC15*AC7*AC9*(1/AC32)*((8/1)/(24/1))*AC28))*AC27)*AC35*AC36*AC25</f>
        <v>1.734281362234525E-2</v>
      </c>
      <c r="AD30" s="144">
        <f>((AD5/(AD19*AD15*AD7*((8/1)/(24/1))*AD9*(1/AD32)*AD28))*AD27)*AD35*AD36*AD25</f>
        <v>1.734281362234525E-2</v>
      </c>
      <c r="AE30" s="144">
        <f>((AE5/(AE19*AE15*AE7*((8/1)/(24/1))*AE9*(1/AE32)*AE28))*AE27)*AE35*AE36*AE25</f>
        <v>1.734281362234525E-2</v>
      </c>
      <c r="AF30" s="144">
        <f>((AF5*AF23*AF24)/((1-EXP(-AF24*AF23))*AF19*AF7*AF9*(AF12/24)*AF15*(1/AF33)*AF28))*AF35*AF36*AF25</f>
        <v>1.5843245538366929E-5</v>
      </c>
      <c r="AG30" s="144">
        <f>((AG5*AG23*AG24)/((1-EXP(-AG24*AG23))*AG19*AG7*AG9*(AG12/24)*AG15*(1/AG34)*AG28))*AG35*AG36*AG25</f>
        <v>1.4198889812259325E-3</v>
      </c>
      <c r="AH30" s="83" t="s">
        <v>12</v>
      </c>
      <c r="AI30" s="52" t="s">
        <v>299</v>
      </c>
      <c r="AJ30" s="138">
        <f>B241</f>
        <v>1</v>
      </c>
      <c r="AL30" s="52" t="s">
        <v>299</v>
      </c>
      <c r="AM30" s="138">
        <f>B241</f>
        <v>1</v>
      </c>
      <c r="AR30" s="52" t="s">
        <v>299</v>
      </c>
      <c r="AS30" s="138">
        <f>B251</f>
        <v>1</v>
      </c>
      <c r="AV30" s="138"/>
      <c r="BA30" s="52" t="s">
        <v>299</v>
      </c>
      <c r="BB30" s="138">
        <f>B231</f>
        <v>1</v>
      </c>
      <c r="BD30" s="52" t="s">
        <v>299</v>
      </c>
      <c r="BE30" s="138">
        <f>B231</f>
        <v>1</v>
      </c>
      <c r="BJ30" s="52" t="s">
        <v>219</v>
      </c>
      <c r="BK30" s="138">
        <f>B265</f>
        <v>3</v>
      </c>
      <c r="BL30" s="52" t="s">
        <v>112</v>
      </c>
      <c r="BM30" s="52" t="s">
        <v>219</v>
      </c>
      <c r="BN30" s="138">
        <f>B265</f>
        <v>3</v>
      </c>
      <c r="BO30" s="52" t="s">
        <v>112</v>
      </c>
      <c r="BS30" s="91"/>
      <c r="BT30" s="97"/>
      <c r="BU30" s="91"/>
      <c r="BV30" s="91" t="s">
        <v>308</v>
      </c>
      <c r="BW30" s="146">
        <f>B111</f>
        <v>0.23</v>
      </c>
      <c r="BY30" s="94" t="s">
        <v>95</v>
      </c>
      <c r="BZ30" s="150">
        <f>B127</f>
        <v>1</v>
      </c>
      <c r="CA30" s="94" t="s">
        <v>60</v>
      </c>
      <c r="CB30" s="52" t="s">
        <v>90</v>
      </c>
      <c r="CC30" s="138">
        <f>B118</f>
        <v>5</v>
      </c>
      <c r="CD30" s="52" t="s">
        <v>194</v>
      </c>
      <c r="CE30" s="52" t="s">
        <v>90</v>
      </c>
      <c r="CF30" s="138">
        <f>B118</f>
        <v>5</v>
      </c>
      <c r="CG30" s="52" t="s">
        <v>194</v>
      </c>
      <c r="CM30" s="83"/>
      <c r="CN30" s="93" t="s">
        <v>167</v>
      </c>
      <c r="CO30" s="162">
        <f>B137</f>
        <v>2</v>
      </c>
      <c r="CP30" s="52" t="s">
        <v>41</v>
      </c>
      <c r="CQ30" s="88"/>
      <c r="CR30" s="83"/>
      <c r="CS30" s="83"/>
      <c r="CT30" s="83" t="s">
        <v>459</v>
      </c>
      <c r="CU30" s="141">
        <f>B146</f>
        <v>10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10</v>
      </c>
      <c r="DB30" s="83" t="s">
        <v>143</v>
      </c>
      <c r="DW30" s="88"/>
      <c r="DX30" s="88"/>
      <c r="DY30" s="88"/>
      <c r="DZ30" s="88"/>
      <c r="ET30" s="13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B93</f>
        <v>0.3</v>
      </c>
    </row>
    <row r="31" spans="1:214" x14ac:dyDescent="0.2">
      <c r="A31" s="91" t="s">
        <v>77</v>
      </c>
      <c r="B31" s="183">
        <f>PEF!D3</f>
        <v>1359344473.5814338</v>
      </c>
      <c r="C31" s="52" t="s">
        <v>524</v>
      </c>
      <c r="D31" s="323" t="s">
        <v>530</v>
      </c>
      <c r="E31" s="347">
        <f>E38</f>
        <v>1.146835152140275E-7</v>
      </c>
      <c r="F31" s="345" t="s">
        <v>12</v>
      </c>
      <c r="G31" s="83" t="s">
        <v>379</v>
      </c>
      <c r="H31" s="150">
        <f>B65</f>
        <v>1</v>
      </c>
      <c r="I31" s="84" t="s">
        <v>60</v>
      </c>
      <c r="J31" s="83" t="s">
        <v>380</v>
      </c>
      <c r="K31" s="150">
        <f>B66</f>
        <v>150</v>
      </c>
      <c r="L31" s="83" t="s">
        <v>24</v>
      </c>
      <c r="M31" s="52" t="s">
        <v>300</v>
      </c>
      <c r="N31" s="136">
        <f>B12</f>
        <v>3.44E-2</v>
      </c>
      <c r="P31" s="52" t="s">
        <v>300</v>
      </c>
      <c r="Q31" s="136">
        <f>B8</f>
        <v>6.8599999999999994E-2</v>
      </c>
      <c r="V31" s="52" t="s">
        <v>35</v>
      </c>
      <c r="W31" s="138">
        <f>B237</f>
        <v>125</v>
      </c>
      <c r="X31" s="52" t="s">
        <v>24</v>
      </c>
      <c r="Y31" s="52" t="s">
        <v>191</v>
      </c>
      <c r="Z31" s="138">
        <f>B257</f>
        <v>125</v>
      </c>
      <c r="AA31" s="52" t="s">
        <v>24</v>
      </c>
      <c r="AB31" s="83" t="s">
        <v>262</v>
      </c>
      <c r="AC31" s="145">
        <f>((AC5*AC23*AC24)/((1-EXP(-AC24*AC23))*AC18*AC7*(1/365)*AC12*(1/24)*AC14*AC17))*AC35*AC36*AC25</f>
        <v>8.6532588805968369E-6</v>
      </c>
      <c r="AD31" s="145">
        <f>((AD5*AD23*AD24)/((1-EXP(-AD24*AD23))*AD18*AD7*(1/365)*AD12*(1/24)*AD16*AD17))*AD35*AD36*AD25</f>
        <v>1.0730041011940079E-6</v>
      </c>
      <c r="AE31" s="145">
        <f>((AE5*AE23*AE24)/((1-EXP(-AE24*AE23))*AE18*AE7*(1/365)*AE12*(1/24)*AE14*AE17))*AE35*AE36*AE25</f>
        <v>8.6532588805968369E-6</v>
      </c>
      <c r="AF31" s="145">
        <f>((AF5*AF23*AF24)/((1-EXP(-AF24*AF23))*AF18*(AF11*AF10)*(1/365)*AF12*(1/24)*AF14*AF17))*AF35*AF36*AF25</f>
        <v>2.3075357014924898E-5</v>
      </c>
      <c r="AG31" s="145">
        <f>((AG5*AG23*AG24)/((1-EXP(-AG24*AG23))*AG18*AG7*(1/365)*AG9*(AG12/24)*AG14*AG17))*AG35*AG36*AG25</f>
        <v>1.384521420895494E-5</v>
      </c>
      <c r="AH31" s="83" t="s">
        <v>12</v>
      </c>
      <c r="AI31" s="52" t="s">
        <v>300</v>
      </c>
      <c r="AJ31" s="136">
        <f>B12</f>
        <v>3.44E-2</v>
      </c>
      <c r="AL31" s="52" t="s">
        <v>300</v>
      </c>
      <c r="AM31" s="136">
        <f>B8</f>
        <v>6.8599999999999994E-2</v>
      </c>
      <c r="AR31" s="52" t="s">
        <v>300</v>
      </c>
      <c r="AS31" s="136">
        <f>B12</f>
        <v>3.44E-2</v>
      </c>
      <c r="AU31" s="52" t="s">
        <v>300</v>
      </c>
      <c r="AV31" s="136">
        <f>B8</f>
        <v>6.8599999999999994E-2</v>
      </c>
      <c r="BA31" s="52" t="s">
        <v>300</v>
      </c>
      <c r="BB31" s="136">
        <f>B12</f>
        <v>3.44E-2</v>
      </c>
      <c r="BD31" s="52" t="s">
        <v>300</v>
      </c>
      <c r="BE31" s="136">
        <f>B8</f>
        <v>6.8599999999999994E-2</v>
      </c>
      <c r="BJ31" s="52" t="s">
        <v>158</v>
      </c>
      <c r="BK31" s="138">
        <f>B258</f>
        <v>1</v>
      </c>
      <c r="BL31" s="52" t="s">
        <v>146</v>
      </c>
      <c r="BM31" s="52" t="s">
        <v>158</v>
      </c>
      <c r="BN31" s="138">
        <f>B258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B112</f>
        <v>0.77</v>
      </c>
      <c r="BZ31" s="150">
        <v>365</v>
      </c>
      <c r="CA31" s="52" t="s">
        <v>24</v>
      </c>
      <c r="CB31" s="52" t="s">
        <v>410</v>
      </c>
      <c r="CC31" s="139">
        <f>B23</f>
        <v>1.9522299999999999</v>
      </c>
      <c r="CD31" s="84" t="s">
        <v>353</v>
      </c>
      <c r="CE31" s="52" t="s">
        <v>419</v>
      </c>
      <c r="CF31" s="139">
        <f>B25</f>
        <v>5.52928</v>
      </c>
      <c r="CG31" s="84" t="s">
        <v>353</v>
      </c>
      <c r="CM31" s="83"/>
      <c r="CN31" s="83" t="s">
        <v>168</v>
      </c>
      <c r="CO31" s="162">
        <f>B138</f>
        <v>2</v>
      </c>
      <c r="CP31" s="52" t="s">
        <v>41</v>
      </c>
      <c r="CQ31" s="83"/>
      <c r="CR31" s="83"/>
      <c r="CS31" s="83"/>
      <c r="CT31" s="83" t="s">
        <v>456</v>
      </c>
      <c r="CU31" s="150">
        <f>B165</f>
        <v>150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55</v>
      </c>
      <c r="DB31" s="83" t="s">
        <v>221</v>
      </c>
      <c r="DW31" s="88"/>
      <c r="DX31" s="88"/>
      <c r="DY31" s="88"/>
      <c r="DZ31" s="88"/>
      <c r="ET31" s="13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B94</f>
        <v>1.5</v>
      </c>
    </row>
    <row r="32" spans="1:214" ht="13.5" thickBot="1" x14ac:dyDescent="0.25">
      <c r="A32" s="91" t="s">
        <v>103</v>
      </c>
      <c r="B32" s="183">
        <f>PEF!G3</f>
        <v>776129.4078035407</v>
      </c>
      <c r="C32" s="52" t="s">
        <v>524</v>
      </c>
      <c r="D32" s="324"/>
      <c r="E32" s="348"/>
      <c r="F32" s="346"/>
      <c r="G32" s="52" t="s">
        <v>403</v>
      </c>
      <c r="H32" s="138">
        <f>B69</f>
        <v>0.25</v>
      </c>
      <c r="I32" s="52" t="s">
        <v>89</v>
      </c>
      <c r="J32" s="83" t="s">
        <v>381</v>
      </c>
      <c r="K32" s="150">
        <f>B67</f>
        <v>150</v>
      </c>
      <c r="L32" s="83" t="s">
        <v>24</v>
      </c>
      <c r="M32" s="52" t="s">
        <v>54</v>
      </c>
      <c r="N32" s="136">
        <f>B13</f>
        <v>3.44E-2</v>
      </c>
      <c r="P32" s="52" t="s">
        <v>54</v>
      </c>
      <c r="Q32" s="136">
        <f>B9</f>
        <v>0.73699999999999999</v>
      </c>
      <c r="V32" s="52" t="s">
        <v>420</v>
      </c>
      <c r="W32" s="138">
        <f>B238</f>
        <v>1</v>
      </c>
      <c r="X32" s="52" t="s">
        <v>146</v>
      </c>
      <c r="Y32" s="52" t="s">
        <v>158</v>
      </c>
      <c r="Z32" s="138">
        <f>B258</f>
        <v>1</v>
      </c>
      <c r="AA32" s="52" t="s">
        <v>146</v>
      </c>
      <c r="AB32" s="83" t="s">
        <v>77</v>
      </c>
      <c r="AC32" s="136">
        <f>B31</f>
        <v>1359344473.5814338</v>
      </c>
      <c r="AD32" s="136">
        <f>B31</f>
        <v>1359344473.5814338</v>
      </c>
      <c r="AE32" s="136">
        <f>B31</f>
        <v>1359344473.5814338</v>
      </c>
      <c r="AF32" s="136"/>
      <c r="AG32" s="136"/>
      <c r="AH32" s="104" t="s">
        <v>78</v>
      </c>
      <c r="AI32" s="52" t="s">
        <v>54</v>
      </c>
      <c r="AJ32" s="136">
        <f>B13</f>
        <v>3.44E-2</v>
      </c>
      <c r="AL32" s="52" t="s">
        <v>54</v>
      </c>
      <c r="AM32" s="136">
        <f>B9</f>
        <v>0.73699999999999999</v>
      </c>
      <c r="AR32" s="52" t="s">
        <v>54</v>
      </c>
      <c r="AS32" s="136">
        <f>B13</f>
        <v>3.44E-2</v>
      </c>
      <c r="AU32" s="52" t="s">
        <v>54</v>
      </c>
      <c r="AV32" s="136">
        <f>B9</f>
        <v>0.73699999999999999</v>
      </c>
      <c r="BA32" s="52" t="s">
        <v>54</v>
      </c>
      <c r="BB32" s="136">
        <f>B13</f>
        <v>3.44E-2</v>
      </c>
      <c r="BD32" s="52" t="s">
        <v>54</v>
      </c>
      <c r="BE32" s="136">
        <f>B9</f>
        <v>0.73699999999999999</v>
      </c>
      <c r="BJ32" s="52" t="s">
        <v>300</v>
      </c>
      <c r="BK32" s="136">
        <f>B12</f>
        <v>3.44E-2</v>
      </c>
      <c r="BM32" s="52" t="s">
        <v>300</v>
      </c>
      <c r="BN32" s="136">
        <f>B8</f>
        <v>6.8599999999999994E-2</v>
      </c>
      <c r="BS32" s="91"/>
      <c r="BT32" s="99"/>
      <c r="BU32" s="100"/>
      <c r="BV32" s="94" t="s">
        <v>295</v>
      </c>
      <c r="BW32" s="150">
        <f>B278</f>
        <v>226.025409</v>
      </c>
      <c r="BX32" s="90" t="s">
        <v>296</v>
      </c>
      <c r="BZ32" s="138">
        <v>1000</v>
      </c>
      <c r="CA32" s="52" t="s">
        <v>99</v>
      </c>
      <c r="CB32" s="94" t="s">
        <v>295</v>
      </c>
      <c r="CC32" s="150">
        <f>B278</f>
        <v>226.025409</v>
      </c>
      <c r="CD32" s="90" t="s">
        <v>296</v>
      </c>
      <c r="CE32" s="94" t="s">
        <v>295</v>
      </c>
      <c r="CF32" s="150">
        <f>B278</f>
        <v>226.025409</v>
      </c>
      <c r="CG32" s="90" t="s">
        <v>296</v>
      </c>
      <c r="CM32" s="83"/>
      <c r="CN32" s="83" t="s">
        <v>22</v>
      </c>
      <c r="CO32" s="137">
        <f>0.693/CO33</f>
        <v>4.3312499999999997E-4</v>
      </c>
      <c r="CR32" s="83"/>
      <c r="CS32" s="83"/>
      <c r="CT32" s="83" t="s">
        <v>465</v>
      </c>
      <c r="CU32" s="150">
        <f>B166</f>
        <v>150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55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15" customHeight="1" thickTop="1" x14ac:dyDescent="0.2">
      <c r="A33" s="91" t="s">
        <v>104</v>
      </c>
      <c r="B33" s="183">
        <f>PEF!J3</f>
        <v>69557565.807898715</v>
      </c>
      <c r="C33" s="52" t="s">
        <v>524</v>
      </c>
      <c r="D33" s="83" t="s">
        <v>267</v>
      </c>
      <c r="E33" s="136">
        <f>B17</f>
        <v>1</v>
      </c>
      <c r="F33" s="52" t="s">
        <v>344</v>
      </c>
      <c r="G33" s="52" t="s">
        <v>404</v>
      </c>
      <c r="H33" s="138">
        <f>B70</f>
        <v>0.75</v>
      </c>
      <c r="I33" s="52" t="s">
        <v>89</v>
      </c>
      <c r="J33" s="83" t="s">
        <v>379</v>
      </c>
      <c r="K33" s="141">
        <f>B65</f>
        <v>1</v>
      </c>
      <c r="L33" s="92" t="s">
        <v>60</v>
      </c>
      <c r="M33" s="52" t="s">
        <v>408</v>
      </c>
      <c r="N33" s="150">
        <f>B88</f>
        <v>5</v>
      </c>
      <c r="O33" s="52" t="s">
        <v>194</v>
      </c>
      <c r="P33" s="52" t="s">
        <v>408</v>
      </c>
      <c r="Q33" s="150">
        <f>B88</f>
        <v>5</v>
      </c>
      <c r="R33" s="52" t="s">
        <v>194</v>
      </c>
      <c r="V33" s="52" t="s">
        <v>247</v>
      </c>
      <c r="W33" s="139">
        <f>B18</f>
        <v>3.8043873993229303E-2</v>
      </c>
      <c r="X33" s="84" t="s">
        <v>39</v>
      </c>
      <c r="Y33" s="52" t="s">
        <v>247</v>
      </c>
      <c r="Z33" s="139">
        <f>B18</f>
        <v>3.8043873993229303E-2</v>
      </c>
      <c r="AA33" s="84" t="s">
        <v>39</v>
      </c>
      <c r="AB33" s="104" t="s">
        <v>103</v>
      </c>
      <c r="AC33" s="136"/>
      <c r="AD33" s="136"/>
      <c r="AE33" s="136"/>
      <c r="AF33" s="157">
        <f>B32</f>
        <v>776129.4078035407</v>
      </c>
      <c r="AG33" s="136"/>
      <c r="AH33" s="104" t="s">
        <v>78</v>
      </c>
      <c r="AI33" s="52" t="s">
        <v>57</v>
      </c>
      <c r="AJ33" s="136">
        <f>B242</f>
        <v>5</v>
      </c>
      <c r="AK33" s="52" t="s">
        <v>194</v>
      </c>
      <c r="AL33" s="52" t="s">
        <v>57</v>
      </c>
      <c r="AM33" s="136">
        <f>B242</f>
        <v>5</v>
      </c>
      <c r="AN33" s="52" t="s">
        <v>194</v>
      </c>
      <c r="AR33" s="52" t="s">
        <v>57</v>
      </c>
      <c r="AS33" s="136">
        <f>B252</f>
        <v>5</v>
      </c>
      <c r="AT33" s="52" t="s">
        <v>194</v>
      </c>
      <c r="AU33" s="52" t="s">
        <v>57</v>
      </c>
      <c r="AV33" s="136">
        <f>B252</f>
        <v>5</v>
      </c>
      <c r="AW33" s="52" t="s">
        <v>194</v>
      </c>
      <c r="BA33" s="52" t="s">
        <v>58</v>
      </c>
      <c r="BB33" s="136">
        <f>B232</f>
        <v>5</v>
      </c>
      <c r="BC33" s="52" t="s">
        <v>194</v>
      </c>
      <c r="BD33" s="52" t="s">
        <v>57</v>
      </c>
      <c r="BE33" s="136">
        <f>B232</f>
        <v>5</v>
      </c>
      <c r="BF33" s="52" t="s">
        <v>194</v>
      </c>
      <c r="BJ33" s="52" t="s">
        <v>411</v>
      </c>
      <c r="BK33" s="136">
        <f>B13</f>
        <v>3.44E-2</v>
      </c>
      <c r="BM33" s="52" t="s">
        <v>418</v>
      </c>
      <c r="BN33" s="136">
        <f>B9</f>
        <v>0.73699999999999999</v>
      </c>
      <c r="BS33" s="91"/>
      <c r="BT33" s="99"/>
      <c r="BU33" s="100"/>
      <c r="BV33" s="84" t="s">
        <v>293</v>
      </c>
      <c r="BW33" s="85">
        <f>B279</f>
        <v>2.8000000000000001E-15</v>
      </c>
      <c r="BZ33" s="146">
        <v>1000</v>
      </c>
      <c r="CA33" s="52" t="s">
        <v>23</v>
      </c>
      <c r="CB33" s="84" t="s">
        <v>293</v>
      </c>
      <c r="CC33" s="85">
        <f>B280</f>
        <v>2.7955176153748299E-12</v>
      </c>
      <c r="CE33" s="84" t="s">
        <v>293</v>
      </c>
      <c r="CF33" s="85">
        <f>B280</f>
        <v>2.7955176153748299E-12</v>
      </c>
      <c r="CM33" s="83"/>
      <c r="CN33" s="91" t="s">
        <v>231</v>
      </c>
      <c r="CO33" s="136">
        <f>B30</f>
        <v>1600</v>
      </c>
      <c r="CP33" s="52" t="s">
        <v>60</v>
      </c>
      <c r="CR33" s="83"/>
      <c r="CS33" s="83"/>
      <c r="CT33" s="83" t="s">
        <v>363</v>
      </c>
      <c r="CU33" s="141">
        <f t="shared" ref="CU33:CU40" si="1">B168</f>
        <v>1</v>
      </c>
      <c r="CV33" s="92" t="s">
        <v>60</v>
      </c>
      <c r="CZ33" s="92" t="s">
        <v>513</v>
      </c>
      <c r="DA33" s="141">
        <f t="shared" si="0"/>
        <v>55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B92</f>
        <v>70</v>
      </c>
    </row>
    <row r="34" spans="1:214" ht="13.5" customHeight="1" x14ac:dyDescent="0.2">
      <c r="A34" s="91" t="s">
        <v>231</v>
      </c>
      <c r="B34" s="183">
        <f>B30*365</f>
        <v>584000</v>
      </c>
      <c r="C34" s="52" t="s">
        <v>222</v>
      </c>
      <c r="D34" s="83" t="s">
        <v>382</v>
      </c>
      <c r="E34" s="150">
        <f>B68</f>
        <v>150</v>
      </c>
      <c r="F34" s="83" t="s">
        <v>24</v>
      </c>
      <c r="G34" s="83" t="s">
        <v>383</v>
      </c>
      <c r="H34" s="150">
        <f>B71</f>
        <v>24</v>
      </c>
      <c r="I34" s="94" t="s">
        <v>194</v>
      </c>
      <c r="J34" s="83" t="s">
        <v>383</v>
      </c>
      <c r="K34" s="150">
        <f>B71</f>
        <v>24</v>
      </c>
      <c r="L34" s="94" t="s">
        <v>194</v>
      </c>
      <c r="M34" s="52" t="s">
        <v>410</v>
      </c>
      <c r="N34" s="139">
        <f>B23</f>
        <v>1.9522299999999999</v>
      </c>
      <c r="O34" s="84" t="s">
        <v>354</v>
      </c>
      <c r="P34" s="52" t="s">
        <v>419</v>
      </c>
      <c r="Q34" s="139">
        <f>B25</f>
        <v>5.52928</v>
      </c>
      <c r="R34" s="84" t="s">
        <v>353</v>
      </c>
      <c r="V34" s="52" t="s">
        <v>421</v>
      </c>
      <c r="W34" s="150">
        <f>B243</f>
        <v>5</v>
      </c>
      <c r="X34" s="84" t="s">
        <v>194</v>
      </c>
      <c r="Y34" s="52" t="s">
        <v>192</v>
      </c>
      <c r="Z34" s="150">
        <f>B262</f>
        <v>5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B33</f>
        <v>69557565.807898715</v>
      </c>
      <c r="AH34" s="104" t="s">
        <v>78</v>
      </c>
      <c r="AI34" s="52" t="s">
        <v>410</v>
      </c>
      <c r="AJ34" s="139">
        <f>B23</f>
        <v>1.9522299999999999</v>
      </c>
      <c r="AK34" s="84" t="s">
        <v>353</v>
      </c>
      <c r="AL34" s="52" t="s">
        <v>419</v>
      </c>
      <c r="AM34" s="139">
        <f>B25</f>
        <v>5.52928</v>
      </c>
      <c r="AN34" s="84" t="s">
        <v>353</v>
      </c>
      <c r="AR34" s="52" t="s">
        <v>410</v>
      </c>
      <c r="AS34" s="139">
        <f>B23</f>
        <v>1.9522299999999999</v>
      </c>
      <c r="AT34" s="84" t="s">
        <v>353</v>
      </c>
      <c r="AU34" s="52" t="s">
        <v>419</v>
      </c>
      <c r="AV34" s="139">
        <f>B25</f>
        <v>5.52928</v>
      </c>
      <c r="AW34" s="84" t="s">
        <v>353</v>
      </c>
      <c r="BA34" s="52" t="s">
        <v>410</v>
      </c>
      <c r="BB34" s="139">
        <f>B23</f>
        <v>1.9522299999999999</v>
      </c>
      <c r="BC34" s="84" t="s">
        <v>353</v>
      </c>
      <c r="BD34" s="52" t="s">
        <v>419</v>
      </c>
      <c r="BE34" s="139">
        <f>B25</f>
        <v>5.52928</v>
      </c>
      <c r="BF34" s="84" t="s">
        <v>353</v>
      </c>
      <c r="BJ34" s="52" t="s">
        <v>57</v>
      </c>
      <c r="BK34" s="136">
        <f>B262</f>
        <v>5</v>
      </c>
      <c r="BL34" s="52" t="s">
        <v>194</v>
      </c>
      <c r="BM34" s="52" t="s">
        <v>57</v>
      </c>
      <c r="BN34" s="136">
        <f>B262</f>
        <v>5</v>
      </c>
      <c r="BO34" s="52" t="s">
        <v>194</v>
      </c>
      <c r="BT34" s="102"/>
      <c r="BU34" s="91"/>
      <c r="BV34" s="91" t="s">
        <v>231</v>
      </c>
      <c r="BW34" s="136">
        <f>B30</f>
        <v>1600</v>
      </c>
      <c r="BX34" s="52" t="s">
        <v>60</v>
      </c>
      <c r="BY34" s="91" t="s">
        <v>308</v>
      </c>
      <c r="BZ34" s="146">
        <f>B111</f>
        <v>0.23</v>
      </c>
      <c r="CM34" s="83"/>
      <c r="CN34" s="84" t="s">
        <v>16</v>
      </c>
      <c r="CO34" s="137">
        <f>(CO31*CO32)/(1-EXP(-CO32*CO31))</f>
        <v>1.0004331875323664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55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B45</f>
        <v>1</v>
      </c>
    </row>
    <row r="35" spans="1:214" ht="13.15" customHeight="1" x14ac:dyDescent="0.2">
      <c r="A35" s="83" t="s">
        <v>105</v>
      </c>
      <c r="B35" s="182">
        <v>4</v>
      </c>
      <c r="C35" s="84" t="s">
        <v>18</v>
      </c>
      <c r="D35" s="83" t="s">
        <v>258</v>
      </c>
      <c r="E35" s="136">
        <f>B29</f>
        <v>1.67911012348351E-3</v>
      </c>
      <c r="F35" s="83" t="s">
        <v>87</v>
      </c>
      <c r="G35" s="83" t="s">
        <v>384</v>
      </c>
      <c r="H35" s="150">
        <f>B71</f>
        <v>24</v>
      </c>
      <c r="I35" s="52" t="s">
        <v>194</v>
      </c>
      <c r="J35" s="83" t="s">
        <v>384</v>
      </c>
      <c r="K35" s="150">
        <f>B71</f>
        <v>24</v>
      </c>
      <c r="L35" s="52" t="s">
        <v>194</v>
      </c>
      <c r="M35" s="52" t="s">
        <v>409</v>
      </c>
      <c r="N35" s="150">
        <f>B89</f>
        <v>25</v>
      </c>
      <c r="O35" s="52" t="s">
        <v>194</v>
      </c>
      <c r="P35" s="52" t="s">
        <v>409</v>
      </c>
      <c r="Q35" s="150">
        <f>B89</f>
        <v>25</v>
      </c>
      <c r="R35" s="52" t="s">
        <v>194</v>
      </c>
      <c r="V35" s="52" t="s">
        <v>304</v>
      </c>
      <c r="W35" s="146">
        <f>B236</f>
        <v>50</v>
      </c>
      <c r="X35" s="84" t="s">
        <v>407</v>
      </c>
      <c r="Y35" s="52" t="s">
        <v>348</v>
      </c>
      <c r="Z35" s="146">
        <f>B256</f>
        <v>50</v>
      </c>
      <c r="AA35" s="84" t="s">
        <v>407</v>
      </c>
      <c r="AB35" s="84" t="s">
        <v>295</v>
      </c>
      <c r="AC35" s="150">
        <f>B278</f>
        <v>226.025409</v>
      </c>
      <c r="AD35" s="150">
        <f>B278</f>
        <v>226.025409</v>
      </c>
      <c r="AE35" s="150">
        <f>B278</f>
        <v>226.025409</v>
      </c>
      <c r="AF35" s="150">
        <f>B278</f>
        <v>226.025409</v>
      </c>
      <c r="AG35" s="150">
        <f>B278</f>
        <v>226.025409</v>
      </c>
      <c r="AH35" s="52" t="s">
        <v>296</v>
      </c>
      <c r="AI35" s="52" t="s">
        <v>69</v>
      </c>
      <c r="AJ35" s="136">
        <f>B243</f>
        <v>5</v>
      </c>
      <c r="AK35" s="52" t="s">
        <v>194</v>
      </c>
      <c r="AL35" s="52" t="s">
        <v>69</v>
      </c>
      <c r="AM35" s="136">
        <f>B243</f>
        <v>5</v>
      </c>
      <c r="AN35" s="52" t="s">
        <v>194</v>
      </c>
      <c r="AR35" s="52" t="s">
        <v>69</v>
      </c>
      <c r="AS35" s="136">
        <f>B253</f>
        <v>5</v>
      </c>
      <c r="AT35" s="52" t="s">
        <v>194</v>
      </c>
      <c r="AU35" s="52" t="s">
        <v>69</v>
      </c>
      <c r="AV35" s="136">
        <f>B253</f>
        <v>5</v>
      </c>
      <c r="AW35" s="52" t="s">
        <v>194</v>
      </c>
      <c r="BA35" s="52" t="s">
        <v>69</v>
      </c>
      <c r="BB35" s="136">
        <f>B233</f>
        <v>5</v>
      </c>
      <c r="BC35" s="52" t="s">
        <v>194</v>
      </c>
      <c r="BD35" s="52" t="s">
        <v>69</v>
      </c>
      <c r="BE35" s="136">
        <f>B233</f>
        <v>5</v>
      </c>
      <c r="BF35" s="52" t="s">
        <v>194</v>
      </c>
      <c r="BJ35" s="52" t="s">
        <v>410</v>
      </c>
      <c r="BK35" s="139">
        <f>B23</f>
        <v>1.9522299999999999</v>
      </c>
      <c r="BL35" s="84" t="s">
        <v>353</v>
      </c>
      <c r="BM35" s="52" t="s">
        <v>419</v>
      </c>
      <c r="BN35" s="139">
        <f>B25</f>
        <v>5.52928</v>
      </c>
      <c r="BO35" s="84" t="s">
        <v>353</v>
      </c>
      <c r="BY35" s="91" t="s">
        <v>309</v>
      </c>
      <c r="BZ35" s="146">
        <f>B112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B165</f>
        <v>150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B75</f>
        <v>0.5</v>
      </c>
      <c r="HF35" s="52" t="s">
        <v>355</v>
      </c>
    </row>
    <row r="36" spans="1:214" x14ac:dyDescent="0.2">
      <c r="A36" s="83" t="s">
        <v>239</v>
      </c>
      <c r="B36" s="183">
        <v>3.8000000000000002E-4</v>
      </c>
      <c r="C36" s="52" t="s">
        <v>601</v>
      </c>
      <c r="D36" s="83" t="s">
        <v>389</v>
      </c>
      <c r="E36" s="146">
        <f>B90</f>
        <v>1</v>
      </c>
      <c r="G36" s="83" t="s">
        <v>405</v>
      </c>
      <c r="H36" s="138">
        <f>B76</f>
        <v>5</v>
      </c>
      <c r="I36" s="52" t="s">
        <v>80</v>
      </c>
      <c r="J36" s="83" t="s">
        <v>390</v>
      </c>
      <c r="K36" s="141">
        <f>B78</f>
        <v>0.25</v>
      </c>
      <c r="M36" s="84" t="s">
        <v>295</v>
      </c>
      <c r="N36" s="150">
        <f>B278</f>
        <v>226.025409</v>
      </c>
      <c r="O36" s="52" t="s">
        <v>296</v>
      </c>
      <c r="P36" s="84" t="s">
        <v>295</v>
      </c>
      <c r="Q36" s="150">
        <f>B278</f>
        <v>226.025409</v>
      </c>
      <c r="R36" s="52" t="s">
        <v>296</v>
      </c>
      <c r="V36" s="83" t="s">
        <v>256</v>
      </c>
      <c r="W36" s="136">
        <f>B27</f>
        <v>15429.68</v>
      </c>
      <c r="X36" s="83" t="s">
        <v>343</v>
      </c>
      <c r="Y36" s="83" t="s">
        <v>256</v>
      </c>
      <c r="Z36" s="136">
        <f>B27</f>
        <v>15429.68</v>
      </c>
      <c r="AA36" s="83" t="s">
        <v>343</v>
      </c>
      <c r="AB36" s="84" t="s">
        <v>293</v>
      </c>
      <c r="AC36" s="136">
        <f>B280</f>
        <v>2.7955176153748299E-12</v>
      </c>
      <c r="AD36" s="136">
        <f>B280</f>
        <v>2.7955176153748299E-12</v>
      </c>
      <c r="AE36" s="136">
        <f>B280</f>
        <v>2.7955176153748299E-12</v>
      </c>
      <c r="AF36" s="136">
        <f>B280</f>
        <v>2.7955176153748299E-12</v>
      </c>
      <c r="AG36" s="136">
        <f>B280</f>
        <v>2.7955176153748299E-12</v>
      </c>
      <c r="AI36" s="84" t="s">
        <v>295</v>
      </c>
      <c r="AJ36" s="150">
        <f>B278</f>
        <v>226.025409</v>
      </c>
      <c r="AK36" s="90" t="s">
        <v>296</v>
      </c>
      <c r="AL36" s="94" t="s">
        <v>295</v>
      </c>
      <c r="AM36" s="150">
        <f>B278</f>
        <v>226.025409</v>
      </c>
      <c r="AN36" s="90" t="s">
        <v>296</v>
      </c>
      <c r="AO36" s="90"/>
      <c r="AP36" s="90"/>
      <c r="AQ36" s="90"/>
      <c r="AR36" s="94" t="s">
        <v>295</v>
      </c>
      <c r="AS36" s="150">
        <f>B278</f>
        <v>226.025409</v>
      </c>
      <c r="AT36" s="90" t="s">
        <v>296</v>
      </c>
      <c r="AU36" s="94" t="s">
        <v>295</v>
      </c>
      <c r="AV36" s="150">
        <f>B278</f>
        <v>226.025409</v>
      </c>
      <c r="AW36" s="90" t="s">
        <v>296</v>
      </c>
      <c r="BA36" s="94" t="s">
        <v>295</v>
      </c>
      <c r="BB36" s="150">
        <f>B278</f>
        <v>226.025409</v>
      </c>
      <c r="BC36" s="90" t="s">
        <v>296</v>
      </c>
      <c r="BD36" s="94" t="s">
        <v>295</v>
      </c>
      <c r="BE36" s="150">
        <f>B278</f>
        <v>226.025409</v>
      </c>
      <c r="BF36" s="90" t="s">
        <v>296</v>
      </c>
      <c r="BJ36" s="94" t="s">
        <v>295</v>
      </c>
      <c r="BK36" s="150">
        <f>B278</f>
        <v>226.025409</v>
      </c>
      <c r="BL36" s="90" t="s">
        <v>296</v>
      </c>
      <c r="BM36" s="94" t="s">
        <v>295</v>
      </c>
      <c r="BN36" s="150">
        <f>B278</f>
        <v>226.025409</v>
      </c>
      <c r="BO36" s="90" t="s">
        <v>296</v>
      </c>
      <c r="BS36" s="100"/>
      <c r="BT36" s="100"/>
      <c r="BU36" s="91"/>
      <c r="BY36" s="94" t="s">
        <v>295</v>
      </c>
      <c r="BZ36" s="150">
        <f>B278</f>
        <v>226.025409</v>
      </c>
      <c r="CA36" s="90" t="s">
        <v>296</v>
      </c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B166</f>
        <v>150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B97</f>
        <v>5</v>
      </c>
      <c r="HF36" s="52" t="s">
        <v>94</v>
      </c>
    </row>
    <row r="37" spans="1:214" ht="12.75" customHeight="1" x14ac:dyDescent="0.2">
      <c r="A37" s="83" t="s">
        <v>236</v>
      </c>
      <c r="B37" s="183">
        <v>1.6999999999999999E-3</v>
      </c>
      <c r="C37" s="52" t="s">
        <v>388</v>
      </c>
      <c r="D37" s="83" t="s">
        <v>394</v>
      </c>
      <c r="E37" s="146">
        <f>B56</f>
        <v>35</v>
      </c>
      <c r="F37" s="52" t="s">
        <v>48</v>
      </c>
      <c r="G37" s="83" t="s">
        <v>406</v>
      </c>
      <c r="H37" s="138">
        <f>B77</f>
        <v>5</v>
      </c>
      <c r="I37" s="52" t="s">
        <v>80</v>
      </c>
      <c r="J37" s="83" t="s">
        <v>408</v>
      </c>
      <c r="K37" s="150">
        <f>B88</f>
        <v>5</v>
      </c>
      <c r="L37" s="84" t="s">
        <v>194</v>
      </c>
      <c r="M37" s="84" t="s">
        <v>293</v>
      </c>
      <c r="N37" s="85">
        <f>B280</f>
        <v>2.7955176153748299E-12</v>
      </c>
      <c r="P37" s="84" t="s">
        <v>293</v>
      </c>
      <c r="Q37" s="85">
        <f>B280</f>
        <v>2.7955176153748299E-12</v>
      </c>
      <c r="V37" s="83" t="s">
        <v>301</v>
      </c>
      <c r="W37" s="142">
        <f>B240</f>
        <v>2</v>
      </c>
      <c r="Y37" s="83" t="s">
        <v>301</v>
      </c>
      <c r="Z37" s="142">
        <f>B260</f>
        <v>2</v>
      </c>
      <c r="AI37" s="84" t="s">
        <v>293</v>
      </c>
      <c r="AJ37" s="85">
        <f>B280</f>
        <v>2.7955176153748299E-12</v>
      </c>
      <c r="AL37" s="84" t="s">
        <v>293</v>
      </c>
      <c r="AM37" s="85">
        <f>B280</f>
        <v>2.7955176153748299E-12</v>
      </c>
      <c r="AR37" s="84" t="s">
        <v>293</v>
      </c>
      <c r="AS37" s="85">
        <f>B280</f>
        <v>2.7955176153748299E-12</v>
      </c>
      <c r="AU37" s="84" t="s">
        <v>293</v>
      </c>
      <c r="AV37" s="85">
        <f>B280</f>
        <v>2.7955176153748299E-12</v>
      </c>
      <c r="BA37" s="84" t="s">
        <v>293</v>
      </c>
      <c r="BB37" s="85">
        <f>B280</f>
        <v>2.7955176153748299E-12</v>
      </c>
      <c r="BD37" s="84" t="s">
        <v>293</v>
      </c>
      <c r="BE37" s="85">
        <f>B280</f>
        <v>2.7955176153748299E-12</v>
      </c>
      <c r="BJ37" s="84" t="s">
        <v>293</v>
      </c>
      <c r="BK37" s="85">
        <f>B280</f>
        <v>2.7955176153748299E-12</v>
      </c>
      <c r="BM37" s="84" t="s">
        <v>293</v>
      </c>
      <c r="BN37" s="85">
        <f>B280</f>
        <v>2.7955176153748299E-12</v>
      </c>
      <c r="BS37" s="91"/>
      <c r="BT37" s="91"/>
      <c r="BU37" s="91"/>
      <c r="BY37" s="84" t="s">
        <v>293</v>
      </c>
      <c r="BZ37" s="85">
        <f>B280</f>
        <v>2.7955176153748299E-12</v>
      </c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15</v>
      </c>
      <c r="CV37" s="84" t="s">
        <v>194</v>
      </c>
      <c r="CZ37" s="92" t="s">
        <v>363</v>
      </c>
      <c r="DA37" s="141">
        <f>B168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2.75" customHeight="1" x14ac:dyDescent="0.2">
      <c r="A38" s="83" t="s">
        <v>237</v>
      </c>
      <c r="B38" s="183">
        <v>0</v>
      </c>
      <c r="C38" s="52" t="s">
        <v>388</v>
      </c>
      <c r="D38" s="83" t="s">
        <v>260</v>
      </c>
      <c r="E38" s="152">
        <f>(E33/(E35*E34*E37*E36))*E39*E40*E41</f>
        <v>1.146835152140275E-7</v>
      </c>
      <c r="F38" s="84" t="s">
        <v>12</v>
      </c>
      <c r="H38" s="138">
        <f>1/1000</f>
        <v>1E-3</v>
      </c>
      <c r="I38" s="52" t="s">
        <v>82</v>
      </c>
      <c r="J38" s="83" t="s">
        <v>409</v>
      </c>
      <c r="K38" s="150">
        <f>B89</f>
        <v>25</v>
      </c>
      <c r="L38" s="84" t="s">
        <v>194</v>
      </c>
      <c r="V38" s="52" t="s">
        <v>261</v>
      </c>
      <c r="W38" s="143">
        <f>((W27)/((W34/24)*W31*W32*W33*W35))*W42*W43*W30</f>
        <v>2.0441453027632328E-11</v>
      </c>
      <c r="X38" s="52" t="s">
        <v>15</v>
      </c>
      <c r="Y38" s="52" t="s">
        <v>261</v>
      </c>
      <c r="Z38" s="143">
        <f>((Z27)/((Z34/24)*Z31*Z32*Z33*Z35))*Z45*Z46*Z30</f>
        <v>2.0441453027632328E-11</v>
      </c>
      <c r="AA38" s="52" t="s">
        <v>15</v>
      </c>
      <c r="AE38" s="352" t="s">
        <v>226</v>
      </c>
      <c r="AF38" s="352"/>
      <c r="AG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5</v>
      </c>
      <c r="CV38" s="84" t="s">
        <v>194</v>
      </c>
      <c r="CZ38" s="92" t="s">
        <v>364</v>
      </c>
      <c r="DA38" s="141">
        <f>B169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B98</f>
        <v>0.18</v>
      </c>
      <c r="HF38" s="52" t="s">
        <v>355</v>
      </c>
    </row>
    <row r="39" spans="1:214" x14ac:dyDescent="0.2">
      <c r="A39" s="83" t="s">
        <v>171</v>
      </c>
      <c r="B39" s="183">
        <v>0</v>
      </c>
      <c r="C39" s="52" t="s">
        <v>388</v>
      </c>
      <c r="D39" s="84" t="s">
        <v>295</v>
      </c>
      <c r="E39" s="150">
        <f>B278</f>
        <v>226.025409</v>
      </c>
      <c r="F39" s="52" t="s">
        <v>296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((W27)/((W34/24)*W31*W36*(1/365)))*W42*W43*W30</f>
        <v>9.198191507404639E-13</v>
      </c>
      <c r="X39" s="52" t="s">
        <v>15</v>
      </c>
      <c r="Y39" s="52" t="s">
        <v>271</v>
      </c>
      <c r="Z39" s="144">
        <f>((Z27)/((Z34/24)*Z31*Z36*(1/365)))*Z45*Z46*Z30</f>
        <v>9.198191507404639E-13</v>
      </c>
      <c r="AA39" s="52" t="s">
        <v>15</v>
      </c>
      <c r="AE39" s="352"/>
      <c r="AF39" s="352"/>
      <c r="AG39" s="352"/>
      <c r="BK39" s="352" t="s">
        <v>230</v>
      </c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B170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B99</f>
        <v>55</v>
      </c>
      <c r="HF39" s="52" t="s">
        <v>97</v>
      </c>
    </row>
    <row r="40" spans="1:214" ht="15" customHeight="1" x14ac:dyDescent="0.2">
      <c r="A40" s="83" t="s">
        <v>238</v>
      </c>
      <c r="B40" s="183">
        <v>0</v>
      </c>
      <c r="C40" s="52" t="s">
        <v>388</v>
      </c>
      <c r="D40" s="84" t="s">
        <v>293</v>
      </c>
      <c r="E40" s="85">
        <f>B280</f>
        <v>2.7955176153748299E-12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((W27*W29*W28)/((W34/24)*(1-EXP(-W29*W32))*W33*W35*W31*W32))*W42*W43*W30</f>
        <v>2.0445880199367088E-11</v>
      </c>
      <c r="X40" s="52" t="s">
        <v>16</v>
      </c>
      <c r="Y40" s="52" t="s">
        <v>261</v>
      </c>
      <c r="Z40" s="144">
        <f>((Z27*Z29*Z28)/((Z34/24)*(1-EXP(-Z29*Z32))*Z33*Z35*Z31*Z32))*Z45*Z46*Z30</f>
        <v>2.0445880199367088E-11</v>
      </c>
      <c r="AA40" s="52" t="s">
        <v>16</v>
      </c>
      <c r="AE40" s="352"/>
      <c r="AF40" s="352"/>
      <c r="AG40" s="352"/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1</v>
      </c>
      <c r="CZ40" s="92" t="s">
        <v>457</v>
      </c>
      <c r="DA40" s="141">
        <f>B177</f>
        <v>5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B100</f>
        <v>5</v>
      </c>
      <c r="HF40" s="52" t="s">
        <v>97</v>
      </c>
    </row>
    <row r="41" spans="1:214" x14ac:dyDescent="0.2">
      <c r="A41" s="52" t="s">
        <v>229</v>
      </c>
      <c r="B41" s="183">
        <f>B37</f>
        <v>1.6999999999999999E-3</v>
      </c>
      <c r="C41" s="52" t="s">
        <v>388</v>
      </c>
      <c r="D41" s="91" t="s">
        <v>231</v>
      </c>
      <c r="E41" s="85">
        <f>B30</f>
        <v>1600</v>
      </c>
      <c r="F41" s="52" t="s">
        <v>235</v>
      </c>
      <c r="G41" s="83" t="s">
        <v>390</v>
      </c>
      <c r="H41" s="141">
        <f>B78</f>
        <v>0.25</v>
      </c>
      <c r="I41" s="84"/>
      <c r="J41" s="83" t="s">
        <v>302</v>
      </c>
      <c r="K41" s="161">
        <f>B3</f>
        <v>0.124</v>
      </c>
      <c r="V41" s="52" t="s">
        <v>271</v>
      </c>
      <c r="W41" s="145">
        <f>((W27*W29*W28)/((W34/24)*(1-EXP(-W29*W28))*W36*W31*(1/365)))*W42*W43*W30</f>
        <v>9.2001836345492874E-13</v>
      </c>
      <c r="X41" s="52" t="s">
        <v>16</v>
      </c>
      <c r="Y41" s="52" t="s">
        <v>271</v>
      </c>
      <c r="Z41" s="145">
        <f>((Z27*Z29*Z28)/((Z34/24)*(1-EXP(-Z29*Z28))*Z36*Z31*(1/365)))*Z45*Z46*Z30</f>
        <v>9.2001836345492874E-13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61">
        <f>B3</f>
        <v>0.124</v>
      </c>
      <c r="CZ41" s="92" t="s">
        <v>466</v>
      </c>
      <c r="DA41" s="141">
        <f>B178</f>
        <v>5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B101</f>
        <v>5</v>
      </c>
      <c r="HF41" s="52" t="s">
        <v>97</v>
      </c>
    </row>
    <row r="42" spans="1:214" ht="13.9" customHeight="1" thickBot="1" x14ac:dyDescent="0.25">
      <c r="A42" s="83" t="s">
        <v>228</v>
      </c>
      <c r="B42" s="183">
        <f>B38</f>
        <v>0</v>
      </c>
      <c r="C42" s="52" t="s">
        <v>388</v>
      </c>
      <c r="G42" s="83"/>
      <c r="H42" s="146">
        <v>365</v>
      </c>
      <c r="I42" s="84" t="s">
        <v>24</v>
      </c>
      <c r="J42" s="83" t="s">
        <v>413</v>
      </c>
      <c r="K42" s="161">
        <f>B4</f>
        <v>0.79200000000000004</v>
      </c>
      <c r="V42" s="84" t="s">
        <v>295</v>
      </c>
      <c r="W42" s="150">
        <f>B278</f>
        <v>226.025409</v>
      </c>
      <c r="X42" s="52" t="s">
        <v>296</v>
      </c>
      <c r="Y42" s="52" t="s">
        <v>220</v>
      </c>
      <c r="Z42" s="138">
        <f>B266</f>
        <v>25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61">
        <f>B4</f>
        <v>0.79200000000000004</v>
      </c>
      <c r="CW42" s="84"/>
      <c r="CX42" s="84"/>
      <c r="CY42" s="84"/>
      <c r="CZ42" s="52" t="s">
        <v>477</v>
      </c>
      <c r="DA42" s="141">
        <f>B179</f>
        <v>0.25</v>
      </c>
      <c r="DB42" s="92" t="s">
        <v>358</v>
      </c>
      <c r="DW42" s="88"/>
      <c r="DX42" s="88"/>
      <c r="DY42" s="88"/>
      <c r="DZ42" s="88"/>
      <c r="HD42" s="52" t="s">
        <v>225</v>
      </c>
      <c r="HE42" s="136">
        <f>1+((HE35*HE36*HE37)/(HE38*HE39))</f>
        <v>3.1605966718331597</v>
      </c>
    </row>
    <row r="43" spans="1:214" ht="13.15" customHeight="1" thickTop="1" thickBot="1" x14ac:dyDescent="0.25">
      <c r="A43" s="84" t="s">
        <v>32</v>
      </c>
      <c r="B43" s="183">
        <f>0.0148</f>
        <v>1.4800000000000001E-2</v>
      </c>
      <c r="D43" s="353" t="s">
        <v>529</v>
      </c>
      <c r="E43" s="354"/>
      <c r="F43" s="355"/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V43" s="84" t="s">
        <v>293</v>
      </c>
      <c r="W43" s="85">
        <f>B279</f>
        <v>2.8000000000000001E-15</v>
      </c>
      <c r="Y43" s="52" t="s">
        <v>219</v>
      </c>
      <c r="Z43" s="138">
        <f>B265</f>
        <v>3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B180</f>
        <v>0.85</v>
      </c>
      <c r="DB43" s="92" t="s">
        <v>358</v>
      </c>
      <c r="DW43" s="88"/>
      <c r="DX43" s="88"/>
      <c r="DY43" s="88"/>
      <c r="DZ43" s="88"/>
    </row>
    <row r="44" spans="1:214" x14ac:dyDescent="0.2">
      <c r="A44" s="52" t="s">
        <v>33</v>
      </c>
      <c r="B44" s="183">
        <v>1.7000000000000001E-2</v>
      </c>
      <c r="D44" s="323" t="s">
        <v>530</v>
      </c>
      <c r="E44" s="347">
        <f>E54</f>
        <v>2.8716850220618384E-8</v>
      </c>
      <c r="F44" s="345" t="s">
        <v>13</v>
      </c>
      <c r="G44" s="52" t="s">
        <v>19</v>
      </c>
      <c r="H44" s="136">
        <f>H46</f>
        <v>1.4800000000000001E-2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2.75" customHeight="1" thickBot="1" x14ac:dyDescent="0.25">
      <c r="A45" s="83" t="s">
        <v>156</v>
      </c>
      <c r="B45" s="182">
        <v>1</v>
      </c>
      <c r="C45" s="83" t="s">
        <v>18</v>
      </c>
      <c r="D45" s="324"/>
      <c r="E45" s="348"/>
      <c r="F45" s="346"/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Y45" s="84" t="s">
        <v>295</v>
      </c>
      <c r="Z45" s="150">
        <f>B278</f>
        <v>226.025409</v>
      </c>
      <c r="AA45" s="52" t="s">
        <v>296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B181</f>
        <v>0.5</v>
      </c>
      <c r="DB45" s="92" t="s">
        <v>145</v>
      </c>
      <c r="DW45" s="88"/>
      <c r="DX45" s="88"/>
      <c r="DY45" s="88"/>
      <c r="DZ45" s="88"/>
    </row>
    <row r="46" spans="1:214" ht="13.5" customHeight="1" thickTop="1" x14ac:dyDescent="0.2">
      <c r="A46" s="84" t="s">
        <v>21</v>
      </c>
      <c r="B46" s="188">
        <f>5*B278*B279*B30</f>
        <v>5.0629691616000001E-9</v>
      </c>
      <c r="C46" s="52" t="s">
        <v>13</v>
      </c>
      <c r="D46" s="83" t="s">
        <v>267</v>
      </c>
      <c r="E46" s="136">
        <f>B17</f>
        <v>1</v>
      </c>
      <c r="F46" s="52" t="s">
        <v>344</v>
      </c>
      <c r="G46" s="84" t="s">
        <v>32</v>
      </c>
      <c r="H46" s="139">
        <f>B43</f>
        <v>1.4800000000000001E-2</v>
      </c>
      <c r="K46" s="146">
        <v>1000</v>
      </c>
      <c r="L46" s="52" t="s">
        <v>23</v>
      </c>
      <c r="Y46" s="84" t="s">
        <v>293</v>
      </c>
      <c r="Z46" s="85">
        <f>B279</f>
        <v>2.8000000000000001E-15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52" t="s">
        <v>393</v>
      </c>
      <c r="B47" s="131">
        <v>0.26</v>
      </c>
      <c r="D47" s="83" t="s">
        <v>382</v>
      </c>
      <c r="E47" s="150">
        <f>B68</f>
        <v>150</v>
      </c>
      <c r="F47" s="83" t="s">
        <v>24</v>
      </c>
      <c r="G47" s="83" t="s">
        <v>393</v>
      </c>
      <c r="H47" s="142">
        <f>B47</f>
        <v>0.26</v>
      </c>
      <c r="J47" s="52" t="s">
        <v>19</v>
      </c>
      <c r="K47" s="136">
        <f>K49</f>
        <v>1.4800000000000001E-2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B163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52" t="s">
        <v>392</v>
      </c>
      <c r="B48" s="131">
        <v>0.25</v>
      </c>
      <c r="D48" s="83" t="s">
        <v>258</v>
      </c>
      <c r="E48" s="136">
        <f>B29</f>
        <v>1.67911012348351E-3</v>
      </c>
      <c r="F48" s="83" t="s">
        <v>87</v>
      </c>
      <c r="G48" s="52" t="s">
        <v>17</v>
      </c>
      <c r="H48" s="137">
        <f>((H51*H52*H53)*((1-EXP(-H54*H55))))/(H56*H54)</f>
        <v>0.52579260245651049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B164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381" t="s">
        <v>2</v>
      </c>
      <c r="B49" s="382"/>
      <c r="C49" s="383"/>
      <c r="D49" s="83" t="s">
        <v>379</v>
      </c>
      <c r="E49" s="146">
        <f>B65</f>
        <v>1</v>
      </c>
      <c r="F49" s="52" t="s">
        <v>60</v>
      </c>
      <c r="G49" s="52" t="s">
        <v>25</v>
      </c>
      <c r="H49" s="137">
        <f>(H51*H52*H57*((1-EXP(-H54*H55))))/(H56*H54)</f>
        <v>9.2368970701819411</v>
      </c>
      <c r="I49" s="52" t="s">
        <v>18</v>
      </c>
      <c r="J49" s="84" t="s">
        <v>32</v>
      </c>
      <c r="K49" s="139">
        <f>B43</f>
        <v>1.4800000000000001E-2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T49" s="94" t="s">
        <v>295</v>
      </c>
      <c r="CU49" s="150">
        <f>B278</f>
        <v>226.025409</v>
      </c>
      <c r="CV49" s="90" t="s">
        <v>296</v>
      </c>
      <c r="CZ49" s="83" t="s">
        <v>475</v>
      </c>
      <c r="DA49" s="146">
        <f>B163</f>
        <v>0.15</v>
      </c>
      <c r="DW49" s="88"/>
      <c r="DX49" s="88"/>
      <c r="DY49" s="88"/>
      <c r="DZ49" s="88"/>
    </row>
    <row r="50" spans="1:130" x14ac:dyDescent="0.2">
      <c r="A50" s="83" t="s">
        <v>366</v>
      </c>
      <c r="B50" s="130">
        <v>5</v>
      </c>
      <c r="C50" s="92" t="s">
        <v>407</v>
      </c>
      <c r="D50" s="83" t="s">
        <v>394</v>
      </c>
      <c r="E50" s="146">
        <f>B56</f>
        <v>35</v>
      </c>
      <c r="F50" s="52" t="s">
        <v>48</v>
      </c>
      <c r="G50" s="52" t="s">
        <v>31</v>
      </c>
      <c r="H50" s="137">
        <f>(H51*H52*H58*H64*((1-EXP(-H59*H60))))/(H61*H59)</f>
        <v>3.6423470278489711</v>
      </c>
      <c r="I50" s="52" t="s">
        <v>18</v>
      </c>
      <c r="J50" s="83" t="s">
        <v>393</v>
      </c>
      <c r="K50" s="142">
        <f>B47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T50" s="84" t="s">
        <v>293</v>
      </c>
      <c r="CU50" s="85">
        <f>B280</f>
        <v>2.7955176153748299E-12</v>
      </c>
      <c r="CZ50" s="83" t="s">
        <v>476</v>
      </c>
      <c r="DA50" s="146">
        <f>B164</f>
        <v>0.85</v>
      </c>
      <c r="DW50" s="88"/>
      <c r="DX50" s="88"/>
      <c r="DY50" s="88"/>
      <c r="DZ50" s="88"/>
    </row>
    <row r="51" spans="1:130" x14ac:dyDescent="0.2">
      <c r="A51" s="83" t="s">
        <v>367</v>
      </c>
      <c r="B51" s="130">
        <v>10</v>
      </c>
      <c r="C51" s="92" t="s">
        <v>407</v>
      </c>
      <c r="D51" s="83"/>
      <c r="E51" s="150">
        <v>1000</v>
      </c>
      <c r="F51" s="84" t="s">
        <v>99</v>
      </c>
      <c r="G51" s="83" t="s">
        <v>36</v>
      </c>
      <c r="H51" s="138">
        <f>B79</f>
        <v>3.62</v>
      </c>
      <c r="I51" s="52" t="s">
        <v>37</v>
      </c>
      <c r="J51" s="83" t="s">
        <v>376</v>
      </c>
      <c r="K51" s="146">
        <f>B61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CZ51" s="94" t="s">
        <v>295</v>
      </c>
      <c r="DA51" s="150">
        <f>B278</f>
        <v>226.025409</v>
      </c>
      <c r="DB51" s="90" t="s">
        <v>296</v>
      </c>
      <c r="DW51" s="88"/>
      <c r="DX51" s="88"/>
      <c r="DY51" s="88"/>
      <c r="DZ51" s="88"/>
    </row>
    <row r="52" spans="1:130" x14ac:dyDescent="0.2">
      <c r="A52" s="83" t="s">
        <v>368</v>
      </c>
      <c r="B52" s="130">
        <v>100</v>
      </c>
      <c r="C52" s="84" t="s">
        <v>48</v>
      </c>
      <c r="D52" s="83" t="s">
        <v>105</v>
      </c>
      <c r="E52" s="150">
        <f>B35</f>
        <v>4</v>
      </c>
      <c r="F52" s="84" t="s">
        <v>18</v>
      </c>
      <c r="G52" s="83" t="s">
        <v>40</v>
      </c>
      <c r="H52" s="138">
        <f>B80</f>
        <v>0.25</v>
      </c>
      <c r="I52" s="52" t="s">
        <v>41</v>
      </c>
      <c r="J52" s="83" t="s">
        <v>377</v>
      </c>
      <c r="K52" s="146">
        <f>B62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CZ52" s="84" t="s">
        <v>293</v>
      </c>
      <c r="DA52" s="85">
        <f>B279</f>
        <v>2.8000000000000001E-15</v>
      </c>
      <c r="DW52" s="88"/>
      <c r="DX52" s="88"/>
      <c r="DY52" s="88"/>
      <c r="DZ52" s="88"/>
    </row>
    <row r="53" spans="1:130" x14ac:dyDescent="0.2">
      <c r="A53" s="83" t="s">
        <v>369</v>
      </c>
      <c r="B53" s="130">
        <v>50</v>
      </c>
      <c r="C53" s="84" t="s">
        <v>48</v>
      </c>
      <c r="D53" s="83" t="s">
        <v>107</v>
      </c>
      <c r="E53" s="138">
        <f>B74</f>
        <v>1</v>
      </c>
      <c r="F53" s="84" t="s">
        <v>108</v>
      </c>
      <c r="G53" s="92" t="s">
        <v>32</v>
      </c>
      <c r="H53" s="136">
        <f>B43</f>
        <v>1.4800000000000001E-2</v>
      </c>
      <c r="J53" s="84" t="s">
        <v>295</v>
      </c>
      <c r="K53" s="150">
        <f>B278</f>
        <v>226.025409</v>
      </c>
      <c r="L53" s="52" t="s">
        <v>296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83" t="s">
        <v>370</v>
      </c>
      <c r="B54" s="130">
        <v>0.25</v>
      </c>
      <c r="C54" s="83" t="s">
        <v>28</v>
      </c>
      <c r="D54" s="83" t="s">
        <v>260</v>
      </c>
      <c r="E54" s="152">
        <f>(E46/(E48*E47*E49*E50*E52*E53*(1/E51)))*E55*E56*E57</f>
        <v>2.8716850220618384E-8</v>
      </c>
      <c r="F54" s="52" t="s">
        <v>13</v>
      </c>
      <c r="G54" s="92" t="s">
        <v>49</v>
      </c>
      <c r="H54" s="137">
        <f>H62+H63</f>
        <v>2.8186643835616437E-5</v>
      </c>
      <c r="J54" s="84" t="s">
        <v>293</v>
      </c>
      <c r="K54" s="85">
        <f>B280</f>
        <v>2.7955176153748299E-12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83" t="s">
        <v>371</v>
      </c>
      <c r="B55" s="130">
        <v>1.5</v>
      </c>
      <c r="C55" s="52" t="s">
        <v>28</v>
      </c>
      <c r="D55" s="84" t="s">
        <v>295</v>
      </c>
      <c r="E55" s="150">
        <f>B278</f>
        <v>226.025409</v>
      </c>
      <c r="F55" s="52" t="s">
        <v>296</v>
      </c>
      <c r="G55" s="92" t="s">
        <v>52</v>
      </c>
      <c r="H55" s="138">
        <f>B81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83" t="s">
        <v>310</v>
      </c>
      <c r="B56" s="130">
        <v>35</v>
      </c>
      <c r="C56" s="52" t="s">
        <v>48</v>
      </c>
      <c r="D56" s="84" t="s">
        <v>293</v>
      </c>
      <c r="E56" s="85">
        <f>B279</f>
        <v>2.8000000000000001E-15</v>
      </c>
      <c r="G56" s="92" t="s">
        <v>55</v>
      </c>
      <c r="H56" s="138">
        <f>B82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83" t="s">
        <v>372</v>
      </c>
      <c r="B57" s="130">
        <v>55</v>
      </c>
      <c r="C57" s="92" t="s">
        <v>221</v>
      </c>
      <c r="D57" s="91" t="s">
        <v>231</v>
      </c>
      <c r="E57" s="85">
        <f>B30</f>
        <v>1600</v>
      </c>
      <c r="F57" s="52" t="s">
        <v>235</v>
      </c>
      <c r="G57" s="92" t="s">
        <v>393</v>
      </c>
      <c r="H57" s="138">
        <f>B47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83" t="s">
        <v>373</v>
      </c>
      <c r="B58" s="130">
        <v>55</v>
      </c>
      <c r="C58" s="92" t="s">
        <v>221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83" t="s">
        <v>374</v>
      </c>
      <c r="B59" s="130">
        <v>55</v>
      </c>
      <c r="C59" s="92" t="s">
        <v>221</v>
      </c>
      <c r="G59" s="92" t="s">
        <v>63</v>
      </c>
      <c r="H59" s="151">
        <f>H63+(0.693/H65)</f>
        <v>4.9501186643835612E-2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83" t="s">
        <v>375</v>
      </c>
      <c r="B60" s="130">
        <v>55</v>
      </c>
      <c r="C60" s="92" t="s">
        <v>221</v>
      </c>
      <c r="G60" s="92" t="s">
        <v>67</v>
      </c>
      <c r="H60" s="142">
        <f>B83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83" t="s">
        <v>376</v>
      </c>
      <c r="B61" s="130">
        <v>0.23</v>
      </c>
      <c r="G61" s="92" t="s">
        <v>68</v>
      </c>
      <c r="H61" s="142">
        <f>B84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83" t="s">
        <v>377</v>
      </c>
      <c r="B62" s="130">
        <v>0.77</v>
      </c>
      <c r="G62" s="92" t="s">
        <v>70</v>
      </c>
      <c r="H62" s="138">
        <f>B85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378</v>
      </c>
      <c r="B63" s="131">
        <v>1</v>
      </c>
      <c r="C63" s="52" t="s">
        <v>60</v>
      </c>
      <c r="G63" s="92" t="s">
        <v>71</v>
      </c>
      <c r="H63" s="137">
        <f>0.693/H67</f>
        <v>1.1866438356164383E-6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52" t="s">
        <v>448</v>
      </c>
      <c r="B64" s="131">
        <v>1</v>
      </c>
      <c r="C64" s="52" t="s">
        <v>60</v>
      </c>
      <c r="G64" s="92" t="s">
        <v>73</v>
      </c>
      <c r="H64" s="138">
        <f>B86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379</v>
      </c>
      <c r="B65" s="131">
        <v>1</v>
      </c>
      <c r="C65" s="52" t="s">
        <v>60</v>
      </c>
      <c r="G65" s="92" t="s">
        <v>74</v>
      </c>
      <c r="H65" s="138">
        <f>B87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380</v>
      </c>
      <c r="B66" s="131">
        <v>150</v>
      </c>
      <c r="C66" s="83" t="s">
        <v>24</v>
      </c>
      <c r="G66" s="52" t="s">
        <v>33</v>
      </c>
      <c r="H66" s="136">
        <f>B44</f>
        <v>1.7000000000000001E-2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381</v>
      </c>
      <c r="B67" s="131">
        <v>150</v>
      </c>
      <c r="C67" s="83" t="s">
        <v>24</v>
      </c>
      <c r="G67" s="83" t="s">
        <v>234</v>
      </c>
      <c r="H67" s="136">
        <f>B34</f>
        <v>584000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382</v>
      </c>
      <c r="B68" s="131">
        <v>150</v>
      </c>
      <c r="C68" s="83" t="s">
        <v>24</v>
      </c>
      <c r="G68" s="83" t="s">
        <v>376</v>
      </c>
      <c r="H68" s="146">
        <f>B61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52" t="s">
        <v>403</v>
      </c>
      <c r="B69" s="131">
        <v>0.25</v>
      </c>
      <c r="C69" s="52" t="s">
        <v>89</v>
      </c>
      <c r="G69" s="83" t="s">
        <v>377</v>
      </c>
      <c r="H69" s="146">
        <f>B62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52" t="s">
        <v>404</v>
      </c>
      <c r="B70" s="131">
        <v>0.75</v>
      </c>
      <c r="C70" s="52" t="s">
        <v>89</v>
      </c>
      <c r="G70" s="84" t="s">
        <v>295</v>
      </c>
      <c r="H70" s="150">
        <f>B278</f>
        <v>226.025409</v>
      </c>
      <c r="I70" s="52" t="s">
        <v>296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52" t="s">
        <v>385</v>
      </c>
      <c r="B71" s="131">
        <v>24</v>
      </c>
      <c r="C71" s="52" t="s">
        <v>194</v>
      </c>
      <c r="G71" s="84" t="s">
        <v>293</v>
      </c>
      <c r="H71" s="85">
        <f>B279</f>
        <v>2.8000000000000001E-15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52" t="s">
        <v>318</v>
      </c>
      <c r="B72" s="131">
        <v>2</v>
      </c>
      <c r="G72" s="52" t="s">
        <v>293</v>
      </c>
      <c r="H72" s="85">
        <f>B280</f>
        <v>2.7955176153748299E-12</v>
      </c>
      <c r="AF72" s="109"/>
      <c r="AG72" s="106"/>
      <c r="AH72" s="106"/>
      <c r="AI72" s="106"/>
      <c r="AJ72" s="106"/>
      <c r="AK72" s="106"/>
    </row>
    <row r="73" spans="1:105" x14ac:dyDescent="0.2">
      <c r="A73" s="52" t="s">
        <v>303</v>
      </c>
      <c r="B73" s="131">
        <v>1</v>
      </c>
      <c r="G73" s="91" t="s">
        <v>231</v>
      </c>
      <c r="H73" s="85">
        <f>B30</f>
        <v>1600</v>
      </c>
      <c r="I73" s="52" t="s">
        <v>235</v>
      </c>
      <c r="AF73" s="109"/>
      <c r="AG73" s="106"/>
      <c r="AH73" s="106"/>
      <c r="AI73" s="106"/>
      <c r="AJ73" s="106"/>
      <c r="AK73" s="106"/>
    </row>
    <row r="74" spans="1:105" x14ac:dyDescent="0.2">
      <c r="A74" s="83" t="s">
        <v>107</v>
      </c>
      <c r="B74" s="131">
        <v>1</v>
      </c>
      <c r="C74" s="84" t="s">
        <v>108</v>
      </c>
      <c r="AF74" s="109"/>
      <c r="AG74" s="106"/>
      <c r="AH74" s="106"/>
      <c r="AI74" s="106"/>
      <c r="AJ74" s="106"/>
      <c r="AK74" s="106"/>
    </row>
    <row r="75" spans="1:105" x14ac:dyDescent="0.2">
      <c r="A75" s="52" t="s">
        <v>65</v>
      </c>
      <c r="B75" s="131">
        <v>0.5</v>
      </c>
      <c r="C75" s="52" t="s">
        <v>66</v>
      </c>
      <c r="AF75" s="108"/>
      <c r="AG75" s="106"/>
      <c r="AH75" s="106"/>
      <c r="AI75" s="106"/>
      <c r="AJ75" s="106"/>
      <c r="AK75" s="106"/>
    </row>
    <row r="76" spans="1:105" x14ac:dyDescent="0.2">
      <c r="A76" s="52" t="s">
        <v>79</v>
      </c>
      <c r="B76" s="131">
        <v>5</v>
      </c>
      <c r="C76" s="52" t="s">
        <v>80</v>
      </c>
      <c r="AF76" s="109"/>
      <c r="AG76" s="106"/>
      <c r="AH76" s="106"/>
      <c r="AI76" s="106"/>
      <c r="AJ76" s="106"/>
      <c r="AK76" s="106"/>
    </row>
    <row r="77" spans="1:105" x14ac:dyDescent="0.2">
      <c r="A77" s="52" t="s">
        <v>81</v>
      </c>
      <c r="B77" s="131">
        <v>5</v>
      </c>
      <c r="C77" s="52" t="s">
        <v>80</v>
      </c>
      <c r="AF77" s="109"/>
      <c r="AG77" s="106"/>
      <c r="AH77" s="106"/>
      <c r="AI77" s="106"/>
      <c r="AJ77" s="106"/>
      <c r="AK77" s="106"/>
    </row>
    <row r="78" spans="1:105" ht="12.75" customHeight="1" x14ac:dyDescent="0.2">
      <c r="A78" s="52" t="s">
        <v>390</v>
      </c>
      <c r="B78" s="131">
        <v>0.25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36</v>
      </c>
      <c r="B79" s="131">
        <v>3.62</v>
      </c>
      <c r="C79" s="52" t="s">
        <v>37</v>
      </c>
      <c r="AF79" s="109"/>
      <c r="AG79" s="106"/>
    </row>
    <row r="80" spans="1:105" x14ac:dyDescent="0.2">
      <c r="A80" s="83" t="s">
        <v>40</v>
      </c>
      <c r="B80" s="131">
        <v>0.25</v>
      </c>
      <c r="C80" s="52" t="s">
        <v>41</v>
      </c>
      <c r="AF80" s="109"/>
      <c r="AG80" s="106"/>
      <c r="AH80" s="106"/>
      <c r="AI80" s="106"/>
      <c r="AJ80" s="106"/>
      <c r="AK80" s="106"/>
    </row>
    <row r="81" spans="1:37" x14ac:dyDescent="0.2">
      <c r="A81" s="92" t="s">
        <v>52</v>
      </c>
      <c r="B81" s="131">
        <v>10950</v>
      </c>
      <c r="C81" s="52" t="s">
        <v>53</v>
      </c>
      <c r="AF81" s="109"/>
      <c r="AG81" s="106"/>
      <c r="AH81" s="106"/>
      <c r="AI81" s="106"/>
      <c r="AJ81" s="106"/>
      <c r="AK81" s="106"/>
    </row>
    <row r="82" spans="1:37" x14ac:dyDescent="0.2">
      <c r="A82" s="92" t="s">
        <v>55</v>
      </c>
      <c r="B82" s="131">
        <v>240</v>
      </c>
      <c r="C82" s="52" t="s">
        <v>56</v>
      </c>
      <c r="AF82" s="109"/>
      <c r="AG82" s="106"/>
      <c r="AH82" s="106"/>
      <c r="AI82" s="106"/>
      <c r="AJ82" s="106"/>
      <c r="AK82" s="106"/>
    </row>
    <row r="83" spans="1:37" x14ac:dyDescent="0.2">
      <c r="A83" s="92" t="s">
        <v>67</v>
      </c>
      <c r="B83" s="131">
        <v>60</v>
      </c>
      <c r="C83" s="83" t="s">
        <v>53</v>
      </c>
      <c r="AF83" s="109"/>
      <c r="AG83" s="106"/>
      <c r="AH83" s="106"/>
      <c r="AI83" s="106"/>
      <c r="AJ83" s="106"/>
      <c r="AK83" s="106"/>
    </row>
    <row r="84" spans="1:37" x14ac:dyDescent="0.2">
      <c r="A84" s="92" t="s">
        <v>68</v>
      </c>
      <c r="B84" s="131">
        <v>2</v>
      </c>
      <c r="C84" s="83" t="s">
        <v>56</v>
      </c>
      <c r="AF84" s="108"/>
      <c r="AG84" s="106"/>
    </row>
    <row r="85" spans="1:37" x14ac:dyDescent="0.2">
      <c r="A85" s="92" t="s">
        <v>70</v>
      </c>
      <c r="B85" s="131">
        <v>2.6999999999999999E-5</v>
      </c>
      <c r="C85" s="52" t="s">
        <v>64</v>
      </c>
      <c r="AF85" s="108"/>
      <c r="AG85" s="106"/>
      <c r="AH85" s="106"/>
      <c r="AI85" s="106"/>
      <c r="AJ85" s="106"/>
      <c r="AK85" s="106"/>
    </row>
    <row r="86" spans="1:37" x14ac:dyDescent="0.2">
      <c r="A86" s="92" t="s">
        <v>73</v>
      </c>
      <c r="B86" s="131">
        <v>1</v>
      </c>
      <c r="C86" s="52" t="s">
        <v>41</v>
      </c>
      <c r="AF86" s="108"/>
      <c r="AG86" s="106"/>
    </row>
    <row r="87" spans="1:37" x14ac:dyDescent="0.2">
      <c r="A87" s="92" t="s">
        <v>74</v>
      </c>
      <c r="B87" s="131">
        <v>14</v>
      </c>
      <c r="C87" s="52" t="s">
        <v>75</v>
      </c>
      <c r="AH87" s="108"/>
      <c r="AI87" s="108"/>
      <c r="AJ87" s="108"/>
      <c r="AK87" s="108"/>
    </row>
    <row r="88" spans="1:37" x14ac:dyDescent="0.2">
      <c r="A88" s="83" t="s">
        <v>408</v>
      </c>
      <c r="B88" s="130">
        <v>5</v>
      </c>
      <c r="C88" s="84" t="s">
        <v>194</v>
      </c>
    </row>
    <row r="89" spans="1:37" x14ac:dyDescent="0.2">
      <c r="A89" s="83" t="s">
        <v>409</v>
      </c>
      <c r="B89" s="130">
        <v>25</v>
      </c>
      <c r="C89" s="84" t="s">
        <v>194</v>
      </c>
    </row>
    <row r="90" spans="1:37" x14ac:dyDescent="0.2">
      <c r="A90" s="83" t="s">
        <v>389</v>
      </c>
      <c r="B90" s="130">
        <v>1</v>
      </c>
      <c r="C90" s="84"/>
    </row>
    <row r="91" spans="1:37" x14ac:dyDescent="0.2">
      <c r="A91" s="385" t="s">
        <v>387</v>
      </c>
      <c r="B91" s="385"/>
      <c r="C91" s="385"/>
    </row>
    <row r="92" spans="1:37" x14ac:dyDescent="0.2">
      <c r="A92" s="52" t="s">
        <v>34</v>
      </c>
      <c r="B92" s="131">
        <v>70</v>
      </c>
      <c r="C92" s="52" t="s">
        <v>60</v>
      </c>
    </row>
    <row r="93" spans="1:37" x14ac:dyDescent="0.2">
      <c r="A93" s="84" t="s">
        <v>38</v>
      </c>
      <c r="B93" s="131">
        <v>0.3</v>
      </c>
      <c r="C93" s="52" t="s">
        <v>391</v>
      </c>
    </row>
    <row r="94" spans="1:37" x14ac:dyDescent="0.2">
      <c r="A94" s="84" t="s">
        <v>42</v>
      </c>
      <c r="B94" s="130">
        <v>1.5</v>
      </c>
      <c r="C94" s="52" t="s">
        <v>286</v>
      </c>
    </row>
    <row r="95" spans="1:37" x14ac:dyDescent="0.2">
      <c r="A95" s="84" t="s">
        <v>47</v>
      </c>
      <c r="B95" s="131">
        <v>1</v>
      </c>
      <c r="C95" s="52" t="s">
        <v>60</v>
      </c>
    </row>
    <row r="96" spans="1:37" x14ac:dyDescent="0.2">
      <c r="A96" s="84" t="s">
        <v>225</v>
      </c>
      <c r="B96" s="130">
        <v>1</v>
      </c>
    </row>
    <row r="97" spans="1:3" x14ac:dyDescent="0.2">
      <c r="A97" s="52" t="s">
        <v>93</v>
      </c>
      <c r="B97" s="130">
        <v>5</v>
      </c>
      <c r="C97" s="52" t="s">
        <v>94</v>
      </c>
    </row>
    <row r="98" spans="1:3" x14ac:dyDescent="0.2">
      <c r="A98" s="52" t="s">
        <v>98</v>
      </c>
      <c r="B98" s="130">
        <v>0.18</v>
      </c>
      <c r="C98" s="52" t="s">
        <v>355</v>
      </c>
    </row>
    <row r="99" spans="1:3" x14ac:dyDescent="0.2">
      <c r="A99" s="52" t="s">
        <v>100</v>
      </c>
      <c r="B99" s="130">
        <v>55</v>
      </c>
      <c r="C99" s="52" t="s">
        <v>97</v>
      </c>
    </row>
    <row r="100" spans="1:3" x14ac:dyDescent="0.2">
      <c r="A100" s="52" t="s">
        <v>101</v>
      </c>
      <c r="B100" s="130">
        <v>5</v>
      </c>
      <c r="C100" s="52" t="s">
        <v>97</v>
      </c>
    </row>
    <row r="101" spans="1:3" x14ac:dyDescent="0.2">
      <c r="A101" s="52" t="s">
        <v>102</v>
      </c>
      <c r="B101" s="130">
        <v>5</v>
      </c>
      <c r="C101" s="52" t="s">
        <v>97</v>
      </c>
    </row>
    <row r="102" spans="1:3" x14ac:dyDescent="0.2">
      <c r="A102" s="384" t="s">
        <v>5</v>
      </c>
      <c r="B102" s="384"/>
      <c r="C102" s="384"/>
    </row>
    <row r="103" spans="1:3" x14ac:dyDescent="0.2">
      <c r="A103" s="83" t="s">
        <v>429</v>
      </c>
      <c r="B103" s="131">
        <v>5</v>
      </c>
      <c r="C103" s="92" t="s">
        <v>407</v>
      </c>
    </row>
    <row r="104" spans="1:3" x14ac:dyDescent="0.2">
      <c r="A104" s="83" t="s">
        <v>430</v>
      </c>
      <c r="B104" s="131">
        <v>10</v>
      </c>
      <c r="C104" s="92" t="s">
        <v>407</v>
      </c>
    </row>
    <row r="105" spans="1:3" x14ac:dyDescent="0.2">
      <c r="A105" s="83" t="s">
        <v>439</v>
      </c>
      <c r="B105" s="130">
        <v>2</v>
      </c>
      <c r="C105" s="83" t="s">
        <v>357</v>
      </c>
    </row>
    <row r="106" spans="1:3" x14ac:dyDescent="0.2">
      <c r="A106" s="83" t="s">
        <v>438</v>
      </c>
      <c r="B106" s="130">
        <v>2</v>
      </c>
      <c r="C106" s="83" t="s">
        <v>357</v>
      </c>
    </row>
    <row r="107" spans="1:3" x14ac:dyDescent="0.2">
      <c r="A107" s="83" t="s">
        <v>441</v>
      </c>
      <c r="B107" s="131">
        <v>100</v>
      </c>
      <c r="C107" s="84" t="s">
        <v>48</v>
      </c>
    </row>
    <row r="108" spans="1:3" x14ac:dyDescent="0.2">
      <c r="A108" s="83" t="s">
        <v>442</v>
      </c>
      <c r="B108" s="131">
        <v>50</v>
      </c>
      <c r="C108" s="84" t="s">
        <v>48</v>
      </c>
    </row>
    <row r="109" spans="1:3" x14ac:dyDescent="0.2">
      <c r="A109" s="52" t="s">
        <v>159</v>
      </c>
      <c r="B109" s="131">
        <v>3</v>
      </c>
      <c r="C109" s="52" t="s">
        <v>221</v>
      </c>
    </row>
    <row r="110" spans="1:3" x14ac:dyDescent="0.2">
      <c r="A110" s="52" t="s">
        <v>160</v>
      </c>
      <c r="B110" s="131">
        <v>3</v>
      </c>
      <c r="C110" s="52" t="s">
        <v>221</v>
      </c>
    </row>
    <row r="111" spans="1:3" x14ac:dyDescent="0.2">
      <c r="A111" s="83" t="s">
        <v>308</v>
      </c>
      <c r="B111" s="130">
        <v>0.23</v>
      </c>
    </row>
    <row r="112" spans="1:3" x14ac:dyDescent="0.2">
      <c r="A112" s="83" t="s">
        <v>309</v>
      </c>
      <c r="B112" s="130">
        <v>0.77</v>
      </c>
    </row>
    <row r="113" spans="1:3" x14ac:dyDescent="0.2">
      <c r="A113" s="52" t="s">
        <v>140</v>
      </c>
      <c r="B113" s="131">
        <v>55</v>
      </c>
      <c r="C113" s="52" t="s">
        <v>24</v>
      </c>
    </row>
    <row r="114" spans="1:3" x14ac:dyDescent="0.2">
      <c r="A114" s="52" t="s">
        <v>433</v>
      </c>
      <c r="B114" s="131">
        <v>55</v>
      </c>
      <c r="C114" s="52" t="s">
        <v>24</v>
      </c>
    </row>
    <row r="115" spans="1:3" x14ac:dyDescent="0.2">
      <c r="A115" s="52" t="s">
        <v>434</v>
      </c>
      <c r="B115" s="131">
        <v>55</v>
      </c>
      <c r="C115" s="52" t="s">
        <v>24</v>
      </c>
    </row>
    <row r="116" spans="1:3" x14ac:dyDescent="0.2">
      <c r="A116" s="52" t="s">
        <v>431</v>
      </c>
      <c r="B116" s="130">
        <v>5</v>
      </c>
      <c r="C116" s="52" t="s">
        <v>194</v>
      </c>
    </row>
    <row r="117" spans="1:3" x14ac:dyDescent="0.2">
      <c r="A117" s="52" t="s">
        <v>432</v>
      </c>
      <c r="B117" s="130">
        <v>5</v>
      </c>
      <c r="C117" s="52" t="s">
        <v>194</v>
      </c>
    </row>
    <row r="118" spans="1:3" x14ac:dyDescent="0.2">
      <c r="A118" s="52" t="s">
        <v>90</v>
      </c>
      <c r="B118" s="131">
        <v>5</v>
      </c>
      <c r="C118" s="52" t="s">
        <v>194</v>
      </c>
    </row>
    <row r="119" spans="1:3" x14ac:dyDescent="0.2">
      <c r="A119" s="52" t="s">
        <v>443</v>
      </c>
      <c r="B119" s="131">
        <v>5</v>
      </c>
      <c r="C119" s="52" t="s">
        <v>89</v>
      </c>
    </row>
    <row r="120" spans="1:3" x14ac:dyDescent="0.2">
      <c r="A120" s="52" t="s">
        <v>444</v>
      </c>
      <c r="B120" s="131">
        <v>5</v>
      </c>
      <c r="C120" s="52" t="s">
        <v>89</v>
      </c>
    </row>
    <row r="121" spans="1:3" x14ac:dyDescent="0.2">
      <c r="A121" s="83" t="s">
        <v>301</v>
      </c>
      <c r="B121" s="131">
        <v>2</v>
      </c>
    </row>
    <row r="122" spans="1:3" x14ac:dyDescent="0.2">
      <c r="A122" s="83" t="s">
        <v>433</v>
      </c>
      <c r="B122" s="130">
        <v>55</v>
      </c>
      <c r="C122" s="83" t="s">
        <v>24</v>
      </c>
    </row>
    <row r="123" spans="1:3" x14ac:dyDescent="0.2">
      <c r="A123" s="83" t="s">
        <v>434</v>
      </c>
      <c r="B123" s="130">
        <v>55</v>
      </c>
      <c r="C123" s="83" t="s">
        <v>24</v>
      </c>
    </row>
    <row r="124" spans="1:3" x14ac:dyDescent="0.2">
      <c r="A124" s="83" t="s">
        <v>435</v>
      </c>
      <c r="B124" s="131">
        <v>5</v>
      </c>
      <c r="C124" s="52" t="s">
        <v>80</v>
      </c>
    </row>
    <row r="125" spans="1:3" x14ac:dyDescent="0.2">
      <c r="A125" s="83" t="s">
        <v>436</v>
      </c>
      <c r="B125" s="131">
        <v>5</v>
      </c>
      <c r="C125" s="52" t="s">
        <v>80</v>
      </c>
    </row>
    <row r="126" spans="1:3" x14ac:dyDescent="0.2">
      <c r="A126" s="83" t="s">
        <v>65</v>
      </c>
      <c r="B126" s="130">
        <v>0.5</v>
      </c>
      <c r="C126" s="52" t="s">
        <v>66</v>
      </c>
    </row>
    <row r="127" spans="1:3" x14ac:dyDescent="0.2">
      <c r="A127" s="52" t="s">
        <v>51</v>
      </c>
      <c r="B127" s="131">
        <v>1</v>
      </c>
      <c r="C127" s="52" t="s">
        <v>60</v>
      </c>
    </row>
    <row r="128" spans="1:3" x14ac:dyDescent="0.2">
      <c r="A128" s="52" t="s">
        <v>159</v>
      </c>
      <c r="B128" s="130">
        <v>3</v>
      </c>
      <c r="C128" s="52" t="s">
        <v>221</v>
      </c>
    </row>
    <row r="129" spans="1:3" x14ac:dyDescent="0.2">
      <c r="A129" s="84" t="s">
        <v>164</v>
      </c>
      <c r="B129" s="130">
        <v>2</v>
      </c>
      <c r="C129" s="52" t="s">
        <v>246</v>
      </c>
    </row>
    <row r="130" spans="1:3" x14ac:dyDescent="0.2">
      <c r="A130" s="84" t="s">
        <v>161</v>
      </c>
      <c r="B130" s="130">
        <v>2</v>
      </c>
      <c r="C130" s="52" t="s">
        <v>246</v>
      </c>
    </row>
    <row r="131" spans="1:3" x14ac:dyDescent="0.2">
      <c r="A131" s="84" t="s">
        <v>162</v>
      </c>
      <c r="B131" s="130">
        <v>2</v>
      </c>
      <c r="C131" s="52" t="s">
        <v>41</v>
      </c>
    </row>
    <row r="132" spans="1:3" x14ac:dyDescent="0.2">
      <c r="A132" s="84" t="s">
        <v>163</v>
      </c>
      <c r="B132" s="130">
        <v>2</v>
      </c>
      <c r="C132" s="52" t="s">
        <v>41</v>
      </c>
    </row>
    <row r="133" spans="1:3" x14ac:dyDescent="0.2">
      <c r="A133" s="84" t="s">
        <v>169</v>
      </c>
      <c r="B133" s="130">
        <v>2</v>
      </c>
      <c r="C133" s="52" t="s">
        <v>28</v>
      </c>
    </row>
    <row r="134" spans="1:3" x14ac:dyDescent="0.2">
      <c r="A134" s="52" t="s">
        <v>160</v>
      </c>
      <c r="B134" s="130">
        <v>3</v>
      </c>
      <c r="C134" s="52" t="s">
        <v>221</v>
      </c>
    </row>
    <row r="135" spans="1:3" x14ac:dyDescent="0.2">
      <c r="A135" s="52" t="s">
        <v>165</v>
      </c>
      <c r="B135" s="130">
        <v>2</v>
      </c>
      <c r="C135" s="52" t="s">
        <v>246</v>
      </c>
    </row>
    <row r="136" spans="1:3" x14ac:dyDescent="0.2">
      <c r="A136" s="52" t="s">
        <v>166</v>
      </c>
      <c r="B136" s="130">
        <v>2</v>
      </c>
      <c r="C136" s="52" t="s">
        <v>246</v>
      </c>
    </row>
    <row r="137" spans="1:3" x14ac:dyDescent="0.2">
      <c r="A137" s="93" t="s">
        <v>167</v>
      </c>
      <c r="B137" s="130">
        <v>2</v>
      </c>
      <c r="C137" s="52" t="s">
        <v>41</v>
      </c>
    </row>
    <row r="138" spans="1:3" x14ac:dyDescent="0.2">
      <c r="A138" s="83" t="s">
        <v>168</v>
      </c>
      <c r="B138" s="130">
        <v>2</v>
      </c>
      <c r="C138" s="52" t="s">
        <v>41</v>
      </c>
    </row>
    <row r="139" spans="1:3" x14ac:dyDescent="0.2">
      <c r="A139" s="84" t="s">
        <v>170</v>
      </c>
      <c r="B139" s="130">
        <v>2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100</v>
      </c>
      <c r="C141" s="84" t="s">
        <v>48</v>
      </c>
    </row>
    <row r="142" spans="1:3" x14ac:dyDescent="0.2">
      <c r="A142" s="83" t="s">
        <v>458</v>
      </c>
      <c r="B142" s="130">
        <v>50</v>
      </c>
      <c r="C142" s="84" t="s">
        <v>48</v>
      </c>
    </row>
    <row r="143" spans="1:3" x14ac:dyDescent="0.2">
      <c r="A143" s="92" t="s">
        <v>451</v>
      </c>
      <c r="B143" s="131">
        <v>0.25</v>
      </c>
      <c r="C143" s="83" t="s">
        <v>28</v>
      </c>
    </row>
    <row r="144" spans="1:3" x14ac:dyDescent="0.2">
      <c r="A144" s="92" t="s">
        <v>460</v>
      </c>
      <c r="B144" s="131">
        <v>1.5</v>
      </c>
      <c r="C144" s="83" t="s">
        <v>28</v>
      </c>
    </row>
    <row r="145" spans="1:3" ht="15" x14ac:dyDescent="0.2">
      <c r="A145" s="92" t="s">
        <v>450</v>
      </c>
      <c r="B145" s="131">
        <v>5</v>
      </c>
      <c r="C145" s="83" t="s">
        <v>143</v>
      </c>
    </row>
    <row r="146" spans="1:3" ht="15" x14ac:dyDescent="0.2">
      <c r="A146" s="92" t="s">
        <v>459</v>
      </c>
      <c r="B146" s="131">
        <v>10</v>
      </c>
      <c r="C146" s="83" t="s">
        <v>143</v>
      </c>
    </row>
    <row r="147" spans="1:3" x14ac:dyDescent="0.2">
      <c r="A147" s="83" t="s">
        <v>467</v>
      </c>
      <c r="B147" s="130">
        <v>55</v>
      </c>
      <c r="C147" s="92" t="s">
        <v>221</v>
      </c>
    </row>
    <row r="148" spans="1:3" x14ac:dyDescent="0.2">
      <c r="A148" s="83" t="s">
        <v>468</v>
      </c>
      <c r="B148" s="130">
        <v>55</v>
      </c>
      <c r="C148" s="92" t="s">
        <v>221</v>
      </c>
    </row>
    <row r="149" spans="1:3" x14ac:dyDescent="0.2">
      <c r="A149" s="83" t="s">
        <v>469</v>
      </c>
      <c r="B149" s="130">
        <v>55</v>
      </c>
      <c r="C149" s="92" t="s">
        <v>221</v>
      </c>
    </row>
    <row r="150" spans="1:3" x14ac:dyDescent="0.2">
      <c r="A150" s="83" t="s">
        <v>470</v>
      </c>
      <c r="B150" s="130">
        <v>55</v>
      </c>
      <c r="C150" s="92" t="s">
        <v>221</v>
      </c>
    </row>
    <row r="151" spans="1:3" x14ac:dyDescent="0.2">
      <c r="A151" s="83" t="s">
        <v>452</v>
      </c>
      <c r="B151" s="130">
        <v>55</v>
      </c>
      <c r="C151" s="92" t="s">
        <v>221</v>
      </c>
    </row>
    <row r="152" spans="1:3" x14ac:dyDescent="0.2">
      <c r="A152" s="83" t="s">
        <v>461</v>
      </c>
      <c r="B152" s="130">
        <v>55</v>
      </c>
      <c r="C152" s="92" t="s">
        <v>221</v>
      </c>
    </row>
    <row r="153" spans="1:3" x14ac:dyDescent="0.2">
      <c r="A153" s="83" t="s">
        <v>453</v>
      </c>
      <c r="B153" s="130">
        <v>55</v>
      </c>
      <c r="C153" s="92" t="s">
        <v>221</v>
      </c>
    </row>
    <row r="154" spans="1:3" x14ac:dyDescent="0.2">
      <c r="A154" s="83" t="s">
        <v>462</v>
      </c>
      <c r="B154" s="130">
        <v>55</v>
      </c>
      <c r="C154" s="92" t="s">
        <v>221</v>
      </c>
    </row>
    <row r="155" spans="1:3" x14ac:dyDescent="0.2">
      <c r="A155" s="83" t="s">
        <v>454</v>
      </c>
      <c r="B155" s="130">
        <v>55</v>
      </c>
      <c r="C155" s="92" t="s">
        <v>221</v>
      </c>
    </row>
    <row r="156" spans="1:3" x14ac:dyDescent="0.2">
      <c r="A156" s="83" t="s">
        <v>463</v>
      </c>
      <c r="B156" s="130">
        <v>55</v>
      </c>
      <c r="C156" s="92" t="s">
        <v>221</v>
      </c>
    </row>
    <row r="157" spans="1:3" x14ac:dyDescent="0.2">
      <c r="A157" s="83" t="s">
        <v>471</v>
      </c>
      <c r="B157" s="130">
        <v>55</v>
      </c>
      <c r="C157" s="92" t="s">
        <v>221</v>
      </c>
    </row>
    <row r="158" spans="1:3" x14ac:dyDescent="0.2">
      <c r="A158" s="83" t="s">
        <v>472</v>
      </c>
      <c r="B158" s="130">
        <v>55</v>
      </c>
      <c r="C158" s="92" t="s">
        <v>221</v>
      </c>
    </row>
    <row r="159" spans="1:3" x14ac:dyDescent="0.2">
      <c r="A159" s="83" t="s">
        <v>473</v>
      </c>
      <c r="B159" s="130">
        <v>55</v>
      </c>
      <c r="C159" s="92" t="s">
        <v>221</v>
      </c>
    </row>
    <row r="160" spans="1:3" x14ac:dyDescent="0.2">
      <c r="A160" s="83" t="s">
        <v>474</v>
      </c>
      <c r="B160" s="130">
        <v>55</v>
      </c>
      <c r="C160" s="92" t="s">
        <v>221</v>
      </c>
    </row>
    <row r="161" spans="1:3" x14ac:dyDescent="0.2">
      <c r="A161" s="83" t="s">
        <v>455</v>
      </c>
      <c r="B161" s="130">
        <v>55</v>
      </c>
      <c r="C161" s="92" t="s">
        <v>221</v>
      </c>
    </row>
    <row r="162" spans="1:3" x14ac:dyDescent="0.2">
      <c r="A162" s="83" t="s">
        <v>464</v>
      </c>
      <c r="B162" s="130">
        <v>55</v>
      </c>
      <c r="C162" s="92" t="s">
        <v>221</v>
      </c>
    </row>
    <row r="163" spans="1:3" x14ac:dyDescent="0.2">
      <c r="A163" s="83" t="s">
        <v>475</v>
      </c>
      <c r="B163" s="130">
        <v>0.15</v>
      </c>
      <c r="C163" s="88"/>
    </row>
    <row r="164" spans="1:3" x14ac:dyDescent="0.2">
      <c r="A164" s="83" t="s">
        <v>476</v>
      </c>
      <c r="B164" s="130">
        <v>0.85</v>
      </c>
      <c r="C164" s="88"/>
    </row>
    <row r="165" spans="1:3" x14ac:dyDescent="0.2">
      <c r="A165" s="83" t="s">
        <v>456</v>
      </c>
      <c r="B165" s="130">
        <v>150</v>
      </c>
      <c r="C165" s="83" t="s">
        <v>24</v>
      </c>
    </row>
    <row r="166" spans="1:3" x14ac:dyDescent="0.2">
      <c r="A166" s="83" t="s">
        <v>465</v>
      </c>
      <c r="B166" s="130">
        <v>150</v>
      </c>
      <c r="C166" s="83" t="s">
        <v>24</v>
      </c>
    </row>
    <row r="167" spans="1:3" x14ac:dyDescent="0.2">
      <c r="A167" s="52" t="s">
        <v>362</v>
      </c>
      <c r="B167" s="131">
        <v>150</v>
      </c>
      <c r="C167" s="83" t="s">
        <v>24</v>
      </c>
    </row>
    <row r="168" spans="1:3" x14ac:dyDescent="0.2">
      <c r="A168" s="83" t="s">
        <v>363</v>
      </c>
      <c r="B168" s="130">
        <v>1</v>
      </c>
      <c r="C168" s="92" t="s">
        <v>60</v>
      </c>
    </row>
    <row r="169" spans="1:3" x14ac:dyDescent="0.2">
      <c r="A169" s="83" t="s">
        <v>364</v>
      </c>
      <c r="B169" s="130">
        <v>24</v>
      </c>
      <c r="C169" s="94" t="s">
        <v>194</v>
      </c>
    </row>
    <row r="170" spans="1:3" x14ac:dyDescent="0.2">
      <c r="A170" s="83" t="s">
        <v>365</v>
      </c>
      <c r="B170" s="130">
        <v>24</v>
      </c>
      <c r="C170" s="52" t="s">
        <v>194</v>
      </c>
    </row>
    <row r="171" spans="1:3" x14ac:dyDescent="0.2">
      <c r="A171" s="83" t="s">
        <v>361</v>
      </c>
      <c r="B171" s="130">
        <v>1</v>
      </c>
    </row>
    <row r="172" spans="1:3" x14ac:dyDescent="0.2">
      <c r="A172" s="83" t="s">
        <v>507</v>
      </c>
      <c r="B172" s="130">
        <v>15</v>
      </c>
      <c r="C172" s="84" t="s">
        <v>194</v>
      </c>
    </row>
    <row r="173" spans="1:3" x14ac:dyDescent="0.2">
      <c r="A173" s="83" t="s">
        <v>508</v>
      </c>
      <c r="B173" s="130">
        <v>5</v>
      </c>
      <c r="C173" s="84" t="s">
        <v>194</v>
      </c>
    </row>
    <row r="174" spans="1:3" x14ac:dyDescent="0.2">
      <c r="A174" s="83" t="s">
        <v>88</v>
      </c>
      <c r="B174" s="130">
        <v>0.4</v>
      </c>
    </row>
    <row r="175" spans="1:3" x14ac:dyDescent="0.2">
      <c r="A175" s="83" t="s">
        <v>303</v>
      </c>
      <c r="B175" s="130">
        <v>1</v>
      </c>
    </row>
    <row r="176" spans="1:3" x14ac:dyDescent="0.2">
      <c r="A176" s="83" t="s">
        <v>301</v>
      </c>
      <c r="B176" s="131">
        <v>2</v>
      </c>
    </row>
    <row r="177" spans="1:3" x14ac:dyDescent="0.2">
      <c r="A177" s="92" t="s">
        <v>457</v>
      </c>
      <c r="B177" s="130">
        <v>5</v>
      </c>
      <c r="C177" s="92" t="s">
        <v>144</v>
      </c>
    </row>
    <row r="178" spans="1:3" x14ac:dyDescent="0.2">
      <c r="A178" s="92" t="s">
        <v>466</v>
      </c>
      <c r="B178" s="130">
        <v>5</v>
      </c>
      <c r="C178" s="92" t="s">
        <v>144</v>
      </c>
    </row>
    <row r="179" spans="1:3" x14ac:dyDescent="0.2">
      <c r="A179" s="52" t="s">
        <v>477</v>
      </c>
      <c r="B179" s="130">
        <v>0.25</v>
      </c>
      <c r="C179" s="92" t="s">
        <v>358</v>
      </c>
    </row>
    <row r="180" spans="1:3" x14ac:dyDescent="0.2">
      <c r="A180" s="52" t="s">
        <v>478</v>
      </c>
      <c r="B180" s="130">
        <v>0.85</v>
      </c>
      <c r="C180" s="92" t="s">
        <v>358</v>
      </c>
    </row>
    <row r="181" spans="1:3" x14ac:dyDescent="0.2">
      <c r="A181" s="84" t="s">
        <v>65</v>
      </c>
      <c r="B181" s="130">
        <v>0.5</v>
      </c>
      <c r="C181" s="92" t="s">
        <v>600</v>
      </c>
    </row>
    <row r="182" spans="1:3" x14ac:dyDescent="0.2">
      <c r="A182" s="92" t="s">
        <v>361</v>
      </c>
      <c r="B182" s="130">
        <v>1</v>
      </c>
    </row>
    <row r="183" spans="1:3" x14ac:dyDescent="0.2">
      <c r="A183" s="92" t="s">
        <v>479</v>
      </c>
      <c r="B183" s="130">
        <v>1</v>
      </c>
    </row>
    <row r="184" spans="1:3" x14ac:dyDescent="0.2">
      <c r="A184" s="92" t="s">
        <v>480</v>
      </c>
      <c r="B184" s="130">
        <v>1</v>
      </c>
    </row>
    <row r="185" spans="1:3" x14ac:dyDescent="0.2">
      <c r="A185" s="92" t="s">
        <v>481</v>
      </c>
      <c r="B185" s="130">
        <v>1</v>
      </c>
    </row>
    <row r="186" spans="1:3" x14ac:dyDescent="0.2">
      <c r="A186" s="92" t="s">
        <v>482</v>
      </c>
      <c r="B186" s="130">
        <v>1</v>
      </c>
    </row>
    <row r="187" spans="1:3" x14ac:dyDescent="0.2">
      <c r="A187" s="92" t="s">
        <v>483</v>
      </c>
      <c r="B187" s="130">
        <v>1</v>
      </c>
    </row>
    <row r="188" spans="1:3" x14ac:dyDescent="0.2">
      <c r="A188" s="92" t="s">
        <v>484</v>
      </c>
      <c r="B188" s="131">
        <v>1</v>
      </c>
    </row>
    <row r="189" spans="1:3" x14ac:dyDescent="0.2">
      <c r="A189" s="83" t="s">
        <v>36</v>
      </c>
      <c r="B189" s="131">
        <v>3.62</v>
      </c>
      <c r="C189" s="52" t="s">
        <v>37</v>
      </c>
    </row>
    <row r="190" spans="1:3" x14ac:dyDescent="0.2">
      <c r="A190" s="83" t="s">
        <v>40</v>
      </c>
      <c r="B190" s="131">
        <v>0.25</v>
      </c>
      <c r="C190" s="52" t="s">
        <v>41</v>
      </c>
    </row>
    <row r="191" spans="1:3" x14ac:dyDescent="0.2">
      <c r="A191" s="92" t="s">
        <v>52</v>
      </c>
      <c r="B191" s="131">
        <v>10950</v>
      </c>
      <c r="C191" s="52" t="s">
        <v>53</v>
      </c>
    </row>
    <row r="192" spans="1:3" x14ac:dyDescent="0.2">
      <c r="A192" s="92" t="s">
        <v>55</v>
      </c>
      <c r="B192" s="131">
        <v>240</v>
      </c>
      <c r="C192" s="52" t="s">
        <v>56</v>
      </c>
    </row>
    <row r="193" spans="1:3" x14ac:dyDescent="0.2">
      <c r="A193" s="92" t="s">
        <v>61</v>
      </c>
      <c r="B193" s="131">
        <v>0.42</v>
      </c>
      <c r="C193" s="52" t="s">
        <v>41</v>
      </c>
    </row>
    <row r="194" spans="1:3" x14ac:dyDescent="0.2">
      <c r="A194" s="92" t="s">
        <v>67</v>
      </c>
      <c r="B194" s="131">
        <v>60</v>
      </c>
      <c r="C194" s="83" t="s">
        <v>53</v>
      </c>
    </row>
    <row r="195" spans="1:3" x14ac:dyDescent="0.2">
      <c r="A195" s="92" t="s">
        <v>68</v>
      </c>
      <c r="B195" s="131">
        <v>2</v>
      </c>
      <c r="C195" s="83" t="s">
        <v>56</v>
      </c>
    </row>
    <row r="196" spans="1:3" x14ac:dyDescent="0.2">
      <c r="A196" s="92" t="s">
        <v>70</v>
      </c>
      <c r="B196" s="131">
        <v>2.6999999999999999E-5</v>
      </c>
      <c r="C196" s="52" t="s">
        <v>64</v>
      </c>
    </row>
    <row r="197" spans="1:3" x14ac:dyDescent="0.2">
      <c r="A197" s="92" t="s">
        <v>73</v>
      </c>
      <c r="B197" s="131">
        <v>1</v>
      </c>
      <c r="C197" s="52" t="s">
        <v>41</v>
      </c>
    </row>
    <row r="198" spans="1:3" x14ac:dyDescent="0.2">
      <c r="A198" s="92" t="s">
        <v>74</v>
      </c>
      <c r="B198" s="131">
        <v>14</v>
      </c>
      <c r="C198" s="52" t="s">
        <v>75</v>
      </c>
    </row>
    <row r="199" spans="1:3" x14ac:dyDescent="0.2">
      <c r="A199" s="83" t="s">
        <v>27</v>
      </c>
      <c r="B199" s="131">
        <v>92</v>
      </c>
      <c r="C199" s="83" t="s">
        <v>28</v>
      </c>
    </row>
    <row r="200" spans="1:3" x14ac:dyDescent="0.2">
      <c r="A200" s="52" t="s">
        <v>285</v>
      </c>
      <c r="B200" s="130">
        <v>1.03</v>
      </c>
      <c r="C200" s="52" t="s">
        <v>286</v>
      </c>
    </row>
    <row r="201" spans="1:3" x14ac:dyDescent="0.2">
      <c r="A201" s="83" t="s">
        <v>498</v>
      </c>
      <c r="B201" s="131">
        <v>20.3</v>
      </c>
      <c r="C201" s="52" t="s">
        <v>246</v>
      </c>
    </row>
    <row r="202" spans="1:3" x14ac:dyDescent="0.2">
      <c r="A202" s="83" t="s">
        <v>499</v>
      </c>
      <c r="B202" s="131">
        <v>0.04</v>
      </c>
      <c r="C202" s="52" t="s">
        <v>246</v>
      </c>
    </row>
    <row r="203" spans="1:3" x14ac:dyDescent="0.2">
      <c r="A203" s="83" t="s">
        <v>500</v>
      </c>
      <c r="B203" s="131">
        <v>1</v>
      </c>
    </row>
    <row r="204" spans="1:3" x14ac:dyDescent="0.2">
      <c r="A204" s="83" t="s">
        <v>501</v>
      </c>
      <c r="B204" s="131">
        <v>1</v>
      </c>
    </row>
    <row r="205" spans="1:3" x14ac:dyDescent="0.2">
      <c r="A205" s="83" t="s">
        <v>29</v>
      </c>
      <c r="B205" s="131">
        <v>53</v>
      </c>
      <c r="C205" s="83" t="s">
        <v>28</v>
      </c>
    </row>
    <row r="206" spans="1:3" x14ac:dyDescent="0.2">
      <c r="A206" s="83" t="s">
        <v>494</v>
      </c>
      <c r="B206" s="131">
        <v>11.77</v>
      </c>
      <c r="C206" s="52" t="s">
        <v>246</v>
      </c>
    </row>
    <row r="207" spans="1:3" x14ac:dyDescent="0.2">
      <c r="A207" s="83" t="s">
        <v>495</v>
      </c>
      <c r="B207" s="131">
        <v>0.5</v>
      </c>
      <c r="C207" s="52" t="s">
        <v>246</v>
      </c>
    </row>
    <row r="208" spans="1:3" x14ac:dyDescent="0.2">
      <c r="A208" s="83" t="s">
        <v>496</v>
      </c>
      <c r="B208" s="131">
        <v>1</v>
      </c>
    </row>
    <row r="209" spans="1:3" x14ac:dyDescent="0.2">
      <c r="A209" s="83" t="s">
        <v>497</v>
      </c>
      <c r="B209" s="131">
        <v>1</v>
      </c>
    </row>
    <row r="210" spans="1:3" x14ac:dyDescent="0.2">
      <c r="A210" s="83" t="s">
        <v>148</v>
      </c>
      <c r="B210" s="130">
        <v>0.4</v>
      </c>
      <c r="C210" s="83" t="s">
        <v>28</v>
      </c>
    </row>
    <row r="211" spans="1:3" x14ac:dyDescent="0.2">
      <c r="A211" s="83" t="s">
        <v>152</v>
      </c>
      <c r="B211" s="131">
        <v>0.2</v>
      </c>
      <c r="C211" s="52" t="s">
        <v>246</v>
      </c>
    </row>
    <row r="212" spans="1:3" x14ac:dyDescent="0.2">
      <c r="A212" s="83" t="s">
        <v>151</v>
      </c>
      <c r="B212" s="131">
        <v>2.1999999999999999E-2</v>
      </c>
      <c r="C212" s="52" t="s">
        <v>246</v>
      </c>
    </row>
    <row r="213" spans="1:3" x14ac:dyDescent="0.2">
      <c r="A213" s="83" t="s">
        <v>153</v>
      </c>
      <c r="B213" s="130">
        <v>1</v>
      </c>
    </row>
    <row r="214" spans="1:3" x14ac:dyDescent="0.2">
      <c r="A214" s="83" t="s">
        <v>154</v>
      </c>
      <c r="B214" s="130">
        <v>1</v>
      </c>
    </row>
    <row r="215" spans="1:3" x14ac:dyDescent="0.2">
      <c r="A215" s="83" t="s">
        <v>485</v>
      </c>
      <c r="B215" s="130">
        <v>0.4</v>
      </c>
      <c r="C215" s="83" t="s">
        <v>28</v>
      </c>
    </row>
    <row r="216" spans="1:3" x14ac:dyDescent="0.2">
      <c r="A216" s="83" t="s">
        <v>486</v>
      </c>
      <c r="B216" s="131">
        <v>0.2</v>
      </c>
      <c r="C216" s="52" t="s">
        <v>246</v>
      </c>
    </row>
    <row r="217" spans="1:3" x14ac:dyDescent="0.2">
      <c r="A217" s="83" t="s">
        <v>487</v>
      </c>
      <c r="B217" s="131">
        <v>2.1999999999999999E-2</v>
      </c>
      <c r="C217" s="52" t="s">
        <v>246</v>
      </c>
    </row>
    <row r="218" spans="1:3" x14ac:dyDescent="0.2">
      <c r="A218" s="83" t="s">
        <v>488</v>
      </c>
      <c r="B218" s="131">
        <v>1</v>
      </c>
    </row>
    <row r="219" spans="1:3" x14ac:dyDescent="0.2">
      <c r="A219" s="83" t="s">
        <v>489</v>
      </c>
      <c r="B219" s="131">
        <v>1</v>
      </c>
    </row>
    <row r="220" spans="1:3" x14ac:dyDescent="0.2">
      <c r="A220" s="83" t="s">
        <v>150</v>
      </c>
      <c r="B220" s="131">
        <v>11.4</v>
      </c>
      <c r="C220" s="83" t="s">
        <v>28</v>
      </c>
    </row>
    <row r="221" spans="1:3" x14ac:dyDescent="0.2">
      <c r="A221" s="83" t="s">
        <v>490</v>
      </c>
      <c r="B221" s="131">
        <v>4.7</v>
      </c>
      <c r="C221" s="52" t="s">
        <v>246</v>
      </c>
    </row>
    <row r="222" spans="1:3" x14ac:dyDescent="0.2">
      <c r="A222" s="83" t="s">
        <v>491</v>
      </c>
      <c r="B222" s="131">
        <v>0.37</v>
      </c>
      <c r="C222" s="52" t="s">
        <v>246</v>
      </c>
    </row>
    <row r="223" spans="1:3" x14ac:dyDescent="0.2">
      <c r="A223" s="83" t="s">
        <v>492</v>
      </c>
      <c r="B223" s="131">
        <v>1</v>
      </c>
    </row>
    <row r="224" spans="1:3" x14ac:dyDescent="0.2">
      <c r="A224" s="83" t="s">
        <v>493</v>
      </c>
      <c r="B224" s="131">
        <v>1</v>
      </c>
    </row>
    <row r="225" spans="1:3" x14ac:dyDescent="0.2">
      <c r="A225" s="370" t="s">
        <v>311</v>
      </c>
      <c r="B225" s="370"/>
      <c r="C225" s="370"/>
    </row>
    <row r="226" spans="1:3" x14ac:dyDescent="0.2">
      <c r="A226" s="52" t="s">
        <v>504</v>
      </c>
      <c r="B226" s="130">
        <v>50</v>
      </c>
      <c r="C226" s="84" t="s">
        <v>407</v>
      </c>
    </row>
    <row r="227" spans="1:3" x14ac:dyDescent="0.2">
      <c r="A227" s="83" t="s">
        <v>316</v>
      </c>
      <c r="B227" s="130">
        <v>125</v>
      </c>
      <c r="C227" s="52" t="s">
        <v>24</v>
      </c>
    </row>
    <row r="228" spans="1:3" x14ac:dyDescent="0.2">
      <c r="A228" s="83" t="s">
        <v>422</v>
      </c>
      <c r="B228" s="131">
        <v>1</v>
      </c>
      <c r="C228" s="52" t="s">
        <v>60</v>
      </c>
    </row>
    <row r="229" spans="1:3" x14ac:dyDescent="0.2">
      <c r="A229" s="83" t="s">
        <v>317</v>
      </c>
      <c r="B229" s="130">
        <v>50</v>
      </c>
      <c r="C229" s="84" t="s">
        <v>48</v>
      </c>
    </row>
    <row r="230" spans="1:3" x14ac:dyDescent="0.2">
      <c r="A230" s="52" t="s">
        <v>318</v>
      </c>
      <c r="B230" s="131">
        <v>2</v>
      </c>
    </row>
    <row r="231" spans="1:3" x14ac:dyDescent="0.2">
      <c r="A231" s="83" t="s">
        <v>299</v>
      </c>
      <c r="B231" s="131">
        <v>1</v>
      </c>
    </row>
    <row r="232" spans="1:3" x14ac:dyDescent="0.2">
      <c r="A232" s="83" t="s">
        <v>83</v>
      </c>
      <c r="B232" s="130">
        <v>5</v>
      </c>
      <c r="C232" s="52" t="s">
        <v>194</v>
      </c>
    </row>
    <row r="233" spans="1:3" x14ac:dyDescent="0.2">
      <c r="A233" s="83" t="s">
        <v>85</v>
      </c>
      <c r="B233" s="130">
        <v>5</v>
      </c>
      <c r="C233" s="52" t="s">
        <v>194</v>
      </c>
    </row>
    <row r="234" spans="1:3" x14ac:dyDescent="0.2">
      <c r="A234" s="83" t="s">
        <v>88</v>
      </c>
      <c r="B234" s="130">
        <v>0.4</v>
      </c>
    </row>
    <row r="235" spans="1:3" x14ac:dyDescent="0.2">
      <c r="A235" s="370" t="s">
        <v>312</v>
      </c>
      <c r="B235" s="370"/>
      <c r="C235" s="370"/>
    </row>
    <row r="236" spans="1:3" x14ac:dyDescent="0.2">
      <c r="A236" s="52" t="s">
        <v>304</v>
      </c>
      <c r="B236" s="130">
        <v>50</v>
      </c>
      <c r="C236" s="84" t="s">
        <v>407</v>
      </c>
    </row>
    <row r="237" spans="1:3" x14ac:dyDescent="0.2">
      <c r="A237" s="83" t="s">
        <v>35</v>
      </c>
      <c r="B237" s="130">
        <v>125</v>
      </c>
      <c r="C237" s="52" t="s">
        <v>24</v>
      </c>
    </row>
    <row r="238" spans="1:3" x14ac:dyDescent="0.2">
      <c r="A238" s="83" t="s">
        <v>420</v>
      </c>
      <c r="B238" s="131">
        <v>1</v>
      </c>
      <c r="C238" s="52" t="s">
        <v>60</v>
      </c>
    </row>
    <row r="239" spans="1:3" x14ac:dyDescent="0.2">
      <c r="A239" s="83" t="s">
        <v>62</v>
      </c>
      <c r="B239" s="130">
        <v>50</v>
      </c>
      <c r="C239" s="84" t="s">
        <v>48</v>
      </c>
    </row>
    <row r="240" spans="1:3" x14ac:dyDescent="0.2">
      <c r="A240" s="52" t="s">
        <v>318</v>
      </c>
      <c r="B240" s="131">
        <v>2</v>
      </c>
    </row>
    <row r="241" spans="1:3" x14ac:dyDescent="0.2">
      <c r="A241" s="83" t="s">
        <v>299</v>
      </c>
      <c r="B241" s="131">
        <v>1</v>
      </c>
    </row>
    <row r="242" spans="1:3" x14ac:dyDescent="0.2">
      <c r="A242" s="83" t="s">
        <v>83</v>
      </c>
      <c r="B242" s="130">
        <v>5</v>
      </c>
      <c r="C242" s="52" t="s">
        <v>194</v>
      </c>
    </row>
    <row r="243" spans="1:3" x14ac:dyDescent="0.2">
      <c r="A243" s="83" t="s">
        <v>85</v>
      </c>
      <c r="B243" s="130">
        <v>5</v>
      </c>
      <c r="C243" s="52" t="s">
        <v>194</v>
      </c>
    </row>
    <row r="244" spans="1:3" x14ac:dyDescent="0.2">
      <c r="A244" s="83" t="s">
        <v>88</v>
      </c>
      <c r="B244" s="130">
        <v>0.4</v>
      </c>
    </row>
    <row r="245" spans="1:3" x14ac:dyDescent="0.2">
      <c r="A245" s="370" t="s">
        <v>313</v>
      </c>
      <c r="B245" s="370"/>
      <c r="C245" s="370"/>
    </row>
    <row r="246" spans="1:3" x14ac:dyDescent="0.2">
      <c r="A246" s="52" t="s">
        <v>50</v>
      </c>
      <c r="B246" s="130">
        <v>50</v>
      </c>
      <c r="C246" s="84" t="s">
        <v>407</v>
      </c>
    </row>
    <row r="247" spans="1:3" x14ac:dyDescent="0.2">
      <c r="A247" s="83" t="s">
        <v>423</v>
      </c>
      <c r="B247" s="130">
        <v>125</v>
      </c>
      <c r="C247" s="52" t="s">
        <v>24</v>
      </c>
    </row>
    <row r="248" spans="1:3" x14ac:dyDescent="0.2">
      <c r="A248" s="83" t="s">
        <v>424</v>
      </c>
      <c r="B248" s="131">
        <v>1</v>
      </c>
      <c r="C248" s="52" t="s">
        <v>60</v>
      </c>
    </row>
    <row r="249" spans="1:3" x14ac:dyDescent="0.2">
      <c r="A249" s="83" t="s">
        <v>503</v>
      </c>
      <c r="B249" s="130">
        <v>50</v>
      </c>
      <c r="C249" s="84" t="s">
        <v>48</v>
      </c>
    </row>
    <row r="250" spans="1:3" x14ac:dyDescent="0.2">
      <c r="A250" s="52" t="s">
        <v>318</v>
      </c>
      <c r="B250" s="131">
        <v>2</v>
      </c>
    </row>
    <row r="251" spans="1:3" x14ac:dyDescent="0.2">
      <c r="A251" s="83" t="s">
        <v>299</v>
      </c>
      <c r="B251" s="131">
        <v>1</v>
      </c>
    </row>
    <row r="252" spans="1:3" x14ac:dyDescent="0.2">
      <c r="A252" s="83" t="s">
        <v>83</v>
      </c>
      <c r="B252" s="130">
        <v>5</v>
      </c>
      <c r="C252" s="52" t="s">
        <v>194</v>
      </c>
    </row>
    <row r="253" spans="1:3" x14ac:dyDescent="0.2">
      <c r="A253" s="83" t="s">
        <v>85</v>
      </c>
      <c r="B253" s="130">
        <v>5</v>
      </c>
      <c r="C253" s="52" t="s">
        <v>194</v>
      </c>
    </row>
    <row r="254" spans="1:3" x14ac:dyDescent="0.2">
      <c r="A254" s="83" t="s">
        <v>88</v>
      </c>
      <c r="B254" s="130">
        <v>0.4</v>
      </c>
    </row>
    <row r="255" spans="1:3" x14ac:dyDescent="0.2">
      <c r="A255" s="370" t="s">
        <v>314</v>
      </c>
      <c r="B255" s="370"/>
      <c r="C255" s="370"/>
    </row>
    <row r="256" spans="1:3" x14ac:dyDescent="0.2">
      <c r="A256" s="52" t="s">
        <v>348</v>
      </c>
      <c r="B256" s="130">
        <v>50</v>
      </c>
      <c r="C256" s="84" t="s">
        <v>407</v>
      </c>
    </row>
    <row r="257" spans="1:3" x14ac:dyDescent="0.2">
      <c r="A257" s="83" t="s">
        <v>191</v>
      </c>
      <c r="B257" s="130">
        <v>125</v>
      </c>
      <c r="C257" s="52" t="s">
        <v>24</v>
      </c>
    </row>
    <row r="258" spans="1:3" x14ac:dyDescent="0.2">
      <c r="A258" s="83" t="s">
        <v>158</v>
      </c>
      <c r="B258" s="131">
        <v>1</v>
      </c>
      <c r="C258" s="52" t="s">
        <v>60</v>
      </c>
    </row>
    <row r="259" spans="1:3" x14ac:dyDescent="0.2">
      <c r="A259" s="83" t="s">
        <v>502</v>
      </c>
      <c r="B259" s="130">
        <v>200</v>
      </c>
      <c r="C259" s="84" t="s">
        <v>48</v>
      </c>
    </row>
    <row r="260" spans="1:3" x14ac:dyDescent="0.2">
      <c r="A260" s="52" t="s">
        <v>318</v>
      </c>
      <c r="B260" s="131">
        <v>2</v>
      </c>
    </row>
    <row r="261" spans="1:3" x14ac:dyDescent="0.2">
      <c r="A261" s="83" t="s">
        <v>299</v>
      </c>
      <c r="B261" s="131">
        <v>1</v>
      </c>
    </row>
    <row r="262" spans="1:3" x14ac:dyDescent="0.2">
      <c r="A262" s="83" t="s">
        <v>83</v>
      </c>
      <c r="B262" s="130">
        <v>5</v>
      </c>
      <c r="C262" s="52" t="s">
        <v>194</v>
      </c>
    </row>
    <row r="263" spans="1:3" x14ac:dyDescent="0.2">
      <c r="A263" s="83" t="s">
        <v>85</v>
      </c>
      <c r="B263" s="130">
        <v>5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83" t="s">
        <v>219</v>
      </c>
      <c r="B265" s="130">
        <v>3</v>
      </c>
      <c r="C265" s="52" t="s">
        <v>112</v>
      </c>
    </row>
    <row r="266" spans="1:3" x14ac:dyDescent="0.2">
      <c r="A266" s="83" t="s">
        <v>220</v>
      </c>
      <c r="B266" s="130">
        <v>25</v>
      </c>
      <c r="C266" s="52" t="s">
        <v>113</v>
      </c>
    </row>
    <row r="267" spans="1:3" x14ac:dyDescent="0.2">
      <c r="A267" s="370" t="s">
        <v>315</v>
      </c>
      <c r="B267" s="370"/>
      <c r="C267" s="370"/>
    </row>
    <row r="268" spans="1:3" x14ac:dyDescent="0.2">
      <c r="A268" s="52" t="s">
        <v>348</v>
      </c>
      <c r="B268" s="130">
        <v>50</v>
      </c>
      <c r="C268" s="84" t="s">
        <v>407</v>
      </c>
    </row>
    <row r="269" spans="1:3" x14ac:dyDescent="0.2">
      <c r="A269" s="83" t="s">
        <v>191</v>
      </c>
      <c r="B269" s="130">
        <v>125</v>
      </c>
      <c r="C269" s="52" t="s">
        <v>24</v>
      </c>
    </row>
    <row r="270" spans="1:3" x14ac:dyDescent="0.2">
      <c r="A270" s="83" t="s">
        <v>158</v>
      </c>
      <c r="B270" s="131">
        <v>1</v>
      </c>
      <c r="C270" s="52" t="s">
        <v>60</v>
      </c>
    </row>
    <row r="271" spans="1:3" x14ac:dyDescent="0.2">
      <c r="A271" s="83" t="s">
        <v>502</v>
      </c>
      <c r="B271" s="130">
        <v>200</v>
      </c>
      <c r="C271" s="84" t="s">
        <v>48</v>
      </c>
    </row>
    <row r="272" spans="1:3" x14ac:dyDescent="0.2">
      <c r="A272" s="83" t="s">
        <v>299</v>
      </c>
      <c r="B272" s="131">
        <v>1</v>
      </c>
    </row>
    <row r="273" spans="1:3" x14ac:dyDescent="0.2">
      <c r="A273" s="83" t="s">
        <v>83</v>
      </c>
      <c r="B273" s="130">
        <v>5</v>
      </c>
      <c r="C273" s="52" t="s">
        <v>194</v>
      </c>
    </row>
    <row r="274" spans="1:3" x14ac:dyDescent="0.2">
      <c r="A274" s="83" t="s">
        <v>85</v>
      </c>
      <c r="B274" s="130">
        <v>5</v>
      </c>
      <c r="C274" s="52" t="s">
        <v>194</v>
      </c>
    </row>
    <row r="275" spans="1:3" x14ac:dyDescent="0.2">
      <c r="A275" s="83" t="s">
        <v>88</v>
      </c>
      <c r="B275" s="130">
        <v>0.4</v>
      </c>
    </row>
    <row r="276" spans="1:3" x14ac:dyDescent="0.2">
      <c r="A276" s="83" t="s">
        <v>219</v>
      </c>
      <c r="B276" s="130">
        <v>3</v>
      </c>
      <c r="C276" s="52" t="s">
        <v>112</v>
      </c>
    </row>
    <row r="277" spans="1:3" x14ac:dyDescent="0.2">
      <c r="A277" s="83" t="s">
        <v>220</v>
      </c>
      <c r="B277" s="130">
        <v>25</v>
      </c>
      <c r="C277" s="52" t="s">
        <v>113</v>
      </c>
    </row>
    <row r="278" spans="1:3" x14ac:dyDescent="0.2">
      <c r="A278" s="84" t="s">
        <v>295</v>
      </c>
      <c r="B278" s="234">
        <v>226.025409</v>
      </c>
      <c r="C278" s="84" t="s">
        <v>296</v>
      </c>
    </row>
    <row r="279" spans="1:3" x14ac:dyDescent="0.2">
      <c r="A279" s="84" t="s">
        <v>293</v>
      </c>
      <c r="B279" s="129">
        <f>2.8*(10^(-15))</f>
        <v>2.8000000000000001E-15</v>
      </c>
      <c r="C279" s="84"/>
    </row>
    <row r="280" spans="1:3" x14ac:dyDescent="0.2">
      <c r="A280" s="83" t="s">
        <v>293</v>
      </c>
      <c r="B280" s="129">
        <v>2.7955176153748299E-12</v>
      </c>
      <c r="C280" s="84"/>
    </row>
  </sheetData>
  <mergeCells count="348">
    <mergeCell ref="HD21:HF21"/>
    <mergeCell ref="V23:X23"/>
    <mergeCell ref="Y23:AA23"/>
    <mergeCell ref="D30:F30"/>
    <mergeCell ref="BJ21:BJ23"/>
    <mergeCell ref="BK21:BK23"/>
    <mergeCell ref="BL21:BL23"/>
    <mergeCell ref="BM21:BM23"/>
    <mergeCell ref="BN21:BN23"/>
    <mergeCell ref="BB21:BB23"/>
    <mergeCell ref="BC21:BC23"/>
    <mergeCell ref="BD21:BD23"/>
    <mergeCell ref="BE21:BE23"/>
    <mergeCell ref="BF21:BF23"/>
    <mergeCell ref="AT21:AT23"/>
    <mergeCell ref="AU21:AU23"/>
    <mergeCell ref="AV21:AV23"/>
    <mergeCell ref="CN20:CN22"/>
    <mergeCell ref="CO20:CO22"/>
    <mergeCell ref="CP20:CP22"/>
    <mergeCell ref="CQ20:CQ22"/>
    <mergeCell ref="CG19:CG21"/>
    <mergeCell ref="CM20:CM22"/>
    <mergeCell ref="CK19:CM19"/>
    <mergeCell ref="CC35:CG38"/>
    <mergeCell ref="BK39:BO42"/>
    <mergeCell ref="D43:F43"/>
    <mergeCell ref="D44:D45"/>
    <mergeCell ref="E44:E45"/>
    <mergeCell ref="F44:F45"/>
    <mergeCell ref="BO21:BO23"/>
    <mergeCell ref="AI21:AI23"/>
    <mergeCell ref="AJ21:AJ23"/>
    <mergeCell ref="AK21:AK23"/>
    <mergeCell ref="AL21:AL23"/>
    <mergeCell ref="AM21:AM23"/>
    <mergeCell ref="AN21:AN23"/>
    <mergeCell ref="AR21:AR23"/>
    <mergeCell ref="AS21:AS23"/>
    <mergeCell ref="CN19:CP19"/>
    <mergeCell ref="CQ19:CS19"/>
    <mergeCell ref="M20:O20"/>
    <mergeCell ref="P20:R20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CK20:CK22"/>
    <mergeCell ref="CL20:CL22"/>
    <mergeCell ref="CB19:CB21"/>
    <mergeCell ref="CC19:CC21"/>
    <mergeCell ref="CD19:CD21"/>
    <mergeCell ref="CE19:CE21"/>
    <mergeCell ref="CF19:CF21"/>
    <mergeCell ref="AW21:AW23"/>
    <mergeCell ref="BA21:BA23"/>
    <mergeCell ref="CR20:CR22"/>
    <mergeCell ref="CS20:CS22"/>
    <mergeCell ref="GZ2:GZ4"/>
    <mergeCell ref="HA2:HA4"/>
    <mergeCell ref="HB2:HB4"/>
    <mergeCell ref="HC2:HC4"/>
    <mergeCell ref="CB18:CD18"/>
    <mergeCell ref="CE18:CG18"/>
    <mergeCell ref="GU2:GU4"/>
    <mergeCell ref="GV2:GV4"/>
    <mergeCell ref="GW2:GW4"/>
    <mergeCell ref="GX2:GX4"/>
    <mergeCell ref="GY2:GY4"/>
    <mergeCell ref="GP2:GP4"/>
    <mergeCell ref="GQ2:GQ4"/>
    <mergeCell ref="GR2:GR4"/>
    <mergeCell ref="GS2:GS4"/>
    <mergeCell ref="GT2:GT4"/>
    <mergeCell ref="GK2:GK4"/>
    <mergeCell ref="GL2:GL4"/>
    <mergeCell ref="GM2:GM4"/>
    <mergeCell ref="GN2:GN4"/>
    <mergeCell ref="GO2:GO4"/>
    <mergeCell ref="GF2:GF4"/>
    <mergeCell ref="GG2:GG4"/>
    <mergeCell ref="GH2:GH4"/>
    <mergeCell ref="GI2:GI4"/>
    <mergeCell ref="GJ2:GJ4"/>
    <mergeCell ref="GA2:GA4"/>
    <mergeCell ref="GB2:GB4"/>
    <mergeCell ref="GC2:GC4"/>
    <mergeCell ref="GD2:GD4"/>
    <mergeCell ref="GE2:GE4"/>
    <mergeCell ref="FV2:FV4"/>
    <mergeCell ref="FW2:FW4"/>
    <mergeCell ref="FX2:FX4"/>
    <mergeCell ref="FY2:FY4"/>
    <mergeCell ref="FZ2:FZ4"/>
    <mergeCell ref="FQ2:FQ4"/>
    <mergeCell ref="FR2:FR4"/>
    <mergeCell ref="FS2:FS4"/>
    <mergeCell ref="FT2:FT4"/>
    <mergeCell ref="FU2:FU4"/>
    <mergeCell ref="FL2:FL4"/>
    <mergeCell ref="FM2:FM4"/>
    <mergeCell ref="FN2:FN4"/>
    <mergeCell ref="FO2:FO4"/>
    <mergeCell ref="FP2:FP4"/>
    <mergeCell ref="FG2:FG4"/>
    <mergeCell ref="FH2:FH4"/>
    <mergeCell ref="FI2:FI4"/>
    <mergeCell ref="FJ2:FJ4"/>
    <mergeCell ref="FK2:FK4"/>
    <mergeCell ref="FB2:FB4"/>
    <mergeCell ref="FC2:FC4"/>
    <mergeCell ref="FD2:FD4"/>
    <mergeCell ref="FE2:FE4"/>
    <mergeCell ref="FF2:FF4"/>
    <mergeCell ref="EW2:EW4"/>
    <mergeCell ref="EX2:EX4"/>
    <mergeCell ref="EY2:EY4"/>
    <mergeCell ref="EZ2:EZ4"/>
    <mergeCell ref="FA2:FA4"/>
    <mergeCell ref="ER2:ER4"/>
    <mergeCell ref="ES2:ES4"/>
    <mergeCell ref="ET2:ET4"/>
    <mergeCell ref="EU2:EU4"/>
    <mergeCell ref="EV2:EV4"/>
    <mergeCell ref="EM2:EM4"/>
    <mergeCell ref="EN2:EN4"/>
    <mergeCell ref="EO2:EO4"/>
    <mergeCell ref="EP2:EP4"/>
    <mergeCell ref="EQ2:EQ4"/>
    <mergeCell ref="EH2:EH4"/>
    <mergeCell ref="EI2:EI4"/>
    <mergeCell ref="EJ2:EJ4"/>
    <mergeCell ref="EK2:EK4"/>
    <mergeCell ref="EL2:EL4"/>
    <mergeCell ref="EC2:EC4"/>
    <mergeCell ref="ED2:ED4"/>
    <mergeCell ref="EE2:EE4"/>
    <mergeCell ref="EF2:EF4"/>
    <mergeCell ref="EG2:EG4"/>
    <mergeCell ref="DX2:DX4"/>
    <mergeCell ref="DY2:DY4"/>
    <mergeCell ref="DZ2:DZ4"/>
    <mergeCell ref="EA2:EA4"/>
    <mergeCell ref="EB2:EB4"/>
    <mergeCell ref="DS2:DS4"/>
    <mergeCell ref="DT2:DT4"/>
    <mergeCell ref="DU2:DU4"/>
    <mergeCell ref="DV2:DV4"/>
    <mergeCell ref="DW2:DW4"/>
    <mergeCell ref="DN2:DN4"/>
    <mergeCell ref="DO2:DO4"/>
    <mergeCell ref="DP2:DP4"/>
    <mergeCell ref="DQ2:DQ4"/>
    <mergeCell ref="DR2:DR4"/>
    <mergeCell ref="DI2:DI4"/>
    <mergeCell ref="DJ2:DJ4"/>
    <mergeCell ref="DK2:DK4"/>
    <mergeCell ref="DL2:DL4"/>
    <mergeCell ref="DM2:DM4"/>
    <mergeCell ref="DD2:DD4"/>
    <mergeCell ref="DE2:DE4"/>
    <mergeCell ref="DF2:DF4"/>
    <mergeCell ref="DG2:DG4"/>
    <mergeCell ref="DH2:DH4"/>
    <mergeCell ref="CV2:CV4"/>
    <mergeCell ref="CZ2:CZ4"/>
    <mergeCell ref="DA2:DA4"/>
    <mergeCell ref="DB2:DB4"/>
    <mergeCell ref="DC2:DC4"/>
    <mergeCell ref="CQ2:CQ4"/>
    <mergeCell ref="CR2:CR4"/>
    <mergeCell ref="CS2:CS4"/>
    <mergeCell ref="CT2:CT4"/>
    <mergeCell ref="CU2:CU4"/>
    <mergeCell ref="CL2:CL4"/>
    <mergeCell ref="CM2:CM4"/>
    <mergeCell ref="CN2:CN4"/>
    <mergeCell ref="CO2:CO4"/>
    <mergeCell ref="CP2:CP4"/>
    <mergeCell ref="CG2:CG4"/>
    <mergeCell ref="CH2:CH4"/>
    <mergeCell ref="CI2:CI4"/>
    <mergeCell ref="CJ2:CJ4"/>
    <mergeCell ref="CK2:CK4"/>
    <mergeCell ref="CB2:CB4"/>
    <mergeCell ref="CC2:CC4"/>
    <mergeCell ref="CD2:CD4"/>
    <mergeCell ref="CE2:CE4"/>
    <mergeCell ref="CF2:CF4"/>
    <mergeCell ref="BW2:BW4"/>
    <mergeCell ref="BX2:BX4"/>
    <mergeCell ref="BY2:BY4"/>
    <mergeCell ref="BZ2:BZ4"/>
    <mergeCell ref="CA2:CA4"/>
    <mergeCell ref="BO2:BO4"/>
    <mergeCell ref="BP2:BP4"/>
    <mergeCell ref="BQ2:BQ4"/>
    <mergeCell ref="BR2:BR4"/>
    <mergeCell ref="BV2:BV4"/>
    <mergeCell ref="BJ2:BJ4"/>
    <mergeCell ref="BK2:BK4"/>
    <mergeCell ref="BL2:BL4"/>
    <mergeCell ref="BM2:BM4"/>
    <mergeCell ref="BN2:BN4"/>
    <mergeCell ref="BE2:BE4"/>
    <mergeCell ref="BF2:BF4"/>
    <mergeCell ref="BG2:BG4"/>
    <mergeCell ref="BH2:BH4"/>
    <mergeCell ref="BI2:BI4"/>
    <mergeCell ref="AZ2:AZ4"/>
    <mergeCell ref="BA2:BA4"/>
    <mergeCell ref="BB2:BB4"/>
    <mergeCell ref="BC2:BC4"/>
    <mergeCell ref="BD2:BD4"/>
    <mergeCell ref="AU2:AU4"/>
    <mergeCell ref="AV2:AV4"/>
    <mergeCell ref="AW2:AW4"/>
    <mergeCell ref="AX2:AX4"/>
    <mergeCell ref="AY2:AY4"/>
    <mergeCell ref="AP2:AP4"/>
    <mergeCell ref="AQ2:AQ4"/>
    <mergeCell ref="AR2:AR4"/>
    <mergeCell ref="AS2:AS4"/>
    <mergeCell ref="AT2:AT4"/>
    <mergeCell ref="GX1:GZ1"/>
    <mergeCell ref="HA1:HC1"/>
    <mergeCell ref="HD1:HF1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R2:R4"/>
    <mergeCell ref="S2:S4"/>
    <mergeCell ref="GI1:GK1"/>
    <mergeCell ref="GL1:GN1"/>
    <mergeCell ref="GO1:GQ1"/>
    <mergeCell ref="AK2:AK4"/>
    <mergeCell ref="AL2:AL4"/>
    <mergeCell ref="AM2:AM4"/>
    <mergeCell ref="AN2:AN4"/>
    <mergeCell ref="AO2:AO4"/>
    <mergeCell ref="GR1:GT1"/>
    <mergeCell ref="GU1:GW1"/>
    <mergeCell ref="FT1:FV1"/>
    <mergeCell ref="FW1:FX1"/>
    <mergeCell ref="FZ1:GB1"/>
    <mergeCell ref="GC1:GE1"/>
    <mergeCell ref="GF1:GH1"/>
    <mergeCell ref="FE1:FG1"/>
    <mergeCell ref="FH1:FJ1"/>
    <mergeCell ref="FK1:FM1"/>
    <mergeCell ref="FN1:FP1"/>
    <mergeCell ref="FQ1:FS1"/>
    <mergeCell ref="EP1:ER1"/>
    <mergeCell ref="ES1:EU1"/>
    <mergeCell ref="EV1:EX1"/>
    <mergeCell ref="EY1:FA1"/>
    <mergeCell ref="FB1:FD1"/>
    <mergeCell ref="EA1:EC1"/>
    <mergeCell ref="ED1:EF1"/>
    <mergeCell ref="EG1:EI1"/>
    <mergeCell ref="EJ1:EL1"/>
    <mergeCell ref="EM1:EO1"/>
    <mergeCell ref="DL1:DN1"/>
    <mergeCell ref="DO1:DQ1"/>
    <mergeCell ref="DR1:DT1"/>
    <mergeCell ref="DU1:DW1"/>
    <mergeCell ref="DX1:DZ1"/>
    <mergeCell ref="CW1:CY1"/>
    <mergeCell ref="CZ1:DB1"/>
    <mergeCell ref="DC1:DE1"/>
    <mergeCell ref="DF1:DH1"/>
    <mergeCell ref="DI1:DK1"/>
    <mergeCell ref="CH1:CJ1"/>
    <mergeCell ref="CK1:CM1"/>
    <mergeCell ref="CN1:CP1"/>
    <mergeCell ref="CQ1:CS1"/>
    <mergeCell ref="CT1:CV1"/>
    <mergeCell ref="BS1:BU1"/>
    <mergeCell ref="BV1:BX1"/>
    <mergeCell ref="BY1:CA1"/>
    <mergeCell ref="CB1:CD1"/>
    <mergeCell ref="CE1:CG1"/>
    <mergeCell ref="BD1:BF1"/>
    <mergeCell ref="BG1:BI1"/>
    <mergeCell ref="BJ1:BL1"/>
    <mergeCell ref="BM1:BO1"/>
    <mergeCell ref="BP1:BR1"/>
    <mergeCell ref="AO1:AQ1"/>
    <mergeCell ref="AR1:AT1"/>
    <mergeCell ref="AU1:AW1"/>
    <mergeCell ref="AX1:AZ1"/>
    <mergeCell ref="BA1:BC1"/>
    <mergeCell ref="A267:C267"/>
    <mergeCell ref="D1:F1"/>
    <mergeCell ref="G1:I1"/>
    <mergeCell ref="J1:L1"/>
    <mergeCell ref="M1:O1"/>
    <mergeCell ref="D31:D32"/>
    <mergeCell ref="E31:E32"/>
    <mergeCell ref="F31:F32"/>
    <mergeCell ref="A49:C49"/>
    <mergeCell ref="A91:C91"/>
    <mergeCell ref="A102:C102"/>
    <mergeCell ref="A140:C140"/>
    <mergeCell ref="A225:C225"/>
    <mergeCell ref="A235:C235"/>
    <mergeCell ref="A245:C245"/>
    <mergeCell ref="A255:C255"/>
    <mergeCell ref="A1:C1"/>
    <mergeCell ref="M21:M23"/>
    <mergeCell ref="N21:N23"/>
    <mergeCell ref="O21:O23"/>
    <mergeCell ref="AI1:AK1"/>
    <mergeCell ref="AL1:AN1"/>
    <mergeCell ref="AE38:AG40"/>
    <mergeCell ref="A2:C2"/>
    <mergeCell ref="A5:C5"/>
    <mergeCell ref="A14:C16"/>
    <mergeCell ref="P1:R1"/>
    <mergeCell ref="S1:U1"/>
    <mergeCell ref="V1:X1"/>
    <mergeCell ref="Y1:AA1"/>
    <mergeCell ref="AB1:AB4"/>
    <mergeCell ref="T2:T4"/>
    <mergeCell ref="U2:U4"/>
    <mergeCell ref="AC2:AC4"/>
    <mergeCell ref="AD2:AD4"/>
    <mergeCell ref="AE2:AE4"/>
    <mergeCell ref="AF2:AF4"/>
    <mergeCell ref="AG2:AG4"/>
    <mergeCell ref="AH2:AH4"/>
    <mergeCell ref="AI2:AI4"/>
    <mergeCell ref="AJ2:AJ4"/>
    <mergeCell ref="P21:P23"/>
    <mergeCell ref="Q21:Q23"/>
    <mergeCell ref="R21:R2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80"/>
  <sheetViews>
    <sheetView zoomScale="80" zoomScaleNormal="80" workbookViewId="0">
      <selection activeCell="Z25" sqref="Z25:Z26"/>
    </sheetView>
  </sheetViews>
  <sheetFormatPr defaultRowHeight="12.75" x14ac:dyDescent="0.2"/>
  <cols>
    <col min="1" max="1" width="15" style="52" bestFit="1" customWidth="1"/>
    <col min="2" max="2" width="9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28515625" style="52" bestFit="1" customWidth="1"/>
    <col min="79" max="79" width="18.85546875" style="52" bestFit="1" customWidth="1"/>
    <col min="80" max="80" width="11" style="52" bestFit="1" customWidth="1"/>
    <col min="81" max="81" width="9.28515625" style="52" bestFit="1" customWidth="1"/>
    <col min="82" max="82" width="20.28515625" style="52" bestFit="1" customWidth="1"/>
    <col min="83" max="83" width="12.42578125" style="52" bestFit="1" customWidth="1"/>
    <col min="84" max="84" width="9.28515625" style="52" bestFit="1" customWidth="1"/>
    <col min="85" max="85" width="20.28515625" style="52" bestFit="1" customWidth="1"/>
    <col min="86" max="86" width="13.5703125" style="52" bestFit="1" customWidth="1"/>
    <col min="87" max="87" width="9.2851562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6.285156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9.28515625" style="52" bestFit="1" customWidth="1"/>
    <col min="142" max="142" width="7" style="52" bestFit="1" customWidth="1"/>
    <col min="143" max="143" width="12" style="52" bestFit="1" customWidth="1"/>
    <col min="144" max="144" width="9.28515625" style="52" bestFit="1" customWidth="1"/>
    <col min="145" max="145" width="7" style="52" bestFit="1" customWidth="1"/>
    <col min="146" max="146" width="12" style="52" bestFit="1" customWidth="1"/>
    <col min="147" max="147" width="9.28515625" style="52" bestFit="1" customWidth="1"/>
    <col min="148" max="148" width="7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7" style="52" bestFit="1" customWidth="1"/>
    <col min="158" max="158" width="12" style="52" bestFit="1" customWidth="1"/>
    <col min="159" max="159" width="9.28515625" style="52" bestFit="1" customWidth="1"/>
    <col min="160" max="160" width="7" style="52" bestFit="1" customWidth="1"/>
    <col min="161" max="161" width="12" style="52" bestFit="1" customWidth="1"/>
    <col min="162" max="162" width="9.28515625" style="52" bestFit="1" customWidth="1"/>
    <col min="163" max="163" width="7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6.285156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9.28515625" style="52" bestFit="1" customWidth="1"/>
    <col min="187" max="187" width="7" style="52" bestFit="1" customWidth="1"/>
    <col min="188" max="188" width="12" style="52" bestFit="1" customWidth="1"/>
    <col min="189" max="189" width="9.28515625" style="52" bestFit="1" customWidth="1"/>
    <col min="190" max="190" width="7" style="52" bestFit="1" customWidth="1"/>
    <col min="191" max="191" width="12" style="52" bestFit="1" customWidth="1"/>
    <col min="192" max="192" width="9.28515625" style="52" bestFit="1" customWidth="1"/>
    <col min="193" max="193" width="7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7" style="52" bestFit="1" customWidth="1"/>
    <col min="203" max="203" width="12" style="52" bestFit="1" customWidth="1"/>
    <col min="204" max="204" width="9.28515625" style="52" bestFit="1" customWidth="1"/>
    <col min="205" max="205" width="7" style="52" bestFit="1" customWidth="1"/>
    <col min="206" max="206" width="12" style="52" bestFit="1" customWidth="1"/>
    <col min="207" max="207" width="9.28515625" style="52" bestFit="1" customWidth="1"/>
    <col min="208" max="208" width="7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9.28515625" style="52" bestFit="1" customWidth="1"/>
    <col min="214" max="214" width="22.42578125" style="52" bestFit="1" customWidth="1"/>
    <col min="215" max="16384" width="9.140625" style="52"/>
  </cols>
  <sheetData>
    <row r="1" spans="1:214" ht="21.75" thickTop="1" thickBot="1" x14ac:dyDescent="0.25">
      <c r="A1" s="655" t="s">
        <v>360</v>
      </c>
      <c r="B1" s="656"/>
      <c r="C1" s="657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565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296" t="s">
        <v>557</v>
      </c>
      <c r="AJ1" s="294"/>
      <c r="AK1" s="297"/>
      <c r="AL1" s="293" t="s">
        <v>546</v>
      </c>
      <c r="AM1" s="294"/>
      <c r="AN1" s="297"/>
      <c r="AO1" s="293" t="s">
        <v>547</v>
      </c>
      <c r="AP1" s="294"/>
      <c r="AQ1" s="295"/>
      <c r="AR1" s="296" t="s">
        <v>559</v>
      </c>
      <c r="AS1" s="294"/>
      <c r="AT1" s="297"/>
      <c r="AU1" s="293" t="s">
        <v>548</v>
      </c>
      <c r="AV1" s="294"/>
      <c r="AW1" s="297"/>
      <c r="AX1" s="293" t="s">
        <v>549</v>
      </c>
      <c r="AY1" s="294"/>
      <c r="AZ1" s="295"/>
      <c r="BA1" s="296" t="s">
        <v>561</v>
      </c>
      <c r="BB1" s="294"/>
      <c r="BC1" s="297"/>
      <c r="BD1" s="293" t="s">
        <v>551</v>
      </c>
      <c r="BE1" s="294"/>
      <c r="BF1" s="297"/>
      <c r="BG1" s="293" t="s">
        <v>552</v>
      </c>
      <c r="BH1" s="294"/>
      <c r="BI1" s="295"/>
      <c r="BJ1" s="296" t="s">
        <v>564</v>
      </c>
      <c r="BK1" s="294"/>
      <c r="BL1" s="297"/>
      <c r="BM1" s="293" t="s">
        <v>554</v>
      </c>
      <c r="BN1" s="294"/>
      <c r="BO1" s="297"/>
      <c r="BP1" s="293" t="s">
        <v>555</v>
      </c>
      <c r="BQ1" s="294"/>
      <c r="BR1" s="295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274" t="s">
        <v>569</v>
      </c>
      <c r="CC1" s="270"/>
      <c r="CD1" s="270"/>
      <c r="CE1" s="271" t="s">
        <v>570</v>
      </c>
      <c r="CF1" s="270"/>
      <c r="CG1" s="272"/>
      <c r="CH1" s="270" t="s">
        <v>571</v>
      </c>
      <c r="CI1" s="270"/>
      <c r="CJ1" s="273"/>
      <c r="CK1" s="270" t="s">
        <v>575</v>
      </c>
      <c r="CL1" s="270"/>
      <c r="CM1" s="270"/>
      <c r="CN1" s="271" t="s">
        <v>575</v>
      </c>
      <c r="CO1" s="270"/>
      <c r="CP1" s="272"/>
      <c r="CQ1" s="270" t="s">
        <v>575</v>
      </c>
      <c r="CR1" s="270"/>
      <c r="CS1" s="273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4.25" thickTop="1" thickBot="1" x14ac:dyDescent="0.25">
      <c r="A2" s="681" t="s">
        <v>240</v>
      </c>
      <c r="B2" s="682"/>
      <c r="C2" s="683"/>
      <c r="D2" s="193"/>
      <c r="E2" s="194"/>
      <c r="F2" s="194"/>
      <c r="G2" s="363" t="s">
        <v>531</v>
      </c>
      <c r="H2" s="360" t="e">
        <f>1/((1/H10)+(1/H12)+(1/H13))</f>
        <v>#DIV/0!</v>
      </c>
      <c r="I2" s="625" t="s">
        <v>13</v>
      </c>
      <c r="J2" s="622" t="s">
        <v>531</v>
      </c>
      <c r="K2" s="360" t="e">
        <f>1/((1/K14)+(1/K15)+(1/K16)+(1/K17))</f>
        <v>#DIV/0!</v>
      </c>
      <c r="L2" s="345" t="s">
        <v>12</v>
      </c>
      <c r="M2" s="330" t="s">
        <v>537</v>
      </c>
      <c r="N2" s="333">
        <f>((N5*N6*N7)/((1-EXP(-N7*N6))*N15*N13*(N9/365)*(((N14/24)*N12)+((N16/24)*N11))))*N17*N18*N8</f>
        <v>6.1572323759203633E-7</v>
      </c>
      <c r="O2" s="336" t="s">
        <v>12</v>
      </c>
      <c r="P2" s="339" t="s">
        <v>537</v>
      </c>
      <c r="Q2" s="333">
        <f>((Q5*Q6*Q7)/((1-EXP(-Q7*Q6))*Q15*Q13*(Q9/365)*(((Q14/24)*Q12)+((Q16/24)*Q11))))*Q17*Q18*Q8</f>
        <v>3.4805098317258727E-6</v>
      </c>
      <c r="R2" s="336" t="s">
        <v>12</v>
      </c>
      <c r="S2" s="339" t="s">
        <v>537</v>
      </c>
      <c r="T2" s="333">
        <f>((T5*T6*T7)/((1-EXP(-T7*T6))*T15*T13*(T9/365)*(((T14/24)*T12)+((T16/24)*T11))))*T17*T18*T8</f>
        <v>7.2926315381691141E-7</v>
      </c>
      <c r="U2" s="342" t="s">
        <v>12</v>
      </c>
      <c r="V2" s="204"/>
      <c r="W2" s="205"/>
      <c r="X2" s="205"/>
      <c r="Y2" s="206"/>
      <c r="Z2" s="205"/>
      <c r="AA2" s="207"/>
      <c r="AB2" s="310"/>
      <c r="AC2" s="312" t="e">
        <f>1/((1/AC29)+(1/AC30)+(1/AC31))</f>
        <v>#DIV/0!</v>
      </c>
      <c r="AD2" s="315" t="e">
        <f>1/((1/AD29)+(1/AD30)+(1/AD31))</f>
        <v>#DIV/0!</v>
      </c>
      <c r="AE2" s="315" t="e">
        <f>1/((1/AE29)+(1/AE30)+(1/AE31))</f>
        <v>#DIV/0!</v>
      </c>
      <c r="AF2" s="315" t="e">
        <f>1/((1/AF29)+(1/AF30)+(1/AF31))</f>
        <v>#DIV/0!</v>
      </c>
      <c r="AG2" s="320" t="e">
        <f>1/((1/AG29)+(1/AG31)+(1/AG30))</f>
        <v>#DIV/0!</v>
      </c>
      <c r="AH2" s="318" t="s">
        <v>12</v>
      </c>
      <c r="AI2" s="306" t="s">
        <v>537</v>
      </c>
      <c r="AJ2" s="303">
        <f>((AJ5*AJ6*AJ7)/((1-EXP(-AJ7*AJ6))*AJ15*(AJ9/365)*AJ10*(AJ16/24)*AJ11*AJ13))*AJ17*AJ18*AJ8</f>
        <v>3.7445824417397273E-6</v>
      </c>
      <c r="AK2" s="290" t="s">
        <v>12</v>
      </c>
      <c r="AL2" s="287" t="s">
        <v>537</v>
      </c>
      <c r="AM2" s="303">
        <f>((AM5*AM6*AM7)/((1-EXP(-AM7*AM6))*AM15*(AM9/365)*AM10*(AM16/24)*AM11*AM13))*AM17*AM18*AM8</f>
        <v>2.1038011288063665E-5</v>
      </c>
      <c r="AN2" s="290" t="s">
        <v>12</v>
      </c>
      <c r="AO2" s="287" t="s">
        <v>537</v>
      </c>
      <c r="AP2" s="303">
        <f>((AP5*AP6*AP7)/((1-EXP(-AP7*AP6))*AP15*(AP9/365)*AP10*(AP16/24)*AP11*AP13))*AP17*AP18*AP8</f>
        <v>4.4266856847209577E-6</v>
      </c>
      <c r="AQ2" s="281" t="s">
        <v>12</v>
      </c>
      <c r="AR2" s="306" t="s">
        <v>537</v>
      </c>
      <c r="AS2" s="303">
        <f>((AS5*AS6*AS7)/((1-EXP(-AS7*AS6))*AS15*(AS9/365)*AS10*(AS14/24)*AS12*AS13))*AS17*AS18*AS8</f>
        <v>5.506738884911362E-5</v>
      </c>
      <c r="AT2" s="290" t="s">
        <v>12</v>
      </c>
      <c r="AU2" s="287" t="s">
        <v>537</v>
      </c>
      <c r="AV2" s="303">
        <f>((AV5*AV6*AV7)/((1-EXP(-AV7*AV6))*AV15*(AV9/365)*AV10*(AV14/24)*AV12*AV13))*AV17*AV18*AV8</f>
        <v>5.6706229886964064E-4</v>
      </c>
      <c r="AW2" s="290" t="s">
        <v>12</v>
      </c>
      <c r="AX2" s="287" t="s">
        <v>537</v>
      </c>
      <c r="AY2" s="303">
        <f>((AY5*AY6*AY7)/((1-EXP(-AY7*AY6))*AY15*(AY9/365)*AY10*(AY14/24)*AY12*AY13))*AY17*AY18*AY8</f>
        <v>7.5799412409605432E-5</v>
      </c>
      <c r="AZ2" s="281" t="s">
        <v>12</v>
      </c>
      <c r="BA2" s="306" t="s">
        <v>537</v>
      </c>
      <c r="BB2" s="303">
        <f>((BB5*BB6*BB7)/((1-EXP(-BB7*BB6))*BB15*(BB9/365)*(BB14/24)*BB12*BB13))*BB17*BB18*BB8</f>
        <v>5.506738884911362E-5</v>
      </c>
      <c r="BC2" s="290" t="s">
        <v>12</v>
      </c>
      <c r="BD2" s="287" t="s">
        <v>537</v>
      </c>
      <c r="BE2" s="303">
        <f>((BE5*BE6*BE7)/((1-EXP(-BE7*BE6))*BE15*(BE9/365)*(BE14/24)*BE12*BE13))*BE17*BE18*BE8</f>
        <v>5.6706229886964064E-4</v>
      </c>
      <c r="BF2" s="290" t="s">
        <v>12</v>
      </c>
      <c r="BG2" s="287" t="s">
        <v>537</v>
      </c>
      <c r="BH2" s="303">
        <f>((BH5*BH6*BH7)/((1-EXP(-BH7*BH6))*BH15*(BH9/365)*(BH14/24)*BH12*BH13))*BH17*BH18*BH8</f>
        <v>7.5799412409605432E-5</v>
      </c>
      <c r="BI2" s="281" t="s">
        <v>12</v>
      </c>
      <c r="BJ2" s="306" t="s">
        <v>537</v>
      </c>
      <c r="BK2" s="284">
        <f>((BK5*BK6*BK7)/((1-EXP(-BK7*BK6))*BK16*(BK9/365)*(BK15/24)*BK13*BK14))*BK17*BK18*BK8</f>
        <v>9.1778981415189392E-5</v>
      </c>
      <c r="BL2" s="290" t="s">
        <v>12</v>
      </c>
      <c r="BM2" s="287" t="s">
        <v>537</v>
      </c>
      <c r="BN2" s="284">
        <f>((BN5*BN6*BN7)/((1-EXP(-BN7*BN6))*BN16*(BN9/365)*(BN15/24)*BN13*BN14))*BN17*BN18*BN8</f>
        <v>9.4510383144940106E-4</v>
      </c>
      <c r="BO2" s="290" t="s">
        <v>12</v>
      </c>
      <c r="BP2" s="287" t="s">
        <v>537</v>
      </c>
      <c r="BQ2" s="284">
        <f>((BQ5*BQ6*BQ7)/((1-EXP(-BQ7*BQ6))*BQ16*(BQ9/365)*(BQ15/24)*BQ13*BQ14))*BQ17*BQ18*BQ8</f>
        <v>1.2633235401600908E-4</v>
      </c>
      <c r="BR2" s="281" t="s">
        <v>12</v>
      </c>
      <c r="BS2" s="214"/>
      <c r="BT2" s="120"/>
      <c r="BU2" s="215"/>
      <c r="BV2" s="258" t="s">
        <v>531</v>
      </c>
      <c r="BW2" s="261" t="e">
        <f>1/((1/BW10)+(1/BW12))</f>
        <v>#DIV/0!</v>
      </c>
      <c r="BX2" s="278" t="s">
        <v>13</v>
      </c>
      <c r="BY2" s="258" t="s">
        <v>531</v>
      </c>
      <c r="BZ2" s="261" t="e">
        <f>1/((1/BZ13)+(1/BZ14)+(1/BZ15))</f>
        <v>#DIV/0!</v>
      </c>
      <c r="CA2" s="264" t="s">
        <v>12</v>
      </c>
      <c r="CB2" s="267" t="s">
        <v>537</v>
      </c>
      <c r="CC2" s="261">
        <f>((CC5*CC6*CC7)/((1-EXP(-CC7*CC6))*CC14*(CC9/365)*CC12*(CC13/24)*CC11))*CC15*CC16*CC8</f>
        <v>1.2515315647525826E-4</v>
      </c>
      <c r="CD2" s="278" t="s">
        <v>12</v>
      </c>
      <c r="CE2" s="258" t="s">
        <v>537</v>
      </c>
      <c r="CF2" s="261">
        <f>((CF5*CF6*CF7)/((1-EXP(-CF7*CF6))*CF14*(CF9/365)*CF12*(CF13/24)*CF11))*CF15*CF16*CF8</f>
        <v>1.2887779519764563E-3</v>
      </c>
      <c r="CG2" s="278" t="s">
        <v>12</v>
      </c>
      <c r="CH2" s="258" t="s">
        <v>537</v>
      </c>
      <c r="CI2" s="261">
        <f>((CI5*CI6*CI7)/((1-EXP(-CI7*CI6))*CI14*(CI9/365)*CI12*(CI13/24)*CI11))*CI15*CI16*CI8</f>
        <v>1.7227139184001236E-4</v>
      </c>
      <c r="CJ2" s="264" t="s">
        <v>12</v>
      </c>
      <c r="CK2" s="267" t="s">
        <v>530</v>
      </c>
      <c r="CL2" s="261" t="e">
        <f>(CL5/(CL6*CL7*CL8))*CL9*CL10*CO16</f>
        <v>#DIV/0!</v>
      </c>
      <c r="CM2" s="255" t="s">
        <v>12</v>
      </c>
      <c r="CN2" s="258" t="s">
        <v>7</v>
      </c>
      <c r="CO2" s="261" t="e">
        <f>(CL2/(CO5*((CO10*CO12*CO13*(CO6+CO7))+(CO11*CO12))))*CO17</f>
        <v>#DIV/0!</v>
      </c>
      <c r="CP2" s="278" t="s">
        <v>12</v>
      </c>
      <c r="CQ2" s="275" t="s">
        <v>6</v>
      </c>
      <c r="CR2" s="261" t="e">
        <f>CL2/(CR5*CR6*(1/CR7))</f>
        <v>#DIV/0!</v>
      </c>
      <c r="CS2" s="264" t="s">
        <v>12</v>
      </c>
      <c r="CT2" s="395" t="s">
        <v>531</v>
      </c>
      <c r="CU2" s="392" t="e">
        <f>1/((1/CU14)+(1/CU15)+(1/CU16)+(1/CU17))</f>
        <v>#DIV/0!</v>
      </c>
      <c r="CV2" s="389" t="s">
        <v>12</v>
      </c>
      <c r="CW2" s="218"/>
      <c r="CX2" s="219"/>
      <c r="CY2" s="219"/>
      <c r="CZ2" s="407" t="s">
        <v>531</v>
      </c>
      <c r="DA2" s="404" t="e">
        <f>1/((1/DA13)+(1/DA15)+(1/DA16))</f>
        <v>#DIV/0!</v>
      </c>
      <c r="DB2" s="401" t="s">
        <v>13</v>
      </c>
      <c r="DC2" s="442" t="s">
        <v>530</v>
      </c>
      <c r="DD2" s="439" t="e">
        <f>DD7</f>
        <v>#DIV/0!</v>
      </c>
      <c r="DE2" s="436" t="s">
        <v>12</v>
      </c>
      <c r="DF2" s="433" t="s">
        <v>530</v>
      </c>
      <c r="DG2" s="424" t="e">
        <f>DD7/((1/DG24)*(DG5+DG6+DG7))</f>
        <v>#DIV/0!</v>
      </c>
      <c r="DH2" s="430" t="s">
        <v>13</v>
      </c>
      <c r="DI2" s="427" t="s">
        <v>530</v>
      </c>
      <c r="DJ2" s="424" t="e">
        <f>(DD7/(DJ5+DJ6))*DJ12</f>
        <v>#DIV/0!</v>
      </c>
      <c r="DK2" s="430" t="s">
        <v>12</v>
      </c>
      <c r="DL2" s="427" t="s">
        <v>581</v>
      </c>
      <c r="DM2" s="424" t="e">
        <f>((DD7)/(DM5+DM6))*DJ12</f>
        <v>#DIV/0!</v>
      </c>
      <c r="DN2" s="430" t="s">
        <v>12</v>
      </c>
      <c r="DO2" s="427" t="s">
        <v>582</v>
      </c>
      <c r="DP2" s="424">
        <f>-(DP5+DP6+DP7)/(DP23+DP24)</f>
        <v>-49.755719687869203</v>
      </c>
      <c r="DQ2" s="421" t="s">
        <v>18</v>
      </c>
      <c r="DR2" s="574" t="s">
        <v>530</v>
      </c>
      <c r="DS2" s="445" t="e">
        <f>DS7</f>
        <v>#DIV/0!</v>
      </c>
      <c r="DT2" s="484" t="s">
        <v>12</v>
      </c>
      <c r="DU2" s="481" t="s">
        <v>530</v>
      </c>
      <c r="DV2" s="463" t="e">
        <f>(DS7*DV8)/(DV5*DV6*(1/1000))</f>
        <v>#DIV/0!</v>
      </c>
      <c r="DW2" s="466" t="s">
        <v>13</v>
      </c>
      <c r="DX2" s="478" t="s">
        <v>530</v>
      </c>
      <c r="DY2" s="463" t="e">
        <f>(DS7*DY14)/(DY9*((DY10*DY12*DY13*(DY5+DY6))+(DY11*DY12)))*DY18</f>
        <v>#DIV/0!</v>
      </c>
      <c r="DZ2" s="466" t="s">
        <v>12</v>
      </c>
      <c r="EA2" s="478" t="s">
        <v>581</v>
      </c>
      <c r="EB2" s="463" t="e">
        <f>(DS7*DY14)/(EB9*((EB10*EB12*EB13*(EB5+EB6))+(EB11*EB12)))*DY18</f>
        <v>#DIV/0!</v>
      </c>
      <c r="EC2" s="466" t="s">
        <v>12</v>
      </c>
      <c r="ED2" s="478" t="s">
        <v>582</v>
      </c>
      <c r="EE2" s="463">
        <f>-EE15/((EE10*EE12*EE13*(EE5+EE6))+(EE11*EE12))</f>
        <v>-16.803652968036527</v>
      </c>
      <c r="EF2" s="460" t="s">
        <v>18</v>
      </c>
      <c r="EG2" s="475" t="s">
        <v>530</v>
      </c>
      <c r="EH2" s="469" t="e">
        <f>EH7</f>
        <v>#DIV/0!</v>
      </c>
      <c r="EI2" s="457" t="s">
        <v>12</v>
      </c>
      <c r="EJ2" s="472" t="s">
        <v>530</v>
      </c>
      <c r="EK2" s="454" t="e">
        <f>EH7/(EK5*EK6)</f>
        <v>#DIV/0!</v>
      </c>
      <c r="EL2" s="451" t="s">
        <v>13</v>
      </c>
      <c r="EM2" s="448" t="s">
        <v>530</v>
      </c>
      <c r="EN2" s="454" t="e">
        <f>(EH7/(EN9*((EN10*EN12*EN13*(EN5+EN6))+(EN11*EN12))))*EN17</f>
        <v>#DIV/0!</v>
      </c>
      <c r="EO2" s="451" t="s">
        <v>12</v>
      </c>
      <c r="EP2" s="448" t="s">
        <v>581</v>
      </c>
      <c r="EQ2" s="454" t="e">
        <f>(EH7/(EQ9*((EQ10*EQ12*EQ13*(EQ5+EQ6))+(EQ11*EQ12))))*EN17</f>
        <v>#DIV/0!</v>
      </c>
      <c r="ER2" s="451" t="s">
        <v>12</v>
      </c>
      <c r="ES2" s="448" t="s">
        <v>582</v>
      </c>
      <c r="ET2" s="454">
        <f>-ET15/((ET10*ET12*ET13*(ET5+ET6))+(ET11*ET12))</f>
        <v>-15.395787944807553</v>
      </c>
      <c r="EU2" s="499" t="s">
        <v>18</v>
      </c>
      <c r="EV2" s="496" t="s">
        <v>530</v>
      </c>
      <c r="EW2" s="493" t="e">
        <f>EW7</f>
        <v>#DIV/0!</v>
      </c>
      <c r="EX2" s="490" t="s">
        <v>12</v>
      </c>
      <c r="EY2" s="487" t="s">
        <v>530</v>
      </c>
      <c r="EZ2" s="586" t="e">
        <f>EW7/(EZ5*EZ6*(1/EZ7))</f>
        <v>#DIV/0!</v>
      </c>
      <c r="FA2" s="592" t="s">
        <v>13</v>
      </c>
      <c r="FB2" s="589" t="s">
        <v>530</v>
      </c>
      <c r="FC2" s="586" t="e">
        <f>(EW7/(FC9*((FC10*FC12*FC13*(FC5+FC6))+(FC11*FC12))))*FC17</f>
        <v>#DIV/0!</v>
      </c>
      <c r="FD2" s="595" t="s">
        <v>12</v>
      </c>
      <c r="FE2" s="589" t="s">
        <v>581</v>
      </c>
      <c r="FF2" s="586" t="e">
        <f>(EW7/(FF9*(FF10*FF12*FF13*(FF5*FF6))+(FF11*FF12)))*FC17</f>
        <v>#DIV/0!</v>
      </c>
      <c r="FG2" s="592" t="s">
        <v>12</v>
      </c>
      <c r="FH2" s="589" t="s">
        <v>582</v>
      </c>
      <c r="FI2" s="586">
        <f>FI15/((FI10*FI12*FI13*(FI5+FI6))+(FI11*FI12))</f>
        <v>5.5555555555555554</v>
      </c>
      <c r="FJ2" s="583" t="s">
        <v>18</v>
      </c>
      <c r="FK2" s="580" t="s">
        <v>530</v>
      </c>
      <c r="FL2" s="577" t="e">
        <f>FL7</f>
        <v>#DIV/0!</v>
      </c>
      <c r="FM2" s="571" t="s">
        <v>12</v>
      </c>
      <c r="FN2" s="568" t="s">
        <v>530</v>
      </c>
      <c r="FO2" s="505" t="e">
        <f>FL7/(FO5*(1/FO6))</f>
        <v>#DIV/0!</v>
      </c>
      <c r="FP2" s="511" t="s">
        <v>13</v>
      </c>
      <c r="FQ2" s="508" t="s">
        <v>530</v>
      </c>
      <c r="FR2" s="505" t="e">
        <f>((FL7*FR6)/FR5)*FR10</f>
        <v>#DIV/0!</v>
      </c>
      <c r="FS2" s="511" t="s">
        <v>12</v>
      </c>
      <c r="FT2" s="508" t="s">
        <v>581</v>
      </c>
      <c r="FU2" s="505" t="e">
        <f>((FL7*FU6)/FU5)*FR10</f>
        <v>#DIV/0!</v>
      </c>
      <c r="FV2" s="511" t="s">
        <v>12</v>
      </c>
      <c r="FW2" s="508" t="s">
        <v>582</v>
      </c>
      <c r="FX2" s="505">
        <f>-FX5/FX6</f>
        <v>0</v>
      </c>
      <c r="FY2" s="502" t="s">
        <v>18</v>
      </c>
      <c r="FZ2" s="556" t="s">
        <v>530</v>
      </c>
      <c r="GA2" s="553" t="e">
        <f>GA7</f>
        <v>#DIV/0!</v>
      </c>
      <c r="GB2" s="550" t="s">
        <v>12</v>
      </c>
      <c r="GC2" s="559" t="s">
        <v>530</v>
      </c>
      <c r="GD2" s="538" t="e">
        <f>GA7/(GD5*GD6*(1/GD7))</f>
        <v>#DIV/0!</v>
      </c>
      <c r="GE2" s="544" t="s">
        <v>13</v>
      </c>
      <c r="GF2" s="541" t="s">
        <v>530</v>
      </c>
      <c r="GG2" s="538" t="e">
        <f>(GA7/((GG9)*((GG10*GG12*GG13*(GG5+GG6))+(GG11*GG12))))*GG17</f>
        <v>#DIV/0!</v>
      </c>
      <c r="GH2" s="544" t="s">
        <v>12</v>
      </c>
      <c r="GI2" s="541" t="s">
        <v>581</v>
      </c>
      <c r="GJ2" s="538" t="e">
        <f>(GA7/((GJ9)*((GJ10*GJ12*GJ13*(GJ5+GJ6))+(GJ11*GJ12))))*GG17</f>
        <v>#DIV/0!</v>
      </c>
      <c r="GK2" s="544" t="s">
        <v>12</v>
      </c>
      <c r="GL2" s="541" t="s">
        <v>582</v>
      </c>
      <c r="GM2" s="538">
        <f>GM15/((GM10*GM12*GM13*(GM5+GM6))+(GM11*GM12))</f>
        <v>5.5555555555555554</v>
      </c>
      <c r="GN2" s="535" t="s">
        <v>18</v>
      </c>
      <c r="GO2" s="532" t="s">
        <v>530</v>
      </c>
      <c r="GP2" s="529" t="e">
        <f>GP7</f>
        <v>#DIV/0!</v>
      </c>
      <c r="GQ2" s="526" t="s">
        <v>12</v>
      </c>
      <c r="GR2" s="523" t="s">
        <v>530</v>
      </c>
      <c r="GS2" s="517" t="e">
        <f>GP7/(GS5*GS6*(1/GS7))</f>
        <v>#DIV/0!</v>
      </c>
      <c r="GT2" s="514" t="s">
        <v>13</v>
      </c>
      <c r="GU2" s="520" t="s">
        <v>530</v>
      </c>
      <c r="GV2" s="517" t="e">
        <f>(GP7/((GV9)*((GV10*GV12*GV13*(GV5+GV6))+(GV11*GV12))))*GV17</f>
        <v>#DIV/0!</v>
      </c>
      <c r="GW2" s="514" t="s">
        <v>12</v>
      </c>
      <c r="GX2" s="520" t="s">
        <v>581</v>
      </c>
      <c r="GY2" s="517" t="e">
        <f>(GP7/((GY9*((GY10*GY12*GY13*(GY5+GY6))+(GY11*GY12)))))*GV17</f>
        <v>#DIV/0!</v>
      </c>
      <c r="GZ2" s="514" t="s">
        <v>12</v>
      </c>
      <c r="HA2" s="520" t="s">
        <v>582</v>
      </c>
      <c r="HB2" s="517" t="e">
        <f>GP7/((HB10*HB12*HB13*(HB5+HB6))+(HB11*HB12))</f>
        <v>#DIV/0!</v>
      </c>
      <c r="HC2" s="547" t="s">
        <v>18</v>
      </c>
      <c r="HD2" s="54"/>
      <c r="HE2" s="55"/>
      <c r="HF2" s="56"/>
    </row>
    <row r="3" spans="1:214" ht="13.5" thickTop="1" x14ac:dyDescent="0.2">
      <c r="A3" s="114" t="s">
        <v>302</v>
      </c>
      <c r="B3" s="228">
        <v>6.8000000000000005E-2</v>
      </c>
      <c r="C3" s="115"/>
      <c r="D3" s="189" t="s">
        <v>15</v>
      </c>
      <c r="E3" s="134">
        <f>1/((1/E19)+(1/E20))</f>
        <v>2.3075137938296535E-15</v>
      </c>
      <c r="F3" s="58" t="s">
        <v>294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1.0952755335683772E-12</v>
      </c>
      <c r="X3" s="62" t="s">
        <v>294</v>
      </c>
      <c r="Y3" s="202" t="s">
        <v>16</v>
      </c>
      <c r="Z3" s="187">
        <f>1/((1/Z18)+(1/Z19))</f>
        <v>1.0952755335683772E-12</v>
      </c>
      <c r="AA3" s="63" t="s">
        <v>294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307"/>
      <c r="AS3" s="304"/>
      <c r="AT3" s="291"/>
      <c r="AU3" s="288"/>
      <c r="AV3" s="304"/>
      <c r="AW3" s="291"/>
      <c r="AX3" s="288"/>
      <c r="AY3" s="304"/>
      <c r="AZ3" s="282"/>
      <c r="BA3" s="307"/>
      <c r="BB3" s="304"/>
      <c r="BC3" s="291"/>
      <c r="BD3" s="288"/>
      <c r="BE3" s="304"/>
      <c r="BF3" s="291"/>
      <c r="BG3" s="288"/>
      <c r="BH3" s="304"/>
      <c r="BI3" s="282"/>
      <c r="BJ3" s="307"/>
      <c r="BK3" s="285"/>
      <c r="BL3" s="291"/>
      <c r="BM3" s="288"/>
      <c r="BN3" s="285"/>
      <c r="BO3" s="291"/>
      <c r="BP3" s="288"/>
      <c r="BQ3" s="285"/>
      <c r="BR3" s="282"/>
      <c r="BS3" s="212" t="s">
        <v>15</v>
      </c>
      <c r="BT3" s="64">
        <f>1/((1/BT18)+(1/BT19))</f>
        <v>3.0207453301042734E-14</v>
      </c>
      <c r="BU3" s="53" t="s">
        <v>294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56"/>
      <c r="CN3" s="259"/>
      <c r="CO3" s="262"/>
      <c r="CP3" s="279"/>
      <c r="CQ3" s="276"/>
      <c r="CR3" s="262"/>
      <c r="CS3" s="265"/>
      <c r="CT3" s="396"/>
      <c r="CU3" s="393"/>
      <c r="CV3" s="390"/>
      <c r="CW3" s="216" t="s">
        <v>15</v>
      </c>
      <c r="CX3" s="65">
        <f>1/((1/CX19)+(1/CX20))</f>
        <v>2.3013975668054371E-15</v>
      </c>
      <c r="CY3" s="66" t="s">
        <v>294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222">
        <f>(HE5*HE14)*(10^-3)*(HE13+(HE10/HE11))*((HE12*HE7)/HE8)</f>
        <v>0</v>
      </c>
      <c r="HF3" s="220" t="s">
        <v>597</v>
      </c>
    </row>
    <row r="4" spans="1:214" ht="13.5" thickBot="1" x14ac:dyDescent="0.25">
      <c r="A4" s="116" t="s">
        <v>54</v>
      </c>
      <c r="B4" s="229">
        <v>0.75600000000000001</v>
      </c>
      <c r="C4" s="117"/>
      <c r="D4" s="190" t="s">
        <v>16</v>
      </c>
      <c r="E4" s="135">
        <f>1/((1/E21)+(1/E22))</f>
        <v>1.5265439379418376E-13</v>
      </c>
      <c r="F4" s="68" t="s">
        <v>294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1.6556113053389611E-14</v>
      </c>
      <c r="X4" s="76" t="s">
        <v>294</v>
      </c>
      <c r="Y4" s="203" t="s">
        <v>15</v>
      </c>
      <c r="Z4" s="186">
        <f>1/((1/Z16)+(1/Z17))</f>
        <v>1.6556113053389611E-14</v>
      </c>
      <c r="AA4" s="77" t="s">
        <v>294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308"/>
      <c r="AS4" s="305"/>
      <c r="AT4" s="292"/>
      <c r="AU4" s="289"/>
      <c r="AV4" s="305"/>
      <c r="AW4" s="292"/>
      <c r="AX4" s="289"/>
      <c r="AY4" s="305"/>
      <c r="AZ4" s="283"/>
      <c r="BA4" s="308"/>
      <c r="BB4" s="305"/>
      <c r="BC4" s="292"/>
      <c r="BD4" s="289"/>
      <c r="BE4" s="305"/>
      <c r="BF4" s="292"/>
      <c r="BG4" s="289"/>
      <c r="BH4" s="305"/>
      <c r="BI4" s="283"/>
      <c r="BJ4" s="308"/>
      <c r="BK4" s="286"/>
      <c r="BL4" s="292"/>
      <c r="BM4" s="289"/>
      <c r="BN4" s="286"/>
      <c r="BO4" s="292"/>
      <c r="BP4" s="289"/>
      <c r="BQ4" s="286"/>
      <c r="BR4" s="283"/>
      <c r="BS4" s="213" t="s">
        <v>16</v>
      </c>
      <c r="BT4" s="78">
        <f>1/((1/BT20)+(1/BT21))</f>
        <v>1.998384791487497E-12</v>
      </c>
      <c r="BU4" s="79" t="s">
        <v>294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57"/>
      <c r="CN4" s="260"/>
      <c r="CO4" s="263"/>
      <c r="CP4" s="280"/>
      <c r="CQ4" s="277"/>
      <c r="CR4" s="263"/>
      <c r="CS4" s="266"/>
      <c r="CT4" s="397"/>
      <c r="CU4" s="394"/>
      <c r="CV4" s="391"/>
      <c r="CW4" s="217" t="s">
        <v>16</v>
      </c>
      <c r="CX4" s="80">
        <f>1/((1/CX21)+(1/CX22))</f>
        <v>1.52249772625207E-13</v>
      </c>
      <c r="CY4" s="81" t="s">
        <v>294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224" t="e">
        <f>(HE6*HE14)*10^-3*(HE13+(HE10/HE11))*((HE12*HE7)/(HE8))</f>
        <v>#DIV/0!</v>
      </c>
      <c r="HF4" s="221" t="s">
        <v>598</v>
      </c>
    </row>
    <row r="5" spans="1:214" ht="14.25" thickTop="1" thickBot="1" x14ac:dyDescent="0.25">
      <c r="A5" s="681" t="s">
        <v>241</v>
      </c>
      <c r="B5" s="682"/>
      <c r="C5" s="683"/>
      <c r="D5" s="52" t="s">
        <v>267</v>
      </c>
      <c r="E5" s="136">
        <f>B17</f>
        <v>1</v>
      </c>
      <c r="F5" s="52" t="s">
        <v>344</v>
      </c>
      <c r="G5" s="83" t="s">
        <v>267</v>
      </c>
      <c r="H5" s="136">
        <f>B17</f>
        <v>1</v>
      </c>
      <c r="I5" s="52" t="s">
        <v>344</v>
      </c>
      <c r="J5" s="83" t="s">
        <v>267</v>
      </c>
      <c r="K5" s="136">
        <f>B17</f>
        <v>1</v>
      </c>
      <c r="L5" s="52" t="s">
        <v>344</v>
      </c>
      <c r="M5" s="52" t="s">
        <v>267</v>
      </c>
      <c r="N5" s="136">
        <f>B17</f>
        <v>1</v>
      </c>
      <c r="O5" s="52" t="s">
        <v>344</v>
      </c>
      <c r="P5" s="52" t="s">
        <v>267</v>
      </c>
      <c r="Q5" s="136">
        <f>B17</f>
        <v>1</v>
      </c>
      <c r="R5" s="52" t="s">
        <v>344</v>
      </c>
      <c r="S5" s="52" t="s">
        <v>267</v>
      </c>
      <c r="T5" s="136">
        <f>B17</f>
        <v>1</v>
      </c>
      <c r="U5" s="52" t="s">
        <v>344</v>
      </c>
      <c r="V5" s="52" t="s">
        <v>267</v>
      </c>
      <c r="W5" s="136">
        <f>B17</f>
        <v>1</v>
      </c>
      <c r="X5" s="52" t="s">
        <v>344</v>
      </c>
      <c r="Y5" s="52" t="s">
        <v>267</v>
      </c>
      <c r="Z5" s="136">
        <f>B17</f>
        <v>1</v>
      </c>
      <c r="AA5" s="52" t="s">
        <v>344</v>
      </c>
      <c r="AB5" s="83" t="s">
        <v>267</v>
      </c>
      <c r="AC5" s="136">
        <f>B17</f>
        <v>1</v>
      </c>
      <c r="AD5" s="136">
        <f>B17</f>
        <v>1</v>
      </c>
      <c r="AE5" s="136">
        <f>B17</f>
        <v>1</v>
      </c>
      <c r="AF5" s="136">
        <f>B17</f>
        <v>1</v>
      </c>
      <c r="AG5" s="136">
        <f>B17</f>
        <v>1</v>
      </c>
      <c r="AH5" s="52" t="s">
        <v>344</v>
      </c>
      <c r="AI5" s="52" t="s">
        <v>267</v>
      </c>
      <c r="AJ5" s="136">
        <f>B17</f>
        <v>1</v>
      </c>
      <c r="AK5" s="52" t="s">
        <v>344</v>
      </c>
      <c r="AL5" s="52" t="s">
        <v>267</v>
      </c>
      <c r="AM5" s="136">
        <f>B17</f>
        <v>1</v>
      </c>
      <c r="AN5" s="52" t="s">
        <v>344</v>
      </c>
      <c r="AO5" s="52" t="s">
        <v>267</v>
      </c>
      <c r="AP5" s="136">
        <f>B17</f>
        <v>1</v>
      </c>
      <c r="AQ5" s="52" t="s">
        <v>344</v>
      </c>
      <c r="AR5" s="52" t="s">
        <v>267</v>
      </c>
      <c r="AS5" s="136">
        <f>B17</f>
        <v>1</v>
      </c>
      <c r="AT5" s="52" t="s">
        <v>344</v>
      </c>
      <c r="AU5" s="52" t="s">
        <v>267</v>
      </c>
      <c r="AV5" s="136">
        <f>B17</f>
        <v>1</v>
      </c>
      <c r="AW5" s="52" t="s">
        <v>344</v>
      </c>
      <c r="AX5" s="52" t="s">
        <v>267</v>
      </c>
      <c r="AY5" s="136">
        <f>B17</f>
        <v>1</v>
      </c>
      <c r="AZ5" s="52" t="s">
        <v>344</v>
      </c>
      <c r="BA5" s="52" t="s">
        <v>267</v>
      </c>
      <c r="BB5" s="136">
        <f>B17</f>
        <v>1</v>
      </c>
      <c r="BC5" s="52" t="s">
        <v>344</v>
      </c>
      <c r="BD5" s="52" t="s">
        <v>267</v>
      </c>
      <c r="BE5" s="136">
        <f>B17</f>
        <v>1</v>
      </c>
      <c r="BF5" s="52" t="s">
        <v>344</v>
      </c>
      <c r="BG5" s="52" t="s">
        <v>267</v>
      </c>
      <c r="BH5" s="136">
        <f>B17</f>
        <v>1</v>
      </c>
      <c r="BI5" s="52" t="s">
        <v>344</v>
      </c>
      <c r="BJ5" s="52" t="s">
        <v>267</v>
      </c>
      <c r="BK5" s="136">
        <f>B17</f>
        <v>1</v>
      </c>
      <c r="BL5" s="52" t="s">
        <v>344</v>
      </c>
      <c r="BM5" s="52" t="s">
        <v>267</v>
      </c>
      <c r="BN5" s="136">
        <f>B17</f>
        <v>1</v>
      </c>
      <c r="BO5" s="52" t="s">
        <v>344</v>
      </c>
      <c r="BP5" s="52" t="s">
        <v>267</v>
      </c>
      <c r="BQ5" s="136">
        <f>B17</f>
        <v>1</v>
      </c>
      <c r="BR5" s="52" t="s">
        <v>344</v>
      </c>
      <c r="BS5" s="52" t="s">
        <v>267</v>
      </c>
      <c r="BT5" s="136">
        <f>B17</f>
        <v>1</v>
      </c>
      <c r="BU5" s="52" t="s">
        <v>344</v>
      </c>
      <c r="BV5" s="83" t="s">
        <v>267</v>
      </c>
      <c r="BW5" s="136">
        <f>B17</f>
        <v>1</v>
      </c>
      <c r="BX5" s="52" t="s">
        <v>344</v>
      </c>
      <c r="BY5" s="83" t="s">
        <v>267</v>
      </c>
      <c r="BZ5" s="136">
        <f>B17</f>
        <v>1</v>
      </c>
      <c r="CA5" s="52" t="s">
        <v>344</v>
      </c>
      <c r="CB5" s="52" t="s">
        <v>267</v>
      </c>
      <c r="CC5" s="136">
        <f>B17</f>
        <v>1</v>
      </c>
      <c r="CD5" s="52" t="s">
        <v>344</v>
      </c>
      <c r="CE5" s="52" t="s">
        <v>267</v>
      </c>
      <c r="CF5" s="136">
        <f>B17</f>
        <v>1</v>
      </c>
      <c r="CG5" s="52" t="s">
        <v>344</v>
      </c>
      <c r="CH5" s="52" t="s">
        <v>267</v>
      </c>
      <c r="CI5" s="136">
        <f>B17</f>
        <v>1</v>
      </c>
      <c r="CJ5" s="52" t="s">
        <v>344</v>
      </c>
      <c r="CK5" s="52" t="s">
        <v>267</v>
      </c>
      <c r="CL5" s="136">
        <f>B17</f>
        <v>1</v>
      </c>
      <c r="CM5" s="52" t="s">
        <v>344</v>
      </c>
      <c r="CN5" s="83" t="s">
        <v>228</v>
      </c>
      <c r="CO5" s="136">
        <f>B42</f>
        <v>0</v>
      </c>
      <c r="CP5" s="52" t="s">
        <v>268</v>
      </c>
      <c r="CQ5" s="83" t="s">
        <v>228</v>
      </c>
      <c r="CR5" s="136">
        <f>CO5</f>
        <v>0</v>
      </c>
      <c r="CS5" s="52" t="s">
        <v>268</v>
      </c>
      <c r="CT5" s="83" t="s">
        <v>267</v>
      </c>
      <c r="CU5" s="136">
        <f>B17</f>
        <v>1</v>
      </c>
      <c r="CV5" s="52" t="s">
        <v>344</v>
      </c>
      <c r="CW5" s="52" t="s">
        <v>267</v>
      </c>
      <c r="CX5" s="136">
        <f>B17</f>
        <v>1</v>
      </c>
      <c r="CY5" s="52" t="s">
        <v>344</v>
      </c>
      <c r="CZ5" s="83" t="s">
        <v>267</v>
      </c>
      <c r="DA5" s="136">
        <f>B17</f>
        <v>1</v>
      </c>
      <c r="DB5" s="52" t="s">
        <v>344</v>
      </c>
      <c r="DC5" s="83" t="s">
        <v>267</v>
      </c>
      <c r="DD5" s="136">
        <f>B17</f>
        <v>1</v>
      </c>
      <c r="DE5" s="52" t="s">
        <v>344</v>
      </c>
      <c r="DF5" s="52" t="s">
        <v>17</v>
      </c>
      <c r="DG5" s="137">
        <f>(DG8*DG9*DG10*((1-EXP(-DG11*DG12))))/(DG13*DG11)</f>
        <v>0</v>
      </c>
      <c r="DH5" s="52" t="s">
        <v>18</v>
      </c>
      <c r="DI5" s="83" t="s">
        <v>19</v>
      </c>
      <c r="DJ5" s="161">
        <f>DJ7</f>
        <v>0</v>
      </c>
      <c r="DK5" s="83"/>
      <c r="DL5" s="83" t="s">
        <v>19</v>
      </c>
      <c r="DM5" s="161">
        <f>DM7</f>
        <v>0</v>
      </c>
      <c r="DO5" s="52" t="s">
        <v>17</v>
      </c>
      <c r="DP5" s="137">
        <f>(DP8*DP9*DP10*((1-EXP(-DP11*DP12))))/(DP13*DP11)</f>
        <v>0</v>
      </c>
      <c r="DQ5" s="52" t="s">
        <v>18</v>
      </c>
      <c r="DR5" s="83" t="s">
        <v>267</v>
      </c>
      <c r="DS5" s="136">
        <f>B17</f>
        <v>1</v>
      </c>
      <c r="DT5" s="52" t="s">
        <v>344</v>
      </c>
      <c r="DU5" s="83" t="s">
        <v>239</v>
      </c>
      <c r="DV5" s="169">
        <f>B36</f>
        <v>0</v>
      </c>
      <c r="DW5" s="52" t="s">
        <v>601</v>
      </c>
      <c r="DX5" s="83" t="s">
        <v>20</v>
      </c>
      <c r="DY5" s="161">
        <f>DY7</f>
        <v>0</v>
      </c>
      <c r="DZ5" s="83"/>
      <c r="EA5" s="83" t="s">
        <v>20</v>
      </c>
      <c r="EB5" s="161">
        <f>EB7</f>
        <v>0</v>
      </c>
      <c r="EC5" s="84"/>
      <c r="ED5" s="83" t="s">
        <v>20</v>
      </c>
      <c r="EE5" s="161">
        <f>EE7</f>
        <v>0</v>
      </c>
      <c r="EF5" s="84"/>
      <c r="EG5" s="83" t="s">
        <v>267</v>
      </c>
      <c r="EH5" s="136">
        <f>B17</f>
        <v>1</v>
      </c>
      <c r="EI5" s="52" t="s">
        <v>344</v>
      </c>
      <c r="EJ5" s="83" t="s">
        <v>236</v>
      </c>
      <c r="EK5" s="169">
        <f>B37</f>
        <v>0</v>
      </c>
      <c r="EL5" s="52" t="s">
        <v>388</v>
      </c>
      <c r="EM5" s="83" t="s">
        <v>20</v>
      </c>
      <c r="EN5" s="161">
        <f>EN7</f>
        <v>0</v>
      </c>
      <c r="EO5" s="83"/>
      <c r="EP5" s="83" t="s">
        <v>20</v>
      </c>
      <c r="EQ5" s="161">
        <f>EQ7</f>
        <v>0</v>
      </c>
      <c r="ER5" s="84"/>
      <c r="ES5" s="83" t="s">
        <v>20</v>
      </c>
      <c r="ET5" s="161">
        <f>ET7</f>
        <v>0</v>
      </c>
      <c r="EU5" s="84"/>
      <c r="EV5" s="83" t="s">
        <v>267</v>
      </c>
      <c r="EW5" s="136">
        <f>B17</f>
        <v>1</v>
      </c>
      <c r="EX5" s="52" t="s">
        <v>344</v>
      </c>
      <c r="EY5" s="83" t="s">
        <v>171</v>
      </c>
      <c r="EZ5" s="169">
        <f>B39</f>
        <v>0</v>
      </c>
      <c r="FA5" s="52" t="s">
        <v>388</v>
      </c>
      <c r="FB5" s="83" t="s">
        <v>20</v>
      </c>
      <c r="FC5" s="161">
        <f>FC7</f>
        <v>0</v>
      </c>
      <c r="FD5" s="83"/>
      <c r="FE5" s="83" t="s">
        <v>20</v>
      </c>
      <c r="FF5" s="161">
        <f>FF7</f>
        <v>0</v>
      </c>
      <c r="FG5" s="83"/>
      <c r="FH5" s="83" t="s">
        <v>20</v>
      </c>
      <c r="FI5" s="161">
        <f>FI7</f>
        <v>0</v>
      </c>
      <c r="FJ5" s="84"/>
      <c r="FK5" s="83" t="s">
        <v>267</v>
      </c>
      <c r="FL5" s="136">
        <f>B17</f>
        <v>1</v>
      </c>
      <c r="FM5" s="52" t="s">
        <v>344</v>
      </c>
      <c r="FN5" s="83" t="s">
        <v>105</v>
      </c>
      <c r="FO5" s="161">
        <f>B35</f>
        <v>0</v>
      </c>
      <c r="FP5" s="83" t="s">
        <v>18</v>
      </c>
      <c r="FQ5" s="83" t="s">
        <v>105</v>
      </c>
      <c r="FR5" s="161">
        <f>B35</f>
        <v>0</v>
      </c>
      <c r="FS5" s="83" t="s">
        <v>18</v>
      </c>
      <c r="FT5" s="83" t="s">
        <v>105</v>
      </c>
      <c r="FU5" s="161">
        <f>B35</f>
        <v>0</v>
      </c>
      <c r="FV5" s="83" t="s">
        <v>18</v>
      </c>
      <c r="FW5" s="83" t="s">
        <v>156</v>
      </c>
      <c r="FX5" s="161">
        <f>B45</f>
        <v>0</v>
      </c>
      <c r="FY5" s="88" t="s">
        <v>18</v>
      </c>
      <c r="FZ5" s="83" t="s">
        <v>267</v>
      </c>
      <c r="GA5" s="136">
        <f>B17</f>
        <v>1</v>
      </c>
      <c r="GB5" s="52" t="s">
        <v>344</v>
      </c>
      <c r="GC5" s="83" t="s">
        <v>237</v>
      </c>
      <c r="GD5" s="169">
        <f>B38</f>
        <v>0</v>
      </c>
      <c r="GE5" s="52" t="s">
        <v>388</v>
      </c>
      <c r="GF5" s="83" t="s">
        <v>20</v>
      </c>
      <c r="GG5" s="161">
        <f>GG7</f>
        <v>0</v>
      </c>
      <c r="GH5" s="83"/>
      <c r="GI5" s="83" t="s">
        <v>20</v>
      </c>
      <c r="GJ5" s="161">
        <f>GJ7</f>
        <v>0</v>
      </c>
      <c r="GK5" s="83"/>
      <c r="GL5" s="83" t="s">
        <v>20</v>
      </c>
      <c r="GM5" s="161">
        <f>GM7</f>
        <v>0</v>
      </c>
      <c r="GN5" s="84"/>
      <c r="GO5" s="83" t="s">
        <v>267</v>
      </c>
      <c r="GP5" s="136">
        <f>B17</f>
        <v>1</v>
      </c>
      <c r="GQ5" s="52" t="s">
        <v>344</v>
      </c>
      <c r="GR5" s="83" t="s">
        <v>238</v>
      </c>
      <c r="GS5" s="169">
        <f>B40</f>
        <v>0</v>
      </c>
      <c r="GT5" s="52" t="s">
        <v>388</v>
      </c>
      <c r="GU5" s="83" t="s">
        <v>20</v>
      </c>
      <c r="GV5" s="161">
        <f>GV7</f>
        <v>0</v>
      </c>
      <c r="GW5" s="83"/>
      <c r="GX5" s="83" t="s">
        <v>20</v>
      </c>
      <c r="GY5" s="161">
        <f>GY7</f>
        <v>0</v>
      </c>
      <c r="GZ5" s="83"/>
      <c r="HA5" s="83" t="s">
        <v>20</v>
      </c>
      <c r="HB5" s="161">
        <f>HB7</f>
        <v>0</v>
      </c>
      <c r="HC5" s="84"/>
      <c r="HD5" s="89" t="s">
        <v>21</v>
      </c>
      <c r="HE5" s="225">
        <f>B46</f>
        <v>0</v>
      </c>
      <c r="HF5" s="83" t="s">
        <v>13</v>
      </c>
    </row>
    <row r="6" spans="1:214" ht="13.5" thickTop="1" x14ac:dyDescent="0.2">
      <c r="A6" s="114" t="s">
        <v>339</v>
      </c>
      <c r="B6" s="228">
        <v>3.7100000000000001E-2</v>
      </c>
      <c r="C6" s="115"/>
      <c r="D6" s="83" t="s">
        <v>22</v>
      </c>
      <c r="E6" s="137">
        <f>0.693/E7</f>
        <v>66.155354824913829</v>
      </c>
      <c r="G6" s="83" t="s">
        <v>248</v>
      </c>
      <c r="H6" s="136">
        <f>B19</f>
        <v>0</v>
      </c>
      <c r="I6" s="83" t="s">
        <v>259</v>
      </c>
      <c r="J6" s="83" t="s">
        <v>249</v>
      </c>
      <c r="K6" s="136">
        <f>B20</f>
        <v>0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66.155354824913829</v>
      </c>
      <c r="BV6" s="83" t="s">
        <v>248</v>
      </c>
      <c r="BW6" s="136">
        <f>B19</f>
        <v>0</v>
      </c>
      <c r="BX6" s="83" t="s">
        <v>259</v>
      </c>
      <c r="BY6" s="83" t="s">
        <v>249</v>
      </c>
      <c r="BZ6" s="136">
        <f>B20</f>
        <v>0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B29</f>
        <v>0</v>
      </c>
      <c r="CM6" s="91" t="s">
        <v>10</v>
      </c>
      <c r="CN6" s="84" t="s">
        <v>20</v>
      </c>
      <c r="CO6" s="139">
        <f>CO8</f>
        <v>0</v>
      </c>
      <c r="CQ6" s="84" t="s">
        <v>169</v>
      </c>
      <c r="CR6" s="162">
        <f>B133</f>
        <v>2</v>
      </c>
      <c r="CS6" s="52" t="s">
        <v>28</v>
      </c>
      <c r="CT6" s="83" t="s">
        <v>249</v>
      </c>
      <c r="CU6" s="136">
        <f>B20</f>
        <v>0</v>
      </c>
      <c r="CV6" s="83" t="s">
        <v>259</v>
      </c>
      <c r="CW6" s="83" t="s">
        <v>22</v>
      </c>
      <c r="CX6" s="137">
        <f>0.693/CX7</f>
        <v>66.155354824913829</v>
      </c>
      <c r="CZ6" s="83" t="s">
        <v>248</v>
      </c>
      <c r="DA6" s="136">
        <f>B19</f>
        <v>0</v>
      </c>
      <c r="DB6" s="83" t="s">
        <v>259</v>
      </c>
      <c r="DC6" s="83" t="s">
        <v>258</v>
      </c>
      <c r="DD6" s="136">
        <f>B29</f>
        <v>0</v>
      </c>
      <c r="DE6" s="92" t="s">
        <v>259</v>
      </c>
      <c r="DF6" s="52" t="s">
        <v>25</v>
      </c>
      <c r="DG6" s="137">
        <f>(DG8*DG9*DG14*((1-EXP(-DG11*DG12))))/(DG13*DG11)</f>
        <v>5.4084629109509424E-3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B29</f>
        <v>0</v>
      </c>
      <c r="DT6" s="83" t="s">
        <v>259</v>
      </c>
      <c r="DU6" s="83" t="s">
        <v>27</v>
      </c>
      <c r="DV6" s="142">
        <f>B199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B29</f>
        <v>0</v>
      </c>
      <c r="EI6" s="83" t="s">
        <v>259</v>
      </c>
      <c r="EJ6" s="83" t="s">
        <v>29</v>
      </c>
      <c r="EK6" s="142">
        <f>B205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B29</f>
        <v>0</v>
      </c>
      <c r="EX6" s="83" t="s">
        <v>259</v>
      </c>
      <c r="EY6" s="83" t="s">
        <v>148</v>
      </c>
      <c r="EZ6" s="164">
        <f>B210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B29</f>
        <v>0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B45</f>
        <v>0</v>
      </c>
      <c r="FS6" s="83" t="s">
        <v>18</v>
      </c>
      <c r="FT6" s="83" t="s">
        <v>156</v>
      </c>
      <c r="FU6" s="161">
        <f>B45</f>
        <v>0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B29</f>
        <v>0</v>
      </c>
      <c r="GB6" s="83" t="s">
        <v>259</v>
      </c>
      <c r="GC6" s="83" t="s">
        <v>485</v>
      </c>
      <c r="GD6" s="164">
        <f>B215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B29</f>
        <v>0</v>
      </c>
      <c r="GQ6" s="83" t="s">
        <v>259</v>
      </c>
      <c r="GR6" s="83" t="s">
        <v>150</v>
      </c>
      <c r="GS6" s="142">
        <f>B220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 t="e">
        <f>H2</f>
        <v>#DIV/0!</v>
      </c>
      <c r="HF6" s="83" t="s">
        <v>13</v>
      </c>
    </row>
    <row r="7" spans="1:214" x14ac:dyDescent="0.2">
      <c r="A7" s="116" t="s">
        <v>242</v>
      </c>
      <c r="B7" s="229">
        <v>0.65</v>
      </c>
      <c r="C7" s="117"/>
      <c r="D7" s="91" t="s">
        <v>231</v>
      </c>
      <c r="E7" s="136">
        <f>B30</f>
        <v>1.04753425E-2</v>
      </c>
      <c r="F7" s="52" t="s">
        <v>60</v>
      </c>
      <c r="G7" s="83" t="s">
        <v>247</v>
      </c>
      <c r="H7" s="139">
        <f>B18</f>
        <v>1.25E-4</v>
      </c>
      <c r="I7" s="84" t="s">
        <v>259</v>
      </c>
      <c r="J7" s="83" t="s">
        <v>247</v>
      </c>
      <c r="K7" s="136">
        <f>B18</f>
        <v>1.25E-4</v>
      </c>
      <c r="L7" s="84" t="s">
        <v>259</v>
      </c>
      <c r="M7" s="83" t="s">
        <v>22</v>
      </c>
      <c r="N7" s="137">
        <f>0.693/N8</f>
        <v>66.155354824913829</v>
      </c>
      <c r="P7" s="83" t="s">
        <v>22</v>
      </c>
      <c r="Q7" s="137">
        <f>0.693/Q8</f>
        <v>66.155354824913829</v>
      </c>
      <c r="S7" s="83" t="s">
        <v>22</v>
      </c>
      <c r="T7" s="137">
        <f>0.693/T8</f>
        <v>66.155354824913829</v>
      </c>
      <c r="V7" s="83" t="s">
        <v>22</v>
      </c>
      <c r="W7" s="137">
        <f>0.693/W8</f>
        <v>66.155354824913829</v>
      </c>
      <c r="Y7" s="83" t="s">
        <v>22</v>
      </c>
      <c r="Z7" s="137">
        <f>0.693/Z8</f>
        <v>66.155354824913829</v>
      </c>
      <c r="AB7" s="83" t="s">
        <v>425</v>
      </c>
      <c r="AC7" s="150">
        <f>B227</f>
        <v>125</v>
      </c>
      <c r="AD7" s="150">
        <f>B237</f>
        <v>125</v>
      </c>
      <c r="AE7" s="150">
        <f>B247</f>
        <v>125</v>
      </c>
      <c r="AF7" s="150">
        <f>B257</f>
        <v>125</v>
      </c>
      <c r="AG7" s="150">
        <f>B269</f>
        <v>125</v>
      </c>
      <c r="AH7" s="83" t="s">
        <v>24</v>
      </c>
      <c r="AI7" s="83" t="s">
        <v>22</v>
      </c>
      <c r="AJ7" s="137">
        <f>0.693/AJ8</f>
        <v>66.155354824913829</v>
      </c>
      <c r="AL7" s="83" t="s">
        <v>22</v>
      </c>
      <c r="AM7" s="137">
        <f>0.693/AM8</f>
        <v>66.155354824913829</v>
      </c>
      <c r="AO7" s="83" t="s">
        <v>22</v>
      </c>
      <c r="AP7" s="137">
        <f>0.693/AP8</f>
        <v>66.155354824913829</v>
      </c>
      <c r="AR7" s="83" t="s">
        <v>22</v>
      </c>
      <c r="AS7" s="137">
        <f>0.693/AS8</f>
        <v>66.155354824913829</v>
      </c>
      <c r="AU7" s="83" t="s">
        <v>22</v>
      </c>
      <c r="AV7" s="137">
        <f>0.693/AV8</f>
        <v>66.155354824913829</v>
      </c>
      <c r="AX7" s="83" t="s">
        <v>22</v>
      </c>
      <c r="AY7" s="137">
        <f>0.693/AY8</f>
        <v>66.155354824913829</v>
      </c>
      <c r="BA7" s="83" t="s">
        <v>22</v>
      </c>
      <c r="BB7" s="137">
        <f>0.693/BB8</f>
        <v>66.155354824913829</v>
      </c>
      <c r="BD7" s="83" t="s">
        <v>22</v>
      </c>
      <c r="BE7" s="137">
        <f>0.693/BE8</f>
        <v>66.155354824913829</v>
      </c>
      <c r="BG7" s="83" t="s">
        <v>22</v>
      </c>
      <c r="BH7" s="137">
        <f>0.693/BH8</f>
        <v>66.155354824913829</v>
      </c>
      <c r="BJ7" s="83" t="s">
        <v>22</v>
      </c>
      <c r="BK7" s="137">
        <f>0.693/BK8</f>
        <v>66.155354824913829</v>
      </c>
      <c r="BM7" s="83" t="s">
        <v>22</v>
      </c>
      <c r="BN7" s="137">
        <f>0.693/BN8</f>
        <v>66.155354824913829</v>
      </c>
      <c r="BP7" s="83" t="s">
        <v>22</v>
      </c>
      <c r="BQ7" s="137">
        <f>0.693/BQ8</f>
        <v>66.155354824913829</v>
      </c>
      <c r="BS7" s="91" t="s">
        <v>231</v>
      </c>
      <c r="BT7" s="136">
        <f>B30</f>
        <v>1.04753425E-2</v>
      </c>
      <c r="BU7" s="52" t="s">
        <v>60</v>
      </c>
      <c r="BV7" s="83" t="s">
        <v>247</v>
      </c>
      <c r="BW7" s="139">
        <f>B18</f>
        <v>1.25E-4</v>
      </c>
      <c r="BX7" s="84" t="s">
        <v>259</v>
      </c>
      <c r="BY7" s="83" t="s">
        <v>247</v>
      </c>
      <c r="BZ7" s="139">
        <f>B18</f>
        <v>1.25E-4</v>
      </c>
      <c r="CA7" s="84" t="s">
        <v>259</v>
      </c>
      <c r="CB7" s="83" t="s">
        <v>22</v>
      </c>
      <c r="CC7" s="137">
        <f>0.693/CC8</f>
        <v>66.155354824913829</v>
      </c>
      <c r="CE7" s="83" t="s">
        <v>22</v>
      </c>
      <c r="CF7" s="137">
        <f>0.693/CF8</f>
        <v>66.155354824913829</v>
      </c>
      <c r="CH7" s="83" t="s">
        <v>22</v>
      </c>
      <c r="CI7" s="137">
        <f>0.693/CI8</f>
        <v>66.155354824913829</v>
      </c>
      <c r="CK7" s="52" t="s">
        <v>140</v>
      </c>
      <c r="CL7" s="138">
        <f>B113</f>
        <v>55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B18</f>
        <v>1.25E-4</v>
      </c>
      <c r="CV7" s="84" t="s">
        <v>259</v>
      </c>
      <c r="CW7" s="91" t="s">
        <v>231</v>
      </c>
      <c r="CX7" s="136">
        <f>B30</f>
        <v>1.04753425E-2</v>
      </c>
      <c r="CY7" s="52" t="s">
        <v>60</v>
      </c>
      <c r="CZ7" s="84" t="s">
        <v>247</v>
      </c>
      <c r="DA7" s="139">
        <f>B18</f>
        <v>1.25E-4</v>
      </c>
      <c r="DB7" s="84" t="s">
        <v>259</v>
      </c>
      <c r="DC7" s="83" t="s">
        <v>260</v>
      </c>
      <c r="DD7" s="166" t="e">
        <f>((DD5)/(DD6*(DD8+DD11)*DD19))*DD22*DD23*DJ11</f>
        <v>#DIV/0!</v>
      </c>
      <c r="DE7" s="92" t="s">
        <v>12</v>
      </c>
      <c r="DF7" s="52" t="s">
        <v>31</v>
      </c>
      <c r="DG7" s="137">
        <f>(DG8*DG9*DG15*DG21*((1-EXP(-DG16*DG17))))/(DG18*DG16)</f>
        <v>0.82362658902748997</v>
      </c>
      <c r="DH7" s="52" t="s">
        <v>18</v>
      </c>
      <c r="DI7" s="83" t="s">
        <v>32</v>
      </c>
      <c r="DJ7" s="136">
        <f>B43</f>
        <v>0</v>
      </c>
      <c r="DL7" s="83" t="s">
        <v>32</v>
      </c>
      <c r="DM7" s="136">
        <f>B43</f>
        <v>0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 t="e">
        <f>(DS5/(DS6*DS8*DS15))*DS19*DS20*DY17</f>
        <v>#DIV/0!</v>
      </c>
      <c r="DT7" s="52" t="s">
        <v>12</v>
      </c>
      <c r="DV7" s="138"/>
      <c r="DX7" s="83" t="s">
        <v>33</v>
      </c>
      <c r="DY7" s="136">
        <f>B44</f>
        <v>0</v>
      </c>
      <c r="EA7" s="83" t="s">
        <v>33</v>
      </c>
      <c r="EB7" s="136">
        <f>B44</f>
        <v>0</v>
      </c>
      <c r="EC7" s="84"/>
      <c r="ED7" s="83" t="s">
        <v>33</v>
      </c>
      <c r="EE7" s="136">
        <f>B44</f>
        <v>0</v>
      </c>
      <c r="EF7" s="84"/>
      <c r="EG7" s="83" t="s">
        <v>260</v>
      </c>
      <c r="EH7" s="168" t="e">
        <f>(EH5/(EH6*EH8*EH15))*EH19*EH20*EN16</f>
        <v>#DIV/0!</v>
      </c>
      <c r="EI7" s="52" t="s">
        <v>12</v>
      </c>
      <c r="EM7" s="83" t="s">
        <v>33</v>
      </c>
      <c r="EN7" s="136">
        <f>B44</f>
        <v>0</v>
      </c>
      <c r="EP7" s="83" t="s">
        <v>33</v>
      </c>
      <c r="EQ7" s="136">
        <f>B44</f>
        <v>0</v>
      </c>
      <c r="ER7" s="84"/>
      <c r="ES7" s="83" t="s">
        <v>33</v>
      </c>
      <c r="ET7" s="136">
        <f>B44</f>
        <v>0</v>
      </c>
      <c r="EU7" s="84"/>
      <c r="EV7" s="83" t="s">
        <v>260</v>
      </c>
      <c r="EW7" s="168" t="e">
        <f>(EW5/(EW6*EW8*EW15))*EW19*EW20*FC16</f>
        <v>#DIV/0!</v>
      </c>
      <c r="EX7" s="52" t="s">
        <v>12</v>
      </c>
      <c r="EY7" s="83"/>
      <c r="EZ7" s="142">
        <v>1000</v>
      </c>
      <c r="FA7" s="83" t="s">
        <v>132</v>
      </c>
      <c r="FB7" s="83" t="s">
        <v>33</v>
      </c>
      <c r="FC7" s="161">
        <f>B44</f>
        <v>0</v>
      </c>
      <c r="FD7" s="83"/>
      <c r="FE7" s="83" t="s">
        <v>33</v>
      </c>
      <c r="FF7" s="161">
        <f>B44</f>
        <v>0</v>
      </c>
      <c r="FG7" s="83"/>
      <c r="FH7" s="83" t="s">
        <v>33</v>
      </c>
      <c r="FI7" s="161">
        <f>B44</f>
        <v>0</v>
      </c>
      <c r="FJ7" s="84"/>
      <c r="FK7" s="83" t="s">
        <v>260</v>
      </c>
      <c r="FL7" s="168" t="e">
        <f>(FL5/(FL6*FL8*FL15))*FL19*FL20*FR9</f>
        <v>#DIV/0!</v>
      </c>
      <c r="FM7" s="52" t="s">
        <v>12</v>
      </c>
      <c r="FN7" s="83"/>
      <c r="FO7" s="138"/>
      <c r="FQ7" s="52" t="s">
        <v>350</v>
      </c>
      <c r="FR7" s="164">
        <f>B168</f>
        <v>1</v>
      </c>
      <c r="FT7" s="83"/>
      <c r="FU7" s="142"/>
      <c r="FV7" s="83"/>
      <c r="FX7" s="138"/>
      <c r="FZ7" s="83" t="s">
        <v>260</v>
      </c>
      <c r="GA7" s="168" t="e">
        <f>(GA5/(GA6*GA8*GA15))*GA19*GA20*GG16</f>
        <v>#DIV/0!</v>
      </c>
      <c r="GB7" s="52" t="s">
        <v>12</v>
      </c>
      <c r="GC7" s="83"/>
      <c r="GD7" s="142">
        <v>1000</v>
      </c>
      <c r="GE7" s="83" t="s">
        <v>132</v>
      </c>
      <c r="GF7" s="83" t="s">
        <v>33</v>
      </c>
      <c r="GG7" s="161">
        <f>B44</f>
        <v>0</v>
      </c>
      <c r="GH7" s="83"/>
      <c r="GI7" s="83" t="s">
        <v>33</v>
      </c>
      <c r="GJ7" s="161">
        <f>B44</f>
        <v>0</v>
      </c>
      <c r="GK7" s="83"/>
      <c r="GL7" s="83" t="s">
        <v>33</v>
      </c>
      <c r="GM7" s="161">
        <f>B44</f>
        <v>0</v>
      </c>
      <c r="GN7" s="84"/>
      <c r="GO7" s="83" t="s">
        <v>260</v>
      </c>
      <c r="GP7" s="168" t="e">
        <f>(GP5/(GP6*GP8*GP14))*GP18*GP19*GV16</f>
        <v>#DIV/0!</v>
      </c>
      <c r="GQ7" s="52" t="s">
        <v>12</v>
      </c>
      <c r="GR7" s="88"/>
      <c r="GS7" s="142">
        <v>1000</v>
      </c>
      <c r="GT7" s="83" t="s">
        <v>132</v>
      </c>
      <c r="GU7" s="83" t="s">
        <v>33</v>
      </c>
      <c r="GV7" s="161">
        <f>B44</f>
        <v>0</v>
      </c>
      <c r="GW7" s="83"/>
      <c r="GX7" s="83" t="s">
        <v>33</v>
      </c>
      <c r="GY7" s="161">
        <f>B44</f>
        <v>0</v>
      </c>
      <c r="GZ7" s="83"/>
      <c r="HA7" s="83" t="s">
        <v>33</v>
      </c>
      <c r="HB7" s="161">
        <f>B44</f>
        <v>0</v>
      </c>
      <c r="HC7" s="84"/>
      <c r="HD7" s="83" t="s">
        <v>22</v>
      </c>
      <c r="HE7" s="137">
        <f>0.693/HE9</f>
        <v>66.155354824913829</v>
      </c>
    </row>
    <row r="8" spans="1:214" x14ac:dyDescent="0.2">
      <c r="A8" s="116" t="s">
        <v>340</v>
      </c>
      <c r="B8" s="229">
        <v>4.2700000000000002E-2</v>
      </c>
      <c r="C8" s="117"/>
      <c r="D8" s="52" t="s">
        <v>382</v>
      </c>
      <c r="E8" s="138">
        <f>B68</f>
        <v>150</v>
      </c>
      <c r="F8" s="52" t="s">
        <v>24</v>
      </c>
      <c r="G8" s="91" t="s">
        <v>257</v>
      </c>
      <c r="H8" s="136">
        <f>B28</f>
        <v>7.02368E-3</v>
      </c>
      <c r="I8" s="84" t="s">
        <v>259</v>
      </c>
      <c r="J8" s="83" t="s">
        <v>269</v>
      </c>
      <c r="K8" s="136">
        <f>B22</f>
        <v>2.1295200000000002E-3</v>
      </c>
      <c r="L8" s="83" t="s">
        <v>351</v>
      </c>
      <c r="M8" s="91" t="s">
        <v>231</v>
      </c>
      <c r="N8" s="136">
        <f>B30</f>
        <v>1.04753425E-2</v>
      </c>
      <c r="O8" s="52" t="s">
        <v>60</v>
      </c>
      <c r="P8" s="91" t="s">
        <v>231</v>
      </c>
      <c r="Q8" s="136">
        <f>B30</f>
        <v>1.04753425E-2</v>
      </c>
      <c r="R8" s="52" t="s">
        <v>60</v>
      </c>
      <c r="S8" s="91" t="s">
        <v>231</v>
      </c>
      <c r="T8" s="136">
        <f>B30</f>
        <v>1.04753425E-2</v>
      </c>
      <c r="U8" s="52" t="s">
        <v>60</v>
      </c>
      <c r="V8" s="91" t="s">
        <v>231</v>
      </c>
      <c r="W8" s="136">
        <f>B30</f>
        <v>1.04753425E-2</v>
      </c>
      <c r="X8" s="52" t="s">
        <v>60</v>
      </c>
      <c r="Y8" s="91" t="s">
        <v>231</v>
      </c>
      <c r="Z8" s="136">
        <f>B30</f>
        <v>1.04753425E-2</v>
      </c>
      <c r="AA8" s="52" t="s">
        <v>60</v>
      </c>
      <c r="AB8" s="83" t="s">
        <v>249</v>
      </c>
      <c r="AC8" s="136">
        <f>B21</f>
        <v>0</v>
      </c>
      <c r="AD8" s="136">
        <f>B21</f>
        <v>0</v>
      </c>
      <c r="AE8" s="136">
        <f>B21</f>
        <v>0</v>
      </c>
      <c r="AF8" s="136">
        <f>B21</f>
        <v>0</v>
      </c>
      <c r="AG8" s="136">
        <f>B21</f>
        <v>0</v>
      </c>
      <c r="AH8" s="83" t="s">
        <v>259</v>
      </c>
      <c r="AI8" s="91" t="s">
        <v>231</v>
      </c>
      <c r="AJ8" s="136">
        <f>B30</f>
        <v>1.04753425E-2</v>
      </c>
      <c r="AK8" s="52" t="s">
        <v>60</v>
      </c>
      <c r="AL8" s="91" t="s">
        <v>231</v>
      </c>
      <c r="AM8" s="136">
        <f>B30</f>
        <v>1.04753425E-2</v>
      </c>
      <c r="AN8" s="52" t="s">
        <v>60</v>
      </c>
      <c r="AO8" s="91" t="s">
        <v>231</v>
      </c>
      <c r="AP8" s="136">
        <f>B30</f>
        <v>1.04753425E-2</v>
      </c>
      <c r="AQ8" s="52" t="s">
        <v>60</v>
      </c>
      <c r="AR8" s="91" t="s">
        <v>231</v>
      </c>
      <c r="AS8" s="136">
        <f>B30</f>
        <v>1.04753425E-2</v>
      </c>
      <c r="AT8" s="52" t="s">
        <v>60</v>
      </c>
      <c r="AU8" s="91" t="s">
        <v>231</v>
      </c>
      <c r="AV8" s="136">
        <f>B30</f>
        <v>1.04753425E-2</v>
      </c>
      <c r="AW8" s="52" t="s">
        <v>60</v>
      </c>
      <c r="AX8" s="91" t="s">
        <v>231</v>
      </c>
      <c r="AY8" s="136">
        <f>B30</f>
        <v>1.04753425E-2</v>
      </c>
      <c r="AZ8" s="52" t="s">
        <v>60</v>
      </c>
      <c r="BA8" s="91" t="s">
        <v>231</v>
      </c>
      <c r="BB8" s="136">
        <f>B30</f>
        <v>1.04753425E-2</v>
      </c>
      <c r="BC8" s="52" t="s">
        <v>60</v>
      </c>
      <c r="BD8" s="91" t="s">
        <v>231</v>
      </c>
      <c r="BE8" s="136">
        <f>B30</f>
        <v>1.04753425E-2</v>
      </c>
      <c r="BF8" s="52" t="s">
        <v>60</v>
      </c>
      <c r="BG8" s="91" t="s">
        <v>231</v>
      </c>
      <c r="BH8" s="136">
        <f>B30</f>
        <v>1.04753425E-2</v>
      </c>
      <c r="BI8" s="52" t="s">
        <v>60</v>
      </c>
      <c r="BJ8" s="91" t="s">
        <v>231</v>
      </c>
      <c r="BK8" s="136">
        <f>B30</f>
        <v>1.04753425E-2</v>
      </c>
      <c r="BL8" s="52" t="s">
        <v>60</v>
      </c>
      <c r="BM8" s="91" t="s">
        <v>231</v>
      </c>
      <c r="BN8" s="136">
        <f>B30</f>
        <v>1.04753425E-2</v>
      </c>
      <c r="BO8" s="52" t="s">
        <v>60</v>
      </c>
      <c r="BP8" s="91" t="s">
        <v>231</v>
      </c>
      <c r="BQ8" s="136">
        <f>B30</f>
        <v>1.04753425E-2</v>
      </c>
      <c r="BR8" s="52" t="s">
        <v>60</v>
      </c>
      <c r="BS8" s="52" t="s">
        <v>140</v>
      </c>
      <c r="BT8" s="138">
        <f>B113</f>
        <v>55</v>
      </c>
      <c r="BU8" s="52" t="s">
        <v>24</v>
      </c>
      <c r="BV8" s="91" t="s">
        <v>257</v>
      </c>
      <c r="BW8" s="136">
        <f>B28</f>
        <v>7.02368E-3</v>
      </c>
      <c r="BX8" s="84" t="s">
        <v>259</v>
      </c>
      <c r="BY8" s="83" t="s">
        <v>269</v>
      </c>
      <c r="BZ8" s="136">
        <f>B22</f>
        <v>2.1295200000000002E-3</v>
      </c>
      <c r="CA8" s="83" t="s">
        <v>351</v>
      </c>
      <c r="CB8" s="91" t="s">
        <v>231</v>
      </c>
      <c r="CC8" s="136">
        <f>B30</f>
        <v>1.04753425E-2</v>
      </c>
      <c r="CD8" s="52" t="s">
        <v>60</v>
      </c>
      <c r="CE8" s="91" t="s">
        <v>231</v>
      </c>
      <c r="CF8" s="136">
        <f>B30</f>
        <v>1.04753425E-2</v>
      </c>
      <c r="CG8" s="52" t="s">
        <v>60</v>
      </c>
      <c r="CH8" s="91" t="s">
        <v>231</v>
      </c>
      <c r="CI8" s="136">
        <f>B30</f>
        <v>1.04753425E-2</v>
      </c>
      <c r="CJ8" s="52" t="s">
        <v>60</v>
      </c>
      <c r="CK8" s="52" t="s">
        <v>159</v>
      </c>
      <c r="CL8" s="162">
        <f>B128</f>
        <v>3</v>
      </c>
      <c r="CM8" s="52" t="s">
        <v>221</v>
      </c>
      <c r="CN8" s="84" t="s">
        <v>33</v>
      </c>
      <c r="CO8" s="136">
        <f>B44</f>
        <v>0</v>
      </c>
      <c r="CT8" s="83" t="s">
        <v>269</v>
      </c>
      <c r="CU8" s="136">
        <f>B22</f>
        <v>2.1295200000000002E-3</v>
      </c>
      <c r="CV8" s="83" t="s">
        <v>351</v>
      </c>
      <c r="CW8" s="52" t="s">
        <v>362</v>
      </c>
      <c r="CX8" s="138">
        <f>B167</f>
        <v>150</v>
      </c>
      <c r="CY8" s="52" t="s">
        <v>24</v>
      </c>
      <c r="CZ8" s="83" t="s">
        <v>270</v>
      </c>
      <c r="DA8" s="165">
        <f>B28</f>
        <v>7.02368E-3</v>
      </c>
      <c r="DB8" s="83" t="s">
        <v>259</v>
      </c>
      <c r="DC8" s="83" t="s">
        <v>516</v>
      </c>
      <c r="DD8" s="149">
        <f>(DD9*DD15*DD20)+(DD10*DD14*DD21)</f>
        <v>8250</v>
      </c>
      <c r="DE8" s="92" t="s">
        <v>347</v>
      </c>
      <c r="DF8" s="83" t="s">
        <v>36</v>
      </c>
      <c r="DG8" s="138">
        <f>B189</f>
        <v>3.62</v>
      </c>
      <c r="DH8" s="52" t="s">
        <v>37</v>
      </c>
      <c r="DI8" s="83" t="s">
        <v>393</v>
      </c>
      <c r="DJ8" s="138">
        <f>B47</f>
        <v>0.26</v>
      </c>
      <c r="DL8" s="83" t="s">
        <v>393</v>
      </c>
      <c r="DM8" s="138">
        <f>B47</f>
        <v>0.26</v>
      </c>
      <c r="DO8" s="83" t="s">
        <v>36</v>
      </c>
      <c r="DP8" s="138">
        <f>B189</f>
        <v>3.62</v>
      </c>
      <c r="DQ8" s="52" t="s">
        <v>37</v>
      </c>
      <c r="DR8" s="83" t="s">
        <v>147</v>
      </c>
      <c r="DS8" s="149">
        <f>(DS11*DS9*DS17)+(DS12*DS10*DS18)</f>
        <v>8250</v>
      </c>
      <c r="DT8" s="92" t="s">
        <v>347</v>
      </c>
      <c r="DU8" s="52" t="s">
        <v>518</v>
      </c>
      <c r="DV8" s="146">
        <f>B200</f>
        <v>1.03</v>
      </c>
      <c r="DW8" s="52" t="s">
        <v>286</v>
      </c>
      <c r="DX8" s="83" t="s">
        <v>392</v>
      </c>
      <c r="DY8" s="138">
        <f>B48</f>
        <v>0.25</v>
      </c>
      <c r="EA8" s="83" t="s">
        <v>392</v>
      </c>
      <c r="EB8" s="138">
        <f>B48</f>
        <v>0.25</v>
      </c>
      <c r="EC8" s="84"/>
      <c r="ED8" s="83" t="s">
        <v>392</v>
      </c>
      <c r="EE8" s="138">
        <f>B48</f>
        <v>0.25</v>
      </c>
      <c r="EF8" s="84"/>
      <c r="EG8" s="83" t="s">
        <v>519</v>
      </c>
      <c r="EH8" s="149">
        <f>(EH11*EH9*EH17)+(EH12*EH10*EH18)</f>
        <v>8250</v>
      </c>
      <c r="EI8" s="92" t="s">
        <v>347</v>
      </c>
      <c r="EJ8" s="83"/>
      <c r="EM8" s="83" t="s">
        <v>392</v>
      </c>
      <c r="EN8" s="138">
        <f>B48</f>
        <v>0.25</v>
      </c>
      <c r="EP8" s="83" t="s">
        <v>392</v>
      </c>
      <c r="EQ8" s="138">
        <f>B48</f>
        <v>0.25</v>
      </c>
      <c r="ER8" s="84"/>
      <c r="ES8" s="83" t="s">
        <v>392</v>
      </c>
      <c r="ET8" s="138">
        <f>B48</f>
        <v>0.25</v>
      </c>
      <c r="EU8" s="84"/>
      <c r="EV8" s="83" t="s">
        <v>520</v>
      </c>
      <c r="EW8" s="149">
        <f>(EW11*EW9*EW17)+(EW12*EW10*EW18)</f>
        <v>8250</v>
      </c>
      <c r="EX8" s="92" t="s">
        <v>347</v>
      </c>
      <c r="EY8" s="83"/>
      <c r="EZ8" s="142"/>
      <c r="FA8" s="83"/>
      <c r="FB8" s="83" t="s">
        <v>392</v>
      </c>
      <c r="FC8" s="142">
        <f>B48</f>
        <v>0.25</v>
      </c>
      <c r="FD8" s="83"/>
      <c r="FE8" s="83" t="s">
        <v>392</v>
      </c>
      <c r="FF8" s="142">
        <f>B48</f>
        <v>0.25</v>
      </c>
      <c r="FG8" s="83"/>
      <c r="FH8" s="83" t="s">
        <v>392</v>
      </c>
      <c r="FI8" s="142">
        <f>B48</f>
        <v>0.25</v>
      </c>
      <c r="FJ8" s="84"/>
      <c r="FK8" s="83" t="s">
        <v>521</v>
      </c>
      <c r="FL8" s="173">
        <f>(FL9*FL11*FL17)+(FL10*FL12*FL18)</f>
        <v>8250</v>
      </c>
      <c r="FM8" s="92" t="s">
        <v>347</v>
      </c>
      <c r="FN8" s="83"/>
      <c r="FO8" s="142"/>
      <c r="FP8" s="83"/>
      <c r="FQ8" s="83" t="s">
        <v>22</v>
      </c>
      <c r="FR8" s="137">
        <f>0.693/FR9</f>
        <v>66.155354824913829</v>
      </c>
      <c r="FT8" s="83"/>
      <c r="FU8" s="142"/>
      <c r="FV8" s="83"/>
      <c r="FZ8" s="83" t="s">
        <v>522</v>
      </c>
      <c r="GA8" s="173">
        <f>(GA11*GA9*GA17)+(GA10*GA12*GA18)</f>
        <v>8250</v>
      </c>
      <c r="GB8" s="92" t="s">
        <v>347</v>
      </c>
      <c r="GC8" s="83"/>
      <c r="GD8" s="142"/>
      <c r="GE8" s="83"/>
      <c r="GF8" s="83" t="s">
        <v>392</v>
      </c>
      <c r="GG8" s="142">
        <f>B48</f>
        <v>0.25</v>
      </c>
      <c r="GH8" s="83"/>
      <c r="GI8" s="83" t="s">
        <v>392</v>
      </c>
      <c r="GJ8" s="142">
        <f>B48</f>
        <v>0.25</v>
      </c>
      <c r="GK8" s="83"/>
      <c r="GL8" s="83" t="s">
        <v>392</v>
      </c>
      <c r="GM8" s="142">
        <f>B48</f>
        <v>0.25</v>
      </c>
      <c r="GN8" s="84"/>
      <c r="GO8" s="83" t="s">
        <v>523</v>
      </c>
      <c r="GP8" s="149">
        <f>(GP9*GP11*GP16)+(GP10*GP12*GP17)</f>
        <v>8250</v>
      </c>
      <c r="GQ8" s="92" t="s">
        <v>347</v>
      </c>
      <c r="GR8" s="83"/>
      <c r="GS8" s="142"/>
      <c r="GT8" s="83"/>
      <c r="GU8" s="83" t="s">
        <v>392</v>
      </c>
      <c r="GV8" s="142">
        <f>B48</f>
        <v>0.25</v>
      </c>
      <c r="GW8" s="83"/>
      <c r="GX8" s="83" t="s">
        <v>392</v>
      </c>
      <c r="GY8" s="142">
        <f>B48</f>
        <v>0.25</v>
      </c>
      <c r="GZ8" s="83"/>
      <c r="HA8" s="83" t="s">
        <v>392</v>
      </c>
      <c r="HB8" s="142">
        <f>B48</f>
        <v>0.25</v>
      </c>
      <c r="HC8" s="84"/>
      <c r="HD8" s="52" t="s">
        <v>16</v>
      </c>
      <c r="HE8" s="137">
        <f>1-EXP(-HE7*HE12)</f>
        <v>1</v>
      </c>
    </row>
    <row r="9" spans="1:214" x14ac:dyDescent="0.2">
      <c r="A9" s="116" t="s">
        <v>243</v>
      </c>
      <c r="B9" s="229">
        <v>0.72299999999999998</v>
      </c>
      <c r="C9" s="117"/>
      <c r="D9" s="52" t="s">
        <v>379</v>
      </c>
      <c r="E9" s="138">
        <f>B65</f>
        <v>1</v>
      </c>
      <c r="F9" s="52" t="s">
        <v>146</v>
      </c>
      <c r="G9" s="83" t="s">
        <v>258</v>
      </c>
      <c r="H9" s="136">
        <f>B29</f>
        <v>0</v>
      </c>
      <c r="I9" s="92" t="s">
        <v>259</v>
      </c>
      <c r="J9" s="83" t="s">
        <v>258</v>
      </c>
      <c r="K9" s="136">
        <f>B29</f>
        <v>0</v>
      </c>
      <c r="L9" s="92" t="s">
        <v>259</v>
      </c>
      <c r="M9" s="52" t="s">
        <v>382</v>
      </c>
      <c r="N9" s="138">
        <f>B68</f>
        <v>150</v>
      </c>
      <c r="O9" s="52" t="s">
        <v>24</v>
      </c>
      <c r="P9" s="52" t="s">
        <v>382</v>
      </c>
      <c r="Q9" s="138">
        <f>B68</f>
        <v>150</v>
      </c>
      <c r="R9" s="52" t="s">
        <v>24</v>
      </c>
      <c r="S9" s="52" t="s">
        <v>382</v>
      </c>
      <c r="T9" s="138">
        <f>B68</f>
        <v>150</v>
      </c>
      <c r="U9" s="52" t="s">
        <v>24</v>
      </c>
      <c r="V9" s="52" t="s">
        <v>423</v>
      </c>
      <c r="W9" s="138">
        <f>B247</f>
        <v>125</v>
      </c>
      <c r="X9" s="52" t="s">
        <v>24</v>
      </c>
      <c r="Y9" s="52" t="s">
        <v>316</v>
      </c>
      <c r="Z9" s="138">
        <f>B227</f>
        <v>125</v>
      </c>
      <c r="AA9" s="52" t="s">
        <v>24</v>
      </c>
      <c r="AB9" s="83" t="s">
        <v>34</v>
      </c>
      <c r="AC9" s="146">
        <f>B228</f>
        <v>1</v>
      </c>
      <c r="AD9" s="146">
        <f>B238</f>
        <v>1</v>
      </c>
      <c r="AE9" s="146">
        <f>B248</f>
        <v>1</v>
      </c>
      <c r="AF9" s="146">
        <f>B258</f>
        <v>1</v>
      </c>
      <c r="AG9" s="146">
        <f>B270</f>
        <v>1</v>
      </c>
      <c r="AH9" s="83" t="s">
        <v>60</v>
      </c>
      <c r="AI9" s="52" t="s">
        <v>35</v>
      </c>
      <c r="AJ9" s="138">
        <f>B237</f>
        <v>125</v>
      </c>
      <c r="AK9" s="52" t="s">
        <v>24</v>
      </c>
      <c r="AL9" s="52" t="s">
        <v>35</v>
      </c>
      <c r="AM9" s="138">
        <f>B237</f>
        <v>125</v>
      </c>
      <c r="AN9" s="52" t="s">
        <v>24</v>
      </c>
      <c r="AO9" s="52" t="s">
        <v>35</v>
      </c>
      <c r="AP9" s="138">
        <f>B237</f>
        <v>125</v>
      </c>
      <c r="AQ9" s="52" t="s">
        <v>24</v>
      </c>
      <c r="AR9" s="52" t="s">
        <v>423</v>
      </c>
      <c r="AS9" s="138">
        <f>B247</f>
        <v>125</v>
      </c>
      <c r="AT9" s="52" t="s">
        <v>24</v>
      </c>
      <c r="AU9" s="52" t="s">
        <v>423</v>
      </c>
      <c r="AV9" s="138">
        <f>B247</f>
        <v>125</v>
      </c>
      <c r="AW9" s="52" t="s">
        <v>24</v>
      </c>
      <c r="AX9" s="52" t="s">
        <v>423</v>
      </c>
      <c r="AY9" s="138">
        <f>B247</f>
        <v>125</v>
      </c>
      <c r="AZ9" s="52" t="s">
        <v>24</v>
      </c>
      <c r="BA9" s="52" t="s">
        <v>316</v>
      </c>
      <c r="BB9" s="138">
        <f>B227</f>
        <v>125</v>
      </c>
      <c r="BC9" s="52" t="s">
        <v>24</v>
      </c>
      <c r="BD9" s="52" t="s">
        <v>316</v>
      </c>
      <c r="BE9" s="138">
        <f>B227</f>
        <v>125</v>
      </c>
      <c r="BF9" s="52" t="s">
        <v>24</v>
      </c>
      <c r="BG9" s="52" t="s">
        <v>316</v>
      </c>
      <c r="BH9" s="138">
        <f>B227</f>
        <v>125</v>
      </c>
      <c r="BI9" s="52" t="s">
        <v>24</v>
      </c>
      <c r="BJ9" s="52" t="s">
        <v>191</v>
      </c>
      <c r="BK9" s="138">
        <f>BK10*BK11</f>
        <v>75</v>
      </c>
      <c r="BL9" s="52" t="s">
        <v>24</v>
      </c>
      <c r="BM9" s="52" t="s">
        <v>191</v>
      </c>
      <c r="BN9" s="138">
        <f>BN10*BN11</f>
        <v>75</v>
      </c>
      <c r="BO9" s="52" t="s">
        <v>24</v>
      </c>
      <c r="BP9" s="52" t="s">
        <v>191</v>
      </c>
      <c r="BQ9" s="138">
        <f>BQ10*BQ11</f>
        <v>75</v>
      </c>
      <c r="BR9" s="52" t="s">
        <v>24</v>
      </c>
      <c r="BS9" s="52" t="s">
        <v>247</v>
      </c>
      <c r="BT9" s="139">
        <f>E11</f>
        <v>1.25E-4</v>
      </c>
      <c r="BU9" s="84" t="s">
        <v>259</v>
      </c>
      <c r="BV9" s="83" t="s">
        <v>258</v>
      </c>
      <c r="BW9" s="136">
        <f>B29</f>
        <v>0</v>
      </c>
      <c r="BX9" s="92" t="s">
        <v>259</v>
      </c>
      <c r="BY9" s="83" t="s">
        <v>77</v>
      </c>
      <c r="BZ9" s="136">
        <f>B31</f>
        <v>1359344473.5814338</v>
      </c>
      <c r="CA9" s="83" t="s">
        <v>78</v>
      </c>
      <c r="CB9" s="52" t="s">
        <v>140</v>
      </c>
      <c r="CC9" s="138">
        <f>B113</f>
        <v>55</v>
      </c>
      <c r="CD9" s="52" t="s">
        <v>24</v>
      </c>
      <c r="CE9" s="52" t="s">
        <v>140</v>
      </c>
      <c r="CF9" s="138">
        <f>B113</f>
        <v>55</v>
      </c>
      <c r="CG9" s="52" t="s">
        <v>24</v>
      </c>
      <c r="CH9" s="52" t="s">
        <v>140</v>
      </c>
      <c r="CI9" s="138">
        <f>B113</f>
        <v>55</v>
      </c>
      <c r="CJ9" s="52" t="s">
        <v>24</v>
      </c>
      <c r="CK9" s="94" t="s">
        <v>295</v>
      </c>
      <c r="CL9" s="150">
        <f>B278</f>
        <v>222.01757699999999</v>
      </c>
      <c r="CM9" s="90" t="s">
        <v>296</v>
      </c>
      <c r="CN9" s="84" t="s">
        <v>392</v>
      </c>
      <c r="CO9" s="162">
        <f>B48</f>
        <v>0.25</v>
      </c>
      <c r="CT9" s="83" t="s">
        <v>258</v>
      </c>
      <c r="CU9" s="136">
        <f>B29</f>
        <v>0</v>
      </c>
      <c r="CV9" s="92" t="s">
        <v>259</v>
      </c>
      <c r="CW9" s="52" t="s">
        <v>363</v>
      </c>
      <c r="CX9" s="138">
        <f>B168</f>
        <v>1</v>
      </c>
      <c r="CY9" s="52" t="s">
        <v>146</v>
      </c>
      <c r="CZ9" s="83" t="s">
        <v>258</v>
      </c>
      <c r="DA9" s="136">
        <f>B29</f>
        <v>0</v>
      </c>
      <c r="DB9" s="84" t="s">
        <v>259</v>
      </c>
      <c r="DC9" s="83" t="s">
        <v>513</v>
      </c>
      <c r="DD9" s="146">
        <f>B149</f>
        <v>55</v>
      </c>
      <c r="DE9" s="92" t="s">
        <v>221</v>
      </c>
      <c r="DF9" s="83" t="s">
        <v>40</v>
      </c>
      <c r="DG9" s="138">
        <f>B190</f>
        <v>0.25</v>
      </c>
      <c r="DH9" s="52" t="s">
        <v>41</v>
      </c>
      <c r="DI9" s="52" t="s">
        <v>350</v>
      </c>
      <c r="DJ9" s="164">
        <f>B168</f>
        <v>1</v>
      </c>
      <c r="DL9" s="83"/>
      <c r="DM9" s="138"/>
      <c r="DO9" s="83" t="s">
        <v>40</v>
      </c>
      <c r="DP9" s="138">
        <f>B190</f>
        <v>0.25</v>
      </c>
      <c r="DQ9" s="52" t="s">
        <v>41</v>
      </c>
      <c r="DR9" s="83" t="s">
        <v>452</v>
      </c>
      <c r="DS9" s="146">
        <f>B151</f>
        <v>55</v>
      </c>
      <c r="DT9" s="92" t="s">
        <v>221</v>
      </c>
      <c r="DU9" s="83"/>
      <c r="DX9" s="83" t="s">
        <v>517</v>
      </c>
      <c r="DY9" s="136">
        <f>B36</f>
        <v>0</v>
      </c>
      <c r="DZ9" s="52" t="s">
        <v>601</v>
      </c>
      <c r="EA9" s="83" t="s">
        <v>517</v>
      </c>
      <c r="EB9" s="136">
        <f>B36</f>
        <v>0</v>
      </c>
      <c r="EC9" s="52" t="s">
        <v>601</v>
      </c>
      <c r="ED9" s="83" t="s">
        <v>517</v>
      </c>
      <c r="EE9" s="136">
        <f>B36</f>
        <v>0</v>
      </c>
      <c r="EF9" s="52" t="s">
        <v>601</v>
      </c>
      <c r="EG9" s="83" t="s">
        <v>453</v>
      </c>
      <c r="EH9" s="170">
        <f>B153</f>
        <v>55</v>
      </c>
      <c r="EI9" s="92" t="s">
        <v>221</v>
      </c>
      <c r="EJ9" s="83"/>
      <c r="EM9" s="83" t="s">
        <v>236</v>
      </c>
      <c r="EN9" s="136">
        <f>B37</f>
        <v>0</v>
      </c>
      <c r="EO9" s="52" t="s">
        <v>388</v>
      </c>
      <c r="EP9" s="83" t="s">
        <v>236</v>
      </c>
      <c r="EQ9" s="169">
        <f>B37</f>
        <v>0</v>
      </c>
      <c r="ER9" s="52" t="s">
        <v>388</v>
      </c>
      <c r="ES9" s="83" t="s">
        <v>236</v>
      </c>
      <c r="ET9" s="169">
        <f>B37</f>
        <v>0</v>
      </c>
      <c r="EU9" s="52" t="s">
        <v>388</v>
      </c>
      <c r="EV9" s="83" t="s">
        <v>454</v>
      </c>
      <c r="EW9" s="171">
        <f>B155</f>
        <v>55</v>
      </c>
      <c r="EX9" s="92" t="s">
        <v>221</v>
      </c>
      <c r="EY9" s="83"/>
      <c r="EZ9" s="142"/>
      <c r="FA9" s="83"/>
      <c r="FB9" s="83" t="s">
        <v>171</v>
      </c>
      <c r="FC9" s="169">
        <f>B39</f>
        <v>0</v>
      </c>
      <c r="FD9" s="52" t="s">
        <v>388</v>
      </c>
      <c r="FE9" s="83" t="s">
        <v>171</v>
      </c>
      <c r="FF9" s="169">
        <f>B39</f>
        <v>0</v>
      </c>
      <c r="FG9" s="52" t="s">
        <v>388</v>
      </c>
      <c r="FH9" s="83" t="s">
        <v>171</v>
      </c>
      <c r="FI9" s="169">
        <f>B39</f>
        <v>0</v>
      </c>
      <c r="FJ9" s="52" t="s">
        <v>388</v>
      </c>
      <c r="FK9" s="83" t="s">
        <v>471</v>
      </c>
      <c r="FL9" s="150">
        <f>B157</f>
        <v>55</v>
      </c>
      <c r="FM9" s="92" t="s">
        <v>221</v>
      </c>
      <c r="FN9" s="83"/>
      <c r="FO9" s="83"/>
      <c r="FP9" s="83"/>
      <c r="FQ9" s="91" t="s">
        <v>231</v>
      </c>
      <c r="FR9" s="136">
        <f>B30</f>
        <v>1.04753425E-2</v>
      </c>
      <c r="FS9" s="52" t="s">
        <v>60</v>
      </c>
      <c r="FT9" s="83"/>
      <c r="FU9" s="164"/>
      <c r="FV9" s="83"/>
      <c r="FW9" s="83"/>
      <c r="FX9" s="93"/>
      <c r="FY9" s="83"/>
      <c r="FZ9" s="83" t="s">
        <v>473</v>
      </c>
      <c r="GA9" s="174">
        <f>B159</f>
        <v>55</v>
      </c>
      <c r="GB9" s="92" t="s">
        <v>221</v>
      </c>
      <c r="GC9" s="83"/>
      <c r="GD9" s="142"/>
      <c r="GE9" s="83"/>
      <c r="GF9" s="83" t="s">
        <v>237</v>
      </c>
      <c r="GG9" s="169">
        <f>B38</f>
        <v>0</v>
      </c>
      <c r="GH9" s="52" t="s">
        <v>388</v>
      </c>
      <c r="GI9" s="83" t="s">
        <v>237</v>
      </c>
      <c r="GJ9" s="169">
        <f>B38</f>
        <v>0</v>
      </c>
      <c r="GK9" s="52" t="s">
        <v>388</v>
      </c>
      <c r="GL9" s="83" t="s">
        <v>237</v>
      </c>
      <c r="GM9" s="169">
        <f>B38</f>
        <v>0</v>
      </c>
      <c r="GN9" s="52" t="s">
        <v>388</v>
      </c>
      <c r="GO9" s="83" t="s">
        <v>455</v>
      </c>
      <c r="GP9" s="150">
        <f>B161</f>
        <v>55</v>
      </c>
      <c r="GQ9" s="92" t="s">
        <v>221</v>
      </c>
      <c r="GR9" s="83"/>
      <c r="GS9" s="142"/>
      <c r="GT9" s="83"/>
      <c r="GU9" s="83" t="s">
        <v>238</v>
      </c>
      <c r="GV9" s="169">
        <f>B40</f>
        <v>0</v>
      </c>
      <c r="GW9" s="52" t="s">
        <v>388</v>
      </c>
      <c r="GX9" s="83" t="s">
        <v>238</v>
      </c>
      <c r="GY9" s="169">
        <f>B40</f>
        <v>0</v>
      </c>
      <c r="GZ9" s="52" t="s">
        <v>388</v>
      </c>
      <c r="HA9" s="83" t="s">
        <v>238</v>
      </c>
      <c r="HB9" s="169">
        <f>B40</f>
        <v>0</v>
      </c>
      <c r="HC9" s="52" t="s">
        <v>388</v>
      </c>
      <c r="HD9" s="91" t="s">
        <v>231</v>
      </c>
      <c r="HE9" s="136">
        <f>B30</f>
        <v>1.04753425E-2</v>
      </c>
      <c r="HF9" s="52" t="s">
        <v>60</v>
      </c>
    </row>
    <row r="10" spans="1:214" x14ac:dyDescent="0.2">
      <c r="A10" s="116" t="s">
        <v>341</v>
      </c>
      <c r="B10" s="229">
        <v>5.8400000000000001E-2</v>
      </c>
      <c r="C10" s="117"/>
      <c r="D10" s="52" t="s">
        <v>92</v>
      </c>
      <c r="E10" s="138">
        <f>E9</f>
        <v>1</v>
      </c>
      <c r="G10" s="83" t="s">
        <v>260</v>
      </c>
      <c r="H10" s="143" t="e">
        <f>(H5/(H6*H15))*H70*H71*H73</f>
        <v>#DIV/0!</v>
      </c>
      <c r="I10" s="92" t="s">
        <v>13</v>
      </c>
      <c r="J10" s="83" t="s">
        <v>77</v>
      </c>
      <c r="K10" s="136">
        <f>B31</f>
        <v>1359344473.5814338</v>
      </c>
      <c r="L10" s="83" t="s">
        <v>78</v>
      </c>
      <c r="M10" s="52" t="s">
        <v>379</v>
      </c>
      <c r="N10" s="138">
        <f>B65</f>
        <v>1</v>
      </c>
      <c r="O10" s="52" t="s">
        <v>146</v>
      </c>
      <c r="P10" s="52" t="s">
        <v>379</v>
      </c>
      <c r="Q10" s="138">
        <f>B65</f>
        <v>1</v>
      </c>
      <c r="R10" s="52" t="s">
        <v>146</v>
      </c>
      <c r="S10" s="52" t="s">
        <v>379</v>
      </c>
      <c r="T10" s="138">
        <f>B65</f>
        <v>1</v>
      </c>
      <c r="U10" s="52" t="s">
        <v>146</v>
      </c>
      <c r="V10" s="52" t="s">
        <v>424</v>
      </c>
      <c r="W10" s="138">
        <f>B248</f>
        <v>1</v>
      </c>
      <c r="X10" s="52" t="s">
        <v>146</v>
      </c>
      <c r="Y10" s="52" t="s">
        <v>422</v>
      </c>
      <c r="Z10" s="138">
        <f>B228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B265</f>
        <v>3</v>
      </c>
      <c r="AG10" s="146">
        <f>B276</f>
        <v>3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B238</f>
        <v>1</v>
      </c>
      <c r="AN10" s="52" t="s">
        <v>146</v>
      </c>
      <c r="AO10" s="52" t="s">
        <v>420</v>
      </c>
      <c r="AP10" s="138">
        <f>B238</f>
        <v>1</v>
      </c>
      <c r="AQ10" s="52" t="s">
        <v>146</v>
      </c>
      <c r="AR10" s="52" t="s">
        <v>424</v>
      </c>
      <c r="AS10" s="138">
        <f>B248</f>
        <v>1</v>
      </c>
      <c r="AT10" s="52" t="s">
        <v>146</v>
      </c>
      <c r="AU10" s="52" t="s">
        <v>424</v>
      </c>
      <c r="AV10" s="138">
        <f>B248</f>
        <v>1</v>
      </c>
      <c r="AW10" s="52" t="s">
        <v>146</v>
      </c>
      <c r="AX10" s="52" t="s">
        <v>424</v>
      </c>
      <c r="AY10" s="138">
        <f>B248</f>
        <v>1</v>
      </c>
      <c r="AZ10" s="52" t="s">
        <v>146</v>
      </c>
      <c r="BA10" s="52" t="s">
        <v>422</v>
      </c>
      <c r="BB10" s="138">
        <f>B228</f>
        <v>1</v>
      </c>
      <c r="BC10" s="52" t="s">
        <v>146</v>
      </c>
      <c r="BD10" s="52" t="s">
        <v>422</v>
      </c>
      <c r="BE10" s="138">
        <f>B228</f>
        <v>1</v>
      </c>
      <c r="BF10" s="52" t="s">
        <v>146</v>
      </c>
      <c r="BG10" s="52" t="s">
        <v>422</v>
      </c>
      <c r="BH10" s="138">
        <f>B228</f>
        <v>1</v>
      </c>
      <c r="BI10" s="52" t="s">
        <v>146</v>
      </c>
      <c r="BJ10" s="52" t="s">
        <v>220</v>
      </c>
      <c r="BK10" s="138">
        <f>B266</f>
        <v>25</v>
      </c>
      <c r="BL10" s="52" t="s">
        <v>113</v>
      </c>
      <c r="BM10" s="52" t="s">
        <v>220</v>
      </c>
      <c r="BN10" s="138">
        <f>B266</f>
        <v>25</v>
      </c>
      <c r="BO10" s="52" t="s">
        <v>113</v>
      </c>
      <c r="BP10" s="52" t="s">
        <v>220</v>
      </c>
      <c r="BQ10" s="138">
        <f>B266</f>
        <v>25</v>
      </c>
      <c r="BR10" s="52" t="s">
        <v>113</v>
      </c>
      <c r="BS10" s="83" t="s">
        <v>428</v>
      </c>
      <c r="BT10" s="149">
        <f>(BT22*BT13*(1/24)*BT11*BT25)+(BT23*BT14*(1/24)*BT12*BT26)</f>
        <v>101.40624999999999</v>
      </c>
      <c r="BU10" s="52" t="s">
        <v>426</v>
      </c>
      <c r="BV10" s="83" t="s">
        <v>260</v>
      </c>
      <c r="BW10" s="143" t="e">
        <f>(BW5/(BW6*BW13))*BW32*BW33*BW34</f>
        <v>#DIV/0!</v>
      </c>
      <c r="BX10" s="92" t="s">
        <v>13</v>
      </c>
      <c r="BY10" s="84" t="s">
        <v>16</v>
      </c>
      <c r="BZ10" s="137">
        <f>(BZ30*BZ11)/(1-EXP(-BZ11*BZ30))</f>
        <v>66.155354824913829</v>
      </c>
      <c r="CB10" s="52" t="s">
        <v>51</v>
      </c>
      <c r="CC10" s="138">
        <f>B127</f>
        <v>1</v>
      </c>
      <c r="CD10" s="52" t="s">
        <v>146</v>
      </c>
      <c r="CE10" s="52" t="s">
        <v>51</v>
      </c>
      <c r="CF10" s="138">
        <f>B127</f>
        <v>1</v>
      </c>
      <c r="CG10" s="52" t="s">
        <v>146</v>
      </c>
      <c r="CH10" s="52" t="s">
        <v>51</v>
      </c>
      <c r="CI10" s="138">
        <f>B127</f>
        <v>1</v>
      </c>
      <c r="CJ10" s="52" t="s">
        <v>146</v>
      </c>
      <c r="CK10" s="84" t="s">
        <v>293</v>
      </c>
      <c r="CL10" s="85">
        <f>B280</f>
        <v>2.7955176153748299E-12</v>
      </c>
      <c r="CN10" s="84" t="s">
        <v>164</v>
      </c>
      <c r="CO10" s="162">
        <f>B129</f>
        <v>2</v>
      </c>
      <c r="CP10" s="52" t="s">
        <v>246</v>
      </c>
      <c r="CT10" s="83" t="s">
        <v>77</v>
      </c>
      <c r="CU10" s="136">
        <f>B31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66.155354824913829</v>
      </c>
      <c r="DC10" s="83" t="s">
        <v>514</v>
      </c>
      <c r="DD10" s="146">
        <f>B150</f>
        <v>55</v>
      </c>
      <c r="DE10" s="92" t="s">
        <v>221</v>
      </c>
      <c r="DF10" s="92" t="s">
        <v>32</v>
      </c>
      <c r="DG10" s="136">
        <f>B43</f>
        <v>0</v>
      </c>
      <c r="DI10" s="83" t="s">
        <v>22</v>
      </c>
      <c r="DJ10" s="137">
        <f>0.693/DJ11</f>
        <v>66.155354824913829</v>
      </c>
      <c r="DL10" s="92"/>
      <c r="DO10" s="92" t="s">
        <v>32</v>
      </c>
      <c r="DP10" s="136">
        <f>B43</f>
        <v>0</v>
      </c>
      <c r="DR10" s="83" t="s">
        <v>461</v>
      </c>
      <c r="DS10" s="146">
        <f>B152</f>
        <v>55</v>
      </c>
      <c r="DT10" s="92" t="s">
        <v>221</v>
      </c>
      <c r="DU10" s="92"/>
      <c r="DX10" s="83" t="s">
        <v>498</v>
      </c>
      <c r="DY10" s="138">
        <f>B201</f>
        <v>20.3</v>
      </c>
      <c r="DZ10" s="52" t="s">
        <v>246</v>
      </c>
      <c r="EA10" s="83" t="s">
        <v>498</v>
      </c>
      <c r="EB10" s="138">
        <f>B201</f>
        <v>20.3</v>
      </c>
      <c r="EC10" s="52" t="s">
        <v>246</v>
      </c>
      <c r="ED10" s="83" t="s">
        <v>498</v>
      </c>
      <c r="EE10" s="138">
        <f>B201</f>
        <v>20.3</v>
      </c>
      <c r="EF10" s="52" t="s">
        <v>246</v>
      </c>
      <c r="EG10" s="83" t="s">
        <v>462</v>
      </c>
      <c r="EH10" s="170">
        <f>B154</f>
        <v>55</v>
      </c>
      <c r="EI10" s="92" t="s">
        <v>221</v>
      </c>
      <c r="EJ10" s="92"/>
      <c r="EM10" s="83" t="s">
        <v>494</v>
      </c>
      <c r="EN10" s="138">
        <f>B206</f>
        <v>11.77</v>
      </c>
      <c r="EO10" s="52" t="s">
        <v>246</v>
      </c>
      <c r="EP10" s="83" t="s">
        <v>494</v>
      </c>
      <c r="EQ10" s="138">
        <f>B206</f>
        <v>11.77</v>
      </c>
      <c r="ER10" s="52" t="s">
        <v>246</v>
      </c>
      <c r="ES10" s="83" t="s">
        <v>494</v>
      </c>
      <c r="ET10" s="138">
        <f>B206</f>
        <v>11.77</v>
      </c>
      <c r="EU10" s="52" t="s">
        <v>246</v>
      </c>
      <c r="EV10" s="83" t="s">
        <v>463</v>
      </c>
      <c r="EW10" s="170">
        <f>B156</f>
        <v>55</v>
      </c>
      <c r="EX10" s="92" t="s">
        <v>221</v>
      </c>
      <c r="EY10" s="83"/>
      <c r="EZ10" s="142"/>
      <c r="FA10" s="83"/>
      <c r="FB10" s="83" t="s">
        <v>152</v>
      </c>
      <c r="FC10" s="142">
        <f>B211</f>
        <v>0.2</v>
      </c>
      <c r="FD10" s="52" t="s">
        <v>246</v>
      </c>
      <c r="FE10" s="83" t="s">
        <v>152</v>
      </c>
      <c r="FF10" s="142">
        <f>B211</f>
        <v>0.2</v>
      </c>
      <c r="FG10" s="52" t="s">
        <v>246</v>
      </c>
      <c r="FH10" s="83" t="s">
        <v>152</v>
      </c>
      <c r="FI10" s="142">
        <f>B211</f>
        <v>0.2</v>
      </c>
      <c r="FJ10" s="52" t="s">
        <v>246</v>
      </c>
      <c r="FK10" s="83" t="s">
        <v>472</v>
      </c>
      <c r="FL10" s="150">
        <f>B158</f>
        <v>55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66.155354824913829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B160</f>
        <v>55</v>
      </c>
      <c r="GB10" s="92" t="s">
        <v>221</v>
      </c>
      <c r="GC10" s="83"/>
      <c r="GD10" s="83"/>
      <c r="GE10" s="83"/>
      <c r="GF10" s="83" t="s">
        <v>486</v>
      </c>
      <c r="GG10" s="142">
        <f>B216</f>
        <v>0.2</v>
      </c>
      <c r="GH10" s="52" t="s">
        <v>246</v>
      </c>
      <c r="GI10" s="83" t="s">
        <v>486</v>
      </c>
      <c r="GJ10" s="142">
        <f>B216</f>
        <v>0.2</v>
      </c>
      <c r="GK10" s="52" t="s">
        <v>246</v>
      </c>
      <c r="GL10" s="83" t="s">
        <v>486</v>
      </c>
      <c r="GM10" s="142">
        <f>B216</f>
        <v>0.2</v>
      </c>
      <c r="GN10" s="52" t="s">
        <v>246</v>
      </c>
      <c r="GO10" s="83" t="s">
        <v>464</v>
      </c>
      <c r="GP10" s="150">
        <f>B162</f>
        <v>55</v>
      </c>
      <c r="GQ10" s="92" t="s">
        <v>221</v>
      </c>
      <c r="GR10" s="83"/>
      <c r="GS10" s="83"/>
      <c r="GT10" s="83"/>
      <c r="GU10" s="83" t="s">
        <v>490</v>
      </c>
      <c r="GV10" s="142">
        <f>B221</f>
        <v>4.7</v>
      </c>
      <c r="GW10" s="52" t="s">
        <v>246</v>
      </c>
      <c r="GX10" s="83" t="s">
        <v>490</v>
      </c>
      <c r="GY10" s="142">
        <f>B221</f>
        <v>4.7</v>
      </c>
      <c r="GZ10" s="52" t="s">
        <v>246</v>
      </c>
      <c r="HA10" s="83" t="s">
        <v>490</v>
      </c>
      <c r="HB10" s="142">
        <f>B221</f>
        <v>4.7</v>
      </c>
      <c r="HC10" s="52" t="s">
        <v>246</v>
      </c>
      <c r="HD10" s="84" t="s">
        <v>38</v>
      </c>
      <c r="HE10" s="163">
        <f>B93</f>
        <v>0.3</v>
      </c>
    </row>
    <row r="11" spans="1:214" x14ac:dyDescent="0.2">
      <c r="A11" s="116" t="s">
        <v>244</v>
      </c>
      <c r="B11" s="229">
        <v>0.70099999999999996</v>
      </c>
      <c r="C11" s="117"/>
      <c r="D11" s="52" t="s">
        <v>247</v>
      </c>
      <c r="E11" s="139">
        <f>B18</f>
        <v>1.25E-4</v>
      </c>
      <c r="F11" s="84" t="s">
        <v>259</v>
      </c>
      <c r="G11" s="83" t="s">
        <v>261</v>
      </c>
      <c r="H11" s="144">
        <f>(H5/(H7*H16*H28))*H70*H71*H73</f>
        <v>7.8487243067616941E-14</v>
      </c>
      <c r="I11" s="92" t="s">
        <v>13</v>
      </c>
      <c r="J11" s="84" t="s">
        <v>16</v>
      </c>
      <c r="K11" s="137">
        <f>(K43*K12)/(1-EXP(-K12*K43))</f>
        <v>66.155354824913829</v>
      </c>
      <c r="M11" s="52" t="s">
        <v>299</v>
      </c>
      <c r="N11" s="138">
        <f>B73</f>
        <v>1</v>
      </c>
      <c r="P11" s="52" t="s">
        <v>299</v>
      </c>
      <c r="Q11" s="138">
        <f>B73</f>
        <v>1</v>
      </c>
      <c r="S11" s="52" t="s">
        <v>299</v>
      </c>
      <c r="T11" s="138">
        <f>B73</f>
        <v>1</v>
      </c>
      <c r="V11" s="52" t="s">
        <v>247</v>
      </c>
      <c r="W11" s="139">
        <f>B18</f>
        <v>1.25E-4</v>
      </c>
      <c r="X11" s="84" t="s">
        <v>39</v>
      </c>
      <c r="Y11" s="52" t="s">
        <v>247</v>
      </c>
      <c r="Z11" s="139">
        <f>B18</f>
        <v>1.25E-4</v>
      </c>
      <c r="AA11" s="84" t="s">
        <v>39</v>
      </c>
      <c r="AB11" s="83" t="s">
        <v>220</v>
      </c>
      <c r="AC11" s="146"/>
      <c r="AD11" s="146"/>
      <c r="AE11" s="146"/>
      <c r="AF11" s="146">
        <f>B266</f>
        <v>25</v>
      </c>
      <c r="AG11" s="146">
        <f>B277</f>
        <v>25</v>
      </c>
      <c r="AH11" s="83" t="s">
        <v>113</v>
      </c>
      <c r="AI11" s="52" t="s">
        <v>299</v>
      </c>
      <c r="AJ11" s="138">
        <f>B241</f>
        <v>1</v>
      </c>
      <c r="AL11" s="52" t="s">
        <v>299</v>
      </c>
      <c r="AM11" s="138">
        <f>B241</f>
        <v>1</v>
      </c>
      <c r="AO11" s="52" t="s">
        <v>299</v>
      </c>
      <c r="AP11" s="138">
        <f>B241</f>
        <v>1</v>
      </c>
      <c r="AR11" s="52" t="s">
        <v>299</v>
      </c>
      <c r="AS11" s="138">
        <f>B251</f>
        <v>1</v>
      </c>
      <c r="AU11" s="52" t="s">
        <v>299</v>
      </c>
      <c r="AV11" s="138">
        <f>B251</f>
        <v>1</v>
      </c>
      <c r="AX11" s="52" t="s">
        <v>299</v>
      </c>
      <c r="AY11" s="138">
        <f>B251</f>
        <v>1</v>
      </c>
      <c r="BA11" s="52" t="s">
        <v>299</v>
      </c>
      <c r="BB11" s="138">
        <f>B231</f>
        <v>1</v>
      </c>
      <c r="BD11" s="52" t="s">
        <v>299</v>
      </c>
      <c r="BE11" s="138">
        <f>B231</f>
        <v>1</v>
      </c>
      <c r="BG11" s="52" t="s">
        <v>299</v>
      </c>
      <c r="BH11" s="138">
        <f>B231</f>
        <v>1</v>
      </c>
      <c r="BJ11" s="52" t="s">
        <v>219</v>
      </c>
      <c r="BK11" s="138">
        <f>B265</f>
        <v>3</v>
      </c>
      <c r="BL11" s="52" t="s">
        <v>112</v>
      </c>
      <c r="BM11" s="52" t="s">
        <v>219</v>
      </c>
      <c r="BN11" s="138">
        <f>B265</f>
        <v>3</v>
      </c>
      <c r="BO11" s="52" t="s">
        <v>112</v>
      </c>
      <c r="BP11" s="52" t="s">
        <v>219</v>
      </c>
      <c r="BQ11" s="138">
        <f>B265</f>
        <v>3</v>
      </c>
      <c r="BR11" s="52" t="s">
        <v>112</v>
      </c>
      <c r="BS11" s="83" t="s">
        <v>429</v>
      </c>
      <c r="BT11" s="141">
        <f>B103</f>
        <v>5</v>
      </c>
      <c r="BU11" s="92" t="s">
        <v>407</v>
      </c>
      <c r="BV11" s="83" t="s">
        <v>261</v>
      </c>
      <c r="BW11" s="159"/>
      <c r="BX11" s="92" t="s">
        <v>13</v>
      </c>
      <c r="BY11" s="83" t="s">
        <v>22</v>
      </c>
      <c r="BZ11" s="137">
        <f>0.693/BZ12</f>
        <v>66.155354824913829</v>
      </c>
      <c r="CB11" s="52" t="s">
        <v>300</v>
      </c>
      <c r="CC11" s="136">
        <f>B3</f>
        <v>6.8000000000000005E-2</v>
      </c>
      <c r="CE11" s="52" t="s">
        <v>300</v>
      </c>
      <c r="CF11" s="136">
        <f>B6</f>
        <v>3.7100000000000001E-2</v>
      </c>
      <c r="CH11" s="52" t="s">
        <v>300</v>
      </c>
      <c r="CI11" s="136">
        <f>B10</f>
        <v>5.8400000000000001E-2</v>
      </c>
      <c r="CN11" s="84" t="s">
        <v>161</v>
      </c>
      <c r="CO11" s="162">
        <f>B130</f>
        <v>2</v>
      </c>
      <c r="CP11" s="52" t="s">
        <v>246</v>
      </c>
      <c r="CT11" s="84" t="s">
        <v>16</v>
      </c>
      <c r="CU11" s="137">
        <f>(CU43*CU12)/(1-EXP(-CU12*CU43))</f>
        <v>66.155354824913829</v>
      </c>
      <c r="CW11" s="52" t="s">
        <v>247</v>
      </c>
      <c r="CX11" s="139">
        <f>B18</f>
        <v>1.25E-4</v>
      </c>
      <c r="CY11" s="84" t="s">
        <v>259</v>
      </c>
      <c r="CZ11" s="83" t="s">
        <v>22</v>
      </c>
      <c r="DA11" s="137">
        <f>0.693/DA12</f>
        <v>66.155354824913829</v>
      </c>
      <c r="DC11" s="83" t="s">
        <v>515</v>
      </c>
      <c r="DD11" s="149">
        <f>(DD12*DD15*DD20)+(DD13*DD14*DD21)</f>
        <v>8250</v>
      </c>
      <c r="DE11" s="92" t="s">
        <v>347</v>
      </c>
      <c r="DF11" s="92" t="s">
        <v>49</v>
      </c>
      <c r="DG11" s="137">
        <f>DG19+DG20</f>
        <v>0.18127454746551735</v>
      </c>
      <c r="DI11" s="91" t="s">
        <v>231</v>
      </c>
      <c r="DJ11" s="136">
        <f>B30</f>
        <v>1.04753425E-2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B166</f>
        <v>150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B166</f>
        <v>150</v>
      </c>
      <c r="EI11" s="83" t="s">
        <v>24</v>
      </c>
      <c r="EJ11" s="92"/>
      <c r="EM11" s="83" t="s">
        <v>495</v>
      </c>
      <c r="EN11" s="138">
        <f>B207</f>
        <v>0.5</v>
      </c>
      <c r="EO11" s="52" t="s">
        <v>246</v>
      </c>
      <c r="EP11" s="83" t="s">
        <v>495</v>
      </c>
      <c r="EQ11" s="138">
        <f>B207</f>
        <v>0.5</v>
      </c>
      <c r="ER11" s="52" t="s">
        <v>246</v>
      </c>
      <c r="ES11" s="83" t="s">
        <v>495</v>
      </c>
      <c r="ET11" s="138">
        <f>B207</f>
        <v>0.5</v>
      </c>
      <c r="EU11" s="52" t="s">
        <v>246</v>
      </c>
      <c r="EV11" s="83" t="s">
        <v>456</v>
      </c>
      <c r="EW11" s="150">
        <f>B166</f>
        <v>150</v>
      </c>
      <c r="EX11" s="83" t="s">
        <v>24</v>
      </c>
      <c r="EY11" s="83"/>
      <c r="EZ11" s="83"/>
      <c r="FA11" s="83"/>
      <c r="FB11" s="83" t="s">
        <v>151</v>
      </c>
      <c r="FC11" s="142">
        <f>B212</f>
        <v>2.1999999999999999E-2</v>
      </c>
      <c r="FD11" s="52" t="s">
        <v>246</v>
      </c>
      <c r="FE11" s="83" t="s">
        <v>151</v>
      </c>
      <c r="FF11" s="142">
        <f>B212</f>
        <v>2.1999999999999999E-2</v>
      </c>
      <c r="FG11" s="52" t="s">
        <v>246</v>
      </c>
      <c r="FH11" s="83" t="s">
        <v>151</v>
      </c>
      <c r="FI11" s="142">
        <f>B212</f>
        <v>2.1999999999999999E-2</v>
      </c>
      <c r="FJ11" s="52" t="s">
        <v>246</v>
      </c>
      <c r="FK11" s="83" t="s">
        <v>456</v>
      </c>
      <c r="FL11" s="150">
        <f>B166</f>
        <v>150</v>
      </c>
      <c r="FM11" s="83" t="s">
        <v>24</v>
      </c>
      <c r="FN11" s="83"/>
      <c r="FO11" s="83"/>
      <c r="FP11" s="83"/>
      <c r="FQ11" s="88"/>
      <c r="FR11" s="169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B166</f>
        <v>150</v>
      </c>
      <c r="GB11" s="83" t="s">
        <v>24</v>
      </c>
      <c r="GC11" s="83"/>
      <c r="GD11" s="83"/>
      <c r="GE11" s="83"/>
      <c r="GF11" s="83" t="s">
        <v>487</v>
      </c>
      <c r="GG11" s="142">
        <f>B217</f>
        <v>2.1999999999999999E-2</v>
      </c>
      <c r="GH11" s="52" t="s">
        <v>246</v>
      </c>
      <c r="GI11" s="83" t="s">
        <v>487</v>
      </c>
      <c r="GJ11" s="142">
        <f>B217</f>
        <v>2.1999999999999999E-2</v>
      </c>
      <c r="GK11" s="52" t="s">
        <v>246</v>
      </c>
      <c r="GL11" s="83" t="s">
        <v>487</v>
      </c>
      <c r="GM11" s="142">
        <f>B217</f>
        <v>2.1999999999999999E-2</v>
      </c>
      <c r="GN11" s="52" t="s">
        <v>246</v>
      </c>
      <c r="GO11" s="83" t="s">
        <v>456</v>
      </c>
      <c r="GP11" s="150">
        <f>B166</f>
        <v>150</v>
      </c>
      <c r="GQ11" s="83" t="s">
        <v>24</v>
      </c>
      <c r="GR11" s="83"/>
      <c r="GS11" s="83"/>
      <c r="GT11" s="83"/>
      <c r="GU11" s="83" t="s">
        <v>491</v>
      </c>
      <c r="GV11" s="142">
        <f>B222</f>
        <v>0.37</v>
      </c>
      <c r="GW11" s="52" t="s">
        <v>246</v>
      </c>
      <c r="GX11" s="83" t="s">
        <v>491</v>
      </c>
      <c r="GY11" s="142">
        <f>B222</f>
        <v>0.37</v>
      </c>
      <c r="GZ11" s="52" t="s">
        <v>246</v>
      </c>
      <c r="HA11" s="83" t="s">
        <v>491</v>
      </c>
      <c r="HB11" s="142">
        <f>B222</f>
        <v>0.37</v>
      </c>
      <c r="HC11" s="52" t="s">
        <v>246</v>
      </c>
      <c r="HD11" s="84" t="s">
        <v>42</v>
      </c>
      <c r="HE11" s="150">
        <f>B94</f>
        <v>1.5</v>
      </c>
    </row>
    <row r="12" spans="1:214" x14ac:dyDescent="0.2">
      <c r="A12" s="116" t="s">
        <v>342</v>
      </c>
      <c r="B12" s="229">
        <v>2.2499999999999999E-2</v>
      </c>
      <c r="C12" s="117"/>
      <c r="D12" s="83" t="s">
        <v>43</v>
      </c>
      <c r="E12" s="140">
        <f>((E15/E16)*E23*E13*E25)+((E15/E16)*E24*E14*E26)</f>
        <v>1327.5</v>
      </c>
      <c r="F12" s="52" t="s">
        <v>426</v>
      </c>
      <c r="G12" s="83" t="s">
        <v>266</v>
      </c>
      <c r="H12" s="144">
        <f>(H5/(H8*(1/H43)*H21))*H70*H71*H73</f>
        <v>1.7053676569608323E-11</v>
      </c>
      <c r="I12" s="92" t="s">
        <v>13</v>
      </c>
      <c r="J12" s="83" t="s">
        <v>22</v>
      </c>
      <c r="K12" s="137">
        <f>0.693/K13</f>
        <v>66.155354824913829</v>
      </c>
      <c r="M12" s="52" t="s">
        <v>300</v>
      </c>
      <c r="N12" s="136">
        <f>B3</f>
        <v>6.8000000000000005E-2</v>
      </c>
      <c r="P12" s="52" t="s">
        <v>300</v>
      </c>
      <c r="Q12" s="136">
        <f>B6</f>
        <v>3.7100000000000001E-2</v>
      </c>
      <c r="S12" s="52" t="s">
        <v>300</v>
      </c>
      <c r="T12" s="136">
        <f>B10</f>
        <v>5.8400000000000001E-2</v>
      </c>
      <c r="V12" s="52" t="s">
        <v>44</v>
      </c>
      <c r="W12" s="150">
        <f>B252</f>
        <v>5</v>
      </c>
      <c r="X12" s="84" t="s">
        <v>194</v>
      </c>
      <c r="Y12" s="52" t="s">
        <v>44</v>
      </c>
      <c r="Z12" s="150">
        <f>B233</f>
        <v>5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B262</f>
        <v>5</v>
      </c>
      <c r="AG12" s="150">
        <f>B273</f>
        <v>5</v>
      </c>
      <c r="AH12" s="83" t="s">
        <v>194</v>
      </c>
      <c r="AI12" s="52" t="s">
        <v>300</v>
      </c>
      <c r="AJ12" s="136">
        <f>B3</f>
        <v>6.8000000000000005E-2</v>
      </c>
      <c r="AL12" s="52" t="s">
        <v>300</v>
      </c>
      <c r="AM12" s="136">
        <f>B6</f>
        <v>3.7100000000000001E-2</v>
      </c>
      <c r="AO12" s="52" t="s">
        <v>300</v>
      </c>
      <c r="AP12" s="136">
        <f>B10</f>
        <v>5.8400000000000001E-2</v>
      </c>
      <c r="AR12" s="52" t="s">
        <v>300</v>
      </c>
      <c r="AS12" s="136">
        <f>B3</f>
        <v>6.8000000000000005E-2</v>
      </c>
      <c r="AU12" s="52" t="s">
        <v>300</v>
      </c>
      <c r="AV12" s="136">
        <f>B6</f>
        <v>3.7100000000000001E-2</v>
      </c>
      <c r="AX12" s="52" t="s">
        <v>300</v>
      </c>
      <c r="AY12" s="136">
        <f>B10</f>
        <v>5.8400000000000001E-2</v>
      </c>
      <c r="BA12" s="52" t="s">
        <v>300</v>
      </c>
      <c r="BB12" s="136">
        <f>B3</f>
        <v>6.8000000000000005E-2</v>
      </c>
      <c r="BD12" s="52" t="s">
        <v>300</v>
      </c>
      <c r="BE12" s="136">
        <f>B6</f>
        <v>3.7100000000000001E-2</v>
      </c>
      <c r="BG12" s="52" t="s">
        <v>300</v>
      </c>
      <c r="BH12" s="136">
        <f>B10</f>
        <v>5.8400000000000001E-2</v>
      </c>
      <c r="BJ12" s="52" t="s">
        <v>158</v>
      </c>
      <c r="BK12" s="138">
        <f>B258</f>
        <v>1</v>
      </c>
      <c r="BL12" s="52" t="s">
        <v>146</v>
      </c>
      <c r="BM12" s="52" t="s">
        <v>158</v>
      </c>
      <c r="BN12" s="138">
        <f>B258</f>
        <v>1</v>
      </c>
      <c r="BO12" s="52" t="s">
        <v>146</v>
      </c>
      <c r="BP12" s="52" t="s">
        <v>158</v>
      </c>
      <c r="BQ12" s="138">
        <f>B258</f>
        <v>1</v>
      </c>
      <c r="BR12" s="52" t="s">
        <v>146</v>
      </c>
      <c r="BS12" s="83" t="s">
        <v>430</v>
      </c>
      <c r="BT12" s="141">
        <f>B104</f>
        <v>10</v>
      </c>
      <c r="BU12" s="92" t="s">
        <v>407</v>
      </c>
      <c r="BV12" s="83" t="s">
        <v>266</v>
      </c>
      <c r="BW12" s="145">
        <f>(BW5/(BW8*(1/BW29)*BW16))*BW32*BW33*BW34</f>
        <v>5.9067734300188843E-12</v>
      </c>
      <c r="BX12" s="92" t="s">
        <v>13</v>
      </c>
      <c r="BY12" s="91" t="s">
        <v>231</v>
      </c>
      <c r="BZ12" s="136">
        <f>B30</f>
        <v>1.04753425E-2</v>
      </c>
      <c r="CA12" s="52" t="s">
        <v>60</v>
      </c>
      <c r="CB12" s="52" t="s">
        <v>413</v>
      </c>
      <c r="CC12" s="136">
        <f>B4</f>
        <v>0.75600000000000001</v>
      </c>
      <c r="CE12" s="52" t="s">
        <v>414</v>
      </c>
      <c r="CF12" s="136">
        <f>B7</f>
        <v>0.65</v>
      </c>
      <c r="CH12" s="52" t="s">
        <v>416</v>
      </c>
      <c r="CI12" s="136">
        <f>B11</f>
        <v>0.70099999999999996</v>
      </c>
      <c r="CN12" s="84" t="s">
        <v>162</v>
      </c>
      <c r="CO12" s="162">
        <f>B131</f>
        <v>2</v>
      </c>
      <c r="CP12" s="52" t="s">
        <v>41</v>
      </c>
      <c r="CT12" s="83" t="s">
        <v>22</v>
      </c>
      <c r="CU12" s="137">
        <f>0.693/CU13</f>
        <v>66.155354824913829</v>
      </c>
      <c r="CW12" s="83" t="s">
        <v>506</v>
      </c>
      <c r="CX12" s="140">
        <f>((CX16/24)*CX23*CX13*CX25)+((CX15/24)*CX24*CX14*CX26)</f>
        <v>1387.5</v>
      </c>
      <c r="CY12" s="52" t="s">
        <v>426</v>
      </c>
      <c r="CZ12" s="91" t="s">
        <v>231</v>
      </c>
      <c r="DA12" s="136">
        <f>B30</f>
        <v>1.04753425E-2</v>
      </c>
      <c r="DB12" s="52" t="s">
        <v>60</v>
      </c>
      <c r="DC12" s="83" t="s">
        <v>467</v>
      </c>
      <c r="DD12" s="146">
        <f>B147</f>
        <v>55</v>
      </c>
      <c r="DE12" s="92" t="s">
        <v>221</v>
      </c>
      <c r="DF12" s="92" t="s">
        <v>52</v>
      </c>
      <c r="DG12" s="138">
        <f>B191</f>
        <v>10950</v>
      </c>
      <c r="DH12" s="52" t="s">
        <v>53</v>
      </c>
      <c r="DI12" s="84" t="s">
        <v>16</v>
      </c>
      <c r="DJ12" s="137">
        <f>(DJ9*DJ10)/(1-EXP(-DJ10*DJ9))</f>
        <v>66.155354824913829</v>
      </c>
      <c r="DL12" s="92"/>
      <c r="DO12" s="92" t="s">
        <v>52</v>
      </c>
      <c r="DP12" s="138">
        <f>B191</f>
        <v>10950</v>
      </c>
      <c r="DQ12" s="52" t="s">
        <v>53</v>
      </c>
      <c r="DR12" s="83" t="s">
        <v>465</v>
      </c>
      <c r="DS12" s="150">
        <f>B166</f>
        <v>150</v>
      </c>
      <c r="DT12" s="83" t="s">
        <v>24</v>
      </c>
      <c r="DU12" s="92"/>
      <c r="DX12" s="83" t="s">
        <v>500</v>
      </c>
      <c r="DY12" s="138">
        <f>B203</f>
        <v>1</v>
      </c>
      <c r="EA12" s="83" t="s">
        <v>500</v>
      </c>
      <c r="EB12" s="138">
        <f>B203</f>
        <v>1</v>
      </c>
      <c r="EC12" s="84"/>
      <c r="ED12" s="83" t="s">
        <v>500</v>
      </c>
      <c r="EE12" s="138">
        <f>B203</f>
        <v>1</v>
      </c>
      <c r="EF12" s="84"/>
      <c r="EG12" s="83" t="s">
        <v>465</v>
      </c>
      <c r="EH12" s="150">
        <f>B166</f>
        <v>150</v>
      </c>
      <c r="EI12" s="83" t="s">
        <v>24</v>
      </c>
      <c r="EJ12" s="92"/>
      <c r="EM12" s="83" t="s">
        <v>496</v>
      </c>
      <c r="EN12" s="138">
        <f>B208</f>
        <v>1</v>
      </c>
      <c r="EP12" s="83" t="s">
        <v>496</v>
      </c>
      <c r="EQ12" s="138">
        <f>B208</f>
        <v>1</v>
      </c>
      <c r="ER12" s="84"/>
      <c r="ES12" s="83" t="s">
        <v>496</v>
      </c>
      <c r="ET12" s="138">
        <f>B208</f>
        <v>1</v>
      </c>
      <c r="EU12" s="84"/>
      <c r="EV12" s="83" t="s">
        <v>465</v>
      </c>
      <c r="EW12" s="150">
        <f>B166</f>
        <v>150</v>
      </c>
      <c r="EX12" s="83" t="s">
        <v>24</v>
      </c>
      <c r="EY12" s="83"/>
      <c r="EZ12" s="83"/>
      <c r="FA12" s="83"/>
      <c r="FB12" s="83" t="s">
        <v>153</v>
      </c>
      <c r="FC12" s="164">
        <f>B213</f>
        <v>1</v>
      </c>
      <c r="FD12" s="83"/>
      <c r="FE12" s="83" t="s">
        <v>153</v>
      </c>
      <c r="FF12" s="164">
        <f>B213</f>
        <v>1</v>
      </c>
      <c r="FG12" s="83"/>
      <c r="FH12" s="83" t="s">
        <v>153</v>
      </c>
      <c r="FI12" s="164">
        <f>B213</f>
        <v>1</v>
      </c>
      <c r="FJ12" s="84"/>
      <c r="FK12" s="83" t="s">
        <v>465</v>
      </c>
      <c r="FL12" s="150">
        <f>B166</f>
        <v>150</v>
      </c>
      <c r="FM12" s="83" t="s">
        <v>24</v>
      </c>
      <c r="FN12" s="83"/>
      <c r="FO12" s="83"/>
      <c r="FP12" s="83"/>
      <c r="FQ12" s="88"/>
      <c r="FR12" s="227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B166</f>
        <v>150</v>
      </c>
      <c r="GB12" s="83" t="s">
        <v>24</v>
      </c>
      <c r="GC12" s="83"/>
      <c r="GD12" s="83"/>
      <c r="GE12" s="83"/>
      <c r="GF12" s="83" t="s">
        <v>488</v>
      </c>
      <c r="GG12" s="142">
        <f>B218</f>
        <v>1</v>
      </c>
      <c r="GH12" s="83"/>
      <c r="GI12" s="83" t="s">
        <v>488</v>
      </c>
      <c r="GJ12" s="142">
        <f>B218</f>
        <v>1</v>
      </c>
      <c r="GK12" s="83"/>
      <c r="GL12" s="83" t="s">
        <v>488</v>
      </c>
      <c r="GM12" s="142">
        <f>B218</f>
        <v>1</v>
      </c>
      <c r="GN12" s="84"/>
      <c r="GO12" s="83" t="s">
        <v>465</v>
      </c>
      <c r="GP12" s="150">
        <f>B166</f>
        <v>150</v>
      </c>
      <c r="GQ12" s="83" t="s">
        <v>24</v>
      </c>
      <c r="GR12" s="83"/>
      <c r="GS12" s="83"/>
      <c r="GT12" s="83"/>
      <c r="GU12" s="83" t="s">
        <v>492</v>
      </c>
      <c r="GV12" s="142">
        <f>B223</f>
        <v>1</v>
      </c>
      <c r="GW12" s="83"/>
      <c r="GX12" s="83" t="s">
        <v>492</v>
      </c>
      <c r="GY12" s="142">
        <f>B223</f>
        <v>1</v>
      </c>
      <c r="GZ12" s="83"/>
      <c r="HA12" s="83" t="s">
        <v>492</v>
      </c>
      <c r="HB12" s="142">
        <f>B223</f>
        <v>1</v>
      </c>
      <c r="HC12" s="84"/>
      <c r="HD12" s="84" t="s">
        <v>47</v>
      </c>
      <c r="HE12" s="163">
        <v>1</v>
      </c>
    </row>
    <row r="13" spans="1:214" ht="13.5" customHeight="1" thickBot="1" x14ac:dyDescent="0.25">
      <c r="A13" s="118" t="s">
        <v>245</v>
      </c>
      <c r="B13" s="230">
        <v>0.46300000000000002</v>
      </c>
      <c r="C13" s="119"/>
      <c r="D13" s="83" t="s">
        <v>366</v>
      </c>
      <c r="E13" s="141">
        <f>B50</f>
        <v>5</v>
      </c>
      <c r="F13" s="92" t="s">
        <v>407</v>
      </c>
      <c r="G13" s="83" t="s">
        <v>263</v>
      </c>
      <c r="H13" s="144" t="e">
        <f>(H14/((1/H40)*(H48+H49+H50)))*H70*H71*H73</f>
        <v>#DIV/0!</v>
      </c>
      <c r="I13" s="92" t="s">
        <v>13</v>
      </c>
      <c r="J13" s="91" t="s">
        <v>231</v>
      </c>
      <c r="K13" s="136">
        <f>B30</f>
        <v>1.04753425E-2</v>
      </c>
      <c r="L13" s="52" t="s">
        <v>60</v>
      </c>
      <c r="M13" s="52" t="s">
        <v>54</v>
      </c>
      <c r="N13" s="136">
        <f>B4</f>
        <v>0.75600000000000001</v>
      </c>
      <c r="P13" s="52" t="s">
        <v>54</v>
      </c>
      <c r="Q13" s="136">
        <f>B7</f>
        <v>0.65</v>
      </c>
      <c r="S13" s="52" t="s">
        <v>54</v>
      </c>
      <c r="T13" s="136">
        <f>B11</f>
        <v>0.70099999999999996</v>
      </c>
      <c r="V13" s="52" t="s">
        <v>50</v>
      </c>
      <c r="W13" s="146">
        <f>B246</f>
        <v>50</v>
      </c>
      <c r="X13" s="84" t="s">
        <v>407</v>
      </c>
      <c r="Y13" s="52" t="s">
        <v>50</v>
      </c>
      <c r="Z13" s="146">
        <f>B226</f>
        <v>50</v>
      </c>
      <c r="AA13" s="84" t="s">
        <v>407</v>
      </c>
      <c r="AB13" s="83" t="s">
        <v>349</v>
      </c>
      <c r="AC13" s="146">
        <f>B229</f>
        <v>50</v>
      </c>
      <c r="AD13" s="146">
        <f>B239</f>
        <v>50</v>
      </c>
      <c r="AE13" s="146">
        <f>B249</f>
        <v>50</v>
      </c>
      <c r="AF13" s="146">
        <f>B259</f>
        <v>200</v>
      </c>
      <c r="AG13" s="146">
        <f>B271</f>
        <v>200</v>
      </c>
      <c r="AH13" s="52" t="s">
        <v>48</v>
      </c>
      <c r="AI13" s="52" t="s">
        <v>54</v>
      </c>
      <c r="AJ13" s="136">
        <f>B4</f>
        <v>0.75600000000000001</v>
      </c>
      <c r="AL13" s="52" t="s">
        <v>54</v>
      </c>
      <c r="AM13" s="136">
        <f>B7</f>
        <v>0.65</v>
      </c>
      <c r="AO13" s="52" t="s">
        <v>54</v>
      </c>
      <c r="AP13" s="136">
        <f>B11</f>
        <v>0.70099999999999996</v>
      </c>
      <c r="AR13" s="52" t="s">
        <v>54</v>
      </c>
      <c r="AS13" s="136">
        <f>B4</f>
        <v>0.75600000000000001</v>
      </c>
      <c r="AU13" s="52" t="s">
        <v>54</v>
      </c>
      <c r="AV13" s="136">
        <f>B7</f>
        <v>0.65</v>
      </c>
      <c r="AX13" s="52" t="s">
        <v>54</v>
      </c>
      <c r="AY13" s="136">
        <f>B11</f>
        <v>0.70099999999999996</v>
      </c>
      <c r="BA13" s="52" t="s">
        <v>54</v>
      </c>
      <c r="BB13" s="136">
        <f>B4</f>
        <v>0.75600000000000001</v>
      </c>
      <c r="BD13" s="52" t="s">
        <v>54</v>
      </c>
      <c r="BE13" s="136">
        <f>B7</f>
        <v>0.65</v>
      </c>
      <c r="BG13" s="52" t="s">
        <v>54</v>
      </c>
      <c r="BH13" s="136">
        <f>B11</f>
        <v>0.70099999999999996</v>
      </c>
      <c r="BJ13" s="52" t="s">
        <v>300</v>
      </c>
      <c r="BK13" s="136">
        <f>B3</f>
        <v>6.8000000000000005E-2</v>
      </c>
      <c r="BM13" s="52" t="s">
        <v>300</v>
      </c>
      <c r="BN13" s="136">
        <f>B6</f>
        <v>3.7100000000000001E-2</v>
      </c>
      <c r="BP13" s="52" t="s">
        <v>300</v>
      </c>
      <c r="BQ13" s="136">
        <f>B10</f>
        <v>5.8400000000000001E-2</v>
      </c>
      <c r="BS13" s="52" t="s">
        <v>431</v>
      </c>
      <c r="BT13" s="141">
        <f>B116</f>
        <v>5</v>
      </c>
      <c r="BU13" s="52" t="s">
        <v>194</v>
      </c>
      <c r="BV13" s="83" t="s">
        <v>440</v>
      </c>
      <c r="BW13" s="160">
        <f>((BW18*BW20*BW23*BW14*BW30)+(BW19*BW21*BW24*BW15*BW31))</f>
        <v>2750</v>
      </c>
      <c r="BX13" s="83" t="s">
        <v>345</v>
      </c>
      <c r="BY13" s="83" t="s">
        <v>260</v>
      </c>
      <c r="BZ13" s="143" t="e">
        <f>((BZ5/(BZ6*BZ16*(1/BZ33)))*BZ10)*BZ36*BZ37*BZ12</f>
        <v>#DIV/0!</v>
      </c>
      <c r="CA13" s="92" t="s">
        <v>12</v>
      </c>
      <c r="CB13" s="52" t="s">
        <v>90</v>
      </c>
      <c r="CC13" s="138">
        <f>B118</f>
        <v>5</v>
      </c>
      <c r="CD13" s="52" t="s">
        <v>194</v>
      </c>
      <c r="CE13" s="52" t="s">
        <v>90</v>
      </c>
      <c r="CF13" s="138">
        <f>B118</f>
        <v>5</v>
      </c>
      <c r="CG13" s="52" t="s">
        <v>194</v>
      </c>
      <c r="CH13" s="52" t="s">
        <v>90</v>
      </c>
      <c r="CI13" s="138">
        <f>B118</f>
        <v>5</v>
      </c>
      <c r="CJ13" s="52" t="s">
        <v>194</v>
      </c>
      <c r="CN13" s="84" t="s">
        <v>163</v>
      </c>
      <c r="CO13" s="162">
        <f>B132</f>
        <v>2</v>
      </c>
      <c r="CP13" s="52" t="s">
        <v>41</v>
      </c>
      <c r="CT13" s="91" t="s">
        <v>231</v>
      </c>
      <c r="CU13" s="136">
        <f>B30</f>
        <v>1.04753425E-2</v>
      </c>
      <c r="CV13" s="52" t="s">
        <v>60</v>
      </c>
      <c r="CW13" s="83" t="s">
        <v>450</v>
      </c>
      <c r="CX13" s="141">
        <f>B145</f>
        <v>5</v>
      </c>
      <c r="CY13" s="92" t="s">
        <v>407</v>
      </c>
      <c r="CZ13" s="83" t="s">
        <v>260</v>
      </c>
      <c r="DA13" s="143" t="e">
        <f>(DA5/(DA6*DA24))*DA51*DA52*DA12</f>
        <v>#DIV/0!</v>
      </c>
      <c r="DB13" s="83" t="s">
        <v>13</v>
      </c>
      <c r="DC13" s="83" t="s">
        <v>468</v>
      </c>
      <c r="DD13" s="146">
        <f>B148</f>
        <v>55</v>
      </c>
      <c r="DE13" s="92" t="s">
        <v>221</v>
      </c>
      <c r="DF13" s="92" t="s">
        <v>55</v>
      </c>
      <c r="DG13" s="138">
        <f>B192</f>
        <v>240</v>
      </c>
      <c r="DH13" s="52" t="s">
        <v>56</v>
      </c>
      <c r="DJ13" s="138"/>
      <c r="DL13" s="92"/>
      <c r="DO13" s="92" t="s">
        <v>55</v>
      </c>
      <c r="DP13" s="138">
        <f>B192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B204</f>
        <v>1</v>
      </c>
      <c r="EA13" s="83" t="s">
        <v>501</v>
      </c>
      <c r="EB13" s="138">
        <f>B204</f>
        <v>1</v>
      </c>
      <c r="EC13" s="84"/>
      <c r="ED13" s="83" t="s">
        <v>501</v>
      </c>
      <c r="EE13" s="138">
        <f>B204</f>
        <v>1</v>
      </c>
      <c r="EF13" s="84"/>
      <c r="EG13" s="83" t="s">
        <v>363</v>
      </c>
      <c r="EH13" s="150">
        <f>B168</f>
        <v>1</v>
      </c>
      <c r="EI13" s="84" t="s">
        <v>60</v>
      </c>
      <c r="EJ13" s="92"/>
      <c r="EM13" s="83" t="s">
        <v>497</v>
      </c>
      <c r="EN13" s="138">
        <f>B209</f>
        <v>1</v>
      </c>
      <c r="EP13" s="83" t="s">
        <v>497</v>
      </c>
      <c r="EQ13" s="138">
        <f>B209</f>
        <v>1</v>
      </c>
      <c r="ER13" s="84"/>
      <c r="ES13" s="83" t="s">
        <v>497</v>
      </c>
      <c r="ET13" s="138">
        <f>B209</f>
        <v>1</v>
      </c>
      <c r="EU13" s="84"/>
      <c r="EV13" s="83" t="s">
        <v>363</v>
      </c>
      <c r="EW13" s="150">
        <f>B168</f>
        <v>1</v>
      </c>
      <c r="EX13" s="84" t="s">
        <v>60</v>
      </c>
      <c r="EY13" s="83"/>
      <c r="EZ13" s="83"/>
      <c r="FA13" s="83"/>
      <c r="FB13" s="83" t="s">
        <v>154</v>
      </c>
      <c r="FC13" s="164">
        <f>B214</f>
        <v>1</v>
      </c>
      <c r="FD13" s="83"/>
      <c r="FE13" s="83" t="s">
        <v>154</v>
      </c>
      <c r="FF13" s="164">
        <f>B214</f>
        <v>1</v>
      </c>
      <c r="FG13" s="83"/>
      <c r="FH13" s="83" t="s">
        <v>154</v>
      </c>
      <c r="FI13" s="164">
        <f>B214</f>
        <v>1</v>
      </c>
      <c r="FJ13" s="84"/>
      <c r="FK13" s="83" t="s">
        <v>363</v>
      </c>
      <c r="FL13" s="141">
        <f>B168</f>
        <v>1</v>
      </c>
      <c r="FM13" s="92" t="s">
        <v>60</v>
      </c>
      <c r="FN13" s="83"/>
      <c r="FO13" s="83"/>
      <c r="FP13" s="83"/>
      <c r="FQ13" s="88"/>
      <c r="FR13" s="227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B168</f>
        <v>1</v>
      </c>
      <c r="GB13" s="92" t="s">
        <v>60</v>
      </c>
      <c r="GC13" s="83"/>
      <c r="GD13" s="83"/>
      <c r="GE13" s="83"/>
      <c r="GF13" s="83" t="s">
        <v>489</v>
      </c>
      <c r="GG13" s="142">
        <f>B219</f>
        <v>1</v>
      </c>
      <c r="GH13" s="83"/>
      <c r="GI13" s="83" t="s">
        <v>489</v>
      </c>
      <c r="GJ13" s="142">
        <f>B219</f>
        <v>1</v>
      </c>
      <c r="GK13" s="83"/>
      <c r="GL13" s="83" t="s">
        <v>489</v>
      </c>
      <c r="GM13" s="142">
        <f>B219</f>
        <v>1</v>
      </c>
      <c r="GN13" s="84"/>
      <c r="GO13" s="83" t="s">
        <v>363</v>
      </c>
      <c r="GP13" s="141">
        <f>B168</f>
        <v>1</v>
      </c>
      <c r="GQ13" s="92" t="s">
        <v>60</v>
      </c>
      <c r="GR13" s="83"/>
      <c r="GS13" s="83"/>
      <c r="GT13" s="83"/>
      <c r="GU13" s="83" t="s">
        <v>493</v>
      </c>
      <c r="GV13" s="142">
        <f>B224</f>
        <v>1</v>
      </c>
      <c r="GW13" s="83"/>
      <c r="GX13" s="83" t="s">
        <v>493</v>
      </c>
      <c r="GY13" s="142">
        <f>B224</f>
        <v>1</v>
      </c>
      <c r="GZ13" s="83"/>
      <c r="HA13" s="83" t="s">
        <v>493</v>
      </c>
      <c r="HB13" s="142">
        <f>B224</f>
        <v>1</v>
      </c>
      <c r="HC13" s="84"/>
      <c r="HD13" s="84" t="s">
        <v>59</v>
      </c>
      <c r="HE13" s="150">
        <f>B45</f>
        <v>0</v>
      </c>
    </row>
    <row r="14" spans="1:214" ht="13.5" thickTop="1" x14ac:dyDescent="0.2">
      <c r="A14" s="375" t="s">
        <v>233</v>
      </c>
      <c r="B14" s="376"/>
      <c r="C14" s="377"/>
      <c r="D14" s="83" t="s">
        <v>367</v>
      </c>
      <c r="E14" s="141">
        <f>B51</f>
        <v>10</v>
      </c>
      <c r="F14" s="92" t="s">
        <v>407</v>
      </c>
      <c r="G14" s="83" t="s">
        <v>264</v>
      </c>
      <c r="H14" s="145" t="e">
        <f>(H5/(H9*(H22+H25)*H41))*H70*H72*H73</f>
        <v>#DIV/0!</v>
      </c>
      <c r="I14" s="92" t="s">
        <v>12</v>
      </c>
      <c r="J14" s="83" t="s">
        <v>260</v>
      </c>
      <c r="K14" s="143" t="e">
        <f>((K5/(K6*K19*(1/K46)))*K11)*K53*K54*K13</f>
        <v>#DIV/0!</v>
      </c>
      <c r="L14" s="92" t="s">
        <v>12</v>
      </c>
      <c r="M14" s="52" t="s">
        <v>408</v>
      </c>
      <c r="N14" s="150">
        <f>B88</f>
        <v>5</v>
      </c>
      <c r="O14" s="52" t="s">
        <v>194</v>
      </c>
      <c r="P14" s="52" t="s">
        <v>408</v>
      </c>
      <c r="Q14" s="150">
        <f>B88</f>
        <v>5</v>
      </c>
      <c r="R14" s="52" t="s">
        <v>194</v>
      </c>
      <c r="S14" s="52" t="s">
        <v>408</v>
      </c>
      <c r="T14" s="150">
        <f>B88</f>
        <v>5</v>
      </c>
      <c r="U14" s="52" t="s">
        <v>194</v>
      </c>
      <c r="V14" s="83" t="s">
        <v>256</v>
      </c>
      <c r="W14" s="136">
        <f>B27</f>
        <v>3.2316400000000001</v>
      </c>
      <c r="X14" s="83" t="s">
        <v>343</v>
      </c>
      <c r="Y14" s="83" t="s">
        <v>256</v>
      </c>
      <c r="Z14" s="136">
        <f>B27</f>
        <v>3.2316400000000001</v>
      </c>
      <c r="AA14" s="83" t="s">
        <v>343</v>
      </c>
      <c r="AB14" s="83" t="s">
        <v>300</v>
      </c>
      <c r="AC14" s="161">
        <f>B3</f>
        <v>6.8000000000000005E-2</v>
      </c>
      <c r="AD14" s="161">
        <f>B3</f>
        <v>6.8000000000000005E-2</v>
      </c>
      <c r="AE14" s="161">
        <f>B3</f>
        <v>6.8000000000000005E-2</v>
      </c>
      <c r="AF14" s="161">
        <f>B3</f>
        <v>6.8000000000000005E-2</v>
      </c>
      <c r="AG14" s="161">
        <f>B3</f>
        <v>6.8000000000000005E-2</v>
      </c>
      <c r="AH14" s="92"/>
      <c r="AI14" s="52" t="s">
        <v>57</v>
      </c>
      <c r="AJ14" s="136">
        <f>B242</f>
        <v>5</v>
      </c>
      <c r="AK14" s="52" t="s">
        <v>194</v>
      </c>
      <c r="AL14" s="52" t="s">
        <v>57</v>
      </c>
      <c r="AM14" s="136">
        <f>B242</f>
        <v>5</v>
      </c>
      <c r="AN14" s="52" t="s">
        <v>194</v>
      </c>
      <c r="AO14" s="52" t="s">
        <v>57</v>
      </c>
      <c r="AP14" s="136">
        <f>B242</f>
        <v>5</v>
      </c>
      <c r="AQ14" s="52" t="s">
        <v>194</v>
      </c>
      <c r="AR14" s="52" t="s">
        <v>57</v>
      </c>
      <c r="AS14" s="136">
        <f>B252</f>
        <v>5</v>
      </c>
      <c r="AT14" s="52" t="s">
        <v>194</v>
      </c>
      <c r="AU14" s="52" t="s">
        <v>57</v>
      </c>
      <c r="AV14" s="136">
        <f>B252</f>
        <v>5</v>
      </c>
      <c r="AW14" s="52" t="s">
        <v>194</v>
      </c>
      <c r="AX14" s="52" t="s">
        <v>57</v>
      </c>
      <c r="AY14" s="136">
        <f>B252</f>
        <v>5</v>
      </c>
      <c r="AZ14" s="52" t="s">
        <v>194</v>
      </c>
      <c r="BA14" s="52" t="s">
        <v>57</v>
      </c>
      <c r="BB14" s="136">
        <f>B232</f>
        <v>5</v>
      </c>
      <c r="BC14" s="52" t="s">
        <v>194</v>
      </c>
      <c r="BD14" s="52" t="s">
        <v>57</v>
      </c>
      <c r="BE14" s="136">
        <f>B232</f>
        <v>5</v>
      </c>
      <c r="BF14" s="52" t="s">
        <v>194</v>
      </c>
      <c r="BG14" s="52" t="s">
        <v>58</v>
      </c>
      <c r="BH14" s="136">
        <f>B232</f>
        <v>5</v>
      </c>
      <c r="BI14" s="52" t="s">
        <v>194</v>
      </c>
      <c r="BJ14" s="52" t="s">
        <v>413</v>
      </c>
      <c r="BK14" s="136">
        <f>B4</f>
        <v>0.75600000000000001</v>
      </c>
      <c r="BM14" s="52" t="s">
        <v>414</v>
      </c>
      <c r="BN14" s="136">
        <f>B7</f>
        <v>0.65</v>
      </c>
      <c r="BP14" s="52" t="s">
        <v>416</v>
      </c>
      <c r="BQ14" s="136">
        <f>B11</f>
        <v>0.70099999999999996</v>
      </c>
      <c r="BS14" s="52" t="s">
        <v>432</v>
      </c>
      <c r="BT14" s="141">
        <f>B117</f>
        <v>5</v>
      </c>
      <c r="BU14" s="52" t="s">
        <v>194</v>
      </c>
      <c r="BV14" s="83" t="s">
        <v>439</v>
      </c>
      <c r="BW14" s="146">
        <f>B105</f>
        <v>2</v>
      </c>
      <c r="BX14" s="83" t="s">
        <v>357</v>
      </c>
      <c r="BY14" s="83" t="s">
        <v>261</v>
      </c>
      <c r="BZ14" s="144">
        <f>((BZ5/(BZ7*BZ17*(1/BZ9)*BZ32))*BZ10)*BZ36*BZ37*BZ12</f>
        <v>4.6125131420742531E-2</v>
      </c>
      <c r="CA14" s="92" t="s">
        <v>12</v>
      </c>
      <c r="CB14" s="52" t="s">
        <v>412</v>
      </c>
      <c r="CC14" s="139">
        <f>B22</f>
        <v>2.1295200000000002E-3</v>
      </c>
      <c r="CD14" s="84" t="s">
        <v>353</v>
      </c>
      <c r="CE14" s="52" t="s">
        <v>415</v>
      </c>
      <c r="CF14" s="139">
        <f>B24</f>
        <v>4.4084799999999998E-4</v>
      </c>
      <c r="CG14" s="84" t="s">
        <v>353</v>
      </c>
      <c r="CH14" s="52" t="s">
        <v>417</v>
      </c>
      <c r="CI14" s="139">
        <f>B26</f>
        <v>1.94272E-3</v>
      </c>
      <c r="CJ14" s="84" t="s">
        <v>353</v>
      </c>
      <c r="CK14" s="84"/>
      <c r="CL14" s="84"/>
      <c r="CM14" s="84"/>
      <c r="CN14" s="52" t="s">
        <v>95</v>
      </c>
      <c r="CO14" s="164">
        <f>B127</f>
        <v>1</v>
      </c>
      <c r="CQ14" s="84"/>
      <c r="CR14" s="84"/>
      <c r="CS14" s="84"/>
      <c r="CT14" s="83" t="s">
        <v>260</v>
      </c>
      <c r="CU14" s="143" t="e">
        <f>((CU5/(CU6*CU25*(1/CU46)))*CU11)*CU49*CU50*CU13</f>
        <v>#DIV/0!</v>
      </c>
      <c r="CV14" s="92" t="s">
        <v>12</v>
      </c>
      <c r="CW14" s="83" t="s">
        <v>459</v>
      </c>
      <c r="CX14" s="141">
        <f>B146</f>
        <v>10</v>
      </c>
      <c r="CY14" s="92" t="s">
        <v>407</v>
      </c>
      <c r="CZ14" s="83" t="s">
        <v>261</v>
      </c>
      <c r="DA14" s="144">
        <f>(DA5/(DA7*DA25*DA45))*DA51*DA52*DA12</f>
        <v>7.5093200124152447E-14</v>
      </c>
      <c r="DB14" s="83" t="s">
        <v>13</v>
      </c>
      <c r="DC14" s="83" t="s">
        <v>465</v>
      </c>
      <c r="DD14" s="146">
        <f>B166</f>
        <v>150</v>
      </c>
      <c r="DE14" s="83" t="s">
        <v>24</v>
      </c>
      <c r="DF14" s="92" t="s">
        <v>393</v>
      </c>
      <c r="DG14" s="138">
        <f>B47</f>
        <v>0.26</v>
      </c>
      <c r="DJ14" s="138"/>
      <c r="DL14" s="92"/>
      <c r="DO14" s="92" t="s">
        <v>393</v>
      </c>
      <c r="DP14" s="138">
        <f>B47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B200</f>
        <v>1.03</v>
      </c>
      <c r="DZ14" s="52" t="s">
        <v>286</v>
      </c>
      <c r="EA14" s="52" t="s">
        <v>518</v>
      </c>
      <c r="EB14" s="146">
        <f>B200</f>
        <v>1.03</v>
      </c>
      <c r="EC14" s="52" t="s">
        <v>286</v>
      </c>
      <c r="ED14" s="92" t="s">
        <v>392</v>
      </c>
      <c r="EE14" s="163">
        <f>B48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B168</f>
        <v>1</v>
      </c>
      <c r="EP14" s="92"/>
      <c r="EQ14" s="163"/>
      <c r="ER14" s="84"/>
      <c r="ES14" s="92" t="s">
        <v>392</v>
      </c>
      <c r="ET14" s="163">
        <f>B48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B168</f>
        <v>1</v>
      </c>
      <c r="FE14" s="83"/>
      <c r="FF14" s="142"/>
      <c r="FG14" s="83"/>
      <c r="FH14" s="83" t="s">
        <v>392</v>
      </c>
      <c r="FI14" s="142">
        <f>B48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227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B168</f>
        <v>1</v>
      </c>
      <c r="GI14" s="83"/>
      <c r="GJ14" s="142"/>
      <c r="GK14" s="83"/>
      <c r="GL14" s="83" t="s">
        <v>392</v>
      </c>
      <c r="GM14" s="142">
        <f>B48</f>
        <v>0.25</v>
      </c>
      <c r="GN14" s="84"/>
      <c r="GO14" s="92" t="s">
        <v>484</v>
      </c>
      <c r="GP14" s="146">
        <f>B188</f>
        <v>1</v>
      </c>
      <c r="GR14" s="83"/>
      <c r="GS14" s="83"/>
      <c r="GT14" s="83"/>
      <c r="GU14" s="52" t="s">
        <v>350</v>
      </c>
      <c r="GV14" s="164">
        <f>B168</f>
        <v>1</v>
      </c>
      <c r="GX14" s="83"/>
      <c r="GY14" s="142"/>
      <c r="GZ14" s="83"/>
      <c r="HA14" s="83" t="s">
        <v>392</v>
      </c>
      <c r="HB14" s="142">
        <f>B48</f>
        <v>0.25</v>
      </c>
      <c r="HC14" s="84"/>
      <c r="HD14" s="52" t="s">
        <v>225</v>
      </c>
      <c r="HE14" s="138">
        <v>1</v>
      </c>
    </row>
    <row r="15" spans="1:214" x14ac:dyDescent="0.2">
      <c r="A15" s="375"/>
      <c r="B15" s="376"/>
      <c r="C15" s="377"/>
      <c r="D15" s="52" t="s">
        <v>384</v>
      </c>
      <c r="E15" s="138">
        <f>B71</f>
        <v>24</v>
      </c>
      <c r="F15" s="52" t="s">
        <v>194</v>
      </c>
      <c r="G15" s="83" t="s">
        <v>395</v>
      </c>
      <c r="H15" s="147">
        <f>(H29*H17*H68)+(H30*H18*H69)</f>
        <v>181.875</v>
      </c>
      <c r="I15" s="83" t="s">
        <v>345</v>
      </c>
      <c r="J15" s="83" t="s">
        <v>261</v>
      </c>
      <c r="K15" s="144">
        <f>((K5/(K7*K20*(1/K10)*K45))*K11)*K53*K54*K13</f>
        <v>3.5234475390844987E-3</v>
      </c>
      <c r="L15" s="92" t="s">
        <v>12</v>
      </c>
      <c r="M15" s="52" t="s">
        <v>412</v>
      </c>
      <c r="N15" s="139">
        <f>B22</f>
        <v>2.1295200000000002E-3</v>
      </c>
      <c r="O15" s="84" t="s">
        <v>353</v>
      </c>
      <c r="P15" s="52" t="s">
        <v>415</v>
      </c>
      <c r="Q15" s="139">
        <f>B24</f>
        <v>4.4084799999999998E-4</v>
      </c>
      <c r="R15" s="84" t="s">
        <v>353</v>
      </c>
      <c r="S15" s="52" t="s">
        <v>417</v>
      </c>
      <c r="T15" s="139">
        <f>B26</f>
        <v>1.94272E-3</v>
      </c>
      <c r="U15" s="84" t="s">
        <v>353</v>
      </c>
      <c r="V15" s="83" t="s">
        <v>301</v>
      </c>
      <c r="W15" s="142">
        <f>B250</f>
        <v>2</v>
      </c>
      <c r="Y15" s="83" t="s">
        <v>301</v>
      </c>
      <c r="Z15" s="142">
        <f>B230</f>
        <v>2</v>
      </c>
      <c r="AB15" s="83" t="s">
        <v>232</v>
      </c>
      <c r="AC15" s="141">
        <f>B226</f>
        <v>50</v>
      </c>
      <c r="AD15" s="141">
        <f>B236</f>
        <v>50</v>
      </c>
      <c r="AE15" s="141">
        <f>B246</f>
        <v>50</v>
      </c>
      <c r="AF15" s="141">
        <f>B256</f>
        <v>50</v>
      </c>
      <c r="AG15" s="141">
        <f>B268</f>
        <v>50</v>
      </c>
      <c r="AH15" s="92" t="s">
        <v>407</v>
      </c>
      <c r="AI15" s="52" t="s">
        <v>412</v>
      </c>
      <c r="AJ15" s="139">
        <f>B22</f>
        <v>2.1295200000000002E-3</v>
      </c>
      <c r="AK15" s="84" t="s">
        <v>353</v>
      </c>
      <c r="AL15" s="52" t="s">
        <v>415</v>
      </c>
      <c r="AM15" s="139">
        <f>B24</f>
        <v>4.4084799999999998E-4</v>
      </c>
      <c r="AN15" s="84" t="s">
        <v>353</v>
      </c>
      <c r="AO15" s="52" t="s">
        <v>417</v>
      </c>
      <c r="AP15" s="139">
        <f>B26</f>
        <v>1.94272E-3</v>
      </c>
      <c r="AQ15" s="84" t="s">
        <v>353</v>
      </c>
      <c r="AR15" s="52" t="s">
        <v>412</v>
      </c>
      <c r="AS15" s="139">
        <f>B22</f>
        <v>2.1295200000000002E-3</v>
      </c>
      <c r="AT15" s="84" t="s">
        <v>353</v>
      </c>
      <c r="AU15" s="52" t="s">
        <v>415</v>
      </c>
      <c r="AV15" s="139">
        <f>B24</f>
        <v>4.4084799999999998E-4</v>
      </c>
      <c r="AW15" s="84" t="s">
        <v>353</v>
      </c>
      <c r="AX15" s="52" t="s">
        <v>417</v>
      </c>
      <c r="AY15" s="139">
        <f>B26</f>
        <v>1.94272E-3</v>
      </c>
      <c r="AZ15" s="84" t="s">
        <v>353</v>
      </c>
      <c r="BA15" s="52" t="s">
        <v>412</v>
      </c>
      <c r="BB15" s="139">
        <f>B22</f>
        <v>2.1295200000000002E-3</v>
      </c>
      <c r="BC15" s="84" t="s">
        <v>353</v>
      </c>
      <c r="BD15" s="52" t="s">
        <v>415</v>
      </c>
      <c r="BE15" s="139">
        <f>B24</f>
        <v>4.4084799999999998E-4</v>
      </c>
      <c r="BF15" s="84" t="s">
        <v>353</v>
      </c>
      <c r="BG15" s="52" t="s">
        <v>417</v>
      </c>
      <c r="BH15" s="139">
        <f>B26</f>
        <v>1.94272E-3</v>
      </c>
      <c r="BI15" s="84" t="s">
        <v>353</v>
      </c>
      <c r="BJ15" s="52" t="s">
        <v>57</v>
      </c>
      <c r="BK15" s="136">
        <f>B262</f>
        <v>5</v>
      </c>
      <c r="BL15" s="52" t="s">
        <v>194</v>
      </c>
      <c r="BM15" s="52" t="s">
        <v>57</v>
      </c>
      <c r="BN15" s="136">
        <f>B262</f>
        <v>5</v>
      </c>
      <c r="BO15" s="52" t="s">
        <v>194</v>
      </c>
      <c r="BP15" s="52" t="s">
        <v>57</v>
      </c>
      <c r="BQ15" s="136">
        <f>B262</f>
        <v>5</v>
      </c>
      <c r="BR15" s="52" t="s">
        <v>194</v>
      </c>
      <c r="BS15" s="52" t="s">
        <v>90</v>
      </c>
      <c r="BT15" s="138">
        <f>B118</f>
        <v>5</v>
      </c>
      <c r="BU15" s="52" t="s">
        <v>194</v>
      </c>
      <c r="BV15" s="83" t="s">
        <v>438</v>
      </c>
      <c r="BW15" s="146">
        <f>B106</f>
        <v>2</v>
      </c>
      <c r="BX15" s="83" t="s">
        <v>357</v>
      </c>
      <c r="BY15" s="83" t="s">
        <v>262</v>
      </c>
      <c r="BZ15" s="145">
        <f>(((BZ5)/(BZ8*BZ22*(1/BZ31)*BZ25*(1/24)*BZ28*BZ29))*BZ10)*BZ36*BZ37*BZ12</f>
        <v>1.2515315647525826E-4</v>
      </c>
      <c r="CA15" s="92" t="s">
        <v>12</v>
      </c>
      <c r="CB15" s="94" t="s">
        <v>295</v>
      </c>
      <c r="CC15" s="150">
        <f>B278</f>
        <v>222.01757699999999</v>
      </c>
      <c r="CD15" s="90" t="s">
        <v>296</v>
      </c>
      <c r="CE15" s="94" t="s">
        <v>295</v>
      </c>
      <c r="CF15" s="150">
        <f>B278</f>
        <v>222.01757699999999</v>
      </c>
      <c r="CG15" s="90" t="s">
        <v>296</v>
      </c>
      <c r="CH15" s="94" t="s">
        <v>295</v>
      </c>
      <c r="CI15" s="150">
        <f>B278</f>
        <v>222.01757699999999</v>
      </c>
      <c r="CJ15" s="90" t="s">
        <v>296</v>
      </c>
      <c r="CN15" s="83" t="s">
        <v>22</v>
      </c>
      <c r="CO15" s="137">
        <f>0.693/CO16</f>
        <v>66.155354824913829</v>
      </c>
      <c r="CT15" s="83" t="s">
        <v>261</v>
      </c>
      <c r="CU15" s="144">
        <f>((CU5/(CU7*CU26*(1/CU10)*CU45))*CU11)*CU49*CU50*CU13</f>
        <v>3.3710822400970617E-3</v>
      </c>
      <c r="CV15" s="92" t="s">
        <v>12</v>
      </c>
      <c r="CW15" s="52" t="s">
        <v>365</v>
      </c>
      <c r="CX15" s="138">
        <f>B170</f>
        <v>24</v>
      </c>
      <c r="CY15" s="52" t="s">
        <v>194</v>
      </c>
      <c r="CZ15" s="83" t="s">
        <v>266</v>
      </c>
      <c r="DA15" s="153">
        <f>(DA5/(DA8*DA26*(DA46/DA47)))*DA51*DA52*DA12</f>
        <v>1.4248795554870115E-11</v>
      </c>
      <c r="DB15" s="83" t="s">
        <v>13</v>
      </c>
      <c r="DC15" s="83" t="s">
        <v>456</v>
      </c>
      <c r="DD15" s="146">
        <f>B165</f>
        <v>150</v>
      </c>
      <c r="DE15" s="83" t="s">
        <v>24</v>
      </c>
      <c r="DF15" s="92" t="s">
        <v>61</v>
      </c>
      <c r="DG15" s="138">
        <f>B193</f>
        <v>0.42</v>
      </c>
      <c r="DH15" s="52" t="s">
        <v>41</v>
      </c>
      <c r="DL15" s="92"/>
      <c r="DO15" s="92" t="s">
        <v>61</v>
      </c>
      <c r="DP15" s="138">
        <f>B193</f>
        <v>0.42</v>
      </c>
      <c r="DQ15" s="52" t="s">
        <v>41</v>
      </c>
      <c r="DR15" s="92" t="s">
        <v>479</v>
      </c>
      <c r="DS15" s="146">
        <f>B183</f>
        <v>1</v>
      </c>
      <c r="DU15" s="92"/>
      <c r="DX15" s="52" t="s">
        <v>350</v>
      </c>
      <c r="DY15" s="164">
        <f>B168</f>
        <v>1</v>
      </c>
      <c r="EA15" s="92"/>
      <c r="EB15" s="84"/>
      <c r="EC15" s="84"/>
      <c r="ED15" s="83" t="s">
        <v>27</v>
      </c>
      <c r="EE15" s="142">
        <f>B199</f>
        <v>92</v>
      </c>
      <c r="EF15" s="83" t="s">
        <v>28</v>
      </c>
      <c r="EG15" s="92" t="s">
        <v>480</v>
      </c>
      <c r="EH15" s="146">
        <f>B184</f>
        <v>1</v>
      </c>
      <c r="EJ15" s="92"/>
      <c r="EM15" s="83" t="s">
        <v>22</v>
      </c>
      <c r="EN15" s="137">
        <f>0.693/EN16</f>
        <v>66.155354824913829</v>
      </c>
      <c r="EP15" s="92"/>
      <c r="EQ15" s="84"/>
      <c r="ER15" s="84"/>
      <c r="ES15" s="83" t="s">
        <v>29</v>
      </c>
      <c r="ET15" s="142">
        <f>B205</f>
        <v>53</v>
      </c>
      <c r="EU15" s="83" t="s">
        <v>28</v>
      </c>
      <c r="EV15" s="92" t="s">
        <v>481</v>
      </c>
      <c r="EW15" s="146">
        <f>B185</f>
        <v>1</v>
      </c>
      <c r="EY15" s="83"/>
      <c r="EZ15" s="83"/>
      <c r="FA15" s="83"/>
      <c r="FB15" s="83" t="s">
        <v>22</v>
      </c>
      <c r="FC15" s="137">
        <f>0.693/FC16</f>
        <v>66.155354824913829</v>
      </c>
      <c r="FE15" s="83"/>
      <c r="FF15" s="83"/>
      <c r="FG15" s="83"/>
      <c r="FH15" s="83" t="s">
        <v>148</v>
      </c>
      <c r="FI15" s="164">
        <f>B210</f>
        <v>0.4</v>
      </c>
      <c r="FJ15" s="83" t="s">
        <v>28</v>
      </c>
      <c r="FK15" s="92" t="s">
        <v>482</v>
      </c>
      <c r="FL15" s="146">
        <f>B186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B187</f>
        <v>1</v>
      </c>
      <c r="GC15" s="83"/>
      <c r="GD15" s="83"/>
      <c r="GE15" s="83"/>
      <c r="GF15" s="83" t="s">
        <v>22</v>
      </c>
      <c r="GG15" s="137">
        <f>0.693/GG16</f>
        <v>66.155354824913829</v>
      </c>
      <c r="GI15" s="83"/>
      <c r="GJ15" s="83"/>
      <c r="GK15" s="83"/>
      <c r="GL15" s="83" t="s">
        <v>149</v>
      </c>
      <c r="GM15" s="164">
        <f>B215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66.155354824913829</v>
      </c>
      <c r="GX15" s="83"/>
      <c r="GY15" s="83"/>
      <c r="GZ15" s="83"/>
      <c r="HA15" s="83" t="s">
        <v>150</v>
      </c>
      <c r="HB15" s="142">
        <f>B220</f>
        <v>11.4</v>
      </c>
      <c r="HC15" s="83" t="s">
        <v>28</v>
      </c>
      <c r="HD15" s="84"/>
      <c r="HE15" s="138"/>
    </row>
    <row r="16" spans="1:214" s="83" customFormat="1" ht="13.5" thickBot="1" x14ac:dyDescent="0.25">
      <c r="A16" s="378"/>
      <c r="B16" s="379"/>
      <c r="C16" s="380"/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1327.5</v>
      </c>
      <c r="I16" s="83" t="s">
        <v>426</v>
      </c>
      <c r="J16" s="83" t="s">
        <v>262</v>
      </c>
      <c r="K16" s="144">
        <f>((K5/(K8*K42*((K37*K41*(1/K35))+(K38*K40*(1/K35)))*K32*(1/K44)*K33))*K11)*K53*K54*K13</f>
        <v>1.5089387660137523E-6</v>
      </c>
      <c r="L16" s="92" t="s">
        <v>12</v>
      </c>
      <c r="M16" s="52" t="s">
        <v>409</v>
      </c>
      <c r="N16" s="150">
        <f>B89</f>
        <v>25</v>
      </c>
      <c r="O16" s="52" t="s">
        <v>194</v>
      </c>
      <c r="P16" s="52" t="s">
        <v>409</v>
      </c>
      <c r="Q16" s="150">
        <f>B89</f>
        <v>25</v>
      </c>
      <c r="R16" s="52" t="s">
        <v>194</v>
      </c>
      <c r="S16" s="52" t="s">
        <v>409</v>
      </c>
      <c r="T16" s="150">
        <f>B89</f>
        <v>25</v>
      </c>
      <c r="U16" s="52" t="s">
        <v>194</v>
      </c>
      <c r="V16" s="52" t="s">
        <v>261</v>
      </c>
      <c r="W16" s="143">
        <f>((W5)/((W12/24)*W9*W10*W11*W13))*W20*W21*W8</f>
        <v>4.0009657026148401E-14</v>
      </c>
      <c r="X16" s="52" t="s">
        <v>15</v>
      </c>
      <c r="Y16" s="52" t="s">
        <v>261</v>
      </c>
      <c r="Z16" s="143">
        <f>((Z5)/((Z12/24)*Z9*Z10*Z11*Z13))*Z20*Z21*Z8</f>
        <v>4.0009657026148401E-14</v>
      </c>
      <c r="AA16" s="52" t="s">
        <v>15</v>
      </c>
      <c r="AB16" s="83" t="s">
        <v>299</v>
      </c>
      <c r="AC16" s="141">
        <f>B231</f>
        <v>1</v>
      </c>
      <c r="AD16" s="141">
        <f>B241</f>
        <v>1</v>
      </c>
      <c r="AE16" s="141">
        <f>B251</f>
        <v>1</v>
      </c>
      <c r="AF16" s="141">
        <f>B261</f>
        <v>1</v>
      </c>
      <c r="AG16" s="141">
        <f>B272</f>
        <v>1</v>
      </c>
      <c r="AH16" s="92"/>
      <c r="AI16" s="52" t="s">
        <v>69</v>
      </c>
      <c r="AJ16" s="136">
        <f>B243</f>
        <v>5</v>
      </c>
      <c r="AK16" s="52" t="s">
        <v>194</v>
      </c>
      <c r="AL16" s="52" t="s">
        <v>69</v>
      </c>
      <c r="AM16" s="136">
        <f>B243</f>
        <v>5</v>
      </c>
      <c r="AN16" s="52" t="s">
        <v>194</v>
      </c>
      <c r="AO16" s="52" t="s">
        <v>69</v>
      </c>
      <c r="AP16" s="136">
        <f>B243</f>
        <v>5</v>
      </c>
      <c r="AQ16" s="52" t="s">
        <v>194</v>
      </c>
      <c r="AR16" s="52" t="s">
        <v>69</v>
      </c>
      <c r="AS16" s="136">
        <f>B253</f>
        <v>5</v>
      </c>
      <c r="AT16" s="52" t="s">
        <v>194</v>
      </c>
      <c r="AU16" s="52" t="s">
        <v>69</v>
      </c>
      <c r="AV16" s="136">
        <f>B253</f>
        <v>5</v>
      </c>
      <c r="AW16" s="52" t="s">
        <v>194</v>
      </c>
      <c r="AX16" s="52" t="s">
        <v>69</v>
      </c>
      <c r="AY16" s="136">
        <f>B253</f>
        <v>5</v>
      </c>
      <c r="AZ16" s="52" t="s">
        <v>194</v>
      </c>
      <c r="BA16" s="52" t="s">
        <v>69</v>
      </c>
      <c r="BB16" s="136">
        <f>B233</f>
        <v>5</v>
      </c>
      <c r="BC16" s="52" t="s">
        <v>194</v>
      </c>
      <c r="BD16" s="52" t="s">
        <v>69</v>
      </c>
      <c r="BE16" s="136">
        <f>B233</f>
        <v>5</v>
      </c>
      <c r="BF16" s="52" t="s">
        <v>194</v>
      </c>
      <c r="BG16" s="52" t="s">
        <v>69</v>
      </c>
      <c r="BH16" s="136">
        <f>B233</f>
        <v>5</v>
      </c>
      <c r="BI16" s="52" t="s">
        <v>194</v>
      </c>
      <c r="BJ16" s="52" t="s">
        <v>412</v>
      </c>
      <c r="BK16" s="139">
        <f>B22</f>
        <v>2.1295200000000002E-3</v>
      </c>
      <c r="BL16" s="84" t="s">
        <v>353</v>
      </c>
      <c r="BM16" s="52" t="s">
        <v>415</v>
      </c>
      <c r="BN16" s="139">
        <f>B24</f>
        <v>4.4084799999999998E-4</v>
      </c>
      <c r="BO16" s="84" t="s">
        <v>353</v>
      </c>
      <c r="BP16" s="52" t="s">
        <v>417</v>
      </c>
      <c r="BQ16" s="139">
        <f>B26</f>
        <v>1.94272E-3</v>
      </c>
      <c r="BR16" s="84" t="s">
        <v>353</v>
      </c>
      <c r="BS16" s="83" t="s">
        <v>256</v>
      </c>
      <c r="BT16" s="136">
        <f>E17</f>
        <v>3.2316400000000001</v>
      </c>
      <c r="BU16" s="83" t="s">
        <v>343</v>
      </c>
      <c r="BV16" s="83" t="s">
        <v>437</v>
      </c>
      <c r="BW16" s="140">
        <f>((BW18*BW20*BW23*BW30)+(BW19*BW21*BW24*BW31))</f>
        <v>1375</v>
      </c>
      <c r="BX16" s="83" t="s">
        <v>356</v>
      </c>
      <c r="BY16" s="83" t="s">
        <v>46</v>
      </c>
      <c r="BZ16" s="149">
        <f>(BZ18*BZ22*BZ34)+(BZ19*BZ23*BZ35)</f>
        <v>3382.5</v>
      </c>
      <c r="CA16" s="83" t="s">
        <v>346</v>
      </c>
      <c r="CB16" s="84" t="s">
        <v>293</v>
      </c>
      <c r="CC16" s="85">
        <f>B280</f>
        <v>2.7955176153748299E-12</v>
      </c>
      <c r="CD16" s="52"/>
      <c r="CE16" s="84" t="s">
        <v>293</v>
      </c>
      <c r="CF16" s="85">
        <f>B280</f>
        <v>2.7955176153748299E-12</v>
      </c>
      <c r="CG16" s="52"/>
      <c r="CH16" s="84" t="s">
        <v>293</v>
      </c>
      <c r="CI16" s="85">
        <f>B280</f>
        <v>2.7955176153748299E-12</v>
      </c>
      <c r="CJ16" s="52"/>
      <c r="CN16" s="91" t="s">
        <v>231</v>
      </c>
      <c r="CO16" s="136">
        <f>B30</f>
        <v>1.04753425E-2</v>
      </c>
      <c r="CP16" s="52" t="s">
        <v>60</v>
      </c>
      <c r="CT16" s="83" t="s">
        <v>262</v>
      </c>
      <c r="CU16" s="144">
        <f>((CU5/(CU8*CU42*((CU37*CU41*(1/24))+(CU38*CU40*(1/24)))*CU32*(1/CU44)))*CU11)*CU49*CU50*CU13</f>
        <v>2.5917652559106644E-6</v>
      </c>
      <c r="CV16" s="92" t="s">
        <v>12</v>
      </c>
      <c r="CW16" s="52" t="s">
        <v>364</v>
      </c>
      <c r="CX16" s="138">
        <f>B169</f>
        <v>24</v>
      </c>
      <c r="CY16" s="52" t="s">
        <v>194</v>
      </c>
      <c r="CZ16" s="83" t="s">
        <v>512</v>
      </c>
      <c r="DA16" s="153" t="e">
        <f>DG2</f>
        <v>#DIV/0!</v>
      </c>
      <c r="DB16" s="83" t="s">
        <v>13</v>
      </c>
      <c r="DC16" s="83" t="s">
        <v>363</v>
      </c>
      <c r="DD16" s="146">
        <f>B168</f>
        <v>1</v>
      </c>
      <c r="DE16" s="83" t="s">
        <v>60</v>
      </c>
      <c r="DF16" s="92" t="s">
        <v>63</v>
      </c>
      <c r="DG16" s="151">
        <f>DG20+(0.693/DG22)</f>
        <v>0.23074754746551734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66.155354824913829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B30</f>
        <v>1.04753425E-2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B30</f>
        <v>1.04753425E-2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B30</f>
        <v>1.04753425E-2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B163</f>
        <v>0.15</v>
      </c>
      <c r="GQ16" s="52"/>
      <c r="GU16" s="91" t="s">
        <v>231</v>
      </c>
      <c r="GV16" s="136">
        <f>B30</f>
        <v>1.04753425E-2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  <c r="HE16" s="142"/>
    </row>
    <row r="17" spans="1:214" ht="14.25" thickTop="1" thickBot="1" x14ac:dyDescent="0.25">
      <c r="A17" s="52" t="s">
        <v>267</v>
      </c>
      <c r="B17" s="129">
        <v>1</v>
      </c>
      <c r="C17" s="52" t="s">
        <v>344</v>
      </c>
      <c r="D17" s="83" t="s">
        <v>256</v>
      </c>
      <c r="E17" s="136">
        <f>B27</f>
        <v>3.2316400000000001</v>
      </c>
      <c r="F17" s="83" t="s">
        <v>343</v>
      </c>
      <c r="G17" s="83" t="s">
        <v>370</v>
      </c>
      <c r="H17" s="146">
        <f>B54</f>
        <v>0.25</v>
      </c>
      <c r="I17" s="52" t="s">
        <v>28</v>
      </c>
      <c r="J17" s="83" t="s">
        <v>263</v>
      </c>
      <c r="K17" s="153" t="e">
        <f>((K18/(K47+K48))*K11)*K53*K54*K13</f>
        <v>#DIV/0!</v>
      </c>
      <c r="L17" s="92" t="s">
        <v>12</v>
      </c>
      <c r="M17" s="84" t="s">
        <v>295</v>
      </c>
      <c r="N17" s="150">
        <f>B278</f>
        <v>222.01757699999999</v>
      </c>
      <c r="O17" s="52" t="s">
        <v>296</v>
      </c>
      <c r="P17" s="84" t="s">
        <v>295</v>
      </c>
      <c r="Q17" s="150">
        <f>B278</f>
        <v>222.01757699999999</v>
      </c>
      <c r="R17" s="52" t="s">
        <v>296</v>
      </c>
      <c r="S17" s="84" t="s">
        <v>295</v>
      </c>
      <c r="T17" s="150">
        <f>B278</f>
        <v>222.01757699999999</v>
      </c>
      <c r="U17" s="52" t="s">
        <v>296</v>
      </c>
      <c r="V17" s="52" t="s">
        <v>271</v>
      </c>
      <c r="W17" s="144">
        <f>((W5)/((W12/24)*W9*W14*(1/365)))*W20*W21*W8</f>
        <v>2.8243254227234797E-14</v>
      </c>
      <c r="X17" s="52" t="s">
        <v>15</v>
      </c>
      <c r="Y17" s="52" t="s">
        <v>271</v>
      </c>
      <c r="Z17" s="144">
        <f>((Z5)/((Z12/24)*Z9*Z14*(1/365)))*Z20*Z21*Z8</f>
        <v>2.8243254227234797E-14</v>
      </c>
      <c r="AA17" s="52" t="s">
        <v>15</v>
      </c>
      <c r="AB17" s="83" t="s">
        <v>413</v>
      </c>
      <c r="AC17" s="161">
        <f>B4</f>
        <v>0.75600000000000001</v>
      </c>
      <c r="AD17" s="161">
        <f>B4</f>
        <v>0.75600000000000001</v>
      </c>
      <c r="AE17" s="161">
        <f>B4</f>
        <v>0.75600000000000001</v>
      </c>
      <c r="AF17" s="161">
        <f>B4</f>
        <v>0.75600000000000001</v>
      </c>
      <c r="AG17" s="161">
        <f>B4</f>
        <v>0.75600000000000001</v>
      </c>
      <c r="AH17" s="92"/>
      <c r="AI17" s="84" t="s">
        <v>295</v>
      </c>
      <c r="AJ17" s="236">
        <f>B278</f>
        <v>222.01757699999999</v>
      </c>
      <c r="AK17" s="52" t="s">
        <v>296</v>
      </c>
      <c r="AL17" s="84" t="s">
        <v>295</v>
      </c>
      <c r="AM17" s="150">
        <f>B278</f>
        <v>222.01757699999999</v>
      </c>
      <c r="AN17" s="90" t="s">
        <v>296</v>
      </c>
      <c r="AO17" s="94" t="s">
        <v>295</v>
      </c>
      <c r="AP17" s="150">
        <f>B278</f>
        <v>222.01757699999999</v>
      </c>
      <c r="AQ17" s="90" t="s">
        <v>296</v>
      </c>
      <c r="AR17" s="94" t="s">
        <v>295</v>
      </c>
      <c r="AS17" s="150">
        <f>B278</f>
        <v>222.01757699999999</v>
      </c>
      <c r="AT17" s="90" t="s">
        <v>296</v>
      </c>
      <c r="AU17" s="94" t="s">
        <v>295</v>
      </c>
      <c r="AV17" s="150">
        <f>B278</f>
        <v>222.01757699999999</v>
      </c>
      <c r="AW17" s="90" t="s">
        <v>296</v>
      </c>
      <c r="AX17" s="94" t="s">
        <v>295</v>
      </c>
      <c r="AY17" s="150">
        <f>B278</f>
        <v>222.01757699999999</v>
      </c>
      <c r="AZ17" s="90" t="s">
        <v>296</v>
      </c>
      <c r="BA17" s="94" t="s">
        <v>295</v>
      </c>
      <c r="BB17" s="150">
        <f>B278</f>
        <v>222.01757699999999</v>
      </c>
      <c r="BC17" s="90" t="s">
        <v>296</v>
      </c>
      <c r="BD17" s="94" t="s">
        <v>295</v>
      </c>
      <c r="BE17" s="150">
        <f>B278</f>
        <v>222.01757699999999</v>
      </c>
      <c r="BF17" s="90" t="s">
        <v>296</v>
      </c>
      <c r="BG17" s="94" t="s">
        <v>295</v>
      </c>
      <c r="BH17" s="150">
        <f>B278</f>
        <v>222.01757699999999</v>
      </c>
      <c r="BI17" s="90" t="s">
        <v>296</v>
      </c>
      <c r="BJ17" s="94" t="s">
        <v>295</v>
      </c>
      <c r="BK17" s="150">
        <f>B278</f>
        <v>222.01757699999999</v>
      </c>
      <c r="BL17" s="90" t="s">
        <v>296</v>
      </c>
      <c r="BM17" s="94" t="s">
        <v>295</v>
      </c>
      <c r="BN17" s="150">
        <f>B278</f>
        <v>222.01757699999999</v>
      </c>
      <c r="BO17" s="90" t="s">
        <v>296</v>
      </c>
      <c r="BP17" s="94" t="s">
        <v>295</v>
      </c>
      <c r="BQ17" s="150">
        <f>B278</f>
        <v>222.01757699999999</v>
      </c>
      <c r="BR17" s="90" t="s">
        <v>296</v>
      </c>
      <c r="BS17" s="83" t="s">
        <v>301</v>
      </c>
      <c r="BT17" s="142">
        <f>B121</f>
        <v>2</v>
      </c>
      <c r="BV17" s="83" t="s">
        <v>65</v>
      </c>
      <c r="BW17" s="141">
        <f>B126</f>
        <v>0.5</v>
      </c>
      <c r="BX17" s="52" t="s">
        <v>66</v>
      </c>
      <c r="BY17" s="83" t="s">
        <v>43</v>
      </c>
      <c r="BZ17" s="149">
        <f>(BZ24*BZ20*(BZ26/24)*BZ34)+(BZ23*BZ21*(BZ27/24)*BZ35)</f>
        <v>101.40625</v>
      </c>
      <c r="CA17" s="52" t="s">
        <v>426</v>
      </c>
      <c r="CN17" s="84" t="s">
        <v>16</v>
      </c>
      <c r="CO17" s="137">
        <f>(CO14*CO15)/(1-EXP(-CO15*CO14))</f>
        <v>66.155354824913829</v>
      </c>
      <c r="CT17" s="83" t="s">
        <v>263</v>
      </c>
      <c r="CU17" s="153" t="e">
        <f>DJ2</f>
        <v>#DIV/0!</v>
      </c>
      <c r="CV17" s="92" t="s">
        <v>12</v>
      </c>
      <c r="CW17" s="83" t="s">
        <v>256</v>
      </c>
      <c r="CX17" s="136">
        <f>B27</f>
        <v>3.2316400000000001</v>
      </c>
      <c r="CY17" s="83" t="s">
        <v>343</v>
      </c>
      <c r="CZ17" s="83" t="s">
        <v>511</v>
      </c>
      <c r="DA17" s="153" t="e">
        <f>DD2</f>
        <v>#DIV/0!</v>
      </c>
      <c r="DB17" s="83" t="s">
        <v>12</v>
      </c>
      <c r="DC17" s="93"/>
      <c r="DD17" s="136">
        <v>9.9999999999999995E-7</v>
      </c>
      <c r="DE17" s="88"/>
      <c r="DF17" s="92" t="s">
        <v>67</v>
      </c>
      <c r="DG17" s="142">
        <f>B194</f>
        <v>60</v>
      </c>
      <c r="DH17" s="83" t="s">
        <v>53</v>
      </c>
      <c r="DL17" s="92"/>
      <c r="DM17" s="83"/>
      <c r="DN17" s="83"/>
      <c r="DO17" s="92" t="s">
        <v>67</v>
      </c>
      <c r="DP17" s="142">
        <f>B194</f>
        <v>60</v>
      </c>
      <c r="DQ17" s="83" t="s">
        <v>53</v>
      </c>
      <c r="DR17" s="83" t="s">
        <v>475</v>
      </c>
      <c r="DS17" s="146">
        <f>B163</f>
        <v>0.15</v>
      </c>
      <c r="DU17" s="92"/>
      <c r="DV17" s="87"/>
      <c r="DW17" s="83"/>
      <c r="DX17" s="91" t="s">
        <v>231</v>
      </c>
      <c r="DY17" s="136">
        <f>B30</f>
        <v>1.04753425E-2</v>
      </c>
      <c r="DZ17" s="52" t="s">
        <v>60</v>
      </c>
      <c r="EA17" s="92"/>
      <c r="EB17" s="83"/>
      <c r="EC17" s="83"/>
      <c r="ED17" s="92" t="s">
        <v>67</v>
      </c>
      <c r="EE17" s="142">
        <f>B194</f>
        <v>60</v>
      </c>
      <c r="EF17" s="83" t="s">
        <v>53</v>
      </c>
      <c r="EG17" s="83" t="s">
        <v>475</v>
      </c>
      <c r="EH17" s="146">
        <f>B163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66.155354824913829</v>
      </c>
      <c r="EP17" s="92"/>
      <c r="EQ17" s="83"/>
      <c r="ER17" s="83"/>
      <c r="ES17" s="92" t="s">
        <v>67</v>
      </c>
      <c r="ET17" s="142">
        <f>B194</f>
        <v>60</v>
      </c>
      <c r="EU17" s="83" t="s">
        <v>53</v>
      </c>
      <c r="EV17" s="83" t="s">
        <v>475</v>
      </c>
      <c r="EW17" s="141">
        <f>B163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66.155354824913829</v>
      </c>
      <c r="FE17" s="83"/>
      <c r="FF17" s="83"/>
      <c r="FG17" s="83"/>
      <c r="FH17" s="83" t="s">
        <v>67</v>
      </c>
      <c r="FI17" s="142">
        <f>B194</f>
        <v>60</v>
      </c>
      <c r="FJ17" s="83" t="s">
        <v>53</v>
      </c>
      <c r="FK17" s="83" t="s">
        <v>475</v>
      </c>
      <c r="FL17" s="141">
        <f>B163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B163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66.155354824913829</v>
      </c>
      <c r="GI17" s="83"/>
      <c r="GJ17" s="83"/>
      <c r="GK17" s="83"/>
      <c r="GL17" s="83" t="s">
        <v>67</v>
      </c>
      <c r="GM17" s="142">
        <f>B194</f>
        <v>60</v>
      </c>
      <c r="GN17" s="83" t="s">
        <v>53</v>
      </c>
      <c r="GO17" s="83" t="s">
        <v>476</v>
      </c>
      <c r="GP17" s="141">
        <f>B164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66.155354824913829</v>
      </c>
      <c r="GX17" s="83"/>
      <c r="GY17" s="83"/>
      <c r="GZ17" s="83"/>
      <c r="HA17" s="83" t="s">
        <v>67</v>
      </c>
      <c r="HB17" s="142">
        <f>B194</f>
        <v>60</v>
      </c>
      <c r="HC17" s="83" t="s">
        <v>53</v>
      </c>
      <c r="HD17" s="84"/>
      <c r="HE17" s="163"/>
    </row>
    <row r="18" spans="1:214" ht="19.5" thickTop="1" thickBot="1" x14ac:dyDescent="0.25">
      <c r="A18" s="83" t="s">
        <v>247</v>
      </c>
      <c r="B18" s="180">
        <v>1.25E-4</v>
      </c>
      <c r="C18" s="84" t="s">
        <v>259</v>
      </c>
      <c r="D18" s="83" t="s">
        <v>301</v>
      </c>
      <c r="E18" s="142">
        <f>B72</f>
        <v>2</v>
      </c>
      <c r="G18" s="83" t="s">
        <v>371</v>
      </c>
      <c r="H18" s="146">
        <f>B55</f>
        <v>1.5</v>
      </c>
      <c r="I18" s="52" t="s">
        <v>28</v>
      </c>
      <c r="J18" s="83" t="s">
        <v>264</v>
      </c>
      <c r="K18" s="154" t="e">
        <f>(K5/(K9*(K25+K28)*K36))*K53*K54*K13</f>
        <v>#DIV/0!</v>
      </c>
      <c r="L18" s="92" t="s">
        <v>12</v>
      </c>
      <c r="M18" s="84" t="s">
        <v>293</v>
      </c>
      <c r="N18" s="85">
        <f>B280</f>
        <v>2.7955176153748299E-12</v>
      </c>
      <c r="P18" s="84" t="s">
        <v>293</v>
      </c>
      <c r="Q18" s="85">
        <f>B280</f>
        <v>2.7955176153748299E-12</v>
      </c>
      <c r="S18" s="84" t="s">
        <v>293</v>
      </c>
      <c r="T18" s="85">
        <f>B280</f>
        <v>2.7955176153748299E-12</v>
      </c>
      <c r="V18" s="52" t="s">
        <v>261</v>
      </c>
      <c r="W18" s="144">
        <f>((W5*W7*W6)/((W12/24)*(1-EXP(-W7*W10))*W11*W13*W9*W10))*W20*W21*W8</f>
        <v>2.6468530569879547E-12</v>
      </c>
      <c r="X18" s="52" t="s">
        <v>16</v>
      </c>
      <c r="Y18" s="52" t="s">
        <v>261</v>
      </c>
      <c r="Z18" s="144">
        <f>((Z5*Z7*Z6)/((Z12/24)*(1-EXP(-Z7*Z10))*Z11*Z13*Z9*Z10))*Z20*Z21*Z8</f>
        <v>2.6468530569879547E-12</v>
      </c>
      <c r="AA18" s="52" t="s">
        <v>16</v>
      </c>
      <c r="AB18" s="83" t="s">
        <v>412</v>
      </c>
      <c r="AC18" s="136">
        <f>B22</f>
        <v>2.1295200000000002E-3</v>
      </c>
      <c r="AD18" s="136">
        <f>B22</f>
        <v>2.1295200000000002E-3</v>
      </c>
      <c r="AE18" s="136">
        <f>B22</f>
        <v>2.1295200000000002E-3</v>
      </c>
      <c r="AF18" s="136">
        <f>B22</f>
        <v>2.1295200000000002E-3</v>
      </c>
      <c r="AG18" s="136">
        <f>B22</f>
        <v>2.1295200000000002E-3</v>
      </c>
      <c r="AH18" s="83" t="s">
        <v>351</v>
      </c>
      <c r="AI18" s="84" t="s">
        <v>293</v>
      </c>
      <c r="AJ18" s="85">
        <f>B280</f>
        <v>2.7955176153748299E-12</v>
      </c>
      <c r="AL18" s="84" t="s">
        <v>293</v>
      </c>
      <c r="AM18" s="85">
        <f>B280</f>
        <v>2.7955176153748299E-12</v>
      </c>
      <c r="AO18" s="84" t="s">
        <v>293</v>
      </c>
      <c r="AP18" s="85">
        <f>B280</f>
        <v>2.7955176153748299E-12</v>
      </c>
      <c r="AR18" s="84" t="s">
        <v>293</v>
      </c>
      <c r="AS18" s="85">
        <f>B280</f>
        <v>2.7955176153748299E-12</v>
      </c>
      <c r="AU18" s="84" t="s">
        <v>293</v>
      </c>
      <c r="AV18" s="85">
        <f>B280</f>
        <v>2.7955176153748299E-12</v>
      </c>
      <c r="AX18" s="84" t="s">
        <v>293</v>
      </c>
      <c r="AY18" s="85">
        <f>B280</f>
        <v>2.7955176153748299E-12</v>
      </c>
      <c r="BA18" s="84" t="s">
        <v>293</v>
      </c>
      <c r="BB18" s="85">
        <f>B280</f>
        <v>2.7955176153748299E-12</v>
      </c>
      <c r="BD18" s="84" t="s">
        <v>293</v>
      </c>
      <c r="BE18" s="85">
        <f>B280</f>
        <v>2.7955176153748299E-12</v>
      </c>
      <c r="BG18" s="84" t="s">
        <v>293</v>
      </c>
      <c r="BH18" s="85">
        <f>B280</f>
        <v>2.7955176153748299E-12</v>
      </c>
      <c r="BJ18" s="84" t="s">
        <v>293</v>
      </c>
      <c r="BK18" s="85">
        <f>B280</f>
        <v>2.7955176153748299E-12</v>
      </c>
      <c r="BM18" s="84" t="s">
        <v>293</v>
      </c>
      <c r="BN18" s="85">
        <f>B280</f>
        <v>2.7955176153748299E-12</v>
      </c>
      <c r="BP18" s="84" t="s">
        <v>293</v>
      </c>
      <c r="BQ18" s="85">
        <f>B280</f>
        <v>2.7955176153748299E-12</v>
      </c>
      <c r="BS18" s="52" t="s">
        <v>261</v>
      </c>
      <c r="BT18" s="143">
        <f>((BT5)/(BT9*BT10))*BT27*BT28*BT7</f>
        <v>5.1373468189712913E-13</v>
      </c>
      <c r="BU18" s="52" t="s">
        <v>15</v>
      </c>
      <c r="BV18" s="83" t="s">
        <v>433</v>
      </c>
      <c r="BW18" s="150">
        <f>B122</f>
        <v>55</v>
      </c>
      <c r="BX18" s="83" t="s">
        <v>24</v>
      </c>
      <c r="BY18" s="83" t="s">
        <v>441</v>
      </c>
      <c r="BZ18" s="146">
        <f>B107</f>
        <v>100</v>
      </c>
      <c r="CA18" s="84" t="s">
        <v>48</v>
      </c>
      <c r="CB18" s="274" t="s">
        <v>572</v>
      </c>
      <c r="CC18" s="270"/>
      <c r="CD18" s="270"/>
      <c r="CE18" s="271" t="s">
        <v>573</v>
      </c>
      <c r="CF18" s="270"/>
      <c r="CG18" s="273"/>
      <c r="CH18" s="83"/>
      <c r="CI18" s="83"/>
      <c r="CJ18" s="83"/>
      <c r="CT18" s="83" t="s">
        <v>264</v>
      </c>
      <c r="CU18" s="153" t="e">
        <f>DD2</f>
        <v>#DIV/0!</v>
      </c>
      <c r="CV18" s="92" t="s">
        <v>12</v>
      </c>
      <c r="CW18" s="83" t="s">
        <v>301</v>
      </c>
      <c r="CX18" s="142">
        <f>B176</f>
        <v>2</v>
      </c>
      <c r="CZ18" s="91" t="s">
        <v>272</v>
      </c>
      <c r="DA18" s="144" t="e">
        <f>EZ2</f>
        <v>#DIV/0!</v>
      </c>
      <c r="DB18" s="83" t="s">
        <v>12</v>
      </c>
      <c r="DC18" s="88"/>
      <c r="DD18" s="136">
        <v>1000</v>
      </c>
      <c r="DE18" s="92" t="s">
        <v>99</v>
      </c>
      <c r="DF18" s="92" t="s">
        <v>68</v>
      </c>
      <c r="DG18" s="142">
        <f>B195</f>
        <v>2</v>
      </c>
      <c r="DH18" s="83" t="s">
        <v>56</v>
      </c>
      <c r="DL18" s="92"/>
      <c r="DM18" s="83"/>
      <c r="DN18" s="83"/>
      <c r="DO18" s="92" t="s">
        <v>68</v>
      </c>
      <c r="DP18" s="142">
        <f>B195</f>
        <v>2</v>
      </c>
      <c r="DQ18" s="83" t="s">
        <v>56</v>
      </c>
      <c r="DR18" s="83" t="s">
        <v>476</v>
      </c>
      <c r="DS18" s="146">
        <f>B164</f>
        <v>0.85</v>
      </c>
      <c r="DU18" s="92"/>
      <c r="DV18" s="83"/>
      <c r="DW18" s="83"/>
      <c r="DX18" s="84" t="s">
        <v>16</v>
      </c>
      <c r="DY18" s="137">
        <f>(DY15*DY16)/(1-EXP(-DY16*DY15))</f>
        <v>66.155354824913829</v>
      </c>
      <c r="EA18" s="92"/>
      <c r="EB18" s="83"/>
      <c r="EC18" s="83"/>
      <c r="ED18" s="92" t="s">
        <v>68</v>
      </c>
      <c r="EE18" s="142">
        <f>B195</f>
        <v>2</v>
      </c>
      <c r="EF18" s="83" t="s">
        <v>56</v>
      </c>
      <c r="EG18" s="83" t="s">
        <v>476</v>
      </c>
      <c r="EH18" s="146">
        <f>B164</f>
        <v>0.85</v>
      </c>
      <c r="EJ18" s="92"/>
      <c r="EK18" s="83"/>
      <c r="EL18" s="83"/>
      <c r="EN18" s="138"/>
      <c r="EP18" s="92"/>
      <c r="EQ18" s="83"/>
      <c r="ER18" s="83"/>
      <c r="ES18" s="92" t="s">
        <v>68</v>
      </c>
      <c r="ET18" s="142">
        <f>B195</f>
        <v>2</v>
      </c>
      <c r="EU18" s="83" t="s">
        <v>56</v>
      </c>
      <c r="EV18" s="83" t="s">
        <v>476</v>
      </c>
      <c r="EW18" s="141">
        <f>B164</f>
        <v>0.85</v>
      </c>
      <c r="EX18" s="92"/>
      <c r="EY18" s="83"/>
      <c r="EZ18" s="83"/>
      <c r="FA18" s="83"/>
      <c r="FB18" s="83"/>
      <c r="FC18" s="142"/>
      <c r="FD18" s="83"/>
      <c r="FE18" s="83"/>
      <c r="FF18" s="83"/>
      <c r="FG18" s="83"/>
      <c r="FH18" s="83" t="s">
        <v>68</v>
      </c>
      <c r="FI18" s="142">
        <f>B195</f>
        <v>2</v>
      </c>
      <c r="FJ18" s="83" t="s">
        <v>56</v>
      </c>
      <c r="FK18" s="83" t="s">
        <v>476</v>
      </c>
      <c r="FL18" s="141">
        <f>B164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B164</f>
        <v>0.85</v>
      </c>
      <c r="GB18" s="92"/>
      <c r="GC18" s="83"/>
      <c r="GD18" s="83"/>
      <c r="GE18" s="83"/>
      <c r="GF18" s="83"/>
      <c r="GG18" s="142"/>
      <c r="GH18" s="83"/>
      <c r="GI18" s="83"/>
      <c r="GJ18" s="83"/>
      <c r="GK18" s="83"/>
      <c r="GL18" s="83" t="s">
        <v>68</v>
      </c>
      <c r="GM18" s="142">
        <f>B195</f>
        <v>2</v>
      </c>
      <c r="GN18" s="83" t="s">
        <v>56</v>
      </c>
      <c r="GO18" s="94" t="s">
        <v>295</v>
      </c>
      <c r="GP18" s="150">
        <f>B278</f>
        <v>222.01757699999999</v>
      </c>
      <c r="GQ18" s="90" t="s">
        <v>296</v>
      </c>
      <c r="GR18" s="83"/>
      <c r="GS18" s="83"/>
      <c r="GT18" s="83"/>
      <c r="GU18" s="83"/>
      <c r="GV18" s="142"/>
      <c r="GW18" s="83"/>
      <c r="GX18" s="83"/>
      <c r="GY18" s="83"/>
      <c r="GZ18" s="83"/>
      <c r="HA18" s="83" t="s">
        <v>68</v>
      </c>
      <c r="HB18" s="142">
        <f>B195</f>
        <v>2</v>
      </c>
      <c r="HC18" s="83" t="s">
        <v>56</v>
      </c>
    </row>
    <row r="19" spans="1:214" ht="19.5" thickTop="1" thickBot="1" x14ac:dyDescent="0.25">
      <c r="A19" s="83" t="s">
        <v>248</v>
      </c>
      <c r="B19" s="183">
        <v>0</v>
      </c>
      <c r="C19" s="84" t="s">
        <v>259</v>
      </c>
      <c r="D19" s="52" t="s">
        <v>261</v>
      </c>
      <c r="E19" s="143">
        <f>((E5)/((E15/E16)*E11*E12))*E27*E28*E7</f>
        <v>3.924362153380847E-14</v>
      </c>
      <c r="F19" s="52" t="s">
        <v>15</v>
      </c>
      <c r="G19" s="83" t="s">
        <v>366</v>
      </c>
      <c r="H19" s="146">
        <f>B50</f>
        <v>5</v>
      </c>
      <c r="I19" s="52" t="s">
        <v>407</v>
      </c>
      <c r="J19" s="83" t="s">
        <v>445</v>
      </c>
      <c r="K19" s="155">
        <f>K21*K31*K51+K22*K32*K52</f>
        <v>9225</v>
      </c>
      <c r="L19" s="83" t="s">
        <v>346</v>
      </c>
      <c r="V19" s="52" t="s">
        <v>271</v>
      </c>
      <c r="W19" s="145">
        <f>((W5*W7*W6)/((W12/24)*(1-EXP(-W7*W6))*W14*W9*(1/365)))*W20*W21*W8</f>
        <v>1.8684425048129652E-12</v>
      </c>
      <c r="X19" s="52" t="s">
        <v>16</v>
      </c>
      <c r="Y19" s="52" t="s">
        <v>271</v>
      </c>
      <c r="Z19" s="145">
        <f>((Z5*Z7*Z6)/((Z12/24)*(1-EXP(-Z7*Z6))*Z14*Z9*(1/365)))*Z20*Z21*Z8</f>
        <v>1.8684425048129652E-12</v>
      </c>
      <c r="AA19" s="52" t="s">
        <v>16</v>
      </c>
      <c r="AB19" s="83" t="s">
        <v>247</v>
      </c>
      <c r="AC19" s="139">
        <f>B18</f>
        <v>1.25E-4</v>
      </c>
      <c r="AD19" s="139">
        <f>B18</f>
        <v>1.25E-4</v>
      </c>
      <c r="AE19" s="139">
        <f>B18</f>
        <v>1.25E-4</v>
      </c>
      <c r="AF19" s="139">
        <f>B18</f>
        <v>1.25E-4</v>
      </c>
      <c r="AG19" s="139">
        <f>B18</f>
        <v>1.25E-4</v>
      </c>
      <c r="AH19" s="84" t="s">
        <v>259</v>
      </c>
      <c r="BS19" s="52" t="s">
        <v>271</v>
      </c>
      <c r="BT19" s="144">
        <f>((BT5)/(BT16*BT8*(1/365)*BT15*(1/24)*BT17))*BT27*BT28*BT7</f>
        <v>3.2094607076403182E-14</v>
      </c>
      <c r="BU19" s="52" t="s">
        <v>15</v>
      </c>
      <c r="BV19" s="83" t="s">
        <v>434</v>
      </c>
      <c r="BW19" s="150">
        <f>B123</f>
        <v>55</v>
      </c>
      <c r="BX19" s="83" t="s">
        <v>24</v>
      </c>
      <c r="BY19" s="83" t="s">
        <v>442</v>
      </c>
      <c r="BZ19" s="146">
        <f>B108</f>
        <v>50</v>
      </c>
      <c r="CA19" s="84" t="s">
        <v>48</v>
      </c>
      <c r="CB19" s="267" t="s">
        <v>537</v>
      </c>
      <c r="CC19" s="261">
        <f>((CC22*CC23*CC24)/((1-EXP(-CC24*CC23))*CC31*(CC26/365)*CC29*(CC30/24)*CC28))*CC32*CC33*CC25</f>
        <v>3.0243585596616794E-3</v>
      </c>
      <c r="CD19" s="278" t="s">
        <v>12</v>
      </c>
      <c r="CE19" s="258" t="s">
        <v>537</v>
      </c>
      <c r="CF19" s="261">
        <f>((CF22*CF23*CF24)/((1-EXP(-CF24*CF23))*CF31*(CF26/365)*CF29*(CF30/24)*CF28))*CF32*CF33*CF25</f>
        <v>3.5301741493223344E-4</v>
      </c>
      <c r="CG19" s="264" t="s">
        <v>12</v>
      </c>
      <c r="CK19" s="274" t="s">
        <v>576</v>
      </c>
      <c r="CL19" s="270"/>
      <c r="CM19" s="270"/>
      <c r="CN19" s="271" t="s">
        <v>576</v>
      </c>
      <c r="CO19" s="270"/>
      <c r="CP19" s="270"/>
      <c r="CQ19" s="271" t="s">
        <v>576</v>
      </c>
      <c r="CR19" s="270"/>
      <c r="CS19" s="273"/>
      <c r="CT19" s="91" t="s">
        <v>272</v>
      </c>
      <c r="CU19" s="144" t="e">
        <f>FC2</f>
        <v>#DIV/0!</v>
      </c>
      <c r="CV19" s="92" t="s">
        <v>12</v>
      </c>
      <c r="CW19" s="52" t="s">
        <v>261</v>
      </c>
      <c r="CX19" s="143">
        <f>((CX5)/((CX15/CX16)*CX11*CX12))*CX27*CX28*CX7</f>
        <v>3.7546600062076223E-14</v>
      </c>
      <c r="CY19" s="52" t="s">
        <v>15</v>
      </c>
      <c r="CZ19" s="91" t="s">
        <v>273</v>
      </c>
      <c r="DA19" s="144" t="e">
        <f>GS2</f>
        <v>#DIV/0!</v>
      </c>
      <c r="DB19" s="83" t="s">
        <v>12</v>
      </c>
      <c r="DC19" s="92" t="s">
        <v>72</v>
      </c>
      <c r="DD19" s="146">
        <f>B182</f>
        <v>1</v>
      </c>
      <c r="DE19" s="93"/>
      <c r="DF19" s="92" t="s">
        <v>70</v>
      </c>
      <c r="DG19" s="138">
        <f>B196</f>
        <v>2.6999999999999999E-5</v>
      </c>
      <c r="DH19" s="52" t="s">
        <v>64</v>
      </c>
      <c r="DL19" s="92"/>
      <c r="DO19" s="92" t="s">
        <v>70</v>
      </c>
      <c r="DP19" s="138">
        <f>B196</f>
        <v>2.6999999999999999E-5</v>
      </c>
      <c r="DQ19" s="52" t="s">
        <v>64</v>
      </c>
      <c r="DR19" s="94" t="s">
        <v>295</v>
      </c>
      <c r="DS19" s="150">
        <f>B278</f>
        <v>222.01757699999999</v>
      </c>
      <c r="DT19" s="90" t="s">
        <v>296</v>
      </c>
      <c r="DU19" s="92"/>
      <c r="EA19" s="92"/>
      <c r="EB19" s="84"/>
      <c r="EC19" s="84"/>
      <c r="ED19" s="92" t="s">
        <v>70</v>
      </c>
      <c r="EE19" s="163">
        <f>B196</f>
        <v>2.6999999999999999E-5</v>
      </c>
      <c r="EF19" s="84" t="s">
        <v>64</v>
      </c>
      <c r="EG19" s="94" t="s">
        <v>295</v>
      </c>
      <c r="EH19" s="150">
        <f>B278</f>
        <v>222.01757699999999</v>
      </c>
      <c r="EI19" s="90" t="s">
        <v>296</v>
      </c>
      <c r="EJ19" s="92"/>
      <c r="EP19" s="92"/>
      <c r="EQ19" s="84"/>
      <c r="ER19" s="84"/>
      <c r="ES19" s="92" t="s">
        <v>70</v>
      </c>
      <c r="ET19" s="163">
        <f>B196</f>
        <v>2.6999999999999999E-5</v>
      </c>
      <c r="EU19" s="84" t="s">
        <v>64</v>
      </c>
      <c r="EV19" s="94" t="s">
        <v>295</v>
      </c>
      <c r="EW19" s="150">
        <f>B278</f>
        <v>222.01757699999999</v>
      </c>
      <c r="EX19" s="90" t="s">
        <v>296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B196</f>
        <v>2.6999999999999999E-5</v>
      </c>
      <c r="FJ19" s="84" t="s">
        <v>64</v>
      </c>
      <c r="FK19" s="94" t="s">
        <v>295</v>
      </c>
      <c r="FL19" s="150">
        <f>B278</f>
        <v>222.01757699999999</v>
      </c>
      <c r="FM19" s="90" t="s">
        <v>296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94" t="s">
        <v>295</v>
      </c>
      <c r="GA19" s="150">
        <f>B278</f>
        <v>222.01757699999999</v>
      </c>
      <c r="GB19" s="90" t="s">
        <v>296</v>
      </c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B196</f>
        <v>2.6999999999999999E-5</v>
      </c>
      <c r="GN19" s="84" t="s">
        <v>64</v>
      </c>
      <c r="GO19" s="84" t="s">
        <v>293</v>
      </c>
      <c r="GP19" s="85">
        <f>B280</f>
        <v>2.7955176153748299E-12</v>
      </c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B196</f>
        <v>2.6999999999999999E-5</v>
      </c>
      <c r="HC19" s="84" t="s">
        <v>64</v>
      </c>
    </row>
    <row r="20" spans="1:214" ht="19.5" thickTop="1" thickBot="1" x14ac:dyDescent="0.25">
      <c r="A20" s="83" t="s">
        <v>249</v>
      </c>
      <c r="B20" s="183">
        <v>0</v>
      </c>
      <c r="C20" s="83" t="s">
        <v>259</v>
      </c>
      <c r="D20" s="52" t="s">
        <v>271</v>
      </c>
      <c r="E20" s="144">
        <f>((E5)/((E15/E16)*E8*E17*(1/365)*E18))*E27*E28*E7</f>
        <v>2.4516713738919096E-15</v>
      </c>
      <c r="F20" s="52" t="s">
        <v>15</v>
      </c>
      <c r="G20" s="83" t="s">
        <v>367</v>
      </c>
      <c r="H20" s="146">
        <f>B51</f>
        <v>10</v>
      </c>
      <c r="I20" s="52" t="s">
        <v>407</v>
      </c>
      <c r="J20" s="83" t="s">
        <v>396</v>
      </c>
      <c r="K20" s="155">
        <f>(K31*K23*(K34/24)*K51)+(K32*K24*(K35/24)*K52)</f>
        <v>1327.5</v>
      </c>
      <c r="L20" s="52" t="s">
        <v>407</v>
      </c>
      <c r="M20" s="325" t="s">
        <v>566</v>
      </c>
      <c r="N20" s="326"/>
      <c r="O20" s="326"/>
      <c r="P20" s="327" t="s">
        <v>536</v>
      </c>
      <c r="Q20" s="326"/>
      <c r="R20" s="329"/>
      <c r="V20" s="84" t="s">
        <v>295</v>
      </c>
      <c r="W20" s="150">
        <f>B278</f>
        <v>222.01757699999999</v>
      </c>
      <c r="X20" s="52" t="s">
        <v>296</v>
      </c>
      <c r="Y20" s="84" t="s">
        <v>295</v>
      </c>
      <c r="Z20" s="150">
        <f>B278</f>
        <v>222.01757699999999</v>
      </c>
      <c r="AA20" s="52" t="s">
        <v>296</v>
      </c>
      <c r="AB20" s="83" t="s">
        <v>83</v>
      </c>
      <c r="AC20" s="139">
        <f>B232</f>
        <v>5</v>
      </c>
      <c r="AD20" s="139">
        <f>B242</f>
        <v>5</v>
      </c>
      <c r="AE20" s="139">
        <f>B252</f>
        <v>5</v>
      </c>
      <c r="AF20" s="139">
        <f>B262</f>
        <v>5</v>
      </c>
      <c r="AG20" s="139">
        <f>B273</f>
        <v>5</v>
      </c>
      <c r="AH20" s="84" t="s">
        <v>194</v>
      </c>
      <c r="AI20" s="296" t="s">
        <v>558</v>
      </c>
      <c r="AJ20" s="294"/>
      <c r="AK20" s="297"/>
      <c r="AL20" s="293" t="s">
        <v>545</v>
      </c>
      <c r="AM20" s="294"/>
      <c r="AN20" s="295"/>
      <c r="AR20" s="296" t="s">
        <v>560</v>
      </c>
      <c r="AS20" s="294"/>
      <c r="AT20" s="297"/>
      <c r="AU20" s="293" t="s">
        <v>550</v>
      </c>
      <c r="AV20" s="294"/>
      <c r="AW20" s="295"/>
      <c r="BA20" s="296" t="s">
        <v>562</v>
      </c>
      <c r="BB20" s="294"/>
      <c r="BC20" s="297"/>
      <c r="BD20" s="293" t="s">
        <v>553</v>
      </c>
      <c r="BE20" s="294"/>
      <c r="BF20" s="295"/>
      <c r="BJ20" s="296" t="s">
        <v>563</v>
      </c>
      <c r="BK20" s="294"/>
      <c r="BL20" s="297"/>
      <c r="BM20" s="293" t="s">
        <v>556</v>
      </c>
      <c r="BN20" s="294"/>
      <c r="BO20" s="295"/>
      <c r="BS20" s="52" t="s">
        <v>261</v>
      </c>
      <c r="BT20" s="144">
        <f>((BT5*BT24*BT6)/((1-EXP(-BT6*BT24))*BT9*BT10))*BT27*BT28*BT7</f>
        <v>3.3986300166768814E-11</v>
      </c>
      <c r="BU20" s="52" t="s">
        <v>16</v>
      </c>
      <c r="BV20" s="52" t="s">
        <v>443</v>
      </c>
      <c r="BW20" s="138">
        <f>B119</f>
        <v>5</v>
      </c>
      <c r="BX20" s="52" t="s">
        <v>89</v>
      </c>
      <c r="BY20" s="83" t="s">
        <v>429</v>
      </c>
      <c r="BZ20" s="141">
        <f>B103</f>
        <v>5</v>
      </c>
      <c r="CA20" s="92" t="s">
        <v>407</v>
      </c>
      <c r="CB20" s="268"/>
      <c r="CC20" s="262"/>
      <c r="CD20" s="279"/>
      <c r="CE20" s="259"/>
      <c r="CF20" s="262"/>
      <c r="CG20" s="265"/>
      <c r="CK20" s="267" t="s">
        <v>530</v>
      </c>
      <c r="CL20" s="261" t="e">
        <f>(CL23/(CL24*CL25*CL26))*CL27*CL28*CO33</f>
        <v>#DIV/0!</v>
      </c>
      <c r="CM20" s="255" t="s">
        <v>12</v>
      </c>
      <c r="CN20" s="258" t="s">
        <v>7</v>
      </c>
      <c r="CO20" s="261" t="e">
        <f>(CL20/(CO23*((CO28*CO30*CO31*(CO24+CO25))+(CO29*CO30))))*CO34</f>
        <v>#DIV/0!</v>
      </c>
      <c r="CP20" s="255" t="s">
        <v>12</v>
      </c>
      <c r="CQ20" s="258" t="s">
        <v>6</v>
      </c>
      <c r="CR20" s="261" t="e">
        <f>CL20/(CR23*CR24*(1/CR25))</f>
        <v>#DIV/0!</v>
      </c>
      <c r="CS20" s="264" t="s">
        <v>12</v>
      </c>
      <c r="CT20" s="91" t="s">
        <v>273</v>
      </c>
      <c r="CU20" s="144" t="e">
        <f>GV2</f>
        <v>#DIV/0!</v>
      </c>
      <c r="CV20" s="92" t="s">
        <v>12</v>
      </c>
      <c r="CW20" s="52" t="s">
        <v>271</v>
      </c>
      <c r="CX20" s="144">
        <f>((CX5)/((CX15/CX16)*CX8*CX17*(1/365)*CX18))*CX27*CX28*CX7</f>
        <v>2.4516713738919096E-15</v>
      </c>
      <c r="CY20" s="52" t="s">
        <v>15</v>
      </c>
      <c r="CZ20" s="91" t="s">
        <v>274</v>
      </c>
      <c r="DA20" s="144" t="e">
        <f>EK2</f>
        <v>#DIV/0!</v>
      </c>
      <c r="DB20" s="83" t="s">
        <v>12</v>
      </c>
      <c r="DC20" s="83" t="s">
        <v>475</v>
      </c>
      <c r="DD20" s="146">
        <f>B163</f>
        <v>0.15</v>
      </c>
      <c r="DF20" s="92" t="s">
        <v>71</v>
      </c>
      <c r="DG20" s="137">
        <f>0.693/DG23</f>
        <v>0.18124754746551736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R20" s="84" t="s">
        <v>293</v>
      </c>
      <c r="DS20" s="85">
        <f>B280</f>
        <v>2.7955176153748299E-12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G20" s="84" t="s">
        <v>293</v>
      </c>
      <c r="EH20" s="85">
        <f>B280</f>
        <v>2.7955176153748299E-12</v>
      </c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V20" s="84" t="s">
        <v>293</v>
      </c>
      <c r="EW20" s="85">
        <f>B280</f>
        <v>2.7955176153748299E-12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K20" s="84" t="s">
        <v>293</v>
      </c>
      <c r="FL20" s="85">
        <f>B280</f>
        <v>2.7955176153748299E-12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FZ20" s="84" t="s">
        <v>293</v>
      </c>
      <c r="GA20" s="85">
        <f>B280</f>
        <v>2.7955176153748299E-12</v>
      </c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83" t="s">
        <v>250</v>
      </c>
      <c r="B21" s="183">
        <v>0</v>
      </c>
      <c r="C21" s="83" t="s">
        <v>259</v>
      </c>
      <c r="D21" s="52" t="s">
        <v>261</v>
      </c>
      <c r="E21" s="144">
        <f>((E5*E10*E6)/((1-EXP(-E6*E10))*E11*E12))*E27*E28*E7</f>
        <v>2.5961757071837283E-12</v>
      </c>
      <c r="F21" s="52" t="s">
        <v>16</v>
      </c>
      <c r="G21" s="83" t="s">
        <v>397</v>
      </c>
      <c r="H21" s="148">
        <f>(H29*H36*H32*H68)+(H30*H37*H33*H69)</f>
        <v>476.25</v>
      </c>
      <c r="I21" s="83" t="s">
        <v>356</v>
      </c>
      <c r="J21" s="83" t="s">
        <v>368</v>
      </c>
      <c r="K21" s="146">
        <f>B52</f>
        <v>100</v>
      </c>
      <c r="L21" s="84" t="s">
        <v>48</v>
      </c>
      <c r="M21" s="330" t="s">
        <v>537</v>
      </c>
      <c r="N21" s="333">
        <f>((N24*N25*N26)/((1-EXP(-N26*N25))*N34*N32*(N28/365)*(((N33/24)*N31)+((N35/24)*N30))))*N36*N37*N27</f>
        <v>4.9678363598225693E-6</v>
      </c>
      <c r="O21" s="336" t="s">
        <v>298</v>
      </c>
      <c r="P21" s="339" t="s">
        <v>537</v>
      </c>
      <c r="Q21" s="333">
        <f>((Q24*Q25*Q26)/((1-EXP(-Q26*Q25))*Q34*Q32*(Q28/365)*(((Q33/24)*Q31)+((Q35/24)*Q30))))*Q36*Q37*Q27</f>
        <v>1.0960548898650198E-6</v>
      </c>
      <c r="R21" s="342" t="s">
        <v>12</v>
      </c>
      <c r="V21" s="84" t="s">
        <v>293</v>
      </c>
      <c r="W21" s="85">
        <f>B279</f>
        <v>2.8000000000000001E-15</v>
      </c>
      <c r="Y21" s="84" t="s">
        <v>293</v>
      </c>
      <c r="Z21" s="85">
        <f>B279</f>
        <v>2.8000000000000001E-15</v>
      </c>
      <c r="AB21" s="83" t="s">
        <v>85</v>
      </c>
      <c r="AC21" s="139">
        <f>B233</f>
        <v>5</v>
      </c>
      <c r="AD21" s="139">
        <f>B243</f>
        <v>5</v>
      </c>
      <c r="AE21" s="139">
        <f>B253</f>
        <v>5</v>
      </c>
      <c r="AF21" s="139">
        <f>B263</f>
        <v>5</v>
      </c>
      <c r="AG21" s="139">
        <f>B274</f>
        <v>5</v>
      </c>
      <c r="AH21" s="84" t="s">
        <v>194</v>
      </c>
      <c r="AI21" s="306" t="s">
        <v>537</v>
      </c>
      <c r="AJ21" s="303">
        <f>((AJ24*AJ25*AJ26)/((1-EXP(-AJ26*AJ25))*AJ34*(AJ28/365)*AJ29*(AJ35/24)*AJ30*AJ32))*AJ36*AJ37*AJ27</f>
        <v>2.9941149740650625E-5</v>
      </c>
      <c r="AK21" s="290" t="s">
        <v>298</v>
      </c>
      <c r="AL21" s="287" t="s">
        <v>537</v>
      </c>
      <c r="AM21" s="303">
        <f>((AM24*AM25*AM26)/((1-EXP(-AM26*AM25))*AM34*(AM28/365)*AM29*(AM35/24)*AM30*AM32))*AM36*AM37*AM27</f>
        <v>6.6324911917468014E-6</v>
      </c>
      <c r="AN21" s="281" t="s">
        <v>12</v>
      </c>
      <c r="AR21" s="306" t="s">
        <v>537</v>
      </c>
      <c r="AS21" s="303">
        <f>((AS24*AS25*AS26)/((1-EXP(-AS26*AS25))*AS34*(AS28/365)*AS29*(AS33/24)*AS31*AS32))*AS36*AS37*AS27</f>
        <v>1.3307177662511386E-3</v>
      </c>
      <c r="AT21" s="290" t="s">
        <v>298</v>
      </c>
      <c r="AU21" s="287" t="s">
        <v>537</v>
      </c>
      <c r="AV21" s="303">
        <f>((AV24*AV25*AV26)/((1-EXP(-AV26*AV25))*AV34*(AV28/365)*AV29*(AV33/24)*AV31*AV32))*AV36*AV37*AV27</f>
        <v>1.5532766257018269E-4</v>
      </c>
      <c r="AW21" s="281" t="s">
        <v>12</v>
      </c>
      <c r="BA21" s="306" t="s">
        <v>537</v>
      </c>
      <c r="BB21" s="303">
        <f>((BB24*BB25*BB26)/((1-EXP(-BB26*BB25))*BB34*(BB28/365)*(BB33/24)*BB31*BB32))*BB36*BB37*BB27</f>
        <v>1.3307177662511386E-3</v>
      </c>
      <c r="BC21" s="290" t="s">
        <v>298</v>
      </c>
      <c r="BD21" s="287" t="s">
        <v>537</v>
      </c>
      <c r="BE21" s="303">
        <f>((BE24*BE25*BE26)/((1-EXP(-BE26*BE25))*BE34*(BE28/365)*(BE33/24)*BE31*BE32))*BE36*BE37*BE27</f>
        <v>1.5532766257018269E-4</v>
      </c>
      <c r="BF21" s="281" t="s">
        <v>12</v>
      </c>
      <c r="BJ21" s="306" t="s">
        <v>537</v>
      </c>
      <c r="BK21" s="284">
        <f>((BK24*BK25*BK26)/((1-EXP(-BK26*BK25))*BK35*(BK28/365)*(BK34/24)*BK32*BK33))*BK36*BK37*BK27</f>
        <v>2.2178629437518979E-3</v>
      </c>
      <c r="BL21" s="290" t="s">
        <v>298</v>
      </c>
      <c r="BM21" s="287" t="s">
        <v>537</v>
      </c>
      <c r="BN21" s="284">
        <f>((BN24*BN25*BN26)/((1-EXP(-BN26*BN25))*BN35*(BN28/365)*(BN34/24)*BN32*BN33))*BN36*BN37*BN27</f>
        <v>2.5887943761697114E-4</v>
      </c>
      <c r="BO21" s="281" t="s">
        <v>12</v>
      </c>
      <c r="BS21" s="52" t="s">
        <v>271</v>
      </c>
      <c r="BT21" s="145">
        <f>((BT5*BT24*BT6)/((1-EXP(-BT6*BT24))*BT16*BT8*(1/365)*BT15*(1/24)*BT17))*BT27*BT28*BT7</f>
        <v>2.1232301191056427E-12</v>
      </c>
      <c r="BU21" s="52" t="s">
        <v>16</v>
      </c>
      <c r="BV21" s="52" t="s">
        <v>444</v>
      </c>
      <c r="BW21" s="138">
        <f>B120</f>
        <v>5</v>
      </c>
      <c r="BX21" s="52" t="s">
        <v>89</v>
      </c>
      <c r="BY21" s="83" t="s">
        <v>430</v>
      </c>
      <c r="BZ21" s="141">
        <f>B104</f>
        <v>10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56"/>
      <c r="CN21" s="259"/>
      <c r="CO21" s="262"/>
      <c r="CP21" s="256"/>
      <c r="CQ21" s="259"/>
      <c r="CR21" s="262"/>
      <c r="CS21" s="265"/>
      <c r="CT21" s="91" t="s">
        <v>274</v>
      </c>
      <c r="CU21" s="144" t="e">
        <f>EN2</f>
        <v>#DIV/0!</v>
      </c>
      <c r="CV21" s="92" t="s">
        <v>12</v>
      </c>
      <c r="CW21" s="52" t="s">
        <v>261</v>
      </c>
      <c r="CX21" s="144">
        <f>((CX5*CX10*CX6)/((CX15/CX16)*(1-EXP(-CX6*CX9))*CX11*CX12))*CX27*CX28*CX7</f>
        <v>2.4839086495757837E-12</v>
      </c>
      <c r="CY21" s="52" t="s">
        <v>16</v>
      </c>
      <c r="CZ21" s="91" t="s">
        <v>509</v>
      </c>
      <c r="DA21" s="144" t="e">
        <f>DV2</f>
        <v>#DIV/0!</v>
      </c>
      <c r="DB21" s="83" t="s">
        <v>12</v>
      </c>
      <c r="DC21" s="83" t="s">
        <v>476</v>
      </c>
      <c r="DD21" s="146">
        <f>B164</f>
        <v>0.85</v>
      </c>
      <c r="DF21" s="92" t="s">
        <v>73</v>
      </c>
      <c r="DG21" s="138">
        <f>B197</f>
        <v>1</v>
      </c>
      <c r="DH21" s="52" t="s">
        <v>41</v>
      </c>
      <c r="DL21" s="92"/>
      <c r="DO21" s="92" t="s">
        <v>73</v>
      </c>
      <c r="DP21" s="138">
        <f>B197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B197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B197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B197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B197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B197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83" t="s">
        <v>269</v>
      </c>
      <c r="B22" s="179">
        <v>2.1295200000000002E-3</v>
      </c>
      <c r="C22" s="83" t="s">
        <v>351</v>
      </c>
      <c r="D22" s="52" t="s">
        <v>271</v>
      </c>
      <c r="E22" s="145">
        <f>((E5*E10*E6)/((E15/E16)*E8*(1-EXP(-E6*E10))*E17*(1/365)*E18))*E27*E28*E7</f>
        <v>1.6219118965390323E-13</v>
      </c>
      <c r="F22" s="52" t="s">
        <v>16</v>
      </c>
      <c r="G22" s="83" t="s">
        <v>398</v>
      </c>
      <c r="H22" s="149">
        <f>(H29*H23*H68)+(H30*H24*H69)</f>
        <v>8250</v>
      </c>
      <c r="I22" s="92" t="s">
        <v>347</v>
      </c>
      <c r="J22" s="83" t="s">
        <v>369</v>
      </c>
      <c r="K22" s="146">
        <f>B53</f>
        <v>50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B234</f>
        <v>0.4</v>
      </c>
      <c r="AD22" s="150">
        <f>B244</f>
        <v>0.4</v>
      </c>
      <c r="AE22" s="150">
        <f>B254</f>
        <v>0.4</v>
      </c>
      <c r="AF22" s="150">
        <f>B264</f>
        <v>0.4</v>
      </c>
      <c r="AG22" s="150">
        <f>B275</f>
        <v>0.4</v>
      </c>
      <c r="AI22" s="307"/>
      <c r="AJ22" s="304"/>
      <c r="AK22" s="291"/>
      <c r="AL22" s="288"/>
      <c r="AM22" s="304"/>
      <c r="AN22" s="282"/>
      <c r="AR22" s="307"/>
      <c r="AS22" s="304"/>
      <c r="AT22" s="291"/>
      <c r="AU22" s="288"/>
      <c r="AV22" s="304"/>
      <c r="AW22" s="282"/>
      <c r="BA22" s="307"/>
      <c r="BB22" s="304"/>
      <c r="BC22" s="291"/>
      <c r="BD22" s="288"/>
      <c r="BE22" s="304"/>
      <c r="BF22" s="282"/>
      <c r="BJ22" s="307"/>
      <c r="BK22" s="285"/>
      <c r="BL22" s="291"/>
      <c r="BM22" s="288"/>
      <c r="BN22" s="285"/>
      <c r="BO22" s="282"/>
      <c r="BS22" s="52" t="s">
        <v>433</v>
      </c>
      <c r="BT22" s="138">
        <f>B114</f>
        <v>55</v>
      </c>
      <c r="BU22" s="52" t="s">
        <v>24</v>
      </c>
      <c r="BV22" s="83" t="s">
        <v>90</v>
      </c>
      <c r="BW22" s="150">
        <f>B118</f>
        <v>5</v>
      </c>
      <c r="BX22" s="52" t="s">
        <v>194</v>
      </c>
      <c r="BY22" s="83" t="s">
        <v>140</v>
      </c>
      <c r="BZ22" s="150">
        <f>B113</f>
        <v>55</v>
      </c>
      <c r="CA22" s="83" t="s">
        <v>24</v>
      </c>
      <c r="CB22" s="52" t="s">
        <v>267</v>
      </c>
      <c r="CC22" s="136">
        <f>B17</f>
        <v>1</v>
      </c>
      <c r="CD22" s="52" t="s">
        <v>344</v>
      </c>
      <c r="CE22" s="52" t="s">
        <v>267</v>
      </c>
      <c r="CF22" s="136">
        <f>B17</f>
        <v>1</v>
      </c>
      <c r="CG22" s="52" t="s">
        <v>344</v>
      </c>
      <c r="CK22" s="269"/>
      <c r="CL22" s="263"/>
      <c r="CM22" s="257"/>
      <c r="CN22" s="260"/>
      <c r="CO22" s="263"/>
      <c r="CP22" s="257"/>
      <c r="CQ22" s="260"/>
      <c r="CR22" s="263"/>
      <c r="CS22" s="266"/>
      <c r="CT22" s="91" t="s">
        <v>275</v>
      </c>
      <c r="CU22" s="144" t="e">
        <f>DY2</f>
        <v>#DIV/0!</v>
      </c>
      <c r="CV22" s="92" t="s">
        <v>12</v>
      </c>
      <c r="CW22" s="52" t="s">
        <v>271</v>
      </c>
      <c r="CX22" s="145">
        <f>((CX5*CX10*CX6)/((CX15/CX16)*CX8*(1-EXP(-CX6*CX10))*CX17*(1/365)*CX18))*CX27*CX28*CX7</f>
        <v>1.6219118965390323E-13</v>
      </c>
      <c r="CY22" s="52" t="s">
        <v>16</v>
      </c>
      <c r="CZ22" s="91" t="s">
        <v>510</v>
      </c>
      <c r="DA22" s="144" t="e">
        <f>GD2</f>
        <v>#DIV/0!</v>
      </c>
      <c r="DB22" s="83" t="s">
        <v>12</v>
      </c>
      <c r="DC22" s="94" t="s">
        <v>295</v>
      </c>
      <c r="DD22" s="150">
        <f>B278</f>
        <v>222.01757699999999</v>
      </c>
      <c r="DE22" s="90" t="s">
        <v>296</v>
      </c>
      <c r="DF22" s="92" t="s">
        <v>74</v>
      </c>
      <c r="DG22" s="138">
        <f>B198</f>
        <v>14</v>
      </c>
      <c r="DH22" s="52" t="s">
        <v>75</v>
      </c>
      <c r="DL22" s="92"/>
      <c r="DO22" s="92" t="s">
        <v>74</v>
      </c>
      <c r="DP22" s="138">
        <f>B198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B198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B198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B198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B198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B198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252</v>
      </c>
      <c r="B23" s="183">
        <v>4.3486799999999998E-4</v>
      </c>
      <c r="C23" s="83" t="s">
        <v>352</v>
      </c>
      <c r="D23" s="52" t="s">
        <v>380</v>
      </c>
      <c r="E23" s="138">
        <f>B66</f>
        <v>150</v>
      </c>
      <c r="F23" s="52" t="s">
        <v>24</v>
      </c>
      <c r="G23" s="83" t="s">
        <v>399</v>
      </c>
      <c r="H23" s="146">
        <f>B147</f>
        <v>55</v>
      </c>
      <c r="I23" s="92" t="s">
        <v>221</v>
      </c>
      <c r="J23" s="83" t="s">
        <v>366</v>
      </c>
      <c r="K23" s="141">
        <f>B50</f>
        <v>5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308"/>
      <c r="AS23" s="305"/>
      <c r="AT23" s="292"/>
      <c r="AU23" s="289"/>
      <c r="AV23" s="305"/>
      <c r="AW23" s="283"/>
      <c r="BA23" s="308"/>
      <c r="BB23" s="305"/>
      <c r="BC23" s="292"/>
      <c r="BD23" s="289"/>
      <c r="BE23" s="305"/>
      <c r="BF23" s="283"/>
      <c r="BJ23" s="308"/>
      <c r="BK23" s="286"/>
      <c r="BL23" s="292"/>
      <c r="BM23" s="289"/>
      <c r="BN23" s="286"/>
      <c r="BO23" s="283"/>
      <c r="BS23" s="52" t="s">
        <v>434</v>
      </c>
      <c r="BT23" s="138">
        <f>B115</f>
        <v>55</v>
      </c>
      <c r="BU23" s="52" t="s">
        <v>24</v>
      </c>
      <c r="BV23" s="83" t="s">
        <v>435</v>
      </c>
      <c r="BW23" s="138">
        <f>B124</f>
        <v>5</v>
      </c>
      <c r="BX23" s="52" t="s">
        <v>80</v>
      </c>
      <c r="BY23" s="83" t="s">
        <v>434</v>
      </c>
      <c r="BZ23" s="150">
        <f>B115</f>
        <v>55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B17</f>
        <v>1</v>
      </c>
      <c r="CM23" s="52" t="s">
        <v>344</v>
      </c>
      <c r="CN23" s="52" t="s">
        <v>229</v>
      </c>
      <c r="CO23" s="136">
        <f>B41</f>
        <v>0</v>
      </c>
      <c r="CP23" s="52" t="s">
        <v>268</v>
      </c>
      <c r="CQ23" s="83" t="s">
        <v>229</v>
      </c>
      <c r="CR23" s="136">
        <f>CO23</f>
        <v>0</v>
      </c>
      <c r="CS23" s="52" t="s">
        <v>268</v>
      </c>
      <c r="CT23" s="91" t="s">
        <v>276</v>
      </c>
      <c r="CU23" s="144" t="e">
        <f>GG2</f>
        <v>#DIV/0!</v>
      </c>
      <c r="CV23" s="92" t="s">
        <v>12</v>
      </c>
      <c r="CW23" s="52" t="s">
        <v>456</v>
      </c>
      <c r="CX23" s="138">
        <f>B165</f>
        <v>150</v>
      </c>
      <c r="CY23" s="52" t="s">
        <v>24</v>
      </c>
      <c r="CZ23" s="91" t="s">
        <v>277</v>
      </c>
      <c r="DA23" s="145" t="e">
        <f>FO2</f>
        <v>#DIV/0!</v>
      </c>
      <c r="DB23" s="83" t="s">
        <v>12</v>
      </c>
      <c r="DC23" s="84" t="s">
        <v>293</v>
      </c>
      <c r="DD23" s="85">
        <f>B280</f>
        <v>2.7955176153748299E-12</v>
      </c>
      <c r="DF23" s="83" t="s">
        <v>267</v>
      </c>
      <c r="DG23" s="136">
        <f>B34</f>
        <v>3.8235000124999998</v>
      </c>
      <c r="DH23" s="52" t="s">
        <v>222</v>
      </c>
      <c r="DO23" s="83" t="s">
        <v>19</v>
      </c>
      <c r="DP23" s="161">
        <f>DP25</f>
        <v>0</v>
      </c>
      <c r="EA23" s="83"/>
      <c r="EB23" s="83"/>
      <c r="EC23" s="84"/>
      <c r="ED23" s="83" t="s">
        <v>19</v>
      </c>
      <c r="EE23" s="161">
        <f>EE25</f>
        <v>0</v>
      </c>
      <c r="EF23" s="84"/>
      <c r="EP23" s="83"/>
      <c r="EQ23" s="83"/>
      <c r="ER23" s="84"/>
      <c r="ES23" s="83" t="s">
        <v>19</v>
      </c>
      <c r="ET23" s="161">
        <f>ET25</f>
        <v>0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0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0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0</v>
      </c>
      <c r="HC23" s="84"/>
      <c r="HD23" s="67" t="s">
        <v>14</v>
      </c>
      <c r="HE23" s="222">
        <f>((HE25*HE42)*HE38*HE33*10^-3*HE32*HE27)/(HE31*HE41*(1-EXP(-HE27*HE32)))</f>
        <v>0</v>
      </c>
      <c r="HF23" s="220" t="s">
        <v>597</v>
      </c>
    </row>
    <row r="24" spans="1:214" ht="14.25" thickTop="1" thickBot="1" x14ac:dyDescent="0.25">
      <c r="A24" s="83" t="s">
        <v>253</v>
      </c>
      <c r="B24" s="183">
        <v>4.4084799999999998E-4</v>
      </c>
      <c r="C24" s="83" t="s">
        <v>351</v>
      </c>
      <c r="D24" s="52" t="s">
        <v>381</v>
      </c>
      <c r="E24" s="138">
        <f>B67</f>
        <v>150</v>
      </c>
      <c r="F24" s="52" t="s">
        <v>24</v>
      </c>
      <c r="G24" s="83" t="s">
        <v>310</v>
      </c>
      <c r="H24" s="146">
        <f>B58</f>
        <v>55</v>
      </c>
      <c r="I24" s="92" t="s">
        <v>221</v>
      </c>
      <c r="J24" s="83" t="s">
        <v>367</v>
      </c>
      <c r="K24" s="141">
        <f>B51</f>
        <v>10</v>
      </c>
      <c r="L24" s="52" t="s">
        <v>407</v>
      </c>
      <c r="M24" s="52" t="s">
        <v>267</v>
      </c>
      <c r="N24" s="136">
        <f>B17</f>
        <v>1</v>
      </c>
      <c r="O24" s="52" t="s">
        <v>344</v>
      </c>
      <c r="P24" s="52" t="s">
        <v>267</v>
      </c>
      <c r="Q24" s="136">
        <f>B17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66.155354824913829</v>
      </c>
      <c r="AD24" s="137">
        <f>0.693/AD25</f>
        <v>66.155354824913829</v>
      </c>
      <c r="AE24" s="137">
        <f>0.693/AE25</f>
        <v>66.155354824913829</v>
      </c>
      <c r="AF24" s="137">
        <f>0.693/AF25</f>
        <v>66.155354824913829</v>
      </c>
      <c r="AG24" s="137">
        <f>0.693/AG25</f>
        <v>66.155354824913829</v>
      </c>
      <c r="AI24" s="52" t="s">
        <v>267</v>
      </c>
      <c r="AJ24" s="136">
        <f>B17</f>
        <v>1</v>
      </c>
      <c r="AK24" s="52" t="s">
        <v>344</v>
      </c>
      <c r="AL24" s="52" t="s">
        <v>267</v>
      </c>
      <c r="AM24" s="136">
        <f>B17</f>
        <v>1</v>
      </c>
      <c r="AN24" s="52" t="s">
        <v>344</v>
      </c>
      <c r="AR24" s="52" t="s">
        <v>267</v>
      </c>
      <c r="AS24" s="136">
        <f>B17</f>
        <v>1</v>
      </c>
      <c r="AT24" s="52" t="s">
        <v>344</v>
      </c>
      <c r="AU24" s="52" t="s">
        <v>267</v>
      </c>
      <c r="AV24" s="136">
        <f>B17</f>
        <v>1</v>
      </c>
      <c r="AW24" s="52" t="s">
        <v>344</v>
      </c>
      <c r="BA24" s="52" t="s">
        <v>267</v>
      </c>
      <c r="BB24" s="136">
        <f>B17</f>
        <v>1</v>
      </c>
      <c r="BC24" s="52" t="s">
        <v>344</v>
      </c>
      <c r="BD24" s="52" t="s">
        <v>267</v>
      </c>
      <c r="BE24" s="136">
        <f>B17</f>
        <v>1</v>
      </c>
      <c r="BF24" s="52" t="s">
        <v>344</v>
      </c>
      <c r="BJ24" s="52" t="s">
        <v>267</v>
      </c>
      <c r="BK24" s="136">
        <f>B17</f>
        <v>1</v>
      </c>
      <c r="BL24" s="52" t="s">
        <v>344</v>
      </c>
      <c r="BM24" s="52" t="s">
        <v>267</v>
      </c>
      <c r="BN24" s="136">
        <f>B17</f>
        <v>1</v>
      </c>
      <c r="BO24" s="52" t="s">
        <v>344</v>
      </c>
      <c r="BS24" s="91" t="s">
        <v>95</v>
      </c>
      <c r="BT24" s="158">
        <f>B127</f>
        <v>1</v>
      </c>
      <c r="BU24" s="91" t="s">
        <v>60</v>
      </c>
      <c r="BV24" s="83" t="s">
        <v>436</v>
      </c>
      <c r="BW24" s="138">
        <f>B125</f>
        <v>5</v>
      </c>
      <c r="BX24" s="52" t="s">
        <v>80</v>
      </c>
      <c r="BY24" s="83" t="s">
        <v>433</v>
      </c>
      <c r="BZ24" s="150">
        <f>B114</f>
        <v>55</v>
      </c>
      <c r="CA24" s="83" t="s">
        <v>24</v>
      </c>
      <c r="CB24" s="83" t="s">
        <v>22</v>
      </c>
      <c r="CC24" s="137">
        <f>0.693/CC25</f>
        <v>66.155354824913829</v>
      </c>
      <c r="CE24" s="83" t="s">
        <v>22</v>
      </c>
      <c r="CF24" s="137">
        <f>0.693/CF25</f>
        <v>66.155354824913829</v>
      </c>
      <c r="CK24" s="52" t="s">
        <v>258</v>
      </c>
      <c r="CL24" s="136">
        <f>B29</f>
        <v>0</v>
      </c>
      <c r="CM24" s="91" t="s">
        <v>10</v>
      </c>
      <c r="CN24" s="52" t="s">
        <v>20</v>
      </c>
      <c r="CO24" s="139">
        <f>CO26</f>
        <v>0</v>
      </c>
      <c r="CQ24" s="84" t="s">
        <v>170</v>
      </c>
      <c r="CR24" s="162">
        <f>B139</f>
        <v>2</v>
      </c>
      <c r="CS24" s="52" t="s">
        <v>28</v>
      </c>
      <c r="CT24" s="91" t="s">
        <v>277</v>
      </c>
      <c r="CU24" s="145" t="e">
        <f>FR2</f>
        <v>#DIV/0!</v>
      </c>
      <c r="CV24" s="92" t="s">
        <v>12</v>
      </c>
      <c r="CW24" s="52" t="s">
        <v>465</v>
      </c>
      <c r="CX24" s="138">
        <f>B166</f>
        <v>150</v>
      </c>
      <c r="CY24" s="52" t="s">
        <v>24</v>
      </c>
      <c r="CZ24" s="83" t="s">
        <v>45</v>
      </c>
      <c r="DA24" s="149">
        <f>(DA35*DA27*DA49)+(DA36*DA28*DA50)</f>
        <v>196.875</v>
      </c>
      <c r="DB24" s="52" t="s">
        <v>345</v>
      </c>
      <c r="DD24" s="138"/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223" t="e">
        <f>((HE26*HE42)*HE38*HE33*10^-3*HE32*HE27)/(HE31*HE41*(1-EXP(-HE27*HE32)))</f>
        <v>#DIV/0!</v>
      </c>
      <c r="HF24" s="221" t="s">
        <v>598</v>
      </c>
    </row>
    <row r="25" spans="1:214" ht="15" thickTop="1" x14ac:dyDescent="0.2">
      <c r="A25" s="83" t="s">
        <v>254</v>
      </c>
      <c r="B25" s="183">
        <v>1.2571640000000001E-3</v>
      </c>
      <c r="C25" s="83" t="s">
        <v>351</v>
      </c>
      <c r="D25" s="83" t="s">
        <v>376</v>
      </c>
      <c r="E25" s="146">
        <f>B61</f>
        <v>0.23</v>
      </c>
      <c r="G25" s="83" t="s">
        <v>400</v>
      </c>
      <c r="H25" s="149">
        <f>(H29*H26*H68)+(H30*H27*H69)</f>
        <v>8250</v>
      </c>
      <c r="I25" s="92" t="s">
        <v>347</v>
      </c>
      <c r="J25" s="83" t="s">
        <v>446</v>
      </c>
      <c r="K25" s="149">
        <f>(K31*K26*K51)+(K32*K27*K52)</f>
        <v>8250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1.0952755335683772E-12</v>
      </c>
      <c r="X25" s="62" t="s">
        <v>294</v>
      </c>
      <c r="Y25" s="202" t="s">
        <v>16</v>
      </c>
      <c r="Z25" s="187">
        <f>1/((1/Z41)+(1/Z40))</f>
        <v>1.0952755335683772E-12</v>
      </c>
      <c r="AA25" s="63" t="s">
        <v>294</v>
      </c>
      <c r="AB25" s="91" t="s">
        <v>231</v>
      </c>
      <c r="AC25" s="136">
        <f>B30</f>
        <v>1.04753425E-2</v>
      </c>
      <c r="AD25" s="136">
        <f>B30</f>
        <v>1.04753425E-2</v>
      </c>
      <c r="AE25" s="136">
        <f>B30</f>
        <v>1.04753425E-2</v>
      </c>
      <c r="AF25" s="136">
        <f>B30</f>
        <v>1.04753425E-2</v>
      </c>
      <c r="AG25" s="136">
        <f>B30</f>
        <v>1.04753425E-2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B111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B118</f>
        <v>5</v>
      </c>
      <c r="CA25" s="94" t="s">
        <v>194</v>
      </c>
      <c r="CB25" s="91" t="s">
        <v>231</v>
      </c>
      <c r="CC25" s="136">
        <f>B30</f>
        <v>1.04753425E-2</v>
      </c>
      <c r="CD25" s="52" t="s">
        <v>60</v>
      </c>
      <c r="CE25" s="91" t="s">
        <v>231</v>
      </c>
      <c r="CF25" s="136">
        <f>B30</f>
        <v>1.04753425E-2</v>
      </c>
      <c r="CG25" s="52" t="s">
        <v>60</v>
      </c>
      <c r="CK25" s="52" t="s">
        <v>140</v>
      </c>
      <c r="CL25" s="138">
        <f>B113</f>
        <v>55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8625</v>
      </c>
      <c r="CV25" s="83" t="s">
        <v>346</v>
      </c>
      <c r="CW25" s="83" t="s">
        <v>475</v>
      </c>
      <c r="CX25" s="146">
        <f>B163</f>
        <v>0.15</v>
      </c>
      <c r="CZ25" s="83" t="s">
        <v>43</v>
      </c>
      <c r="DA25" s="140">
        <f>(DA35*DA29*(DA38/24)*DA49)+(DA36*DA30*(DA39/24)*DA50)</f>
        <v>1387.5</v>
      </c>
      <c r="DB25" s="83" t="s">
        <v>426</v>
      </c>
      <c r="DF25" s="52" t="s">
        <v>33</v>
      </c>
      <c r="DG25" s="136">
        <f>B44</f>
        <v>0</v>
      </c>
      <c r="DO25" s="83" t="s">
        <v>32</v>
      </c>
      <c r="DP25" s="136">
        <f>B43</f>
        <v>0</v>
      </c>
      <c r="EA25" s="83"/>
      <c r="EC25" s="84"/>
      <c r="ED25" s="83" t="s">
        <v>33</v>
      </c>
      <c r="EE25" s="136">
        <f>B44</f>
        <v>0</v>
      </c>
      <c r="EF25" s="84"/>
      <c r="EP25" s="83"/>
      <c r="ER25" s="84"/>
      <c r="ES25" s="83" t="s">
        <v>33</v>
      </c>
      <c r="ET25" s="136">
        <f>B44</f>
        <v>0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B44</f>
        <v>0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B44</f>
        <v>0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B44</f>
        <v>0</v>
      </c>
      <c r="HC25" s="84"/>
      <c r="HD25" s="89" t="s">
        <v>21</v>
      </c>
      <c r="HE25" s="139">
        <f>B46</f>
        <v>0</v>
      </c>
      <c r="HF25" s="83" t="s">
        <v>13</v>
      </c>
    </row>
    <row r="26" spans="1:214" ht="13.5" thickBot="1" x14ac:dyDescent="0.25">
      <c r="A26" s="83" t="s">
        <v>255</v>
      </c>
      <c r="B26" s="183">
        <v>1.94272E-3</v>
      </c>
      <c r="C26" s="83" t="s">
        <v>351</v>
      </c>
      <c r="D26" s="83" t="s">
        <v>377</v>
      </c>
      <c r="E26" s="146">
        <f>B62</f>
        <v>0.77</v>
      </c>
      <c r="G26" s="83" t="s">
        <v>401</v>
      </c>
      <c r="H26" s="146">
        <f>B149</f>
        <v>55</v>
      </c>
      <c r="I26" s="92" t="s">
        <v>221</v>
      </c>
      <c r="J26" s="83" t="s">
        <v>399</v>
      </c>
      <c r="K26" s="146">
        <f>B57</f>
        <v>55</v>
      </c>
      <c r="L26" s="92" t="s">
        <v>221</v>
      </c>
      <c r="M26" s="83" t="s">
        <v>22</v>
      </c>
      <c r="N26" s="137">
        <f>0.693/N27</f>
        <v>66.155354824913829</v>
      </c>
      <c r="P26" s="83" t="s">
        <v>22</v>
      </c>
      <c r="Q26" s="137">
        <f>0.693/Q27</f>
        <v>66.155354824913829</v>
      </c>
      <c r="V26" s="201" t="s">
        <v>15</v>
      </c>
      <c r="W26" s="75">
        <f>1/((1/W38)+(1/W39))</f>
        <v>1.6556113053389611E-14</v>
      </c>
      <c r="X26" s="76" t="s">
        <v>294</v>
      </c>
      <c r="Y26" s="203" t="s">
        <v>15</v>
      </c>
      <c r="Z26" s="185">
        <f>1/((1/Z38)+(1/Z39))</f>
        <v>1.6556113053389611E-14</v>
      </c>
      <c r="AA26" s="77" t="s">
        <v>294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66.155354824913829</v>
      </c>
      <c r="AL26" s="83" t="s">
        <v>22</v>
      </c>
      <c r="AM26" s="137">
        <f>0.693/AM27</f>
        <v>66.155354824913829</v>
      </c>
      <c r="AR26" s="83" t="s">
        <v>22</v>
      </c>
      <c r="AS26" s="137">
        <f>0.693/AS27</f>
        <v>66.155354824913829</v>
      </c>
      <c r="AU26" s="83" t="s">
        <v>22</v>
      </c>
      <c r="AV26" s="137">
        <f>0.693/AV27</f>
        <v>66.155354824913829</v>
      </c>
      <c r="BA26" s="83" t="s">
        <v>22</v>
      </c>
      <c r="BB26" s="137">
        <f>0.693/BB27</f>
        <v>66.155354824913829</v>
      </c>
      <c r="BD26" s="83" t="s">
        <v>22</v>
      </c>
      <c r="BE26" s="137">
        <f>0.693/BE27</f>
        <v>66.155354824913829</v>
      </c>
      <c r="BJ26" s="83" t="s">
        <v>22</v>
      </c>
      <c r="BK26" s="137">
        <f>0.693/BK27</f>
        <v>66.155354824913829</v>
      </c>
      <c r="BM26" s="83" t="s">
        <v>22</v>
      </c>
      <c r="BN26" s="137">
        <f>0.693/BN27</f>
        <v>66.155354824913829</v>
      </c>
      <c r="BS26" s="91" t="s">
        <v>309</v>
      </c>
      <c r="BT26" s="177">
        <f>B112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B116</f>
        <v>5</v>
      </c>
      <c r="CA26" s="94" t="s">
        <v>194</v>
      </c>
      <c r="CB26" s="52" t="s">
        <v>140</v>
      </c>
      <c r="CC26" s="138">
        <f>B113</f>
        <v>55</v>
      </c>
      <c r="CD26" s="52" t="s">
        <v>24</v>
      </c>
      <c r="CE26" s="52" t="s">
        <v>140</v>
      </c>
      <c r="CF26" s="138">
        <f>B113</f>
        <v>55</v>
      </c>
      <c r="CG26" s="52" t="s">
        <v>24</v>
      </c>
      <c r="CK26" s="52" t="s">
        <v>160</v>
      </c>
      <c r="CL26" s="162">
        <f>B134</f>
        <v>3</v>
      </c>
      <c r="CM26" s="52" t="s">
        <v>221</v>
      </c>
      <c r="CN26" s="52" t="s">
        <v>33</v>
      </c>
      <c r="CO26" s="136">
        <f>B44</f>
        <v>0</v>
      </c>
      <c r="CT26" s="83" t="s">
        <v>506</v>
      </c>
      <c r="CU26" s="155">
        <f>((CU31*CU29*CU47)+(CU32*CU30*CU48))</f>
        <v>1387.5</v>
      </c>
      <c r="CV26" s="52" t="s">
        <v>426</v>
      </c>
      <c r="CW26" s="83" t="s">
        <v>476</v>
      </c>
      <c r="CX26" s="141">
        <f>B164</f>
        <v>0.85</v>
      </c>
      <c r="CY26" s="83"/>
      <c r="CZ26" s="83" t="s">
        <v>142</v>
      </c>
      <c r="DA26" s="149">
        <f>(DA35*DA40*DA42*DA49)+(DA36*DA41*DA43*DA50)</f>
        <v>570</v>
      </c>
      <c r="DB26" s="52" t="s">
        <v>356</v>
      </c>
      <c r="DG26" s="138"/>
      <c r="DO26" s="83" t="s">
        <v>393</v>
      </c>
      <c r="DP26" s="138">
        <f>B47</f>
        <v>0.26</v>
      </c>
      <c r="EA26" s="83"/>
      <c r="EB26" s="84"/>
      <c r="EC26" s="84"/>
      <c r="ED26" s="83" t="s">
        <v>392</v>
      </c>
      <c r="EE26" s="163">
        <f>B48</f>
        <v>0.25</v>
      </c>
      <c r="EF26" s="84"/>
      <c r="EP26" s="83"/>
      <c r="EQ26" s="84"/>
      <c r="ER26" s="84"/>
      <c r="ES26" s="83" t="s">
        <v>392</v>
      </c>
      <c r="ET26" s="163">
        <f>B48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B48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B48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B48</f>
        <v>0.25</v>
      </c>
      <c r="HC26" s="84"/>
      <c r="HD26" s="84" t="s">
        <v>265</v>
      </c>
      <c r="HE26" s="139" t="e">
        <f>H2</f>
        <v>#DIV/0!</v>
      </c>
      <c r="HF26" s="83" t="s">
        <v>13</v>
      </c>
    </row>
    <row r="27" spans="1:214" ht="12.75" customHeight="1" thickTop="1" x14ac:dyDescent="0.2">
      <c r="A27" s="83" t="s">
        <v>256</v>
      </c>
      <c r="B27" s="183">
        <v>3.2316400000000001</v>
      </c>
      <c r="C27" s="83" t="s">
        <v>351</v>
      </c>
      <c r="D27" s="84" t="s">
        <v>295</v>
      </c>
      <c r="E27" s="150">
        <f>B278</f>
        <v>222.01757699999999</v>
      </c>
      <c r="F27" s="52" t="s">
        <v>296</v>
      </c>
      <c r="G27" s="83" t="s">
        <v>402</v>
      </c>
      <c r="H27" s="146">
        <f>B60</f>
        <v>55</v>
      </c>
      <c r="I27" s="92" t="s">
        <v>221</v>
      </c>
      <c r="J27" s="83" t="s">
        <v>310</v>
      </c>
      <c r="K27" s="146">
        <f>B58</f>
        <v>55</v>
      </c>
      <c r="L27" s="92" t="s">
        <v>221</v>
      </c>
      <c r="M27" s="91" t="s">
        <v>231</v>
      </c>
      <c r="N27" s="136">
        <f>B30</f>
        <v>1.04753425E-2</v>
      </c>
      <c r="O27" s="52" t="s">
        <v>60</v>
      </c>
      <c r="P27" s="91" t="s">
        <v>231</v>
      </c>
      <c r="Q27" s="136">
        <f>B30</f>
        <v>1.04753425E-2</v>
      </c>
      <c r="R27" s="52" t="s">
        <v>60</v>
      </c>
      <c r="V27" s="52" t="s">
        <v>267</v>
      </c>
      <c r="W27" s="136">
        <f>B17</f>
        <v>1</v>
      </c>
      <c r="X27" s="52" t="s">
        <v>344</v>
      </c>
      <c r="Y27" s="52" t="s">
        <v>267</v>
      </c>
      <c r="Z27" s="136">
        <f>B17</f>
        <v>1</v>
      </c>
      <c r="AA27" s="52" t="s">
        <v>344</v>
      </c>
      <c r="AB27" s="84" t="s">
        <v>16</v>
      </c>
      <c r="AC27" s="156">
        <f>(AC23*AC24)/(1-EXP(-AC24*AC23))</f>
        <v>66.155354824913829</v>
      </c>
      <c r="AD27" s="156">
        <f>(AD23*AD24)/(1-EXP(-AD24*AD23))</f>
        <v>66.155354824913829</v>
      </c>
      <c r="AE27" s="156">
        <f>(AE23*AE24)/(1-EXP(-AE24*AE23))</f>
        <v>66.155354824913829</v>
      </c>
      <c r="AF27" s="156">
        <f>(AF23*AF24)/(1-EXP(-AF24*AF23))</f>
        <v>66.155354824913829</v>
      </c>
      <c r="AG27" s="156">
        <f>(AG23*AG24)/(1-EXP(-AG24*AG23))</f>
        <v>66.155354824913829</v>
      </c>
      <c r="AI27" s="91" t="s">
        <v>231</v>
      </c>
      <c r="AJ27" s="136">
        <f>B30</f>
        <v>1.04753425E-2</v>
      </c>
      <c r="AK27" s="52" t="s">
        <v>60</v>
      </c>
      <c r="AL27" s="91" t="s">
        <v>231</v>
      </c>
      <c r="AM27" s="136">
        <f>B30</f>
        <v>1.04753425E-2</v>
      </c>
      <c r="AN27" s="52" t="s">
        <v>60</v>
      </c>
      <c r="AR27" s="91" t="s">
        <v>231</v>
      </c>
      <c r="AS27" s="136">
        <f>B30</f>
        <v>1.04753425E-2</v>
      </c>
      <c r="AT27" s="52" t="s">
        <v>60</v>
      </c>
      <c r="AU27" s="91" t="s">
        <v>231</v>
      </c>
      <c r="AV27" s="136">
        <f>B30</f>
        <v>1.04753425E-2</v>
      </c>
      <c r="AW27" s="52" t="s">
        <v>60</v>
      </c>
      <c r="BA27" s="91" t="s">
        <v>231</v>
      </c>
      <c r="BB27" s="136">
        <f>B30</f>
        <v>1.04753425E-2</v>
      </c>
      <c r="BC27" s="52" t="s">
        <v>60</v>
      </c>
      <c r="BD27" s="91" t="s">
        <v>231</v>
      </c>
      <c r="BE27" s="136">
        <f>B30</f>
        <v>1.04753425E-2</v>
      </c>
      <c r="BF27" s="52" t="s">
        <v>60</v>
      </c>
      <c r="BJ27" s="91" t="s">
        <v>231</v>
      </c>
      <c r="BK27" s="136">
        <f>B30</f>
        <v>1.04753425E-2</v>
      </c>
      <c r="BL27" s="52" t="s">
        <v>60</v>
      </c>
      <c r="BM27" s="91" t="s">
        <v>231</v>
      </c>
      <c r="BN27" s="136">
        <f>B30</f>
        <v>1.04753425E-2</v>
      </c>
      <c r="BO27" s="52" t="s">
        <v>60</v>
      </c>
      <c r="BS27" s="94" t="s">
        <v>295</v>
      </c>
      <c r="BT27" s="150">
        <f>B278</f>
        <v>222.01757699999999</v>
      </c>
      <c r="BU27" s="90" t="s">
        <v>296</v>
      </c>
      <c r="BW27" s="138">
        <v>1000</v>
      </c>
      <c r="BX27" s="52" t="s">
        <v>218</v>
      </c>
      <c r="BY27" s="83" t="s">
        <v>90</v>
      </c>
      <c r="BZ27" s="150">
        <f>B117</f>
        <v>5</v>
      </c>
      <c r="CA27" s="52" t="s">
        <v>194</v>
      </c>
      <c r="CB27" s="52" t="s">
        <v>51</v>
      </c>
      <c r="CC27" s="138">
        <f>B127</f>
        <v>1</v>
      </c>
      <c r="CD27" s="52" t="s">
        <v>146</v>
      </c>
      <c r="CE27" s="52" t="s">
        <v>51</v>
      </c>
      <c r="CF27" s="138">
        <f>B127</f>
        <v>1</v>
      </c>
      <c r="CG27" s="52" t="s">
        <v>146</v>
      </c>
      <c r="CK27" s="94" t="s">
        <v>295</v>
      </c>
      <c r="CL27" s="150">
        <f>B278</f>
        <v>222.01757699999999</v>
      </c>
      <c r="CM27" s="90" t="s">
        <v>296</v>
      </c>
      <c r="CN27" s="52" t="s">
        <v>392</v>
      </c>
      <c r="CO27" s="162">
        <f>B48</f>
        <v>0.25</v>
      </c>
      <c r="CT27" s="83" t="s">
        <v>449</v>
      </c>
      <c r="CU27" s="146">
        <f>B141</f>
        <v>100</v>
      </c>
      <c r="CV27" s="84" t="s">
        <v>48</v>
      </c>
      <c r="CW27" s="94" t="s">
        <v>295</v>
      </c>
      <c r="CX27" s="150">
        <f>B278</f>
        <v>222.01757699999999</v>
      </c>
      <c r="CY27" s="90" t="s">
        <v>296</v>
      </c>
      <c r="CZ27" s="92" t="s">
        <v>451</v>
      </c>
      <c r="DA27" s="142">
        <f t="shared" ref="DA27:DA34" si="0">B143</f>
        <v>0.25</v>
      </c>
      <c r="DB27" s="83" t="s">
        <v>28</v>
      </c>
      <c r="DG27" s="138"/>
      <c r="DW27" s="88"/>
      <c r="DX27" s="88"/>
      <c r="DY27" s="88"/>
      <c r="DZ27" s="88"/>
      <c r="EA27" s="83"/>
      <c r="EB27" s="85"/>
      <c r="ED27" s="83" t="s">
        <v>517</v>
      </c>
      <c r="EE27" s="136">
        <f>B36</f>
        <v>0</v>
      </c>
      <c r="EF27" s="52" t="s">
        <v>601</v>
      </c>
      <c r="EP27" s="83"/>
      <c r="EQ27" s="86"/>
      <c r="ES27" s="83" t="s">
        <v>236</v>
      </c>
      <c r="ET27" s="169">
        <f>B37</f>
        <v>0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B39</f>
        <v>0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B38</f>
        <v>0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B40</f>
        <v>0</v>
      </c>
      <c r="HC27" s="52" t="s">
        <v>388</v>
      </c>
      <c r="HD27" s="83" t="s">
        <v>22</v>
      </c>
      <c r="HE27" s="137">
        <f>0.693/HE29</f>
        <v>66.155354824913829</v>
      </c>
    </row>
    <row r="28" spans="1:214" x14ac:dyDescent="0.2">
      <c r="A28" s="91" t="s">
        <v>257</v>
      </c>
      <c r="B28" s="183">
        <v>7.02368E-3</v>
      </c>
      <c r="C28" s="84" t="s">
        <v>259</v>
      </c>
      <c r="D28" s="84" t="s">
        <v>293</v>
      </c>
      <c r="E28" s="85">
        <f>B279</f>
        <v>2.8000000000000001E-15</v>
      </c>
      <c r="G28" s="83" t="s">
        <v>65</v>
      </c>
      <c r="H28" s="141">
        <f>B75</f>
        <v>0.5</v>
      </c>
      <c r="I28" s="52" t="s">
        <v>66</v>
      </c>
      <c r="J28" s="83" t="s">
        <v>447</v>
      </c>
      <c r="K28" s="149">
        <f>(K31*K29*K51)+(K32*K30*K52)</f>
        <v>8250</v>
      </c>
      <c r="L28" s="92" t="s">
        <v>347</v>
      </c>
      <c r="M28" s="52" t="s">
        <v>382</v>
      </c>
      <c r="N28" s="138">
        <f>B68</f>
        <v>150</v>
      </c>
      <c r="O28" s="52" t="s">
        <v>24</v>
      </c>
      <c r="P28" s="52" t="s">
        <v>382</v>
      </c>
      <c r="Q28" s="138">
        <f>B68</f>
        <v>150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B237</f>
        <v>125</v>
      </c>
      <c r="AK28" s="52" t="s">
        <v>24</v>
      </c>
      <c r="AL28" s="52" t="s">
        <v>35</v>
      </c>
      <c r="AM28" s="138">
        <f>B237</f>
        <v>125</v>
      </c>
      <c r="AN28" s="52" t="s">
        <v>24</v>
      </c>
      <c r="AR28" s="52" t="s">
        <v>423</v>
      </c>
      <c r="AS28" s="138">
        <f>B247</f>
        <v>125</v>
      </c>
      <c r="AT28" s="52" t="s">
        <v>24</v>
      </c>
      <c r="AU28" s="52" t="s">
        <v>423</v>
      </c>
      <c r="AV28" s="138">
        <f>B247</f>
        <v>125</v>
      </c>
      <c r="AW28" s="52" t="s">
        <v>24</v>
      </c>
      <c r="BA28" s="52" t="s">
        <v>316</v>
      </c>
      <c r="BB28" s="138">
        <f>B227</f>
        <v>125</v>
      </c>
      <c r="BC28" s="52" t="s">
        <v>24</v>
      </c>
      <c r="BD28" s="52" t="s">
        <v>316</v>
      </c>
      <c r="BE28" s="138">
        <f>B227</f>
        <v>125</v>
      </c>
      <c r="BF28" s="52" t="s">
        <v>24</v>
      </c>
      <c r="BJ28" s="52" t="s">
        <v>191</v>
      </c>
      <c r="BK28" s="138">
        <f>BK29*BK30</f>
        <v>75</v>
      </c>
      <c r="BL28" s="52" t="s">
        <v>24</v>
      </c>
      <c r="BM28" s="52" t="s">
        <v>191</v>
      </c>
      <c r="BN28" s="138">
        <f>BN29*BN30</f>
        <v>75</v>
      </c>
      <c r="BO28" s="52" t="s">
        <v>24</v>
      </c>
      <c r="BS28" s="84" t="s">
        <v>293</v>
      </c>
      <c r="BT28" s="85">
        <f>B279</f>
        <v>2.8000000000000001E-15</v>
      </c>
      <c r="BV28" s="83"/>
      <c r="BW28" s="146">
        <v>365</v>
      </c>
      <c r="BX28" s="84" t="s">
        <v>24</v>
      </c>
      <c r="BY28" s="83" t="s">
        <v>302</v>
      </c>
      <c r="BZ28" s="161">
        <f>B3</f>
        <v>6.8000000000000005E-2</v>
      </c>
      <c r="CB28" s="52" t="s">
        <v>300</v>
      </c>
      <c r="CC28" s="136">
        <f>B12</f>
        <v>2.2499999999999999E-2</v>
      </c>
      <c r="CE28" s="52" t="s">
        <v>300</v>
      </c>
      <c r="CF28" s="136">
        <f>B8</f>
        <v>4.2700000000000002E-2</v>
      </c>
      <c r="CK28" s="84" t="s">
        <v>293</v>
      </c>
      <c r="CL28" s="85">
        <f>B280</f>
        <v>2.7955176153748299E-12</v>
      </c>
      <c r="CN28" s="52" t="s">
        <v>165</v>
      </c>
      <c r="CO28" s="162">
        <f>B135</f>
        <v>2</v>
      </c>
      <c r="CP28" s="52" t="s">
        <v>246</v>
      </c>
      <c r="CT28" s="83" t="s">
        <v>458</v>
      </c>
      <c r="CU28" s="146">
        <f>B142</f>
        <v>50</v>
      </c>
      <c r="CV28" s="84" t="s">
        <v>48</v>
      </c>
      <c r="CW28" s="84" t="s">
        <v>293</v>
      </c>
      <c r="CX28" s="85">
        <f>B279</f>
        <v>2.8000000000000001E-15</v>
      </c>
      <c r="CZ28" s="92" t="s">
        <v>460</v>
      </c>
      <c r="DA28" s="142">
        <f t="shared" si="0"/>
        <v>1.5</v>
      </c>
      <c r="DB28" s="83" t="s">
        <v>28</v>
      </c>
      <c r="DW28" s="88"/>
      <c r="DX28" s="88"/>
      <c r="DY28" s="88"/>
      <c r="DZ28" s="88"/>
      <c r="ET28" s="138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227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D28" s="52" t="s">
        <v>16</v>
      </c>
      <c r="HE28" s="137">
        <f>1-EXP(-HE27*HE32)</f>
        <v>1</v>
      </c>
    </row>
    <row r="29" spans="1:214" ht="15.75" thickBot="1" x14ac:dyDescent="0.25">
      <c r="A29" s="83" t="s">
        <v>258</v>
      </c>
      <c r="B29" s="183">
        <v>0</v>
      </c>
      <c r="C29" s="92" t="s">
        <v>259</v>
      </c>
      <c r="G29" s="83" t="s">
        <v>380</v>
      </c>
      <c r="H29" s="150">
        <f>B66</f>
        <v>150</v>
      </c>
      <c r="I29" s="83" t="s">
        <v>24</v>
      </c>
      <c r="J29" s="83" t="s">
        <v>401</v>
      </c>
      <c r="K29" s="146">
        <f>B59</f>
        <v>55</v>
      </c>
      <c r="L29" s="92" t="s">
        <v>221</v>
      </c>
      <c r="M29" s="52" t="s">
        <v>379</v>
      </c>
      <c r="N29" s="138">
        <f>B65</f>
        <v>1</v>
      </c>
      <c r="O29" s="52" t="s">
        <v>146</v>
      </c>
      <c r="P29" s="52" t="s">
        <v>379</v>
      </c>
      <c r="Q29" s="138">
        <f>B65</f>
        <v>1</v>
      </c>
      <c r="R29" s="52" t="s">
        <v>146</v>
      </c>
      <c r="V29" s="83" t="s">
        <v>22</v>
      </c>
      <c r="W29" s="137">
        <f>0.693/W30</f>
        <v>66.155354824913829</v>
      </c>
      <c r="Y29" s="83" t="s">
        <v>22</v>
      </c>
      <c r="Z29" s="137">
        <f>0.693/Z30</f>
        <v>66.155354824913829</v>
      </c>
      <c r="AB29" s="83" t="s">
        <v>260</v>
      </c>
      <c r="AC29" s="143" t="e">
        <f>((AC5/(AC8*AC13*AC7*AC9*(1/AC6)))*AC27)*AC35*AC36*AC25</f>
        <v>#DIV/0!</v>
      </c>
      <c r="AD29" s="143" t="e">
        <f>((AD5/(AD8*AD13*AD7*AD9*(1/AD6)))*AD27)*AD35*AD36*AD25</f>
        <v>#DIV/0!</v>
      </c>
      <c r="AE29" s="143" t="e">
        <f>((AE5/(AE8*AE13*AE7*AE9*(1/AE6)))*AE27)*AE35*AE36*AE25</f>
        <v>#DIV/0!</v>
      </c>
      <c r="AF29" s="143" t="e">
        <f>((AF5*AF23*AF24)/((1-EXP(-AF24*AF23))*AF8*AF7*AF9*AF13*(1/AF28)))*AF35*AF36*AF25</f>
        <v>#DIV/0!</v>
      </c>
      <c r="AG29" s="143" t="e">
        <f>((AG5*AG23*AG24)/((1-EXP(-AG24*AG23))*AG8*AG7*AG9*AG13*(1/AG28)))*AG35*AG36*AG25</f>
        <v>#DIV/0!</v>
      </c>
      <c r="AH29" s="83" t="s">
        <v>12</v>
      </c>
      <c r="AI29" s="52" t="s">
        <v>420</v>
      </c>
      <c r="AJ29" s="138">
        <f>B238</f>
        <v>1</v>
      </c>
      <c r="AK29" s="52" t="s">
        <v>146</v>
      </c>
      <c r="AL29" s="52" t="s">
        <v>420</v>
      </c>
      <c r="AM29" s="138">
        <f>B238</f>
        <v>1</v>
      </c>
      <c r="AN29" s="52" t="s">
        <v>146</v>
      </c>
      <c r="AR29" s="52" t="s">
        <v>424</v>
      </c>
      <c r="AS29" s="138">
        <f>B248</f>
        <v>1</v>
      </c>
      <c r="AT29" s="52" t="s">
        <v>146</v>
      </c>
      <c r="AU29" s="52" t="s">
        <v>424</v>
      </c>
      <c r="AV29" s="138">
        <f>B248</f>
        <v>1</v>
      </c>
      <c r="AW29" s="52" t="s">
        <v>146</v>
      </c>
      <c r="BA29" s="52" t="s">
        <v>422</v>
      </c>
      <c r="BB29" s="138">
        <f>B228</f>
        <v>1</v>
      </c>
      <c r="BC29" s="52" t="s">
        <v>146</v>
      </c>
      <c r="BD29" s="52" t="s">
        <v>422</v>
      </c>
      <c r="BE29" s="138">
        <f>B228</f>
        <v>1</v>
      </c>
      <c r="BF29" s="52" t="s">
        <v>146</v>
      </c>
      <c r="BJ29" s="52" t="s">
        <v>220</v>
      </c>
      <c r="BK29" s="138">
        <f>B266</f>
        <v>25</v>
      </c>
      <c r="BL29" s="52" t="s">
        <v>113</v>
      </c>
      <c r="BM29" s="52" t="s">
        <v>220</v>
      </c>
      <c r="BN29" s="138">
        <f>B266</f>
        <v>25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61">
        <f>B4</f>
        <v>0.75600000000000001</v>
      </c>
      <c r="CB29" s="52" t="s">
        <v>411</v>
      </c>
      <c r="CC29" s="136">
        <f>B13</f>
        <v>0.46300000000000002</v>
      </c>
      <c r="CE29" s="52" t="s">
        <v>418</v>
      </c>
      <c r="CF29" s="136">
        <f>B9</f>
        <v>0.72299999999999998</v>
      </c>
      <c r="CN29" s="52" t="s">
        <v>166</v>
      </c>
      <c r="CO29" s="162">
        <f>B136</f>
        <v>2</v>
      </c>
      <c r="CP29" s="52" t="s">
        <v>246</v>
      </c>
      <c r="CT29" s="83" t="s">
        <v>450</v>
      </c>
      <c r="CU29" s="141">
        <f>B145</f>
        <v>5</v>
      </c>
      <c r="CV29" s="92" t="s">
        <v>407</v>
      </c>
      <c r="CZ29" s="92" t="s">
        <v>450</v>
      </c>
      <c r="DA29" s="142">
        <f t="shared" si="0"/>
        <v>5</v>
      </c>
      <c r="DB29" s="83" t="s">
        <v>143</v>
      </c>
      <c r="DW29" s="88"/>
      <c r="DX29" s="88"/>
      <c r="DY29" s="88"/>
      <c r="DZ29" s="88"/>
      <c r="ET29" s="13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B30</f>
        <v>1.04753425E-2</v>
      </c>
      <c r="HF29" s="52" t="s">
        <v>60</v>
      </c>
    </row>
    <row r="30" spans="1:214" ht="19.5" thickTop="1" thickBot="1" x14ac:dyDescent="0.25">
      <c r="A30" s="91" t="s">
        <v>231</v>
      </c>
      <c r="B30" s="183">
        <v>1.04753425E-2</v>
      </c>
      <c r="C30" s="52" t="s">
        <v>235</v>
      </c>
      <c r="D30" s="353" t="s">
        <v>528</v>
      </c>
      <c r="E30" s="354"/>
      <c r="F30" s="355"/>
      <c r="G30" s="83" t="s">
        <v>381</v>
      </c>
      <c r="H30" s="150">
        <f>B67</f>
        <v>150</v>
      </c>
      <c r="I30" s="83" t="s">
        <v>24</v>
      </c>
      <c r="J30" s="83" t="s">
        <v>402</v>
      </c>
      <c r="K30" s="146">
        <f>B60</f>
        <v>55</v>
      </c>
      <c r="L30" s="92" t="s">
        <v>221</v>
      </c>
      <c r="M30" s="52" t="s">
        <v>299</v>
      </c>
      <c r="N30" s="138">
        <f>B73</f>
        <v>1</v>
      </c>
      <c r="P30" s="52" t="s">
        <v>299</v>
      </c>
      <c r="Q30" s="138">
        <f>B73</f>
        <v>1</v>
      </c>
      <c r="V30" s="91" t="s">
        <v>231</v>
      </c>
      <c r="W30" s="136">
        <f>B30</f>
        <v>1.04753425E-2</v>
      </c>
      <c r="X30" s="52" t="s">
        <v>60</v>
      </c>
      <c r="Y30" s="91" t="s">
        <v>231</v>
      </c>
      <c r="Z30" s="136">
        <f>B30</f>
        <v>1.04753425E-2</v>
      </c>
      <c r="AA30" s="52" t="s">
        <v>60</v>
      </c>
      <c r="AB30" s="83" t="s">
        <v>261</v>
      </c>
      <c r="AC30" s="144">
        <f>((AC5/(AC19*AC15*AC7*AC9*(1/AC32)*((8/1)/(24/1))*AC28))*AC27)*AC35*AC36*AC25</f>
        <v>2.2451407719046436E-3</v>
      </c>
      <c r="AD30" s="144">
        <f>((AD5/(AD19*AD15*AD7*((8/1)/(24/1))*AD9*(1/AD32)*AD28))*AD27)*AD35*AD36*AD25</f>
        <v>2.2451407719046436E-3</v>
      </c>
      <c r="AE30" s="144">
        <f>((AE5/(AE19*AE15*AE7*((8/1)/(24/1))*AE9*(1/AE32)*AE28))*AE27)*AE35*AE36*AE25</f>
        <v>2.2451407719046436E-3</v>
      </c>
      <c r="AF30" s="144">
        <f>((AF5*AF23*AF24)/((1-EXP(-AF24*AF23))*AF19*AF7*AF9*(AF12/24)*AF15*(1/AF33)*AF28))*AF35*AF36*AF25</f>
        <v>2.051011865321181E-6</v>
      </c>
      <c r="AG30" s="144">
        <f>((AG5*AG23*AG24)/((1-EXP(-AG24*AG23))*AG19*AG7*AG9*(AG12/24)*AG15*(1/AG34)*AG28))*AG35*AG36*AG25</f>
        <v>1.8381392504968853E-4</v>
      </c>
      <c r="AH30" s="83" t="s">
        <v>12</v>
      </c>
      <c r="AI30" s="52" t="s">
        <v>299</v>
      </c>
      <c r="AJ30" s="138">
        <f>B241</f>
        <v>1</v>
      </c>
      <c r="AL30" s="52" t="s">
        <v>299</v>
      </c>
      <c r="AM30" s="138">
        <f>B241</f>
        <v>1</v>
      </c>
      <c r="AR30" s="52" t="s">
        <v>299</v>
      </c>
      <c r="AS30" s="138">
        <f>B251</f>
        <v>1</v>
      </c>
      <c r="AV30" s="138"/>
      <c r="BA30" s="52" t="s">
        <v>299</v>
      </c>
      <c r="BB30" s="138">
        <f>B231</f>
        <v>1</v>
      </c>
      <c r="BD30" s="52" t="s">
        <v>299</v>
      </c>
      <c r="BE30" s="138">
        <f>B231</f>
        <v>1</v>
      </c>
      <c r="BJ30" s="52" t="s">
        <v>219</v>
      </c>
      <c r="BK30" s="138">
        <f>B265</f>
        <v>3</v>
      </c>
      <c r="BL30" s="52" t="s">
        <v>112</v>
      </c>
      <c r="BM30" s="52" t="s">
        <v>219</v>
      </c>
      <c r="BN30" s="138">
        <f>B265</f>
        <v>3</v>
      </c>
      <c r="BO30" s="52" t="s">
        <v>112</v>
      </c>
      <c r="BS30" s="91"/>
      <c r="BT30" s="97"/>
      <c r="BU30" s="91"/>
      <c r="BV30" s="91" t="s">
        <v>308</v>
      </c>
      <c r="BW30" s="146">
        <f>B111</f>
        <v>0.23</v>
      </c>
      <c r="BY30" s="94" t="s">
        <v>95</v>
      </c>
      <c r="BZ30" s="150">
        <f>B127</f>
        <v>1</v>
      </c>
      <c r="CA30" s="94" t="s">
        <v>60</v>
      </c>
      <c r="CB30" s="52" t="s">
        <v>90</v>
      </c>
      <c r="CC30" s="138">
        <f>B118</f>
        <v>5</v>
      </c>
      <c r="CD30" s="52" t="s">
        <v>194</v>
      </c>
      <c r="CE30" s="52" t="s">
        <v>90</v>
      </c>
      <c r="CF30" s="138">
        <f>B118</f>
        <v>5</v>
      </c>
      <c r="CG30" s="52" t="s">
        <v>194</v>
      </c>
      <c r="CM30" s="83"/>
      <c r="CN30" s="93" t="s">
        <v>167</v>
      </c>
      <c r="CO30" s="162">
        <f>B137</f>
        <v>2</v>
      </c>
      <c r="CP30" s="52" t="s">
        <v>41</v>
      </c>
      <c r="CQ30" s="88"/>
      <c r="CR30" s="83"/>
      <c r="CS30" s="83"/>
      <c r="CT30" s="83" t="s">
        <v>459</v>
      </c>
      <c r="CU30" s="141">
        <f>B146</f>
        <v>10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10</v>
      </c>
      <c r="DB30" s="83" t="s">
        <v>143</v>
      </c>
      <c r="DW30" s="88"/>
      <c r="DX30" s="88"/>
      <c r="DY30" s="88"/>
      <c r="DZ30" s="88"/>
      <c r="ET30" s="13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B93</f>
        <v>0.3</v>
      </c>
    </row>
    <row r="31" spans="1:214" x14ac:dyDescent="0.2">
      <c r="A31" s="91" t="s">
        <v>77</v>
      </c>
      <c r="B31" s="183">
        <f>PEF!D3</f>
        <v>1359344473.5814338</v>
      </c>
      <c r="C31" s="52" t="s">
        <v>524</v>
      </c>
      <c r="D31" s="323" t="s">
        <v>530</v>
      </c>
      <c r="E31" s="347" t="e">
        <f>E38</f>
        <v>#DIV/0!</v>
      </c>
      <c r="F31" s="345" t="s">
        <v>12</v>
      </c>
      <c r="G31" s="83" t="s">
        <v>379</v>
      </c>
      <c r="H31" s="150">
        <f>B65</f>
        <v>1</v>
      </c>
      <c r="I31" s="84" t="s">
        <v>60</v>
      </c>
      <c r="J31" s="83" t="s">
        <v>380</v>
      </c>
      <c r="K31" s="150">
        <f>B66</f>
        <v>150</v>
      </c>
      <c r="L31" s="83" t="s">
        <v>24</v>
      </c>
      <c r="M31" s="52" t="s">
        <v>300</v>
      </c>
      <c r="N31" s="136">
        <f>B12</f>
        <v>2.2499999999999999E-2</v>
      </c>
      <c r="P31" s="52" t="s">
        <v>300</v>
      </c>
      <c r="Q31" s="136">
        <f>B8</f>
        <v>4.2700000000000002E-2</v>
      </c>
      <c r="V31" s="52" t="s">
        <v>35</v>
      </c>
      <c r="W31" s="138">
        <f>B237</f>
        <v>125</v>
      </c>
      <c r="X31" s="52" t="s">
        <v>24</v>
      </c>
      <c r="Y31" s="52" t="s">
        <v>191</v>
      </c>
      <c r="Z31" s="138">
        <f>B257</f>
        <v>125</v>
      </c>
      <c r="AA31" s="52" t="s">
        <v>24</v>
      </c>
      <c r="AB31" s="83" t="s">
        <v>262</v>
      </c>
      <c r="AC31" s="145">
        <f>((AC5*AC23*AC24)/((1-EXP(-AC24*AC23))*AC18*AC7*(1/365)*AC12*(1/24)*AC14*AC17))*AC35*AC36*AC25</f>
        <v>3.4417118030696015E-5</v>
      </c>
      <c r="AD31" s="145">
        <f>((AD5*AD23*AD24)/((1-EXP(-AD24*AD23))*AD18*AD7*(1/365)*AD12*(1/24)*AD16*AD17))*AD35*AD36*AD25</f>
        <v>2.3403640260873298E-6</v>
      </c>
      <c r="AE31" s="145">
        <f>((AE5*AE23*AE24)/((1-EXP(-AE24*AE23))*AE18*AE7*(1/365)*AE12*(1/24)*AE14*AE17))*AE35*AE36*AE25</f>
        <v>3.4417118030696015E-5</v>
      </c>
      <c r="AF31" s="145">
        <f>((AF5*AF23*AF24)/((1-EXP(-AF24*AF23))*AF18*(AF11*AF10)*(1/365)*AF12*(1/24)*AF14*AF17))*AF35*AF36*AF25</f>
        <v>9.1778981415189392E-5</v>
      </c>
      <c r="AG31" s="145">
        <f>((AG5*AG23*AG24)/((1-EXP(-AG24*AG23))*AG18*AG7*(1/365)*AG9*(AG12/24)*AG14*AG17))*AG35*AG36*AG25</f>
        <v>5.506738884911362E-5</v>
      </c>
      <c r="AH31" s="83" t="s">
        <v>12</v>
      </c>
      <c r="AI31" s="52" t="s">
        <v>300</v>
      </c>
      <c r="AJ31" s="136">
        <f>B12</f>
        <v>2.2499999999999999E-2</v>
      </c>
      <c r="AL31" s="52" t="s">
        <v>300</v>
      </c>
      <c r="AM31" s="136">
        <f>B8</f>
        <v>4.2700000000000002E-2</v>
      </c>
      <c r="AR31" s="52" t="s">
        <v>300</v>
      </c>
      <c r="AS31" s="136">
        <f>B12</f>
        <v>2.2499999999999999E-2</v>
      </c>
      <c r="AU31" s="52" t="s">
        <v>300</v>
      </c>
      <c r="AV31" s="136">
        <f>B8</f>
        <v>4.2700000000000002E-2</v>
      </c>
      <c r="BA31" s="52" t="s">
        <v>300</v>
      </c>
      <c r="BB31" s="136">
        <f>B12</f>
        <v>2.2499999999999999E-2</v>
      </c>
      <c r="BD31" s="52" t="s">
        <v>300</v>
      </c>
      <c r="BE31" s="136">
        <f>B8</f>
        <v>4.2700000000000002E-2</v>
      </c>
      <c r="BJ31" s="52" t="s">
        <v>158</v>
      </c>
      <c r="BK31" s="138">
        <f>B258</f>
        <v>1</v>
      </c>
      <c r="BL31" s="52" t="s">
        <v>146</v>
      </c>
      <c r="BM31" s="52" t="s">
        <v>158</v>
      </c>
      <c r="BN31" s="138">
        <f>B258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B112</f>
        <v>0.77</v>
      </c>
      <c r="BZ31" s="150">
        <v>365</v>
      </c>
      <c r="CA31" s="52" t="s">
        <v>24</v>
      </c>
      <c r="CB31" s="52" t="s">
        <v>410</v>
      </c>
      <c r="CC31" s="139">
        <f>B23</f>
        <v>4.3486799999999998E-4</v>
      </c>
      <c r="CD31" s="84" t="s">
        <v>353</v>
      </c>
      <c r="CE31" s="52" t="s">
        <v>419</v>
      </c>
      <c r="CF31" s="139">
        <f>B25</f>
        <v>1.2571640000000001E-3</v>
      </c>
      <c r="CG31" s="84" t="s">
        <v>353</v>
      </c>
      <c r="CM31" s="83"/>
      <c r="CN31" s="83" t="s">
        <v>168</v>
      </c>
      <c r="CO31" s="162">
        <f>B138</f>
        <v>2</v>
      </c>
      <c r="CP31" s="52" t="s">
        <v>41</v>
      </c>
      <c r="CQ31" s="83"/>
      <c r="CR31" s="83"/>
      <c r="CS31" s="83"/>
      <c r="CT31" s="83" t="s">
        <v>456</v>
      </c>
      <c r="CU31" s="150">
        <f>B165</f>
        <v>150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55</v>
      </c>
      <c r="DB31" s="83" t="s">
        <v>221</v>
      </c>
      <c r="DW31" s="88"/>
      <c r="DX31" s="88"/>
      <c r="DY31" s="88"/>
      <c r="DZ31" s="88"/>
      <c r="ET31" s="13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B94</f>
        <v>1.5</v>
      </c>
    </row>
    <row r="32" spans="1:214" ht="13.5" thickBot="1" x14ac:dyDescent="0.25">
      <c r="A32" s="91" t="s">
        <v>103</v>
      </c>
      <c r="B32" s="183">
        <f>PEF!G3</f>
        <v>776129.4078035407</v>
      </c>
      <c r="C32" s="52" t="s">
        <v>524</v>
      </c>
      <c r="D32" s="324"/>
      <c r="E32" s="348"/>
      <c r="F32" s="346"/>
      <c r="G32" s="52" t="s">
        <v>403</v>
      </c>
      <c r="H32" s="138">
        <f>B69</f>
        <v>0.25</v>
      </c>
      <c r="I32" s="52" t="s">
        <v>89</v>
      </c>
      <c r="J32" s="83" t="s">
        <v>381</v>
      </c>
      <c r="K32" s="150">
        <f>B67</f>
        <v>150</v>
      </c>
      <c r="L32" s="83" t="s">
        <v>24</v>
      </c>
      <c r="M32" s="52" t="s">
        <v>54</v>
      </c>
      <c r="N32" s="136">
        <f>B13</f>
        <v>0.46300000000000002</v>
      </c>
      <c r="P32" s="52" t="s">
        <v>54</v>
      </c>
      <c r="Q32" s="136">
        <f>B9</f>
        <v>0.72299999999999998</v>
      </c>
      <c r="V32" s="52" t="s">
        <v>420</v>
      </c>
      <c r="W32" s="138">
        <f>B238</f>
        <v>1</v>
      </c>
      <c r="X32" s="52" t="s">
        <v>146</v>
      </c>
      <c r="Y32" s="52" t="s">
        <v>158</v>
      </c>
      <c r="Z32" s="138">
        <f>B258</f>
        <v>1</v>
      </c>
      <c r="AA32" s="52" t="s">
        <v>146</v>
      </c>
      <c r="AB32" s="83" t="s">
        <v>77</v>
      </c>
      <c r="AC32" s="136">
        <f>B31</f>
        <v>1359344473.5814338</v>
      </c>
      <c r="AD32" s="136">
        <f>B31</f>
        <v>1359344473.5814338</v>
      </c>
      <c r="AE32" s="136">
        <f>B31</f>
        <v>1359344473.5814338</v>
      </c>
      <c r="AF32" s="136"/>
      <c r="AG32" s="136"/>
      <c r="AH32" s="104" t="s">
        <v>78</v>
      </c>
      <c r="AI32" s="52" t="s">
        <v>54</v>
      </c>
      <c r="AJ32" s="136">
        <f>B13</f>
        <v>0.46300000000000002</v>
      </c>
      <c r="AL32" s="52" t="s">
        <v>54</v>
      </c>
      <c r="AM32" s="136">
        <f>B9</f>
        <v>0.72299999999999998</v>
      </c>
      <c r="AR32" s="52" t="s">
        <v>54</v>
      </c>
      <c r="AS32" s="136">
        <f>B13</f>
        <v>0.46300000000000002</v>
      </c>
      <c r="AU32" s="52" t="s">
        <v>54</v>
      </c>
      <c r="AV32" s="136">
        <f>B9</f>
        <v>0.72299999999999998</v>
      </c>
      <c r="BA32" s="52" t="s">
        <v>54</v>
      </c>
      <c r="BB32" s="136">
        <f>B13</f>
        <v>0.46300000000000002</v>
      </c>
      <c r="BD32" s="52" t="s">
        <v>54</v>
      </c>
      <c r="BE32" s="136">
        <f>B9</f>
        <v>0.72299999999999998</v>
      </c>
      <c r="BJ32" s="52" t="s">
        <v>300</v>
      </c>
      <c r="BK32" s="136">
        <f>B12</f>
        <v>2.2499999999999999E-2</v>
      </c>
      <c r="BM32" s="52" t="s">
        <v>300</v>
      </c>
      <c r="BN32" s="136">
        <f>B8</f>
        <v>4.2700000000000002E-2</v>
      </c>
      <c r="BS32" s="91"/>
      <c r="BT32" s="99"/>
      <c r="BU32" s="100"/>
      <c r="BV32" s="94" t="s">
        <v>295</v>
      </c>
      <c r="BW32" s="150">
        <f>B278</f>
        <v>222.01757699999999</v>
      </c>
      <c r="BX32" s="90" t="s">
        <v>296</v>
      </c>
      <c r="BZ32" s="138">
        <v>1000</v>
      </c>
      <c r="CA32" s="52" t="s">
        <v>99</v>
      </c>
      <c r="CB32" s="94" t="s">
        <v>295</v>
      </c>
      <c r="CC32" s="150">
        <f>B278</f>
        <v>222.01757699999999</v>
      </c>
      <c r="CD32" s="90" t="s">
        <v>296</v>
      </c>
      <c r="CE32" s="94" t="s">
        <v>295</v>
      </c>
      <c r="CF32" s="150">
        <f>B278</f>
        <v>222.01757699999999</v>
      </c>
      <c r="CG32" s="90" t="s">
        <v>296</v>
      </c>
      <c r="CM32" s="83"/>
      <c r="CN32" s="83" t="s">
        <v>22</v>
      </c>
      <c r="CO32" s="137">
        <f>0.693/CO33</f>
        <v>66.155354824913829</v>
      </c>
      <c r="CR32" s="83"/>
      <c r="CS32" s="83"/>
      <c r="CT32" s="83" t="s">
        <v>465</v>
      </c>
      <c r="CU32" s="150">
        <f>B166</f>
        <v>150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55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15" customHeight="1" thickTop="1" x14ac:dyDescent="0.2">
      <c r="A33" s="91" t="s">
        <v>104</v>
      </c>
      <c r="B33" s="183">
        <f>PEF!J3</f>
        <v>69557565.807898715</v>
      </c>
      <c r="C33" s="52" t="s">
        <v>524</v>
      </c>
      <c r="D33" s="83" t="s">
        <v>267</v>
      </c>
      <c r="E33" s="136">
        <f>B17</f>
        <v>1</v>
      </c>
      <c r="F33" s="52" t="s">
        <v>344</v>
      </c>
      <c r="G33" s="52" t="s">
        <v>404</v>
      </c>
      <c r="H33" s="138">
        <f>B70</f>
        <v>0.75</v>
      </c>
      <c r="I33" s="52" t="s">
        <v>89</v>
      </c>
      <c r="J33" s="83" t="s">
        <v>379</v>
      </c>
      <c r="K33" s="141">
        <f>B65</f>
        <v>1</v>
      </c>
      <c r="L33" s="92" t="s">
        <v>60</v>
      </c>
      <c r="M33" s="52" t="s">
        <v>408</v>
      </c>
      <c r="N33" s="150">
        <f>B88</f>
        <v>5</v>
      </c>
      <c r="O33" s="52" t="s">
        <v>194</v>
      </c>
      <c r="P33" s="52" t="s">
        <v>408</v>
      </c>
      <c r="Q33" s="150">
        <f>B88</f>
        <v>5</v>
      </c>
      <c r="R33" s="52" t="s">
        <v>194</v>
      </c>
      <c r="V33" s="52" t="s">
        <v>247</v>
      </c>
      <c r="W33" s="139">
        <f>B18</f>
        <v>1.25E-4</v>
      </c>
      <c r="X33" s="84" t="s">
        <v>39</v>
      </c>
      <c r="Y33" s="52" t="s">
        <v>247</v>
      </c>
      <c r="Z33" s="139">
        <f>B18</f>
        <v>1.25E-4</v>
      </c>
      <c r="AA33" s="84" t="s">
        <v>39</v>
      </c>
      <c r="AB33" s="104" t="s">
        <v>103</v>
      </c>
      <c r="AC33" s="136"/>
      <c r="AD33" s="136"/>
      <c r="AE33" s="136"/>
      <c r="AF33" s="157">
        <f>B32</f>
        <v>776129.4078035407</v>
      </c>
      <c r="AG33" s="136"/>
      <c r="AH33" s="104" t="s">
        <v>78</v>
      </c>
      <c r="AI33" s="52" t="s">
        <v>57</v>
      </c>
      <c r="AJ33" s="136">
        <f>B242</f>
        <v>5</v>
      </c>
      <c r="AK33" s="52" t="s">
        <v>194</v>
      </c>
      <c r="AL33" s="52" t="s">
        <v>57</v>
      </c>
      <c r="AM33" s="136">
        <f>B242</f>
        <v>5</v>
      </c>
      <c r="AN33" s="52" t="s">
        <v>194</v>
      </c>
      <c r="AR33" s="52" t="s">
        <v>57</v>
      </c>
      <c r="AS33" s="136">
        <f>B252</f>
        <v>5</v>
      </c>
      <c r="AT33" s="52" t="s">
        <v>194</v>
      </c>
      <c r="AU33" s="52" t="s">
        <v>57</v>
      </c>
      <c r="AV33" s="136">
        <f>B252</f>
        <v>5</v>
      </c>
      <c r="AW33" s="52" t="s">
        <v>194</v>
      </c>
      <c r="BA33" s="52" t="s">
        <v>58</v>
      </c>
      <c r="BB33" s="136">
        <f>B232</f>
        <v>5</v>
      </c>
      <c r="BC33" s="52" t="s">
        <v>194</v>
      </c>
      <c r="BD33" s="52" t="s">
        <v>57</v>
      </c>
      <c r="BE33" s="136">
        <f>B232</f>
        <v>5</v>
      </c>
      <c r="BF33" s="52" t="s">
        <v>194</v>
      </c>
      <c r="BJ33" s="52" t="s">
        <v>411</v>
      </c>
      <c r="BK33" s="136">
        <f>B13</f>
        <v>0.46300000000000002</v>
      </c>
      <c r="BM33" s="52" t="s">
        <v>418</v>
      </c>
      <c r="BN33" s="136">
        <f>B9</f>
        <v>0.72299999999999998</v>
      </c>
      <c r="BS33" s="91"/>
      <c r="BT33" s="99"/>
      <c r="BU33" s="100"/>
      <c r="BV33" s="84" t="s">
        <v>293</v>
      </c>
      <c r="BW33" s="85">
        <f>B279</f>
        <v>2.8000000000000001E-15</v>
      </c>
      <c r="BZ33" s="146">
        <v>1000</v>
      </c>
      <c r="CA33" s="52" t="s">
        <v>23</v>
      </c>
      <c r="CB33" s="84" t="s">
        <v>293</v>
      </c>
      <c r="CC33" s="85">
        <f>B280</f>
        <v>2.7955176153748299E-12</v>
      </c>
      <c r="CE33" s="84" t="s">
        <v>293</v>
      </c>
      <c r="CF33" s="85">
        <f>B280</f>
        <v>2.7955176153748299E-12</v>
      </c>
      <c r="CM33" s="83"/>
      <c r="CN33" s="91" t="s">
        <v>231</v>
      </c>
      <c r="CO33" s="136">
        <f>B30</f>
        <v>1.04753425E-2</v>
      </c>
      <c r="CP33" s="52" t="s">
        <v>60</v>
      </c>
      <c r="CR33" s="83"/>
      <c r="CS33" s="83"/>
      <c r="CT33" s="83" t="s">
        <v>363</v>
      </c>
      <c r="CU33" s="141">
        <f t="shared" ref="CU33:CU40" si="1">B168</f>
        <v>1</v>
      </c>
      <c r="CV33" s="92" t="s">
        <v>60</v>
      </c>
      <c r="CZ33" s="92" t="s">
        <v>513</v>
      </c>
      <c r="DA33" s="141">
        <f t="shared" si="0"/>
        <v>55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B92</f>
        <v>70</v>
      </c>
    </row>
    <row r="34" spans="1:214" ht="13.5" customHeight="1" x14ac:dyDescent="0.2">
      <c r="A34" s="91" t="s">
        <v>231</v>
      </c>
      <c r="B34" s="183">
        <f>B30*365</f>
        <v>3.8235000124999998</v>
      </c>
      <c r="C34" s="52" t="s">
        <v>222</v>
      </c>
      <c r="D34" s="83" t="s">
        <v>382</v>
      </c>
      <c r="E34" s="150">
        <f>B68</f>
        <v>150</v>
      </c>
      <c r="F34" s="83" t="s">
        <v>24</v>
      </c>
      <c r="G34" s="83" t="s">
        <v>383</v>
      </c>
      <c r="H34" s="150">
        <f>B71</f>
        <v>24</v>
      </c>
      <c r="I34" s="94" t="s">
        <v>194</v>
      </c>
      <c r="J34" s="83" t="s">
        <v>383</v>
      </c>
      <c r="K34" s="150">
        <f>B71</f>
        <v>24</v>
      </c>
      <c r="L34" s="94" t="s">
        <v>194</v>
      </c>
      <c r="M34" s="52" t="s">
        <v>410</v>
      </c>
      <c r="N34" s="139">
        <f>B23</f>
        <v>4.3486799999999998E-4</v>
      </c>
      <c r="O34" s="84" t="s">
        <v>354</v>
      </c>
      <c r="P34" s="52" t="s">
        <v>419</v>
      </c>
      <c r="Q34" s="139">
        <f>B25</f>
        <v>1.2571640000000001E-3</v>
      </c>
      <c r="R34" s="84" t="s">
        <v>353</v>
      </c>
      <c r="V34" s="52" t="s">
        <v>421</v>
      </c>
      <c r="W34" s="150">
        <f>B243</f>
        <v>5</v>
      </c>
      <c r="X34" s="84" t="s">
        <v>194</v>
      </c>
      <c r="Y34" s="52" t="s">
        <v>192</v>
      </c>
      <c r="Z34" s="150">
        <f>B262</f>
        <v>5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B33</f>
        <v>69557565.807898715</v>
      </c>
      <c r="AH34" s="104" t="s">
        <v>78</v>
      </c>
      <c r="AI34" s="52" t="s">
        <v>410</v>
      </c>
      <c r="AJ34" s="139">
        <f>B23</f>
        <v>4.3486799999999998E-4</v>
      </c>
      <c r="AK34" s="84" t="s">
        <v>353</v>
      </c>
      <c r="AL34" s="52" t="s">
        <v>419</v>
      </c>
      <c r="AM34" s="139">
        <f>B25</f>
        <v>1.2571640000000001E-3</v>
      </c>
      <c r="AN34" s="84" t="s">
        <v>353</v>
      </c>
      <c r="AR34" s="52" t="s">
        <v>410</v>
      </c>
      <c r="AS34" s="139">
        <f>B23</f>
        <v>4.3486799999999998E-4</v>
      </c>
      <c r="AT34" s="84" t="s">
        <v>353</v>
      </c>
      <c r="AU34" s="52" t="s">
        <v>419</v>
      </c>
      <c r="AV34" s="139">
        <f>B25</f>
        <v>1.2571640000000001E-3</v>
      </c>
      <c r="AW34" s="84" t="s">
        <v>353</v>
      </c>
      <c r="BA34" s="52" t="s">
        <v>410</v>
      </c>
      <c r="BB34" s="139">
        <f>B23</f>
        <v>4.3486799999999998E-4</v>
      </c>
      <c r="BC34" s="84" t="s">
        <v>353</v>
      </c>
      <c r="BD34" s="52" t="s">
        <v>419</v>
      </c>
      <c r="BE34" s="139">
        <f>B25</f>
        <v>1.2571640000000001E-3</v>
      </c>
      <c r="BF34" s="84" t="s">
        <v>353</v>
      </c>
      <c r="BJ34" s="52" t="s">
        <v>57</v>
      </c>
      <c r="BK34" s="136">
        <f>B262</f>
        <v>5</v>
      </c>
      <c r="BL34" s="52" t="s">
        <v>194</v>
      </c>
      <c r="BM34" s="52" t="s">
        <v>57</v>
      </c>
      <c r="BN34" s="136">
        <f>B262</f>
        <v>5</v>
      </c>
      <c r="BO34" s="52" t="s">
        <v>194</v>
      </c>
      <c r="BT34" s="102"/>
      <c r="BU34" s="91"/>
      <c r="BV34" s="91" t="s">
        <v>231</v>
      </c>
      <c r="BW34" s="136">
        <f>B30</f>
        <v>1.04753425E-2</v>
      </c>
      <c r="BX34" s="52" t="s">
        <v>60</v>
      </c>
      <c r="BY34" s="91" t="s">
        <v>308</v>
      </c>
      <c r="BZ34" s="146">
        <f>B111</f>
        <v>0.23</v>
      </c>
      <c r="CM34" s="83"/>
      <c r="CN34" s="84" t="s">
        <v>16</v>
      </c>
      <c r="CO34" s="137">
        <f>(CO31*CO32)/(1-EXP(-CO32*CO31))</f>
        <v>132.31070964982766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55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B45</f>
        <v>0</v>
      </c>
    </row>
    <row r="35" spans="1:214" ht="13.15" customHeight="1" x14ac:dyDescent="0.2">
      <c r="A35" s="83" t="s">
        <v>105</v>
      </c>
      <c r="B35" s="182">
        <v>0</v>
      </c>
      <c r="C35" s="84" t="s">
        <v>18</v>
      </c>
      <c r="D35" s="83" t="s">
        <v>258</v>
      </c>
      <c r="E35" s="136">
        <f>B29</f>
        <v>0</v>
      </c>
      <c r="F35" s="83" t="s">
        <v>87</v>
      </c>
      <c r="G35" s="83" t="s">
        <v>384</v>
      </c>
      <c r="H35" s="150">
        <f>B71</f>
        <v>24</v>
      </c>
      <c r="I35" s="52" t="s">
        <v>194</v>
      </c>
      <c r="J35" s="83" t="s">
        <v>384</v>
      </c>
      <c r="K35" s="150">
        <f>B71</f>
        <v>24</v>
      </c>
      <c r="L35" s="52" t="s">
        <v>194</v>
      </c>
      <c r="M35" s="52" t="s">
        <v>409</v>
      </c>
      <c r="N35" s="150">
        <f>B89</f>
        <v>25</v>
      </c>
      <c r="O35" s="52" t="s">
        <v>194</v>
      </c>
      <c r="P35" s="52" t="s">
        <v>409</v>
      </c>
      <c r="Q35" s="150">
        <f>B89</f>
        <v>25</v>
      </c>
      <c r="R35" s="52" t="s">
        <v>194</v>
      </c>
      <c r="V35" s="52" t="s">
        <v>304</v>
      </c>
      <c r="W35" s="146">
        <f>B236</f>
        <v>50</v>
      </c>
      <c r="X35" s="84" t="s">
        <v>407</v>
      </c>
      <c r="Y35" s="52" t="s">
        <v>348</v>
      </c>
      <c r="Z35" s="146">
        <f>B256</f>
        <v>50</v>
      </c>
      <c r="AA35" s="84" t="s">
        <v>407</v>
      </c>
      <c r="AB35" s="84" t="s">
        <v>295</v>
      </c>
      <c r="AC35" s="150">
        <f>B278</f>
        <v>222.01757699999999</v>
      </c>
      <c r="AD35" s="150">
        <f>B278</f>
        <v>222.01757699999999</v>
      </c>
      <c r="AE35" s="150">
        <f>B278</f>
        <v>222.01757699999999</v>
      </c>
      <c r="AF35" s="150">
        <f>B278</f>
        <v>222.01757699999999</v>
      </c>
      <c r="AG35" s="150">
        <f>B278</f>
        <v>222.01757699999999</v>
      </c>
      <c r="AH35" s="52" t="s">
        <v>296</v>
      </c>
      <c r="AI35" s="52" t="s">
        <v>69</v>
      </c>
      <c r="AJ35" s="136">
        <f>B243</f>
        <v>5</v>
      </c>
      <c r="AK35" s="52" t="s">
        <v>194</v>
      </c>
      <c r="AL35" s="52" t="s">
        <v>69</v>
      </c>
      <c r="AM35" s="136">
        <f>B243</f>
        <v>5</v>
      </c>
      <c r="AN35" s="52" t="s">
        <v>194</v>
      </c>
      <c r="AR35" s="52" t="s">
        <v>69</v>
      </c>
      <c r="AS35" s="136">
        <f>B253</f>
        <v>5</v>
      </c>
      <c r="AT35" s="52" t="s">
        <v>194</v>
      </c>
      <c r="AU35" s="52" t="s">
        <v>69</v>
      </c>
      <c r="AV35" s="136">
        <f>B253</f>
        <v>5</v>
      </c>
      <c r="AW35" s="52" t="s">
        <v>194</v>
      </c>
      <c r="BA35" s="52" t="s">
        <v>69</v>
      </c>
      <c r="BB35" s="136">
        <f>B233</f>
        <v>5</v>
      </c>
      <c r="BC35" s="52" t="s">
        <v>194</v>
      </c>
      <c r="BD35" s="52" t="s">
        <v>69</v>
      </c>
      <c r="BE35" s="136">
        <f>B233</f>
        <v>5</v>
      </c>
      <c r="BF35" s="52" t="s">
        <v>194</v>
      </c>
      <c r="BJ35" s="52" t="s">
        <v>410</v>
      </c>
      <c r="BK35" s="139">
        <f>B23</f>
        <v>4.3486799999999998E-4</v>
      </c>
      <c r="BL35" s="84" t="s">
        <v>353</v>
      </c>
      <c r="BM35" s="52" t="s">
        <v>419</v>
      </c>
      <c r="BN35" s="139">
        <f>B25</f>
        <v>1.2571640000000001E-3</v>
      </c>
      <c r="BO35" s="84" t="s">
        <v>353</v>
      </c>
      <c r="BY35" s="91" t="s">
        <v>309</v>
      </c>
      <c r="BZ35" s="146">
        <f>B112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B165</f>
        <v>150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B75</f>
        <v>0.5</v>
      </c>
      <c r="HF35" s="52" t="s">
        <v>355</v>
      </c>
    </row>
    <row r="36" spans="1:214" x14ac:dyDescent="0.2">
      <c r="A36" s="83" t="s">
        <v>239</v>
      </c>
      <c r="B36" s="183">
        <v>0</v>
      </c>
      <c r="C36" s="52" t="s">
        <v>601</v>
      </c>
      <c r="D36" s="83" t="s">
        <v>389</v>
      </c>
      <c r="E36" s="146">
        <f>B90</f>
        <v>1</v>
      </c>
      <c r="G36" s="83" t="s">
        <v>405</v>
      </c>
      <c r="H36" s="138">
        <f>B76</f>
        <v>5</v>
      </c>
      <c r="I36" s="52" t="s">
        <v>80</v>
      </c>
      <c r="J36" s="83" t="s">
        <v>390</v>
      </c>
      <c r="K36" s="141">
        <f>B78</f>
        <v>0.25</v>
      </c>
      <c r="M36" s="84" t="s">
        <v>295</v>
      </c>
      <c r="N36" s="150">
        <f>B278</f>
        <v>222.01757699999999</v>
      </c>
      <c r="O36" s="52" t="s">
        <v>296</v>
      </c>
      <c r="P36" s="84" t="s">
        <v>295</v>
      </c>
      <c r="Q36" s="150">
        <f>B278</f>
        <v>222.01757699999999</v>
      </c>
      <c r="R36" s="52" t="s">
        <v>296</v>
      </c>
      <c r="V36" s="83" t="s">
        <v>256</v>
      </c>
      <c r="W36" s="136">
        <f>B27</f>
        <v>3.2316400000000001</v>
      </c>
      <c r="X36" s="83" t="s">
        <v>343</v>
      </c>
      <c r="Y36" s="83" t="s">
        <v>256</v>
      </c>
      <c r="Z36" s="136">
        <f>B27</f>
        <v>3.2316400000000001</v>
      </c>
      <c r="AA36" s="83" t="s">
        <v>343</v>
      </c>
      <c r="AB36" s="84" t="s">
        <v>293</v>
      </c>
      <c r="AC36" s="136">
        <f>B280</f>
        <v>2.7955176153748299E-12</v>
      </c>
      <c r="AD36" s="136">
        <f>B280</f>
        <v>2.7955176153748299E-12</v>
      </c>
      <c r="AE36" s="136">
        <f>B280</f>
        <v>2.7955176153748299E-12</v>
      </c>
      <c r="AF36" s="136">
        <f>B280</f>
        <v>2.7955176153748299E-12</v>
      </c>
      <c r="AG36" s="136">
        <f>B280</f>
        <v>2.7955176153748299E-12</v>
      </c>
      <c r="AI36" s="84" t="s">
        <v>295</v>
      </c>
      <c r="AJ36" s="150">
        <f>B278</f>
        <v>222.01757699999999</v>
      </c>
      <c r="AK36" s="90" t="s">
        <v>296</v>
      </c>
      <c r="AL36" s="94" t="s">
        <v>295</v>
      </c>
      <c r="AM36" s="150">
        <f>B278</f>
        <v>222.01757699999999</v>
      </c>
      <c r="AN36" s="90" t="s">
        <v>296</v>
      </c>
      <c r="AO36" s="90"/>
      <c r="AP36" s="90"/>
      <c r="AQ36" s="90"/>
      <c r="AR36" s="94" t="s">
        <v>295</v>
      </c>
      <c r="AS36" s="150">
        <f>B278</f>
        <v>222.01757699999999</v>
      </c>
      <c r="AT36" s="90" t="s">
        <v>296</v>
      </c>
      <c r="AU36" s="94" t="s">
        <v>295</v>
      </c>
      <c r="AV36" s="150">
        <f>B278</f>
        <v>222.01757699999999</v>
      </c>
      <c r="AW36" s="90" t="s">
        <v>296</v>
      </c>
      <c r="BA36" s="94" t="s">
        <v>295</v>
      </c>
      <c r="BB36" s="150">
        <f>B278</f>
        <v>222.01757699999999</v>
      </c>
      <c r="BC36" s="90" t="s">
        <v>296</v>
      </c>
      <c r="BD36" s="94" t="s">
        <v>295</v>
      </c>
      <c r="BE36" s="150">
        <f>B278</f>
        <v>222.01757699999999</v>
      </c>
      <c r="BF36" s="90" t="s">
        <v>296</v>
      </c>
      <c r="BJ36" s="94" t="s">
        <v>295</v>
      </c>
      <c r="BK36" s="150">
        <f>B278</f>
        <v>222.01757699999999</v>
      </c>
      <c r="BL36" s="90" t="s">
        <v>296</v>
      </c>
      <c r="BM36" s="94" t="s">
        <v>295</v>
      </c>
      <c r="BN36" s="150">
        <f>B278</f>
        <v>222.01757699999999</v>
      </c>
      <c r="BO36" s="90" t="s">
        <v>296</v>
      </c>
      <c r="BS36" s="100"/>
      <c r="BT36" s="100"/>
      <c r="BU36" s="91"/>
      <c r="BY36" s="94" t="s">
        <v>295</v>
      </c>
      <c r="BZ36" s="150">
        <f>B278</f>
        <v>222.01757699999999</v>
      </c>
      <c r="CA36" s="90" t="s">
        <v>296</v>
      </c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B166</f>
        <v>150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B97</f>
        <v>5</v>
      </c>
      <c r="HF36" s="52" t="s">
        <v>94</v>
      </c>
    </row>
    <row r="37" spans="1:214" ht="12.75" customHeight="1" x14ac:dyDescent="0.2">
      <c r="A37" s="83" t="s">
        <v>236</v>
      </c>
      <c r="B37" s="183">
        <v>0</v>
      </c>
      <c r="C37" s="52" t="s">
        <v>388</v>
      </c>
      <c r="D37" s="83" t="s">
        <v>394</v>
      </c>
      <c r="E37" s="146">
        <f>B56</f>
        <v>35</v>
      </c>
      <c r="F37" s="52" t="s">
        <v>48</v>
      </c>
      <c r="G37" s="83" t="s">
        <v>406</v>
      </c>
      <c r="H37" s="138">
        <f>B77</f>
        <v>5</v>
      </c>
      <c r="I37" s="52" t="s">
        <v>80</v>
      </c>
      <c r="J37" s="83" t="s">
        <v>408</v>
      </c>
      <c r="K37" s="150">
        <f>B88</f>
        <v>5</v>
      </c>
      <c r="L37" s="84" t="s">
        <v>194</v>
      </c>
      <c r="M37" s="84" t="s">
        <v>293</v>
      </c>
      <c r="N37" s="85">
        <f>B280</f>
        <v>2.7955176153748299E-12</v>
      </c>
      <c r="P37" s="84" t="s">
        <v>293</v>
      </c>
      <c r="Q37" s="85">
        <f>B280</f>
        <v>2.7955176153748299E-12</v>
      </c>
      <c r="V37" s="83" t="s">
        <v>301</v>
      </c>
      <c r="W37" s="142">
        <f>B240</f>
        <v>2</v>
      </c>
      <c r="Y37" s="83" t="s">
        <v>301</v>
      </c>
      <c r="Z37" s="142">
        <f>B260</f>
        <v>2</v>
      </c>
      <c r="AI37" s="84" t="s">
        <v>293</v>
      </c>
      <c r="AJ37" s="85">
        <f>B280</f>
        <v>2.7955176153748299E-12</v>
      </c>
      <c r="AL37" s="84" t="s">
        <v>293</v>
      </c>
      <c r="AM37" s="85">
        <f>B280</f>
        <v>2.7955176153748299E-12</v>
      </c>
      <c r="AR37" s="84" t="s">
        <v>293</v>
      </c>
      <c r="AS37" s="85">
        <f>B280</f>
        <v>2.7955176153748299E-12</v>
      </c>
      <c r="AU37" s="84" t="s">
        <v>293</v>
      </c>
      <c r="AV37" s="85">
        <f>B280</f>
        <v>2.7955176153748299E-12</v>
      </c>
      <c r="BA37" s="84" t="s">
        <v>293</v>
      </c>
      <c r="BB37" s="85">
        <f>B280</f>
        <v>2.7955176153748299E-12</v>
      </c>
      <c r="BD37" s="84" t="s">
        <v>293</v>
      </c>
      <c r="BE37" s="85">
        <f>B280</f>
        <v>2.7955176153748299E-12</v>
      </c>
      <c r="BJ37" s="84" t="s">
        <v>293</v>
      </c>
      <c r="BK37" s="85">
        <f>B280</f>
        <v>2.7955176153748299E-12</v>
      </c>
      <c r="BM37" s="84" t="s">
        <v>293</v>
      </c>
      <c r="BN37" s="85">
        <f>B280</f>
        <v>2.7955176153748299E-12</v>
      </c>
      <c r="BS37" s="91"/>
      <c r="BT37" s="91"/>
      <c r="BU37" s="91"/>
      <c r="BY37" s="84" t="s">
        <v>293</v>
      </c>
      <c r="BZ37" s="85">
        <f>B280</f>
        <v>2.7955176153748299E-12</v>
      </c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15</v>
      </c>
      <c r="CV37" s="84" t="s">
        <v>194</v>
      </c>
      <c r="CZ37" s="92" t="s">
        <v>363</v>
      </c>
      <c r="DA37" s="141">
        <f>B168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2.75" customHeight="1" x14ac:dyDescent="0.2">
      <c r="A38" s="83" t="s">
        <v>237</v>
      </c>
      <c r="B38" s="183">
        <v>0</v>
      </c>
      <c r="C38" s="52" t="s">
        <v>388</v>
      </c>
      <c r="D38" s="83" t="s">
        <v>260</v>
      </c>
      <c r="E38" s="152" t="e">
        <f>(E33/(E35*E34*E37*E36))*E39*E40*E41</f>
        <v>#DIV/0!</v>
      </c>
      <c r="F38" s="84" t="s">
        <v>12</v>
      </c>
      <c r="H38" s="138">
        <f>1/1000</f>
        <v>1E-3</v>
      </c>
      <c r="I38" s="52" t="s">
        <v>82</v>
      </c>
      <c r="J38" s="83" t="s">
        <v>409</v>
      </c>
      <c r="K38" s="150">
        <f>B89</f>
        <v>25</v>
      </c>
      <c r="L38" s="84" t="s">
        <v>194</v>
      </c>
      <c r="V38" s="52" t="s">
        <v>261</v>
      </c>
      <c r="W38" s="143">
        <f>((W27)/((W34/24)*W31*W32*W33*W35))*W42*W43*W30</f>
        <v>4.0009657026148401E-14</v>
      </c>
      <c r="X38" s="52" t="s">
        <v>15</v>
      </c>
      <c r="Y38" s="52" t="s">
        <v>261</v>
      </c>
      <c r="Z38" s="143">
        <f>((Z27)/((Z34/24)*Z31*Z32*Z33*Z35))*Z45*Z46*Z30</f>
        <v>4.0009657026148401E-14</v>
      </c>
      <c r="AA38" s="52" t="s">
        <v>15</v>
      </c>
      <c r="AE38" s="352" t="s">
        <v>226</v>
      </c>
      <c r="AF38" s="352"/>
      <c r="AG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5</v>
      </c>
      <c r="CV38" s="84" t="s">
        <v>194</v>
      </c>
      <c r="CZ38" s="92" t="s">
        <v>364</v>
      </c>
      <c r="DA38" s="141">
        <f>B169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B98</f>
        <v>0.18</v>
      </c>
      <c r="HF38" s="52" t="s">
        <v>355</v>
      </c>
    </row>
    <row r="39" spans="1:214" x14ac:dyDescent="0.2">
      <c r="A39" s="83" t="s">
        <v>171</v>
      </c>
      <c r="B39" s="183">
        <v>0</v>
      </c>
      <c r="C39" s="52" t="s">
        <v>388</v>
      </c>
      <c r="D39" s="84" t="s">
        <v>295</v>
      </c>
      <c r="E39" s="150">
        <f>B278</f>
        <v>222.01757699999999</v>
      </c>
      <c r="F39" s="52" t="s">
        <v>296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((W27)/((W34/24)*W31*W36*(1/365)))*W42*W43*W30</f>
        <v>2.8243254227234797E-14</v>
      </c>
      <c r="X39" s="52" t="s">
        <v>15</v>
      </c>
      <c r="Y39" s="52" t="s">
        <v>271</v>
      </c>
      <c r="Z39" s="144">
        <f>((Z27)/((Z34/24)*Z31*Z36*(1/365)))*Z45*Z46*Z30</f>
        <v>2.8243254227234797E-14</v>
      </c>
      <c r="AA39" s="52" t="s">
        <v>15</v>
      </c>
      <c r="AE39" s="352"/>
      <c r="AF39" s="352"/>
      <c r="AG39" s="352"/>
      <c r="BK39" s="352" t="s">
        <v>230</v>
      </c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B170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B99</f>
        <v>55</v>
      </c>
      <c r="HF39" s="52" t="s">
        <v>97</v>
      </c>
    </row>
    <row r="40" spans="1:214" ht="15" customHeight="1" x14ac:dyDescent="0.2">
      <c r="A40" s="83" t="s">
        <v>238</v>
      </c>
      <c r="B40" s="183">
        <v>0</v>
      </c>
      <c r="C40" s="52" t="s">
        <v>388</v>
      </c>
      <c r="D40" s="84" t="s">
        <v>293</v>
      </c>
      <c r="E40" s="85">
        <f>B280</f>
        <v>2.7955176153748299E-12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((W27*W29*W28)/((W34/24)*(1-EXP(-W29*W32))*W33*W35*W31*W32))*W42*W43*W30</f>
        <v>2.6468530569879547E-12</v>
      </c>
      <c r="X40" s="52" t="s">
        <v>16</v>
      </c>
      <c r="Y40" s="52" t="s">
        <v>261</v>
      </c>
      <c r="Z40" s="144">
        <f>((Z27*Z29*Z28)/((Z34/24)*(1-EXP(-Z29*Z32))*Z33*Z35*Z31*Z32))*Z45*Z46*Z30</f>
        <v>2.6468530569879547E-12</v>
      </c>
      <c r="AA40" s="52" t="s">
        <v>16</v>
      </c>
      <c r="AE40" s="352"/>
      <c r="AF40" s="352"/>
      <c r="AG40" s="352"/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1</v>
      </c>
      <c r="CZ40" s="92" t="s">
        <v>457</v>
      </c>
      <c r="DA40" s="141">
        <f>B177</f>
        <v>5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B100</f>
        <v>5</v>
      </c>
      <c r="HF40" s="52" t="s">
        <v>97</v>
      </c>
    </row>
    <row r="41" spans="1:214" x14ac:dyDescent="0.2">
      <c r="A41" s="52" t="s">
        <v>229</v>
      </c>
      <c r="B41" s="183">
        <f>B37</f>
        <v>0</v>
      </c>
      <c r="C41" s="52" t="s">
        <v>388</v>
      </c>
      <c r="D41" s="91" t="s">
        <v>231</v>
      </c>
      <c r="E41" s="85">
        <f>B30</f>
        <v>1.04753425E-2</v>
      </c>
      <c r="F41" s="52" t="s">
        <v>235</v>
      </c>
      <c r="G41" s="83" t="s">
        <v>390</v>
      </c>
      <c r="H41" s="141">
        <f>B78</f>
        <v>0.25</v>
      </c>
      <c r="I41" s="84"/>
      <c r="J41" s="83" t="s">
        <v>302</v>
      </c>
      <c r="K41" s="161">
        <f>B3</f>
        <v>6.8000000000000005E-2</v>
      </c>
      <c r="V41" s="52" t="s">
        <v>271</v>
      </c>
      <c r="W41" s="145">
        <f>((W27*W29*W28)/((W34/24)*(1-EXP(-W29*W28))*W36*W31*(1/365)))*W42*W43*W30</f>
        <v>1.8684425048129652E-12</v>
      </c>
      <c r="X41" s="52" t="s">
        <v>16</v>
      </c>
      <c r="Y41" s="52" t="s">
        <v>271</v>
      </c>
      <c r="Z41" s="145">
        <f>((Z27*Z29*Z28)/((Z34/24)*(1-EXP(-Z29*Z28))*Z36*Z31*(1/365)))*Z45*Z46*Z30</f>
        <v>1.8684425048129652E-12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61">
        <f>B3</f>
        <v>6.8000000000000005E-2</v>
      </c>
      <c r="CZ41" s="92" t="s">
        <v>466</v>
      </c>
      <c r="DA41" s="141">
        <f>B178</f>
        <v>5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B101</f>
        <v>5</v>
      </c>
      <c r="HF41" s="52" t="s">
        <v>97</v>
      </c>
    </row>
    <row r="42" spans="1:214" ht="13.9" customHeight="1" thickBot="1" x14ac:dyDescent="0.25">
      <c r="A42" s="83" t="s">
        <v>228</v>
      </c>
      <c r="B42" s="183">
        <f>B38</f>
        <v>0</v>
      </c>
      <c r="C42" s="52" t="s">
        <v>388</v>
      </c>
      <c r="G42" s="83"/>
      <c r="H42" s="146">
        <v>365</v>
      </c>
      <c r="I42" s="84" t="s">
        <v>24</v>
      </c>
      <c r="J42" s="83" t="s">
        <v>413</v>
      </c>
      <c r="K42" s="161">
        <f>B4</f>
        <v>0.75600000000000001</v>
      </c>
      <c r="V42" s="84" t="s">
        <v>295</v>
      </c>
      <c r="W42" s="150">
        <f>B278</f>
        <v>222.01757699999999</v>
      </c>
      <c r="X42" s="52" t="s">
        <v>296</v>
      </c>
      <c r="Y42" s="52" t="s">
        <v>220</v>
      </c>
      <c r="Z42" s="138">
        <f>B266</f>
        <v>25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61">
        <f>B4</f>
        <v>0.75600000000000001</v>
      </c>
      <c r="CW42" s="84"/>
      <c r="CX42" s="84"/>
      <c r="CY42" s="84"/>
      <c r="CZ42" s="52" t="s">
        <v>477</v>
      </c>
      <c r="DA42" s="141">
        <f>B179</f>
        <v>0.25</v>
      </c>
      <c r="DB42" s="92" t="s">
        <v>358</v>
      </c>
      <c r="DW42" s="88"/>
      <c r="DX42" s="88"/>
      <c r="DY42" s="88"/>
      <c r="DZ42" s="88"/>
      <c r="HD42" s="52" t="s">
        <v>225</v>
      </c>
      <c r="HE42" s="136">
        <f>1+((HE35*HE36*HE37)/(HE38*HE39))</f>
        <v>3.1605966718331597</v>
      </c>
    </row>
    <row r="43" spans="1:214" ht="13.15" customHeight="1" thickTop="1" thickBot="1" x14ac:dyDescent="0.25">
      <c r="A43" s="84" t="s">
        <v>32</v>
      </c>
      <c r="B43" s="183">
        <v>0</v>
      </c>
      <c r="D43" s="353" t="s">
        <v>529</v>
      </c>
      <c r="E43" s="354"/>
      <c r="F43" s="355"/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V43" s="84" t="s">
        <v>293</v>
      </c>
      <c r="W43" s="85">
        <f>B279</f>
        <v>2.8000000000000001E-15</v>
      </c>
      <c r="Y43" s="52" t="s">
        <v>219</v>
      </c>
      <c r="Z43" s="138">
        <f>B265</f>
        <v>3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B180</f>
        <v>0.85</v>
      </c>
      <c r="DB43" s="92" t="s">
        <v>358</v>
      </c>
      <c r="DW43" s="88"/>
      <c r="DX43" s="88"/>
      <c r="DY43" s="88"/>
      <c r="DZ43" s="88"/>
    </row>
    <row r="44" spans="1:214" x14ac:dyDescent="0.2">
      <c r="A44" s="52" t="s">
        <v>33</v>
      </c>
      <c r="B44" s="183">
        <v>0</v>
      </c>
      <c r="D44" s="323" t="s">
        <v>530</v>
      </c>
      <c r="E44" s="347" t="e">
        <f>E54</f>
        <v>#DIV/0!</v>
      </c>
      <c r="F44" s="345" t="s">
        <v>13</v>
      </c>
      <c r="G44" s="52" t="s">
        <v>19</v>
      </c>
      <c r="H44" s="136">
        <f>H46</f>
        <v>0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2.75" customHeight="1" thickBot="1" x14ac:dyDescent="0.25">
      <c r="A45" s="83" t="s">
        <v>156</v>
      </c>
      <c r="B45" s="182">
        <v>0</v>
      </c>
      <c r="C45" s="83" t="s">
        <v>18</v>
      </c>
      <c r="D45" s="324"/>
      <c r="E45" s="348"/>
      <c r="F45" s="346"/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Y45" s="84" t="s">
        <v>295</v>
      </c>
      <c r="Z45" s="150">
        <f>B278</f>
        <v>222.01757699999999</v>
      </c>
      <c r="AA45" s="52" t="s">
        <v>296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B181</f>
        <v>0.5</v>
      </c>
      <c r="DB45" s="92" t="s">
        <v>145</v>
      </c>
      <c r="DW45" s="88"/>
      <c r="DX45" s="88"/>
      <c r="DY45" s="88"/>
      <c r="DZ45" s="88"/>
    </row>
    <row r="46" spans="1:214" ht="13.5" customHeight="1" thickTop="1" x14ac:dyDescent="0.2">
      <c r="A46" s="84" t="s">
        <v>21</v>
      </c>
      <c r="B46" s="188">
        <f>0*B278*B279*B30</f>
        <v>0</v>
      </c>
      <c r="C46" s="52" t="s">
        <v>13</v>
      </c>
      <c r="D46" s="83" t="s">
        <v>267</v>
      </c>
      <c r="E46" s="136">
        <f>B17</f>
        <v>1</v>
      </c>
      <c r="F46" s="52" t="s">
        <v>344</v>
      </c>
      <c r="G46" s="84" t="s">
        <v>32</v>
      </c>
      <c r="H46" s="139">
        <f>B43</f>
        <v>0</v>
      </c>
      <c r="K46" s="146">
        <v>1000</v>
      </c>
      <c r="L46" s="52" t="s">
        <v>23</v>
      </c>
      <c r="Y46" s="84" t="s">
        <v>293</v>
      </c>
      <c r="Z46" s="85">
        <f>B279</f>
        <v>2.8000000000000001E-15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52" t="s">
        <v>393</v>
      </c>
      <c r="B47" s="131">
        <v>0.26</v>
      </c>
      <c r="D47" s="83" t="s">
        <v>382</v>
      </c>
      <c r="E47" s="150">
        <f>B68</f>
        <v>150</v>
      </c>
      <c r="F47" s="83" t="s">
        <v>24</v>
      </c>
      <c r="G47" s="83" t="s">
        <v>393</v>
      </c>
      <c r="H47" s="142">
        <f>B47</f>
        <v>0.26</v>
      </c>
      <c r="J47" s="52" t="s">
        <v>19</v>
      </c>
      <c r="K47" s="136">
        <f>K49</f>
        <v>0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B163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52" t="s">
        <v>392</v>
      </c>
      <c r="B48" s="131">
        <v>0.25</v>
      </c>
      <c r="D48" s="83" t="s">
        <v>258</v>
      </c>
      <c r="E48" s="136">
        <f>B29</f>
        <v>0</v>
      </c>
      <c r="F48" s="83" t="s">
        <v>87</v>
      </c>
      <c r="G48" s="52" t="s">
        <v>17</v>
      </c>
      <c r="H48" s="137">
        <f>((H51*H52*H53)*((1-EXP(-H54*H55))))/(H56*H54)</f>
        <v>0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B164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381" t="s">
        <v>2</v>
      </c>
      <c r="B49" s="382"/>
      <c r="C49" s="383"/>
      <c r="D49" s="83" t="s">
        <v>379</v>
      </c>
      <c r="E49" s="146">
        <f>B65</f>
        <v>1</v>
      </c>
      <c r="F49" s="52" t="s">
        <v>60</v>
      </c>
      <c r="G49" s="52" t="s">
        <v>25</v>
      </c>
      <c r="H49" s="137">
        <f>(H51*H52*H57*((1-EXP(-H54*H55))))/(H56*H54)</f>
        <v>5.4084629109509424E-3</v>
      </c>
      <c r="I49" s="52" t="s">
        <v>18</v>
      </c>
      <c r="J49" s="84" t="s">
        <v>32</v>
      </c>
      <c r="K49" s="139">
        <f>B43</f>
        <v>0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T49" s="94" t="s">
        <v>295</v>
      </c>
      <c r="CU49" s="150">
        <f>B278</f>
        <v>222.01757699999999</v>
      </c>
      <c r="CV49" s="90" t="s">
        <v>296</v>
      </c>
      <c r="CZ49" s="83" t="s">
        <v>475</v>
      </c>
      <c r="DA49" s="146">
        <f>B163</f>
        <v>0.15</v>
      </c>
      <c r="DW49" s="88"/>
      <c r="DX49" s="88"/>
      <c r="DY49" s="88"/>
      <c r="DZ49" s="88"/>
    </row>
    <row r="50" spans="1:130" x14ac:dyDescent="0.2">
      <c r="A50" s="83" t="s">
        <v>366</v>
      </c>
      <c r="B50" s="130">
        <v>5</v>
      </c>
      <c r="C50" s="92" t="s">
        <v>407</v>
      </c>
      <c r="D50" s="83" t="s">
        <v>394</v>
      </c>
      <c r="E50" s="146">
        <f>B56</f>
        <v>35</v>
      </c>
      <c r="F50" s="52" t="s">
        <v>48</v>
      </c>
      <c r="G50" s="52" t="s">
        <v>31</v>
      </c>
      <c r="H50" s="137">
        <f>(H51*H52*H58*H64*((1-EXP(-H59*H60))))/(H61*H59)</f>
        <v>0.82362658902748997</v>
      </c>
      <c r="I50" s="52" t="s">
        <v>18</v>
      </c>
      <c r="J50" s="83" t="s">
        <v>393</v>
      </c>
      <c r="K50" s="142">
        <f>B47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T50" s="84" t="s">
        <v>293</v>
      </c>
      <c r="CU50" s="85">
        <f>B280</f>
        <v>2.7955176153748299E-12</v>
      </c>
      <c r="CZ50" s="83" t="s">
        <v>476</v>
      </c>
      <c r="DA50" s="146">
        <f>B164</f>
        <v>0.85</v>
      </c>
      <c r="DW50" s="88"/>
      <c r="DX50" s="88"/>
      <c r="DY50" s="88"/>
      <c r="DZ50" s="88"/>
    </row>
    <row r="51" spans="1:130" x14ac:dyDescent="0.2">
      <c r="A51" s="83" t="s">
        <v>367</v>
      </c>
      <c r="B51" s="130">
        <v>10</v>
      </c>
      <c r="C51" s="92" t="s">
        <v>407</v>
      </c>
      <c r="D51" s="83"/>
      <c r="E51" s="150">
        <v>1000</v>
      </c>
      <c r="F51" s="84" t="s">
        <v>99</v>
      </c>
      <c r="G51" s="83" t="s">
        <v>36</v>
      </c>
      <c r="H51" s="138">
        <f>B79</f>
        <v>3.62</v>
      </c>
      <c r="I51" s="52" t="s">
        <v>37</v>
      </c>
      <c r="J51" s="83" t="s">
        <v>376</v>
      </c>
      <c r="K51" s="146">
        <f>B61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CZ51" s="94" t="s">
        <v>295</v>
      </c>
      <c r="DA51" s="150">
        <f>B278</f>
        <v>222.01757699999999</v>
      </c>
      <c r="DB51" s="90" t="s">
        <v>296</v>
      </c>
      <c r="DW51" s="88"/>
      <c r="DX51" s="88"/>
      <c r="DY51" s="88"/>
      <c r="DZ51" s="88"/>
    </row>
    <row r="52" spans="1:130" x14ac:dyDescent="0.2">
      <c r="A52" s="83" t="s">
        <v>368</v>
      </c>
      <c r="B52" s="130">
        <v>100</v>
      </c>
      <c r="C52" s="84" t="s">
        <v>48</v>
      </c>
      <c r="D52" s="83" t="s">
        <v>105</v>
      </c>
      <c r="E52" s="150">
        <f>B35</f>
        <v>0</v>
      </c>
      <c r="F52" s="84" t="s">
        <v>18</v>
      </c>
      <c r="G52" s="83" t="s">
        <v>40</v>
      </c>
      <c r="H52" s="138">
        <f>B80</f>
        <v>0.25</v>
      </c>
      <c r="I52" s="52" t="s">
        <v>41</v>
      </c>
      <c r="J52" s="83" t="s">
        <v>377</v>
      </c>
      <c r="K52" s="146">
        <f>B62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CZ52" s="84" t="s">
        <v>293</v>
      </c>
      <c r="DA52" s="85">
        <f>B279</f>
        <v>2.8000000000000001E-15</v>
      </c>
      <c r="DW52" s="88"/>
      <c r="DX52" s="88"/>
      <c r="DY52" s="88"/>
      <c r="DZ52" s="88"/>
    </row>
    <row r="53" spans="1:130" x14ac:dyDescent="0.2">
      <c r="A53" s="83" t="s">
        <v>369</v>
      </c>
      <c r="B53" s="130">
        <v>50</v>
      </c>
      <c r="C53" s="84" t="s">
        <v>48</v>
      </c>
      <c r="D53" s="83" t="s">
        <v>107</v>
      </c>
      <c r="E53" s="138">
        <f>B74</f>
        <v>1</v>
      </c>
      <c r="F53" s="84" t="s">
        <v>108</v>
      </c>
      <c r="G53" s="92" t="s">
        <v>32</v>
      </c>
      <c r="H53" s="136">
        <f>B43</f>
        <v>0</v>
      </c>
      <c r="J53" s="84" t="s">
        <v>295</v>
      </c>
      <c r="K53" s="150">
        <f>B278</f>
        <v>222.01757699999999</v>
      </c>
      <c r="L53" s="52" t="s">
        <v>296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83" t="s">
        <v>370</v>
      </c>
      <c r="B54" s="130">
        <v>0.25</v>
      </c>
      <c r="C54" s="83" t="s">
        <v>28</v>
      </c>
      <c r="D54" s="83" t="s">
        <v>260</v>
      </c>
      <c r="E54" s="152" t="e">
        <f>(E46/(E48*E47*E49*E50*E52*E53*(1/E51)))*E55*E56*E57</f>
        <v>#DIV/0!</v>
      </c>
      <c r="F54" s="52" t="s">
        <v>13</v>
      </c>
      <c r="G54" s="92" t="s">
        <v>49</v>
      </c>
      <c r="H54" s="137">
        <f>H62+H63</f>
        <v>0.18127454746551735</v>
      </c>
      <c r="J54" s="84" t="s">
        <v>293</v>
      </c>
      <c r="K54" s="85">
        <f>B280</f>
        <v>2.7955176153748299E-12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83" t="s">
        <v>371</v>
      </c>
      <c r="B55" s="130">
        <v>1.5</v>
      </c>
      <c r="C55" s="52" t="s">
        <v>28</v>
      </c>
      <c r="D55" s="84" t="s">
        <v>295</v>
      </c>
      <c r="E55" s="150">
        <f>B278</f>
        <v>222.01757699999999</v>
      </c>
      <c r="F55" s="52" t="s">
        <v>296</v>
      </c>
      <c r="G55" s="92" t="s">
        <v>52</v>
      </c>
      <c r="H55" s="138">
        <f>B81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83" t="s">
        <v>310</v>
      </c>
      <c r="B56" s="130">
        <v>35</v>
      </c>
      <c r="C56" s="52" t="s">
        <v>48</v>
      </c>
      <c r="D56" s="84" t="s">
        <v>293</v>
      </c>
      <c r="E56" s="85">
        <f>B279</f>
        <v>2.8000000000000001E-15</v>
      </c>
      <c r="G56" s="92" t="s">
        <v>55</v>
      </c>
      <c r="H56" s="138">
        <f>B82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83" t="s">
        <v>372</v>
      </c>
      <c r="B57" s="130">
        <v>55</v>
      </c>
      <c r="C57" s="92" t="s">
        <v>221</v>
      </c>
      <c r="D57" s="91" t="s">
        <v>231</v>
      </c>
      <c r="E57" s="85">
        <f>B30</f>
        <v>1.04753425E-2</v>
      </c>
      <c r="F57" s="52" t="s">
        <v>235</v>
      </c>
      <c r="G57" s="92" t="s">
        <v>393</v>
      </c>
      <c r="H57" s="138">
        <f>B47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83" t="s">
        <v>373</v>
      </c>
      <c r="B58" s="130">
        <v>55</v>
      </c>
      <c r="C58" s="92" t="s">
        <v>221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83" t="s">
        <v>374</v>
      </c>
      <c r="B59" s="130">
        <v>55</v>
      </c>
      <c r="C59" s="92" t="s">
        <v>221</v>
      </c>
      <c r="G59" s="92" t="s">
        <v>63</v>
      </c>
      <c r="H59" s="151">
        <f>H63+(0.693/H65)</f>
        <v>0.23074754746551734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83" t="s">
        <v>375</v>
      </c>
      <c r="B60" s="130">
        <v>55</v>
      </c>
      <c r="C60" s="92" t="s">
        <v>221</v>
      </c>
      <c r="G60" s="92" t="s">
        <v>67</v>
      </c>
      <c r="H60" s="142">
        <f>B83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83" t="s">
        <v>376</v>
      </c>
      <c r="B61" s="130">
        <v>0.23</v>
      </c>
      <c r="G61" s="92" t="s">
        <v>68</v>
      </c>
      <c r="H61" s="142">
        <f>B84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83" t="s">
        <v>377</v>
      </c>
      <c r="B62" s="130">
        <v>0.77</v>
      </c>
      <c r="G62" s="92" t="s">
        <v>70</v>
      </c>
      <c r="H62" s="138">
        <f>B85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378</v>
      </c>
      <c r="B63" s="131">
        <v>1</v>
      </c>
      <c r="C63" s="52" t="s">
        <v>60</v>
      </c>
      <c r="G63" s="92" t="s">
        <v>71</v>
      </c>
      <c r="H63" s="137">
        <f>0.693/H67</f>
        <v>0.18124754746551736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52" t="s">
        <v>448</v>
      </c>
      <c r="B64" s="131">
        <v>1</v>
      </c>
      <c r="C64" s="52" t="s">
        <v>60</v>
      </c>
      <c r="G64" s="92" t="s">
        <v>73</v>
      </c>
      <c r="H64" s="138">
        <f>B86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379</v>
      </c>
      <c r="B65" s="131">
        <v>1</v>
      </c>
      <c r="C65" s="52" t="s">
        <v>60</v>
      </c>
      <c r="G65" s="92" t="s">
        <v>74</v>
      </c>
      <c r="H65" s="138">
        <f>B87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380</v>
      </c>
      <c r="B66" s="131">
        <v>150</v>
      </c>
      <c r="C66" s="83" t="s">
        <v>24</v>
      </c>
      <c r="G66" s="52" t="s">
        <v>33</v>
      </c>
      <c r="H66" s="136">
        <f>B44</f>
        <v>0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381</v>
      </c>
      <c r="B67" s="131">
        <v>150</v>
      </c>
      <c r="C67" s="83" t="s">
        <v>24</v>
      </c>
      <c r="G67" s="83" t="s">
        <v>234</v>
      </c>
      <c r="H67" s="136">
        <f>B34</f>
        <v>3.8235000124999998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382</v>
      </c>
      <c r="B68" s="131">
        <v>150</v>
      </c>
      <c r="C68" s="83" t="s">
        <v>24</v>
      </c>
      <c r="G68" s="83" t="s">
        <v>376</v>
      </c>
      <c r="H68" s="146">
        <f>B61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52" t="s">
        <v>403</v>
      </c>
      <c r="B69" s="131">
        <v>0.25</v>
      </c>
      <c r="C69" s="52" t="s">
        <v>89</v>
      </c>
      <c r="G69" s="83" t="s">
        <v>377</v>
      </c>
      <c r="H69" s="146">
        <f>B62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52" t="s">
        <v>404</v>
      </c>
      <c r="B70" s="131">
        <v>0.75</v>
      </c>
      <c r="C70" s="52" t="s">
        <v>89</v>
      </c>
      <c r="G70" s="84" t="s">
        <v>295</v>
      </c>
      <c r="H70" s="150">
        <f>B278</f>
        <v>222.01757699999999</v>
      </c>
      <c r="I70" s="52" t="s">
        <v>296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52" t="s">
        <v>385</v>
      </c>
      <c r="B71" s="131">
        <v>24</v>
      </c>
      <c r="C71" s="52" t="s">
        <v>194</v>
      </c>
      <c r="G71" s="84" t="s">
        <v>293</v>
      </c>
      <c r="H71" s="85">
        <f>B279</f>
        <v>2.8000000000000001E-15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52" t="s">
        <v>318</v>
      </c>
      <c r="B72" s="131">
        <v>2</v>
      </c>
      <c r="G72" s="52" t="s">
        <v>293</v>
      </c>
      <c r="H72" s="85">
        <f>B280</f>
        <v>2.7955176153748299E-12</v>
      </c>
      <c r="AF72" s="109"/>
      <c r="AG72" s="106"/>
      <c r="AH72" s="106"/>
      <c r="AI72" s="106"/>
      <c r="AJ72" s="106"/>
      <c r="AK72" s="106"/>
    </row>
    <row r="73" spans="1:105" x14ac:dyDescent="0.2">
      <c r="A73" s="52" t="s">
        <v>303</v>
      </c>
      <c r="B73" s="131">
        <v>1</v>
      </c>
      <c r="G73" s="91" t="s">
        <v>231</v>
      </c>
      <c r="H73" s="85">
        <f>B30</f>
        <v>1.04753425E-2</v>
      </c>
      <c r="I73" s="52" t="s">
        <v>235</v>
      </c>
      <c r="AF73" s="109"/>
      <c r="AG73" s="106"/>
      <c r="AH73" s="106"/>
      <c r="AI73" s="106"/>
      <c r="AJ73" s="106"/>
      <c r="AK73" s="106"/>
    </row>
    <row r="74" spans="1:105" x14ac:dyDescent="0.2">
      <c r="A74" s="83" t="s">
        <v>107</v>
      </c>
      <c r="B74" s="131">
        <v>1</v>
      </c>
      <c r="C74" s="84" t="s">
        <v>108</v>
      </c>
      <c r="AF74" s="109"/>
      <c r="AG74" s="106"/>
      <c r="AH74" s="106"/>
      <c r="AI74" s="106"/>
      <c r="AJ74" s="106"/>
      <c r="AK74" s="106"/>
    </row>
    <row r="75" spans="1:105" x14ac:dyDescent="0.2">
      <c r="A75" s="52" t="s">
        <v>65</v>
      </c>
      <c r="B75" s="131">
        <v>0.5</v>
      </c>
      <c r="C75" s="52" t="s">
        <v>66</v>
      </c>
      <c r="AF75" s="108"/>
      <c r="AG75" s="106"/>
      <c r="AH75" s="106"/>
      <c r="AI75" s="106"/>
      <c r="AJ75" s="106"/>
      <c r="AK75" s="106"/>
    </row>
    <row r="76" spans="1:105" x14ac:dyDescent="0.2">
      <c r="A76" s="52" t="s">
        <v>79</v>
      </c>
      <c r="B76" s="131">
        <v>5</v>
      </c>
      <c r="C76" s="52" t="s">
        <v>80</v>
      </c>
      <c r="AF76" s="109"/>
      <c r="AG76" s="106"/>
      <c r="AH76" s="106"/>
      <c r="AI76" s="106"/>
      <c r="AJ76" s="106"/>
      <c r="AK76" s="106"/>
    </row>
    <row r="77" spans="1:105" x14ac:dyDescent="0.2">
      <c r="A77" s="52" t="s">
        <v>81</v>
      </c>
      <c r="B77" s="131">
        <v>5</v>
      </c>
      <c r="C77" s="52" t="s">
        <v>80</v>
      </c>
      <c r="AF77" s="109"/>
      <c r="AG77" s="106"/>
      <c r="AH77" s="106"/>
      <c r="AI77" s="106"/>
      <c r="AJ77" s="106"/>
      <c r="AK77" s="106"/>
    </row>
    <row r="78" spans="1:105" ht="12.75" customHeight="1" x14ac:dyDescent="0.2">
      <c r="A78" s="52" t="s">
        <v>390</v>
      </c>
      <c r="B78" s="131">
        <v>0.25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36</v>
      </c>
      <c r="B79" s="131">
        <v>3.62</v>
      </c>
      <c r="C79" s="52" t="s">
        <v>37</v>
      </c>
      <c r="AF79" s="109"/>
      <c r="AG79" s="106"/>
    </row>
    <row r="80" spans="1:105" x14ac:dyDescent="0.2">
      <c r="A80" s="83" t="s">
        <v>40</v>
      </c>
      <c r="B80" s="131">
        <v>0.25</v>
      </c>
      <c r="C80" s="52" t="s">
        <v>41</v>
      </c>
      <c r="AF80" s="109"/>
      <c r="AG80" s="106"/>
      <c r="AH80" s="106"/>
      <c r="AI80" s="106"/>
      <c r="AJ80" s="106"/>
      <c r="AK80" s="106"/>
    </row>
    <row r="81" spans="1:37" x14ac:dyDescent="0.2">
      <c r="A81" s="92" t="s">
        <v>52</v>
      </c>
      <c r="B81" s="131">
        <v>10950</v>
      </c>
      <c r="C81" s="52" t="s">
        <v>53</v>
      </c>
      <c r="AF81" s="109"/>
      <c r="AG81" s="106"/>
      <c r="AH81" s="106"/>
      <c r="AI81" s="106"/>
      <c r="AJ81" s="106"/>
      <c r="AK81" s="106"/>
    </row>
    <row r="82" spans="1:37" x14ac:dyDescent="0.2">
      <c r="A82" s="92" t="s">
        <v>55</v>
      </c>
      <c r="B82" s="131">
        <v>240</v>
      </c>
      <c r="C82" s="52" t="s">
        <v>56</v>
      </c>
      <c r="AF82" s="109"/>
      <c r="AG82" s="106"/>
      <c r="AH82" s="106"/>
      <c r="AI82" s="106"/>
      <c r="AJ82" s="106"/>
      <c r="AK82" s="106"/>
    </row>
    <row r="83" spans="1:37" x14ac:dyDescent="0.2">
      <c r="A83" s="92" t="s">
        <v>67</v>
      </c>
      <c r="B83" s="131">
        <v>60</v>
      </c>
      <c r="C83" s="83" t="s">
        <v>53</v>
      </c>
      <c r="AF83" s="109"/>
      <c r="AG83" s="106"/>
      <c r="AH83" s="106"/>
      <c r="AI83" s="106"/>
      <c r="AJ83" s="106"/>
      <c r="AK83" s="106"/>
    </row>
    <row r="84" spans="1:37" x14ac:dyDescent="0.2">
      <c r="A84" s="92" t="s">
        <v>68</v>
      </c>
      <c r="B84" s="131">
        <v>2</v>
      </c>
      <c r="C84" s="83" t="s">
        <v>56</v>
      </c>
      <c r="AF84" s="108"/>
      <c r="AG84" s="106"/>
    </row>
    <row r="85" spans="1:37" x14ac:dyDescent="0.2">
      <c r="A85" s="92" t="s">
        <v>70</v>
      </c>
      <c r="B85" s="131">
        <v>2.6999999999999999E-5</v>
      </c>
      <c r="C85" s="52" t="s">
        <v>64</v>
      </c>
      <c r="AF85" s="108"/>
      <c r="AG85" s="106"/>
      <c r="AH85" s="106"/>
      <c r="AI85" s="106"/>
      <c r="AJ85" s="106"/>
      <c r="AK85" s="106"/>
    </row>
    <row r="86" spans="1:37" x14ac:dyDescent="0.2">
      <c r="A86" s="92" t="s">
        <v>73</v>
      </c>
      <c r="B86" s="131">
        <v>1</v>
      </c>
      <c r="C86" s="52" t="s">
        <v>41</v>
      </c>
      <c r="AF86" s="108"/>
      <c r="AG86" s="106"/>
    </row>
    <row r="87" spans="1:37" x14ac:dyDescent="0.2">
      <c r="A87" s="92" t="s">
        <v>74</v>
      </c>
      <c r="B87" s="131">
        <v>14</v>
      </c>
      <c r="C87" s="52" t="s">
        <v>75</v>
      </c>
      <c r="AH87" s="108"/>
      <c r="AI87" s="108"/>
      <c r="AJ87" s="108"/>
      <c r="AK87" s="108"/>
    </row>
    <row r="88" spans="1:37" x14ac:dyDescent="0.2">
      <c r="A88" s="83" t="s">
        <v>408</v>
      </c>
      <c r="B88" s="130">
        <v>5</v>
      </c>
      <c r="C88" s="84" t="s">
        <v>194</v>
      </c>
    </row>
    <row r="89" spans="1:37" x14ac:dyDescent="0.2">
      <c r="A89" s="83" t="s">
        <v>409</v>
      </c>
      <c r="B89" s="130">
        <v>25</v>
      </c>
      <c r="C89" s="84" t="s">
        <v>194</v>
      </c>
    </row>
    <row r="90" spans="1:37" x14ac:dyDescent="0.2">
      <c r="A90" s="83" t="s">
        <v>389</v>
      </c>
      <c r="B90" s="130">
        <v>1</v>
      </c>
      <c r="C90" s="84"/>
    </row>
    <row r="91" spans="1:37" x14ac:dyDescent="0.2">
      <c r="A91" s="385" t="s">
        <v>387</v>
      </c>
      <c r="B91" s="385"/>
      <c r="C91" s="385"/>
    </row>
    <row r="92" spans="1:37" x14ac:dyDescent="0.2">
      <c r="A92" s="52" t="s">
        <v>34</v>
      </c>
      <c r="B92" s="131">
        <v>70</v>
      </c>
      <c r="C92" s="52" t="s">
        <v>60</v>
      </c>
    </row>
    <row r="93" spans="1:37" x14ac:dyDescent="0.2">
      <c r="A93" s="84" t="s">
        <v>38</v>
      </c>
      <c r="B93" s="131">
        <v>0.3</v>
      </c>
      <c r="C93" s="52" t="s">
        <v>391</v>
      </c>
    </row>
    <row r="94" spans="1:37" x14ac:dyDescent="0.2">
      <c r="A94" s="84" t="s">
        <v>42</v>
      </c>
      <c r="B94" s="130">
        <v>1.5</v>
      </c>
      <c r="C94" s="52" t="s">
        <v>286</v>
      </c>
    </row>
    <row r="95" spans="1:37" x14ac:dyDescent="0.2">
      <c r="A95" s="84" t="s">
        <v>47</v>
      </c>
      <c r="B95" s="131">
        <v>1</v>
      </c>
      <c r="C95" s="52" t="s">
        <v>60</v>
      </c>
    </row>
    <row r="96" spans="1:37" x14ac:dyDescent="0.2">
      <c r="A96" s="84" t="s">
        <v>225</v>
      </c>
      <c r="B96" s="130">
        <v>1</v>
      </c>
    </row>
    <row r="97" spans="1:3" x14ac:dyDescent="0.2">
      <c r="A97" s="52" t="s">
        <v>93</v>
      </c>
      <c r="B97" s="130">
        <v>5</v>
      </c>
      <c r="C97" s="52" t="s">
        <v>94</v>
      </c>
    </row>
    <row r="98" spans="1:3" x14ac:dyDescent="0.2">
      <c r="A98" s="52" t="s">
        <v>98</v>
      </c>
      <c r="B98" s="130">
        <v>0.18</v>
      </c>
      <c r="C98" s="52" t="s">
        <v>355</v>
      </c>
    </row>
    <row r="99" spans="1:3" x14ac:dyDescent="0.2">
      <c r="A99" s="52" t="s">
        <v>100</v>
      </c>
      <c r="B99" s="130">
        <v>55</v>
      </c>
      <c r="C99" s="52" t="s">
        <v>97</v>
      </c>
    </row>
    <row r="100" spans="1:3" x14ac:dyDescent="0.2">
      <c r="A100" s="52" t="s">
        <v>101</v>
      </c>
      <c r="B100" s="130">
        <v>5</v>
      </c>
      <c r="C100" s="52" t="s">
        <v>97</v>
      </c>
    </row>
    <row r="101" spans="1:3" x14ac:dyDescent="0.2">
      <c r="A101" s="52" t="s">
        <v>102</v>
      </c>
      <c r="B101" s="130">
        <v>5</v>
      </c>
      <c r="C101" s="52" t="s">
        <v>97</v>
      </c>
    </row>
    <row r="102" spans="1:3" x14ac:dyDescent="0.2">
      <c r="A102" s="384" t="s">
        <v>5</v>
      </c>
      <c r="B102" s="384"/>
      <c r="C102" s="384"/>
    </row>
    <row r="103" spans="1:3" x14ac:dyDescent="0.2">
      <c r="A103" s="83" t="s">
        <v>429</v>
      </c>
      <c r="B103" s="131">
        <v>5</v>
      </c>
      <c r="C103" s="92" t="s">
        <v>407</v>
      </c>
    </row>
    <row r="104" spans="1:3" x14ac:dyDescent="0.2">
      <c r="A104" s="83" t="s">
        <v>430</v>
      </c>
      <c r="B104" s="131">
        <v>10</v>
      </c>
      <c r="C104" s="92" t="s">
        <v>407</v>
      </c>
    </row>
    <row r="105" spans="1:3" x14ac:dyDescent="0.2">
      <c r="A105" s="83" t="s">
        <v>439</v>
      </c>
      <c r="B105" s="130">
        <v>2</v>
      </c>
      <c r="C105" s="83" t="s">
        <v>357</v>
      </c>
    </row>
    <row r="106" spans="1:3" x14ac:dyDescent="0.2">
      <c r="A106" s="83" t="s">
        <v>438</v>
      </c>
      <c r="B106" s="130">
        <v>2</v>
      </c>
      <c r="C106" s="83" t="s">
        <v>357</v>
      </c>
    </row>
    <row r="107" spans="1:3" x14ac:dyDescent="0.2">
      <c r="A107" s="83" t="s">
        <v>441</v>
      </c>
      <c r="B107" s="131">
        <v>100</v>
      </c>
      <c r="C107" s="84" t="s">
        <v>48</v>
      </c>
    </row>
    <row r="108" spans="1:3" x14ac:dyDescent="0.2">
      <c r="A108" s="83" t="s">
        <v>442</v>
      </c>
      <c r="B108" s="131">
        <v>50</v>
      </c>
      <c r="C108" s="84" t="s">
        <v>48</v>
      </c>
    </row>
    <row r="109" spans="1:3" x14ac:dyDescent="0.2">
      <c r="A109" s="52" t="s">
        <v>159</v>
      </c>
      <c r="B109" s="131">
        <v>3</v>
      </c>
      <c r="C109" s="52" t="s">
        <v>221</v>
      </c>
    </row>
    <row r="110" spans="1:3" x14ac:dyDescent="0.2">
      <c r="A110" s="52" t="s">
        <v>160</v>
      </c>
      <c r="B110" s="131">
        <v>3</v>
      </c>
      <c r="C110" s="52" t="s">
        <v>221</v>
      </c>
    </row>
    <row r="111" spans="1:3" x14ac:dyDescent="0.2">
      <c r="A111" s="83" t="s">
        <v>308</v>
      </c>
      <c r="B111" s="130">
        <v>0.23</v>
      </c>
    </row>
    <row r="112" spans="1:3" x14ac:dyDescent="0.2">
      <c r="A112" s="83" t="s">
        <v>309</v>
      </c>
      <c r="B112" s="130">
        <v>0.77</v>
      </c>
    </row>
    <row r="113" spans="1:3" x14ac:dyDescent="0.2">
      <c r="A113" s="52" t="s">
        <v>140</v>
      </c>
      <c r="B113" s="131">
        <v>55</v>
      </c>
      <c r="C113" s="52" t="s">
        <v>24</v>
      </c>
    </row>
    <row r="114" spans="1:3" x14ac:dyDescent="0.2">
      <c r="A114" s="52" t="s">
        <v>433</v>
      </c>
      <c r="B114" s="131">
        <v>55</v>
      </c>
      <c r="C114" s="52" t="s">
        <v>24</v>
      </c>
    </row>
    <row r="115" spans="1:3" x14ac:dyDescent="0.2">
      <c r="A115" s="52" t="s">
        <v>434</v>
      </c>
      <c r="B115" s="131">
        <v>55</v>
      </c>
      <c r="C115" s="52" t="s">
        <v>24</v>
      </c>
    </row>
    <row r="116" spans="1:3" x14ac:dyDescent="0.2">
      <c r="A116" s="52" t="s">
        <v>431</v>
      </c>
      <c r="B116" s="130">
        <v>5</v>
      </c>
      <c r="C116" s="52" t="s">
        <v>194</v>
      </c>
    </row>
    <row r="117" spans="1:3" x14ac:dyDescent="0.2">
      <c r="A117" s="52" t="s">
        <v>432</v>
      </c>
      <c r="B117" s="130">
        <v>5</v>
      </c>
      <c r="C117" s="52" t="s">
        <v>194</v>
      </c>
    </row>
    <row r="118" spans="1:3" x14ac:dyDescent="0.2">
      <c r="A118" s="52" t="s">
        <v>90</v>
      </c>
      <c r="B118" s="131">
        <v>5</v>
      </c>
      <c r="C118" s="52" t="s">
        <v>194</v>
      </c>
    </row>
    <row r="119" spans="1:3" x14ac:dyDescent="0.2">
      <c r="A119" s="52" t="s">
        <v>443</v>
      </c>
      <c r="B119" s="131">
        <v>5</v>
      </c>
      <c r="C119" s="52" t="s">
        <v>89</v>
      </c>
    </row>
    <row r="120" spans="1:3" x14ac:dyDescent="0.2">
      <c r="A120" s="52" t="s">
        <v>444</v>
      </c>
      <c r="B120" s="131">
        <v>5</v>
      </c>
      <c r="C120" s="52" t="s">
        <v>89</v>
      </c>
    </row>
    <row r="121" spans="1:3" x14ac:dyDescent="0.2">
      <c r="A121" s="83" t="s">
        <v>301</v>
      </c>
      <c r="B121" s="131">
        <v>2</v>
      </c>
    </row>
    <row r="122" spans="1:3" x14ac:dyDescent="0.2">
      <c r="A122" s="83" t="s">
        <v>433</v>
      </c>
      <c r="B122" s="130">
        <v>55</v>
      </c>
      <c r="C122" s="83" t="s">
        <v>24</v>
      </c>
    </row>
    <row r="123" spans="1:3" x14ac:dyDescent="0.2">
      <c r="A123" s="83" t="s">
        <v>434</v>
      </c>
      <c r="B123" s="130">
        <v>55</v>
      </c>
      <c r="C123" s="83" t="s">
        <v>24</v>
      </c>
    </row>
    <row r="124" spans="1:3" x14ac:dyDescent="0.2">
      <c r="A124" s="83" t="s">
        <v>435</v>
      </c>
      <c r="B124" s="131">
        <v>5</v>
      </c>
      <c r="C124" s="52" t="s">
        <v>80</v>
      </c>
    </row>
    <row r="125" spans="1:3" x14ac:dyDescent="0.2">
      <c r="A125" s="83" t="s">
        <v>436</v>
      </c>
      <c r="B125" s="131">
        <v>5</v>
      </c>
      <c r="C125" s="52" t="s">
        <v>80</v>
      </c>
    </row>
    <row r="126" spans="1:3" x14ac:dyDescent="0.2">
      <c r="A126" s="83" t="s">
        <v>65</v>
      </c>
      <c r="B126" s="130">
        <v>0.5</v>
      </c>
      <c r="C126" s="52" t="s">
        <v>66</v>
      </c>
    </row>
    <row r="127" spans="1:3" x14ac:dyDescent="0.2">
      <c r="A127" s="52" t="s">
        <v>51</v>
      </c>
      <c r="B127" s="131">
        <v>1</v>
      </c>
      <c r="C127" s="52" t="s">
        <v>60</v>
      </c>
    </row>
    <row r="128" spans="1:3" x14ac:dyDescent="0.2">
      <c r="A128" s="52" t="s">
        <v>159</v>
      </c>
      <c r="B128" s="130">
        <v>3</v>
      </c>
      <c r="C128" s="52" t="s">
        <v>221</v>
      </c>
    </row>
    <row r="129" spans="1:3" x14ac:dyDescent="0.2">
      <c r="A129" s="84" t="s">
        <v>164</v>
      </c>
      <c r="B129" s="130">
        <v>2</v>
      </c>
      <c r="C129" s="52" t="s">
        <v>246</v>
      </c>
    </row>
    <row r="130" spans="1:3" x14ac:dyDescent="0.2">
      <c r="A130" s="84" t="s">
        <v>161</v>
      </c>
      <c r="B130" s="130">
        <v>2</v>
      </c>
      <c r="C130" s="52" t="s">
        <v>246</v>
      </c>
    </row>
    <row r="131" spans="1:3" x14ac:dyDescent="0.2">
      <c r="A131" s="84" t="s">
        <v>162</v>
      </c>
      <c r="B131" s="130">
        <v>2</v>
      </c>
      <c r="C131" s="52" t="s">
        <v>41</v>
      </c>
    </row>
    <row r="132" spans="1:3" x14ac:dyDescent="0.2">
      <c r="A132" s="84" t="s">
        <v>163</v>
      </c>
      <c r="B132" s="130">
        <v>2</v>
      </c>
      <c r="C132" s="52" t="s">
        <v>41</v>
      </c>
    </row>
    <row r="133" spans="1:3" x14ac:dyDescent="0.2">
      <c r="A133" s="84" t="s">
        <v>169</v>
      </c>
      <c r="B133" s="130">
        <v>2</v>
      </c>
      <c r="C133" s="52" t="s">
        <v>28</v>
      </c>
    </row>
    <row r="134" spans="1:3" x14ac:dyDescent="0.2">
      <c r="A134" s="52" t="s">
        <v>160</v>
      </c>
      <c r="B134" s="130">
        <v>3</v>
      </c>
      <c r="C134" s="52" t="s">
        <v>221</v>
      </c>
    </row>
    <row r="135" spans="1:3" x14ac:dyDescent="0.2">
      <c r="A135" s="52" t="s">
        <v>165</v>
      </c>
      <c r="B135" s="130">
        <v>2</v>
      </c>
      <c r="C135" s="52" t="s">
        <v>246</v>
      </c>
    </row>
    <row r="136" spans="1:3" x14ac:dyDescent="0.2">
      <c r="A136" s="52" t="s">
        <v>166</v>
      </c>
      <c r="B136" s="130">
        <v>2</v>
      </c>
      <c r="C136" s="52" t="s">
        <v>246</v>
      </c>
    </row>
    <row r="137" spans="1:3" x14ac:dyDescent="0.2">
      <c r="A137" s="93" t="s">
        <v>167</v>
      </c>
      <c r="B137" s="130">
        <v>2</v>
      </c>
      <c r="C137" s="52" t="s">
        <v>41</v>
      </c>
    </row>
    <row r="138" spans="1:3" x14ac:dyDescent="0.2">
      <c r="A138" s="83" t="s">
        <v>168</v>
      </c>
      <c r="B138" s="130">
        <v>2</v>
      </c>
      <c r="C138" s="52" t="s">
        <v>41</v>
      </c>
    </row>
    <row r="139" spans="1:3" x14ac:dyDescent="0.2">
      <c r="A139" s="84" t="s">
        <v>170</v>
      </c>
      <c r="B139" s="130">
        <v>2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100</v>
      </c>
      <c r="C141" s="84" t="s">
        <v>48</v>
      </c>
    </row>
    <row r="142" spans="1:3" x14ac:dyDescent="0.2">
      <c r="A142" s="83" t="s">
        <v>458</v>
      </c>
      <c r="B142" s="130">
        <v>50</v>
      </c>
      <c r="C142" s="84" t="s">
        <v>48</v>
      </c>
    </row>
    <row r="143" spans="1:3" x14ac:dyDescent="0.2">
      <c r="A143" s="92" t="s">
        <v>451</v>
      </c>
      <c r="B143" s="131">
        <v>0.25</v>
      </c>
      <c r="C143" s="83" t="s">
        <v>28</v>
      </c>
    </row>
    <row r="144" spans="1:3" x14ac:dyDescent="0.2">
      <c r="A144" s="92" t="s">
        <v>460</v>
      </c>
      <c r="B144" s="131">
        <v>1.5</v>
      </c>
      <c r="C144" s="83" t="s">
        <v>28</v>
      </c>
    </row>
    <row r="145" spans="1:3" ht="15" x14ac:dyDescent="0.2">
      <c r="A145" s="92" t="s">
        <v>450</v>
      </c>
      <c r="B145" s="131">
        <v>5</v>
      </c>
      <c r="C145" s="83" t="s">
        <v>143</v>
      </c>
    </row>
    <row r="146" spans="1:3" ht="15" x14ac:dyDescent="0.2">
      <c r="A146" s="92" t="s">
        <v>459</v>
      </c>
      <c r="B146" s="131">
        <v>10</v>
      </c>
      <c r="C146" s="83" t="s">
        <v>143</v>
      </c>
    </row>
    <row r="147" spans="1:3" x14ac:dyDescent="0.2">
      <c r="A147" s="83" t="s">
        <v>467</v>
      </c>
      <c r="B147" s="130">
        <v>55</v>
      </c>
      <c r="C147" s="92" t="s">
        <v>221</v>
      </c>
    </row>
    <row r="148" spans="1:3" x14ac:dyDescent="0.2">
      <c r="A148" s="83" t="s">
        <v>468</v>
      </c>
      <c r="B148" s="130">
        <v>55</v>
      </c>
      <c r="C148" s="92" t="s">
        <v>221</v>
      </c>
    </row>
    <row r="149" spans="1:3" x14ac:dyDescent="0.2">
      <c r="A149" s="83" t="s">
        <v>469</v>
      </c>
      <c r="B149" s="130">
        <v>55</v>
      </c>
      <c r="C149" s="92" t="s">
        <v>221</v>
      </c>
    </row>
    <row r="150" spans="1:3" x14ac:dyDescent="0.2">
      <c r="A150" s="83" t="s">
        <v>470</v>
      </c>
      <c r="B150" s="130">
        <v>55</v>
      </c>
      <c r="C150" s="92" t="s">
        <v>221</v>
      </c>
    </row>
    <row r="151" spans="1:3" x14ac:dyDescent="0.2">
      <c r="A151" s="83" t="s">
        <v>452</v>
      </c>
      <c r="B151" s="130">
        <v>55</v>
      </c>
      <c r="C151" s="92" t="s">
        <v>221</v>
      </c>
    </row>
    <row r="152" spans="1:3" x14ac:dyDescent="0.2">
      <c r="A152" s="83" t="s">
        <v>461</v>
      </c>
      <c r="B152" s="130">
        <v>55</v>
      </c>
      <c r="C152" s="92" t="s">
        <v>221</v>
      </c>
    </row>
    <row r="153" spans="1:3" x14ac:dyDescent="0.2">
      <c r="A153" s="83" t="s">
        <v>453</v>
      </c>
      <c r="B153" s="130">
        <v>55</v>
      </c>
      <c r="C153" s="92" t="s">
        <v>221</v>
      </c>
    </row>
    <row r="154" spans="1:3" x14ac:dyDescent="0.2">
      <c r="A154" s="83" t="s">
        <v>462</v>
      </c>
      <c r="B154" s="130">
        <v>55</v>
      </c>
      <c r="C154" s="92" t="s">
        <v>221</v>
      </c>
    </row>
    <row r="155" spans="1:3" x14ac:dyDescent="0.2">
      <c r="A155" s="83" t="s">
        <v>454</v>
      </c>
      <c r="B155" s="130">
        <v>55</v>
      </c>
      <c r="C155" s="92" t="s">
        <v>221</v>
      </c>
    </row>
    <row r="156" spans="1:3" x14ac:dyDescent="0.2">
      <c r="A156" s="83" t="s">
        <v>463</v>
      </c>
      <c r="B156" s="130">
        <v>55</v>
      </c>
      <c r="C156" s="92" t="s">
        <v>221</v>
      </c>
    </row>
    <row r="157" spans="1:3" x14ac:dyDescent="0.2">
      <c r="A157" s="83" t="s">
        <v>471</v>
      </c>
      <c r="B157" s="130">
        <v>55</v>
      </c>
      <c r="C157" s="92" t="s">
        <v>221</v>
      </c>
    </row>
    <row r="158" spans="1:3" x14ac:dyDescent="0.2">
      <c r="A158" s="83" t="s">
        <v>472</v>
      </c>
      <c r="B158" s="130">
        <v>55</v>
      </c>
      <c r="C158" s="92" t="s">
        <v>221</v>
      </c>
    </row>
    <row r="159" spans="1:3" x14ac:dyDescent="0.2">
      <c r="A159" s="83" t="s">
        <v>473</v>
      </c>
      <c r="B159" s="130">
        <v>55</v>
      </c>
      <c r="C159" s="92" t="s">
        <v>221</v>
      </c>
    </row>
    <row r="160" spans="1:3" x14ac:dyDescent="0.2">
      <c r="A160" s="83" t="s">
        <v>474</v>
      </c>
      <c r="B160" s="130">
        <v>55</v>
      </c>
      <c r="C160" s="92" t="s">
        <v>221</v>
      </c>
    </row>
    <row r="161" spans="1:3" x14ac:dyDescent="0.2">
      <c r="A161" s="83" t="s">
        <v>455</v>
      </c>
      <c r="B161" s="130">
        <v>55</v>
      </c>
      <c r="C161" s="92" t="s">
        <v>221</v>
      </c>
    </row>
    <row r="162" spans="1:3" x14ac:dyDescent="0.2">
      <c r="A162" s="83" t="s">
        <v>464</v>
      </c>
      <c r="B162" s="130">
        <v>55</v>
      </c>
      <c r="C162" s="92" t="s">
        <v>221</v>
      </c>
    </row>
    <row r="163" spans="1:3" x14ac:dyDescent="0.2">
      <c r="A163" s="83" t="s">
        <v>475</v>
      </c>
      <c r="B163" s="130">
        <v>0.15</v>
      </c>
      <c r="C163" s="88"/>
    </row>
    <row r="164" spans="1:3" x14ac:dyDescent="0.2">
      <c r="A164" s="83" t="s">
        <v>476</v>
      </c>
      <c r="B164" s="130">
        <v>0.85</v>
      </c>
      <c r="C164" s="88"/>
    </row>
    <row r="165" spans="1:3" x14ac:dyDescent="0.2">
      <c r="A165" s="83" t="s">
        <v>456</v>
      </c>
      <c r="B165" s="130">
        <v>150</v>
      </c>
      <c r="C165" s="83" t="s">
        <v>24</v>
      </c>
    </row>
    <row r="166" spans="1:3" x14ac:dyDescent="0.2">
      <c r="A166" s="83" t="s">
        <v>465</v>
      </c>
      <c r="B166" s="130">
        <v>150</v>
      </c>
      <c r="C166" s="83" t="s">
        <v>24</v>
      </c>
    </row>
    <row r="167" spans="1:3" x14ac:dyDescent="0.2">
      <c r="A167" s="52" t="s">
        <v>362</v>
      </c>
      <c r="B167" s="131">
        <v>150</v>
      </c>
      <c r="C167" s="83" t="s">
        <v>24</v>
      </c>
    </row>
    <row r="168" spans="1:3" x14ac:dyDescent="0.2">
      <c r="A168" s="83" t="s">
        <v>363</v>
      </c>
      <c r="B168" s="130">
        <v>1</v>
      </c>
      <c r="C168" s="92" t="s">
        <v>60</v>
      </c>
    </row>
    <row r="169" spans="1:3" x14ac:dyDescent="0.2">
      <c r="A169" s="83" t="s">
        <v>364</v>
      </c>
      <c r="B169" s="130">
        <v>24</v>
      </c>
      <c r="C169" s="94" t="s">
        <v>194</v>
      </c>
    </row>
    <row r="170" spans="1:3" x14ac:dyDescent="0.2">
      <c r="A170" s="83" t="s">
        <v>365</v>
      </c>
      <c r="B170" s="130">
        <v>24</v>
      </c>
      <c r="C170" s="52" t="s">
        <v>194</v>
      </c>
    </row>
    <row r="171" spans="1:3" x14ac:dyDescent="0.2">
      <c r="A171" s="83" t="s">
        <v>361</v>
      </c>
      <c r="B171" s="130">
        <v>1</v>
      </c>
    </row>
    <row r="172" spans="1:3" x14ac:dyDescent="0.2">
      <c r="A172" s="83" t="s">
        <v>507</v>
      </c>
      <c r="B172" s="130">
        <v>15</v>
      </c>
      <c r="C172" s="84" t="s">
        <v>194</v>
      </c>
    </row>
    <row r="173" spans="1:3" x14ac:dyDescent="0.2">
      <c r="A173" s="83" t="s">
        <v>508</v>
      </c>
      <c r="B173" s="130">
        <v>5</v>
      </c>
      <c r="C173" s="84" t="s">
        <v>194</v>
      </c>
    </row>
    <row r="174" spans="1:3" x14ac:dyDescent="0.2">
      <c r="A174" s="83" t="s">
        <v>88</v>
      </c>
      <c r="B174" s="130">
        <v>0.4</v>
      </c>
    </row>
    <row r="175" spans="1:3" x14ac:dyDescent="0.2">
      <c r="A175" s="83" t="s">
        <v>303</v>
      </c>
      <c r="B175" s="130">
        <v>1</v>
      </c>
    </row>
    <row r="176" spans="1:3" x14ac:dyDescent="0.2">
      <c r="A176" s="83" t="s">
        <v>301</v>
      </c>
      <c r="B176" s="131">
        <v>2</v>
      </c>
    </row>
    <row r="177" spans="1:3" x14ac:dyDescent="0.2">
      <c r="A177" s="92" t="s">
        <v>457</v>
      </c>
      <c r="B177" s="130">
        <v>5</v>
      </c>
      <c r="C177" s="92" t="s">
        <v>144</v>
      </c>
    </row>
    <row r="178" spans="1:3" x14ac:dyDescent="0.2">
      <c r="A178" s="92" t="s">
        <v>466</v>
      </c>
      <c r="B178" s="130">
        <v>5</v>
      </c>
      <c r="C178" s="92" t="s">
        <v>144</v>
      </c>
    </row>
    <row r="179" spans="1:3" x14ac:dyDescent="0.2">
      <c r="A179" s="52" t="s">
        <v>477</v>
      </c>
      <c r="B179" s="130">
        <v>0.25</v>
      </c>
      <c r="C179" s="92" t="s">
        <v>358</v>
      </c>
    </row>
    <row r="180" spans="1:3" x14ac:dyDescent="0.2">
      <c r="A180" s="52" t="s">
        <v>478</v>
      </c>
      <c r="B180" s="130">
        <v>0.85</v>
      </c>
      <c r="C180" s="92" t="s">
        <v>358</v>
      </c>
    </row>
    <row r="181" spans="1:3" x14ac:dyDescent="0.2">
      <c r="A181" s="84" t="s">
        <v>65</v>
      </c>
      <c r="B181" s="130">
        <v>0.5</v>
      </c>
      <c r="C181" s="92" t="s">
        <v>600</v>
      </c>
    </row>
    <row r="182" spans="1:3" x14ac:dyDescent="0.2">
      <c r="A182" s="92" t="s">
        <v>361</v>
      </c>
      <c r="B182" s="130">
        <v>1</v>
      </c>
    </row>
    <row r="183" spans="1:3" x14ac:dyDescent="0.2">
      <c r="A183" s="92" t="s">
        <v>479</v>
      </c>
      <c r="B183" s="130">
        <v>1</v>
      </c>
    </row>
    <row r="184" spans="1:3" x14ac:dyDescent="0.2">
      <c r="A184" s="92" t="s">
        <v>480</v>
      </c>
      <c r="B184" s="130">
        <v>1</v>
      </c>
    </row>
    <row r="185" spans="1:3" x14ac:dyDescent="0.2">
      <c r="A185" s="92" t="s">
        <v>481</v>
      </c>
      <c r="B185" s="130">
        <v>1</v>
      </c>
    </row>
    <row r="186" spans="1:3" x14ac:dyDescent="0.2">
      <c r="A186" s="92" t="s">
        <v>482</v>
      </c>
      <c r="B186" s="130">
        <v>1</v>
      </c>
    </row>
    <row r="187" spans="1:3" x14ac:dyDescent="0.2">
      <c r="A187" s="92" t="s">
        <v>483</v>
      </c>
      <c r="B187" s="130">
        <v>1</v>
      </c>
    </row>
    <row r="188" spans="1:3" x14ac:dyDescent="0.2">
      <c r="A188" s="92" t="s">
        <v>484</v>
      </c>
      <c r="B188" s="131">
        <v>1</v>
      </c>
    </row>
    <row r="189" spans="1:3" x14ac:dyDescent="0.2">
      <c r="A189" s="83" t="s">
        <v>36</v>
      </c>
      <c r="B189" s="131">
        <v>3.62</v>
      </c>
      <c r="C189" s="52" t="s">
        <v>37</v>
      </c>
    </row>
    <row r="190" spans="1:3" x14ac:dyDescent="0.2">
      <c r="A190" s="83" t="s">
        <v>40</v>
      </c>
      <c r="B190" s="131">
        <v>0.25</v>
      </c>
      <c r="C190" s="52" t="s">
        <v>41</v>
      </c>
    </row>
    <row r="191" spans="1:3" x14ac:dyDescent="0.2">
      <c r="A191" s="92" t="s">
        <v>52</v>
      </c>
      <c r="B191" s="131">
        <v>10950</v>
      </c>
      <c r="C191" s="52" t="s">
        <v>53</v>
      </c>
    </row>
    <row r="192" spans="1:3" x14ac:dyDescent="0.2">
      <c r="A192" s="92" t="s">
        <v>55</v>
      </c>
      <c r="B192" s="131">
        <v>240</v>
      </c>
      <c r="C192" s="52" t="s">
        <v>56</v>
      </c>
    </row>
    <row r="193" spans="1:3" x14ac:dyDescent="0.2">
      <c r="A193" s="92" t="s">
        <v>61</v>
      </c>
      <c r="B193" s="131">
        <v>0.42</v>
      </c>
      <c r="C193" s="52" t="s">
        <v>41</v>
      </c>
    </row>
    <row r="194" spans="1:3" x14ac:dyDescent="0.2">
      <c r="A194" s="92" t="s">
        <v>67</v>
      </c>
      <c r="B194" s="131">
        <v>60</v>
      </c>
      <c r="C194" s="83" t="s">
        <v>53</v>
      </c>
    </row>
    <row r="195" spans="1:3" x14ac:dyDescent="0.2">
      <c r="A195" s="92" t="s">
        <v>68</v>
      </c>
      <c r="B195" s="131">
        <v>2</v>
      </c>
      <c r="C195" s="83" t="s">
        <v>56</v>
      </c>
    </row>
    <row r="196" spans="1:3" x14ac:dyDescent="0.2">
      <c r="A196" s="92" t="s">
        <v>70</v>
      </c>
      <c r="B196" s="131">
        <v>2.6999999999999999E-5</v>
      </c>
      <c r="C196" s="52" t="s">
        <v>64</v>
      </c>
    </row>
    <row r="197" spans="1:3" x14ac:dyDescent="0.2">
      <c r="A197" s="92" t="s">
        <v>73</v>
      </c>
      <c r="B197" s="131">
        <v>1</v>
      </c>
      <c r="C197" s="52" t="s">
        <v>41</v>
      </c>
    </row>
    <row r="198" spans="1:3" x14ac:dyDescent="0.2">
      <c r="A198" s="92" t="s">
        <v>74</v>
      </c>
      <c r="B198" s="131">
        <v>14</v>
      </c>
      <c r="C198" s="52" t="s">
        <v>75</v>
      </c>
    </row>
    <row r="199" spans="1:3" x14ac:dyDescent="0.2">
      <c r="A199" s="83" t="s">
        <v>27</v>
      </c>
      <c r="B199" s="131">
        <v>92</v>
      </c>
      <c r="C199" s="83" t="s">
        <v>28</v>
      </c>
    </row>
    <row r="200" spans="1:3" x14ac:dyDescent="0.2">
      <c r="A200" s="52" t="s">
        <v>285</v>
      </c>
      <c r="B200" s="130">
        <v>1.03</v>
      </c>
      <c r="C200" s="52" t="s">
        <v>286</v>
      </c>
    </row>
    <row r="201" spans="1:3" x14ac:dyDescent="0.2">
      <c r="A201" s="83" t="s">
        <v>498</v>
      </c>
      <c r="B201" s="131">
        <v>20.3</v>
      </c>
      <c r="C201" s="52" t="s">
        <v>246</v>
      </c>
    </row>
    <row r="202" spans="1:3" x14ac:dyDescent="0.2">
      <c r="A202" s="83" t="s">
        <v>499</v>
      </c>
      <c r="B202" s="131">
        <v>0.04</v>
      </c>
      <c r="C202" s="52" t="s">
        <v>246</v>
      </c>
    </row>
    <row r="203" spans="1:3" x14ac:dyDescent="0.2">
      <c r="A203" s="83" t="s">
        <v>500</v>
      </c>
      <c r="B203" s="131">
        <v>1</v>
      </c>
    </row>
    <row r="204" spans="1:3" x14ac:dyDescent="0.2">
      <c r="A204" s="83" t="s">
        <v>501</v>
      </c>
      <c r="B204" s="131">
        <v>1</v>
      </c>
    </row>
    <row r="205" spans="1:3" x14ac:dyDescent="0.2">
      <c r="A205" s="83" t="s">
        <v>29</v>
      </c>
      <c r="B205" s="131">
        <v>53</v>
      </c>
      <c r="C205" s="83" t="s">
        <v>28</v>
      </c>
    </row>
    <row r="206" spans="1:3" x14ac:dyDescent="0.2">
      <c r="A206" s="83" t="s">
        <v>494</v>
      </c>
      <c r="B206" s="131">
        <v>11.77</v>
      </c>
      <c r="C206" s="52" t="s">
        <v>246</v>
      </c>
    </row>
    <row r="207" spans="1:3" x14ac:dyDescent="0.2">
      <c r="A207" s="83" t="s">
        <v>495</v>
      </c>
      <c r="B207" s="131">
        <v>0.5</v>
      </c>
      <c r="C207" s="52" t="s">
        <v>246</v>
      </c>
    </row>
    <row r="208" spans="1:3" x14ac:dyDescent="0.2">
      <c r="A208" s="83" t="s">
        <v>496</v>
      </c>
      <c r="B208" s="131">
        <v>1</v>
      </c>
    </row>
    <row r="209" spans="1:3" x14ac:dyDescent="0.2">
      <c r="A209" s="83" t="s">
        <v>497</v>
      </c>
      <c r="B209" s="131">
        <v>1</v>
      </c>
    </row>
    <row r="210" spans="1:3" x14ac:dyDescent="0.2">
      <c r="A210" s="83" t="s">
        <v>148</v>
      </c>
      <c r="B210" s="130">
        <v>0.4</v>
      </c>
      <c r="C210" s="83" t="s">
        <v>28</v>
      </c>
    </row>
    <row r="211" spans="1:3" x14ac:dyDescent="0.2">
      <c r="A211" s="83" t="s">
        <v>152</v>
      </c>
      <c r="B211" s="131">
        <v>0.2</v>
      </c>
      <c r="C211" s="52" t="s">
        <v>246</v>
      </c>
    </row>
    <row r="212" spans="1:3" x14ac:dyDescent="0.2">
      <c r="A212" s="83" t="s">
        <v>151</v>
      </c>
      <c r="B212" s="131">
        <v>2.1999999999999999E-2</v>
      </c>
      <c r="C212" s="52" t="s">
        <v>246</v>
      </c>
    </row>
    <row r="213" spans="1:3" x14ac:dyDescent="0.2">
      <c r="A213" s="83" t="s">
        <v>153</v>
      </c>
      <c r="B213" s="130">
        <v>1</v>
      </c>
    </row>
    <row r="214" spans="1:3" x14ac:dyDescent="0.2">
      <c r="A214" s="83" t="s">
        <v>154</v>
      </c>
      <c r="B214" s="130">
        <v>1</v>
      </c>
    </row>
    <row r="215" spans="1:3" x14ac:dyDescent="0.2">
      <c r="A215" s="83" t="s">
        <v>485</v>
      </c>
      <c r="B215" s="130">
        <v>0.4</v>
      </c>
      <c r="C215" s="83" t="s">
        <v>28</v>
      </c>
    </row>
    <row r="216" spans="1:3" x14ac:dyDescent="0.2">
      <c r="A216" s="83" t="s">
        <v>486</v>
      </c>
      <c r="B216" s="131">
        <v>0.2</v>
      </c>
      <c r="C216" s="52" t="s">
        <v>246</v>
      </c>
    </row>
    <row r="217" spans="1:3" x14ac:dyDescent="0.2">
      <c r="A217" s="83" t="s">
        <v>487</v>
      </c>
      <c r="B217" s="131">
        <v>2.1999999999999999E-2</v>
      </c>
      <c r="C217" s="52" t="s">
        <v>246</v>
      </c>
    </row>
    <row r="218" spans="1:3" x14ac:dyDescent="0.2">
      <c r="A218" s="83" t="s">
        <v>488</v>
      </c>
      <c r="B218" s="131">
        <v>1</v>
      </c>
    </row>
    <row r="219" spans="1:3" x14ac:dyDescent="0.2">
      <c r="A219" s="83" t="s">
        <v>489</v>
      </c>
      <c r="B219" s="131">
        <v>1</v>
      </c>
    </row>
    <row r="220" spans="1:3" x14ac:dyDescent="0.2">
      <c r="A220" s="83" t="s">
        <v>150</v>
      </c>
      <c r="B220" s="131">
        <v>11.4</v>
      </c>
      <c r="C220" s="83" t="s">
        <v>28</v>
      </c>
    </row>
    <row r="221" spans="1:3" x14ac:dyDescent="0.2">
      <c r="A221" s="83" t="s">
        <v>490</v>
      </c>
      <c r="B221" s="131">
        <v>4.7</v>
      </c>
      <c r="C221" s="52" t="s">
        <v>246</v>
      </c>
    </row>
    <row r="222" spans="1:3" x14ac:dyDescent="0.2">
      <c r="A222" s="83" t="s">
        <v>491</v>
      </c>
      <c r="B222" s="131">
        <v>0.37</v>
      </c>
      <c r="C222" s="52" t="s">
        <v>246</v>
      </c>
    </row>
    <row r="223" spans="1:3" x14ac:dyDescent="0.2">
      <c r="A223" s="83" t="s">
        <v>492</v>
      </c>
      <c r="B223" s="131">
        <v>1</v>
      </c>
    </row>
    <row r="224" spans="1:3" x14ac:dyDescent="0.2">
      <c r="A224" s="83" t="s">
        <v>493</v>
      </c>
      <c r="B224" s="131">
        <v>1</v>
      </c>
    </row>
    <row r="225" spans="1:3" x14ac:dyDescent="0.2">
      <c r="A225" s="370" t="s">
        <v>311</v>
      </c>
      <c r="B225" s="370"/>
      <c r="C225" s="370"/>
    </row>
    <row r="226" spans="1:3" x14ac:dyDescent="0.2">
      <c r="A226" s="52" t="s">
        <v>504</v>
      </c>
      <c r="B226" s="130">
        <v>50</v>
      </c>
      <c r="C226" s="84" t="s">
        <v>407</v>
      </c>
    </row>
    <row r="227" spans="1:3" x14ac:dyDescent="0.2">
      <c r="A227" s="83" t="s">
        <v>316</v>
      </c>
      <c r="B227" s="130">
        <v>125</v>
      </c>
      <c r="C227" s="52" t="s">
        <v>24</v>
      </c>
    </row>
    <row r="228" spans="1:3" x14ac:dyDescent="0.2">
      <c r="A228" s="83" t="s">
        <v>422</v>
      </c>
      <c r="B228" s="131">
        <v>1</v>
      </c>
      <c r="C228" s="52" t="s">
        <v>60</v>
      </c>
    </row>
    <row r="229" spans="1:3" x14ac:dyDescent="0.2">
      <c r="A229" s="83" t="s">
        <v>317</v>
      </c>
      <c r="B229" s="130">
        <v>50</v>
      </c>
      <c r="C229" s="84" t="s">
        <v>48</v>
      </c>
    </row>
    <row r="230" spans="1:3" x14ac:dyDescent="0.2">
      <c r="A230" s="52" t="s">
        <v>318</v>
      </c>
      <c r="B230" s="131">
        <v>2</v>
      </c>
    </row>
    <row r="231" spans="1:3" x14ac:dyDescent="0.2">
      <c r="A231" s="83" t="s">
        <v>299</v>
      </c>
      <c r="B231" s="131">
        <v>1</v>
      </c>
    </row>
    <row r="232" spans="1:3" x14ac:dyDescent="0.2">
      <c r="A232" s="83" t="s">
        <v>83</v>
      </c>
      <c r="B232" s="130">
        <v>5</v>
      </c>
      <c r="C232" s="52" t="s">
        <v>194</v>
      </c>
    </row>
    <row r="233" spans="1:3" x14ac:dyDescent="0.2">
      <c r="A233" s="83" t="s">
        <v>85</v>
      </c>
      <c r="B233" s="130">
        <v>5</v>
      </c>
      <c r="C233" s="52" t="s">
        <v>194</v>
      </c>
    </row>
    <row r="234" spans="1:3" x14ac:dyDescent="0.2">
      <c r="A234" s="83" t="s">
        <v>88</v>
      </c>
      <c r="B234" s="130">
        <v>0.4</v>
      </c>
    </row>
    <row r="235" spans="1:3" x14ac:dyDescent="0.2">
      <c r="A235" s="370" t="s">
        <v>312</v>
      </c>
      <c r="B235" s="370"/>
      <c r="C235" s="370"/>
    </row>
    <row r="236" spans="1:3" x14ac:dyDescent="0.2">
      <c r="A236" s="52" t="s">
        <v>304</v>
      </c>
      <c r="B236" s="130">
        <v>50</v>
      </c>
      <c r="C236" s="84" t="s">
        <v>407</v>
      </c>
    </row>
    <row r="237" spans="1:3" x14ac:dyDescent="0.2">
      <c r="A237" s="83" t="s">
        <v>35</v>
      </c>
      <c r="B237" s="130">
        <v>125</v>
      </c>
      <c r="C237" s="52" t="s">
        <v>24</v>
      </c>
    </row>
    <row r="238" spans="1:3" x14ac:dyDescent="0.2">
      <c r="A238" s="83" t="s">
        <v>420</v>
      </c>
      <c r="B238" s="131">
        <v>1</v>
      </c>
      <c r="C238" s="52" t="s">
        <v>60</v>
      </c>
    </row>
    <row r="239" spans="1:3" x14ac:dyDescent="0.2">
      <c r="A239" s="83" t="s">
        <v>62</v>
      </c>
      <c r="B239" s="130">
        <v>50</v>
      </c>
      <c r="C239" s="84" t="s">
        <v>48</v>
      </c>
    </row>
    <row r="240" spans="1:3" x14ac:dyDescent="0.2">
      <c r="A240" s="52" t="s">
        <v>318</v>
      </c>
      <c r="B240" s="131">
        <v>2</v>
      </c>
    </row>
    <row r="241" spans="1:3" x14ac:dyDescent="0.2">
      <c r="A241" s="83" t="s">
        <v>299</v>
      </c>
      <c r="B241" s="131">
        <v>1</v>
      </c>
    </row>
    <row r="242" spans="1:3" x14ac:dyDescent="0.2">
      <c r="A242" s="83" t="s">
        <v>83</v>
      </c>
      <c r="B242" s="130">
        <v>5</v>
      </c>
      <c r="C242" s="52" t="s">
        <v>194</v>
      </c>
    </row>
    <row r="243" spans="1:3" x14ac:dyDescent="0.2">
      <c r="A243" s="83" t="s">
        <v>85</v>
      </c>
      <c r="B243" s="130">
        <v>5</v>
      </c>
      <c r="C243" s="52" t="s">
        <v>194</v>
      </c>
    </row>
    <row r="244" spans="1:3" x14ac:dyDescent="0.2">
      <c r="A244" s="83" t="s">
        <v>88</v>
      </c>
      <c r="B244" s="130">
        <v>0.4</v>
      </c>
    </row>
    <row r="245" spans="1:3" x14ac:dyDescent="0.2">
      <c r="A245" s="370" t="s">
        <v>313</v>
      </c>
      <c r="B245" s="370"/>
      <c r="C245" s="370"/>
    </row>
    <row r="246" spans="1:3" x14ac:dyDescent="0.2">
      <c r="A246" s="52" t="s">
        <v>50</v>
      </c>
      <c r="B246" s="130">
        <v>50</v>
      </c>
      <c r="C246" s="84" t="s">
        <v>407</v>
      </c>
    </row>
    <row r="247" spans="1:3" x14ac:dyDescent="0.2">
      <c r="A247" s="83" t="s">
        <v>423</v>
      </c>
      <c r="B247" s="130">
        <v>125</v>
      </c>
      <c r="C247" s="52" t="s">
        <v>24</v>
      </c>
    </row>
    <row r="248" spans="1:3" x14ac:dyDescent="0.2">
      <c r="A248" s="83" t="s">
        <v>424</v>
      </c>
      <c r="B248" s="131">
        <v>1</v>
      </c>
      <c r="C248" s="52" t="s">
        <v>60</v>
      </c>
    </row>
    <row r="249" spans="1:3" x14ac:dyDescent="0.2">
      <c r="A249" s="83" t="s">
        <v>503</v>
      </c>
      <c r="B249" s="130">
        <v>50</v>
      </c>
      <c r="C249" s="84" t="s">
        <v>48</v>
      </c>
    </row>
    <row r="250" spans="1:3" x14ac:dyDescent="0.2">
      <c r="A250" s="52" t="s">
        <v>318</v>
      </c>
      <c r="B250" s="131">
        <v>2</v>
      </c>
    </row>
    <row r="251" spans="1:3" x14ac:dyDescent="0.2">
      <c r="A251" s="83" t="s">
        <v>299</v>
      </c>
      <c r="B251" s="131">
        <v>1</v>
      </c>
    </row>
    <row r="252" spans="1:3" x14ac:dyDescent="0.2">
      <c r="A252" s="83" t="s">
        <v>83</v>
      </c>
      <c r="B252" s="130">
        <v>5</v>
      </c>
      <c r="C252" s="52" t="s">
        <v>194</v>
      </c>
    </row>
    <row r="253" spans="1:3" x14ac:dyDescent="0.2">
      <c r="A253" s="83" t="s">
        <v>85</v>
      </c>
      <c r="B253" s="130">
        <v>5</v>
      </c>
      <c r="C253" s="52" t="s">
        <v>194</v>
      </c>
    </row>
    <row r="254" spans="1:3" x14ac:dyDescent="0.2">
      <c r="A254" s="83" t="s">
        <v>88</v>
      </c>
      <c r="B254" s="130">
        <v>0.4</v>
      </c>
    </row>
    <row r="255" spans="1:3" x14ac:dyDescent="0.2">
      <c r="A255" s="370" t="s">
        <v>314</v>
      </c>
      <c r="B255" s="370"/>
      <c r="C255" s="370"/>
    </row>
    <row r="256" spans="1:3" x14ac:dyDescent="0.2">
      <c r="A256" s="52" t="s">
        <v>348</v>
      </c>
      <c r="B256" s="130">
        <v>50</v>
      </c>
      <c r="C256" s="84" t="s">
        <v>407</v>
      </c>
    </row>
    <row r="257" spans="1:3" x14ac:dyDescent="0.2">
      <c r="A257" s="83" t="s">
        <v>191</v>
      </c>
      <c r="B257" s="130">
        <v>125</v>
      </c>
      <c r="C257" s="52" t="s">
        <v>24</v>
      </c>
    </row>
    <row r="258" spans="1:3" x14ac:dyDescent="0.2">
      <c r="A258" s="83" t="s">
        <v>158</v>
      </c>
      <c r="B258" s="131">
        <v>1</v>
      </c>
      <c r="C258" s="52" t="s">
        <v>60</v>
      </c>
    </row>
    <row r="259" spans="1:3" x14ac:dyDescent="0.2">
      <c r="A259" s="83" t="s">
        <v>502</v>
      </c>
      <c r="B259" s="130">
        <v>200</v>
      </c>
      <c r="C259" s="84" t="s">
        <v>48</v>
      </c>
    </row>
    <row r="260" spans="1:3" x14ac:dyDescent="0.2">
      <c r="A260" s="52" t="s">
        <v>318</v>
      </c>
      <c r="B260" s="131">
        <v>2</v>
      </c>
    </row>
    <row r="261" spans="1:3" x14ac:dyDescent="0.2">
      <c r="A261" s="83" t="s">
        <v>299</v>
      </c>
      <c r="B261" s="131">
        <v>1</v>
      </c>
    </row>
    <row r="262" spans="1:3" x14ac:dyDescent="0.2">
      <c r="A262" s="83" t="s">
        <v>83</v>
      </c>
      <c r="B262" s="130">
        <v>5</v>
      </c>
      <c r="C262" s="52" t="s">
        <v>194</v>
      </c>
    </row>
    <row r="263" spans="1:3" x14ac:dyDescent="0.2">
      <c r="A263" s="83" t="s">
        <v>85</v>
      </c>
      <c r="B263" s="130">
        <v>5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83" t="s">
        <v>219</v>
      </c>
      <c r="B265" s="130">
        <v>3</v>
      </c>
      <c r="C265" s="52" t="s">
        <v>112</v>
      </c>
    </row>
    <row r="266" spans="1:3" x14ac:dyDescent="0.2">
      <c r="A266" s="83" t="s">
        <v>220</v>
      </c>
      <c r="B266" s="130">
        <v>25</v>
      </c>
      <c r="C266" s="52" t="s">
        <v>113</v>
      </c>
    </row>
    <row r="267" spans="1:3" x14ac:dyDescent="0.2">
      <c r="A267" s="370" t="s">
        <v>315</v>
      </c>
      <c r="B267" s="370"/>
      <c r="C267" s="370"/>
    </row>
    <row r="268" spans="1:3" x14ac:dyDescent="0.2">
      <c r="A268" s="52" t="s">
        <v>348</v>
      </c>
      <c r="B268" s="130">
        <v>50</v>
      </c>
      <c r="C268" s="84" t="s">
        <v>407</v>
      </c>
    </row>
    <row r="269" spans="1:3" x14ac:dyDescent="0.2">
      <c r="A269" s="83" t="s">
        <v>191</v>
      </c>
      <c r="B269" s="130">
        <v>125</v>
      </c>
      <c r="C269" s="52" t="s">
        <v>24</v>
      </c>
    </row>
    <row r="270" spans="1:3" x14ac:dyDescent="0.2">
      <c r="A270" s="83" t="s">
        <v>158</v>
      </c>
      <c r="B270" s="131">
        <v>1</v>
      </c>
      <c r="C270" s="52" t="s">
        <v>60</v>
      </c>
    </row>
    <row r="271" spans="1:3" x14ac:dyDescent="0.2">
      <c r="A271" s="83" t="s">
        <v>502</v>
      </c>
      <c r="B271" s="130">
        <v>200</v>
      </c>
      <c r="C271" s="84" t="s">
        <v>48</v>
      </c>
    </row>
    <row r="272" spans="1:3" x14ac:dyDescent="0.2">
      <c r="A272" s="83" t="s">
        <v>299</v>
      </c>
      <c r="B272" s="131">
        <v>1</v>
      </c>
    </row>
    <row r="273" spans="1:3" x14ac:dyDescent="0.2">
      <c r="A273" s="83" t="s">
        <v>83</v>
      </c>
      <c r="B273" s="130">
        <v>5</v>
      </c>
      <c r="C273" s="52" t="s">
        <v>194</v>
      </c>
    </row>
    <row r="274" spans="1:3" x14ac:dyDescent="0.2">
      <c r="A274" s="83" t="s">
        <v>85</v>
      </c>
      <c r="B274" s="130">
        <v>5</v>
      </c>
      <c r="C274" s="52" t="s">
        <v>194</v>
      </c>
    </row>
    <row r="275" spans="1:3" x14ac:dyDescent="0.2">
      <c r="A275" s="83" t="s">
        <v>88</v>
      </c>
      <c r="B275" s="130">
        <v>0.4</v>
      </c>
    </row>
    <row r="276" spans="1:3" x14ac:dyDescent="0.2">
      <c r="A276" s="83" t="s">
        <v>219</v>
      </c>
      <c r="B276" s="130">
        <v>3</v>
      </c>
      <c r="C276" s="52" t="s">
        <v>112</v>
      </c>
    </row>
    <row r="277" spans="1:3" x14ac:dyDescent="0.2">
      <c r="A277" s="83" t="s">
        <v>220</v>
      </c>
      <c r="B277" s="130">
        <v>25</v>
      </c>
      <c r="C277" s="52" t="s">
        <v>113</v>
      </c>
    </row>
    <row r="278" spans="1:3" x14ac:dyDescent="0.2">
      <c r="A278" s="84" t="s">
        <v>295</v>
      </c>
      <c r="B278" s="234">
        <v>222.01757699999999</v>
      </c>
      <c r="C278" s="84" t="s">
        <v>296</v>
      </c>
    </row>
    <row r="279" spans="1:3" x14ac:dyDescent="0.2">
      <c r="A279" s="84" t="s">
        <v>293</v>
      </c>
      <c r="B279" s="129">
        <f>2.8*(10^(-15))</f>
        <v>2.8000000000000001E-15</v>
      </c>
      <c r="C279" s="84"/>
    </row>
    <row r="280" spans="1:3" x14ac:dyDescent="0.2">
      <c r="A280" s="83" t="s">
        <v>293</v>
      </c>
      <c r="B280" s="129">
        <v>2.7955176153748299E-12</v>
      </c>
      <c r="C280" s="84"/>
    </row>
  </sheetData>
  <mergeCells count="348">
    <mergeCell ref="HD21:HF21"/>
    <mergeCell ref="V23:X23"/>
    <mergeCell ref="Y23:AA23"/>
    <mergeCell ref="D30:F30"/>
    <mergeCell ref="BJ21:BJ23"/>
    <mergeCell ref="BK21:BK23"/>
    <mergeCell ref="BL21:BL23"/>
    <mergeCell ref="BM21:BM23"/>
    <mergeCell ref="BN21:BN23"/>
    <mergeCell ref="BB21:BB23"/>
    <mergeCell ref="BC21:BC23"/>
    <mergeCell ref="BD21:BD23"/>
    <mergeCell ref="BE21:BE23"/>
    <mergeCell ref="BF21:BF23"/>
    <mergeCell ref="AT21:AT23"/>
    <mergeCell ref="AU21:AU23"/>
    <mergeCell ref="AV21:AV23"/>
    <mergeCell ref="CN20:CN22"/>
    <mergeCell ref="CO20:CO22"/>
    <mergeCell ref="CP20:CP22"/>
    <mergeCell ref="CQ20:CQ22"/>
    <mergeCell ref="CG19:CG21"/>
    <mergeCell ref="CM20:CM22"/>
    <mergeCell ref="CK19:CM19"/>
    <mergeCell ref="CC35:CG38"/>
    <mergeCell ref="BK39:BO42"/>
    <mergeCell ref="D43:F43"/>
    <mergeCell ref="D44:D45"/>
    <mergeCell ref="E44:E45"/>
    <mergeCell ref="F44:F45"/>
    <mergeCell ref="BO21:BO23"/>
    <mergeCell ref="AI21:AI23"/>
    <mergeCell ref="AJ21:AJ23"/>
    <mergeCell ref="AK21:AK23"/>
    <mergeCell ref="AL21:AL23"/>
    <mergeCell ref="AM21:AM23"/>
    <mergeCell ref="AN21:AN23"/>
    <mergeCell ref="AR21:AR23"/>
    <mergeCell ref="AS21:AS23"/>
    <mergeCell ref="CN19:CP19"/>
    <mergeCell ref="CQ19:CS19"/>
    <mergeCell ref="M20:O20"/>
    <mergeCell ref="P20:R20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CK20:CK22"/>
    <mergeCell ref="CL20:CL22"/>
    <mergeCell ref="CB19:CB21"/>
    <mergeCell ref="CC19:CC21"/>
    <mergeCell ref="CD19:CD21"/>
    <mergeCell ref="CE19:CE21"/>
    <mergeCell ref="CF19:CF21"/>
    <mergeCell ref="AW21:AW23"/>
    <mergeCell ref="BA21:BA23"/>
    <mergeCell ref="CR20:CR22"/>
    <mergeCell ref="CS20:CS22"/>
    <mergeCell ref="GZ2:GZ4"/>
    <mergeCell ref="HA2:HA4"/>
    <mergeCell ref="HB2:HB4"/>
    <mergeCell ref="HC2:HC4"/>
    <mergeCell ref="CB18:CD18"/>
    <mergeCell ref="CE18:CG18"/>
    <mergeCell ref="GU2:GU4"/>
    <mergeCell ref="GV2:GV4"/>
    <mergeCell ref="GW2:GW4"/>
    <mergeCell ref="GX2:GX4"/>
    <mergeCell ref="GY2:GY4"/>
    <mergeCell ref="GP2:GP4"/>
    <mergeCell ref="GQ2:GQ4"/>
    <mergeCell ref="GR2:GR4"/>
    <mergeCell ref="GS2:GS4"/>
    <mergeCell ref="GT2:GT4"/>
    <mergeCell ref="GK2:GK4"/>
    <mergeCell ref="GL2:GL4"/>
    <mergeCell ref="GM2:GM4"/>
    <mergeCell ref="GN2:GN4"/>
    <mergeCell ref="GO2:GO4"/>
    <mergeCell ref="GF2:GF4"/>
    <mergeCell ref="GG2:GG4"/>
    <mergeCell ref="GH2:GH4"/>
    <mergeCell ref="GI2:GI4"/>
    <mergeCell ref="GJ2:GJ4"/>
    <mergeCell ref="GA2:GA4"/>
    <mergeCell ref="GB2:GB4"/>
    <mergeCell ref="GC2:GC4"/>
    <mergeCell ref="GD2:GD4"/>
    <mergeCell ref="GE2:GE4"/>
    <mergeCell ref="FV2:FV4"/>
    <mergeCell ref="FW2:FW4"/>
    <mergeCell ref="FX2:FX4"/>
    <mergeCell ref="FY2:FY4"/>
    <mergeCell ref="FZ2:FZ4"/>
    <mergeCell ref="FQ2:FQ4"/>
    <mergeCell ref="FR2:FR4"/>
    <mergeCell ref="FS2:FS4"/>
    <mergeCell ref="FT2:FT4"/>
    <mergeCell ref="FU2:FU4"/>
    <mergeCell ref="FL2:FL4"/>
    <mergeCell ref="FM2:FM4"/>
    <mergeCell ref="FN2:FN4"/>
    <mergeCell ref="FO2:FO4"/>
    <mergeCell ref="FP2:FP4"/>
    <mergeCell ref="FG2:FG4"/>
    <mergeCell ref="FH2:FH4"/>
    <mergeCell ref="FI2:FI4"/>
    <mergeCell ref="FJ2:FJ4"/>
    <mergeCell ref="FK2:FK4"/>
    <mergeCell ref="FB2:FB4"/>
    <mergeCell ref="FC2:FC4"/>
    <mergeCell ref="FD2:FD4"/>
    <mergeCell ref="FE2:FE4"/>
    <mergeCell ref="FF2:FF4"/>
    <mergeCell ref="EW2:EW4"/>
    <mergeCell ref="EX2:EX4"/>
    <mergeCell ref="EY2:EY4"/>
    <mergeCell ref="EZ2:EZ4"/>
    <mergeCell ref="FA2:FA4"/>
    <mergeCell ref="ER2:ER4"/>
    <mergeCell ref="ES2:ES4"/>
    <mergeCell ref="ET2:ET4"/>
    <mergeCell ref="EU2:EU4"/>
    <mergeCell ref="EV2:EV4"/>
    <mergeCell ref="EM2:EM4"/>
    <mergeCell ref="EN2:EN4"/>
    <mergeCell ref="EO2:EO4"/>
    <mergeCell ref="EP2:EP4"/>
    <mergeCell ref="EQ2:EQ4"/>
    <mergeCell ref="EH2:EH4"/>
    <mergeCell ref="EI2:EI4"/>
    <mergeCell ref="EJ2:EJ4"/>
    <mergeCell ref="EK2:EK4"/>
    <mergeCell ref="EL2:EL4"/>
    <mergeCell ref="EC2:EC4"/>
    <mergeCell ref="ED2:ED4"/>
    <mergeCell ref="EE2:EE4"/>
    <mergeCell ref="EF2:EF4"/>
    <mergeCell ref="EG2:EG4"/>
    <mergeCell ref="DX2:DX4"/>
    <mergeCell ref="DY2:DY4"/>
    <mergeCell ref="DZ2:DZ4"/>
    <mergeCell ref="EA2:EA4"/>
    <mergeCell ref="EB2:EB4"/>
    <mergeCell ref="DS2:DS4"/>
    <mergeCell ref="DT2:DT4"/>
    <mergeCell ref="DU2:DU4"/>
    <mergeCell ref="DV2:DV4"/>
    <mergeCell ref="DW2:DW4"/>
    <mergeCell ref="DN2:DN4"/>
    <mergeCell ref="DO2:DO4"/>
    <mergeCell ref="DP2:DP4"/>
    <mergeCell ref="DQ2:DQ4"/>
    <mergeCell ref="DR2:DR4"/>
    <mergeCell ref="DI2:DI4"/>
    <mergeCell ref="DJ2:DJ4"/>
    <mergeCell ref="DK2:DK4"/>
    <mergeCell ref="DL2:DL4"/>
    <mergeCell ref="DM2:DM4"/>
    <mergeCell ref="DD2:DD4"/>
    <mergeCell ref="DE2:DE4"/>
    <mergeCell ref="DF2:DF4"/>
    <mergeCell ref="DG2:DG4"/>
    <mergeCell ref="DH2:DH4"/>
    <mergeCell ref="CV2:CV4"/>
    <mergeCell ref="CZ2:CZ4"/>
    <mergeCell ref="DA2:DA4"/>
    <mergeCell ref="DB2:DB4"/>
    <mergeCell ref="DC2:DC4"/>
    <mergeCell ref="CQ2:CQ4"/>
    <mergeCell ref="CR2:CR4"/>
    <mergeCell ref="CS2:CS4"/>
    <mergeCell ref="CT2:CT4"/>
    <mergeCell ref="CU2:CU4"/>
    <mergeCell ref="CL2:CL4"/>
    <mergeCell ref="CM2:CM4"/>
    <mergeCell ref="CN2:CN4"/>
    <mergeCell ref="CO2:CO4"/>
    <mergeCell ref="CP2:CP4"/>
    <mergeCell ref="CG2:CG4"/>
    <mergeCell ref="CH2:CH4"/>
    <mergeCell ref="CI2:CI4"/>
    <mergeCell ref="CJ2:CJ4"/>
    <mergeCell ref="CK2:CK4"/>
    <mergeCell ref="CB2:CB4"/>
    <mergeCell ref="CC2:CC4"/>
    <mergeCell ref="CD2:CD4"/>
    <mergeCell ref="CE2:CE4"/>
    <mergeCell ref="CF2:CF4"/>
    <mergeCell ref="BW2:BW4"/>
    <mergeCell ref="BX2:BX4"/>
    <mergeCell ref="BY2:BY4"/>
    <mergeCell ref="BZ2:BZ4"/>
    <mergeCell ref="CA2:CA4"/>
    <mergeCell ref="BO2:BO4"/>
    <mergeCell ref="BP2:BP4"/>
    <mergeCell ref="BQ2:BQ4"/>
    <mergeCell ref="BR2:BR4"/>
    <mergeCell ref="BV2:BV4"/>
    <mergeCell ref="BJ2:BJ4"/>
    <mergeCell ref="BK2:BK4"/>
    <mergeCell ref="BL2:BL4"/>
    <mergeCell ref="BM2:BM4"/>
    <mergeCell ref="BN2:BN4"/>
    <mergeCell ref="BE2:BE4"/>
    <mergeCell ref="BF2:BF4"/>
    <mergeCell ref="BG2:BG4"/>
    <mergeCell ref="BH2:BH4"/>
    <mergeCell ref="BI2:BI4"/>
    <mergeCell ref="AZ2:AZ4"/>
    <mergeCell ref="BA2:BA4"/>
    <mergeCell ref="BB2:BB4"/>
    <mergeCell ref="BC2:BC4"/>
    <mergeCell ref="BD2:BD4"/>
    <mergeCell ref="AU2:AU4"/>
    <mergeCell ref="AV2:AV4"/>
    <mergeCell ref="AW2:AW4"/>
    <mergeCell ref="AX2:AX4"/>
    <mergeCell ref="AY2:AY4"/>
    <mergeCell ref="AP2:AP4"/>
    <mergeCell ref="AQ2:AQ4"/>
    <mergeCell ref="AR2:AR4"/>
    <mergeCell ref="AS2:AS4"/>
    <mergeCell ref="AT2:AT4"/>
    <mergeCell ref="GX1:GZ1"/>
    <mergeCell ref="HA1:HC1"/>
    <mergeCell ref="HD1:HF1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R2:R4"/>
    <mergeCell ref="S2:S4"/>
    <mergeCell ref="GI1:GK1"/>
    <mergeCell ref="GL1:GN1"/>
    <mergeCell ref="GO1:GQ1"/>
    <mergeCell ref="AK2:AK4"/>
    <mergeCell ref="AL2:AL4"/>
    <mergeCell ref="AM2:AM4"/>
    <mergeCell ref="AN2:AN4"/>
    <mergeCell ref="AO2:AO4"/>
    <mergeCell ref="GR1:GT1"/>
    <mergeCell ref="GU1:GW1"/>
    <mergeCell ref="FT1:FV1"/>
    <mergeCell ref="FW1:FX1"/>
    <mergeCell ref="FZ1:GB1"/>
    <mergeCell ref="GC1:GE1"/>
    <mergeCell ref="GF1:GH1"/>
    <mergeCell ref="FE1:FG1"/>
    <mergeCell ref="FH1:FJ1"/>
    <mergeCell ref="FK1:FM1"/>
    <mergeCell ref="FN1:FP1"/>
    <mergeCell ref="FQ1:FS1"/>
    <mergeCell ref="EP1:ER1"/>
    <mergeCell ref="ES1:EU1"/>
    <mergeCell ref="EV1:EX1"/>
    <mergeCell ref="EY1:FA1"/>
    <mergeCell ref="FB1:FD1"/>
    <mergeCell ref="EA1:EC1"/>
    <mergeCell ref="ED1:EF1"/>
    <mergeCell ref="EG1:EI1"/>
    <mergeCell ref="EJ1:EL1"/>
    <mergeCell ref="EM1:EO1"/>
    <mergeCell ref="DL1:DN1"/>
    <mergeCell ref="DO1:DQ1"/>
    <mergeCell ref="DR1:DT1"/>
    <mergeCell ref="DU1:DW1"/>
    <mergeCell ref="DX1:DZ1"/>
    <mergeCell ref="CW1:CY1"/>
    <mergeCell ref="CZ1:DB1"/>
    <mergeCell ref="DC1:DE1"/>
    <mergeCell ref="DF1:DH1"/>
    <mergeCell ref="DI1:DK1"/>
    <mergeCell ref="CH1:CJ1"/>
    <mergeCell ref="CK1:CM1"/>
    <mergeCell ref="CN1:CP1"/>
    <mergeCell ref="CQ1:CS1"/>
    <mergeCell ref="CT1:CV1"/>
    <mergeCell ref="BS1:BU1"/>
    <mergeCell ref="BV1:BX1"/>
    <mergeCell ref="BY1:CA1"/>
    <mergeCell ref="CB1:CD1"/>
    <mergeCell ref="CE1:CG1"/>
    <mergeCell ref="BD1:BF1"/>
    <mergeCell ref="BG1:BI1"/>
    <mergeCell ref="BJ1:BL1"/>
    <mergeCell ref="BM1:BO1"/>
    <mergeCell ref="BP1:BR1"/>
    <mergeCell ref="AO1:AQ1"/>
    <mergeCell ref="AR1:AT1"/>
    <mergeCell ref="AU1:AW1"/>
    <mergeCell ref="AX1:AZ1"/>
    <mergeCell ref="BA1:BC1"/>
    <mergeCell ref="A267:C267"/>
    <mergeCell ref="D1:F1"/>
    <mergeCell ref="G1:I1"/>
    <mergeCell ref="J1:L1"/>
    <mergeCell ref="M1:O1"/>
    <mergeCell ref="D31:D32"/>
    <mergeCell ref="E31:E32"/>
    <mergeCell ref="F31:F32"/>
    <mergeCell ref="A49:C49"/>
    <mergeCell ref="A91:C91"/>
    <mergeCell ref="A102:C102"/>
    <mergeCell ref="A140:C140"/>
    <mergeCell ref="A225:C225"/>
    <mergeCell ref="A235:C235"/>
    <mergeCell ref="A245:C245"/>
    <mergeCell ref="A255:C255"/>
    <mergeCell ref="A1:C1"/>
    <mergeCell ref="M21:M23"/>
    <mergeCell ref="N21:N23"/>
    <mergeCell ref="O21:O23"/>
    <mergeCell ref="AI1:AK1"/>
    <mergeCell ref="AL1:AN1"/>
    <mergeCell ref="AE38:AG40"/>
    <mergeCell ref="A2:C2"/>
    <mergeCell ref="A5:C5"/>
    <mergeCell ref="A14:C16"/>
    <mergeCell ref="P1:R1"/>
    <mergeCell ref="S1:U1"/>
    <mergeCell ref="V1:X1"/>
    <mergeCell ref="Y1:AA1"/>
    <mergeCell ref="AB1:AB4"/>
    <mergeCell ref="T2:T4"/>
    <mergeCell ref="U2:U4"/>
    <mergeCell ref="AC2:AC4"/>
    <mergeCell ref="AD2:AD4"/>
    <mergeCell ref="AE2:AE4"/>
    <mergeCell ref="AF2:AF4"/>
    <mergeCell ref="AG2:AG4"/>
    <mergeCell ref="AH2:AH4"/>
    <mergeCell ref="AI2:AI4"/>
    <mergeCell ref="AJ2:AJ4"/>
    <mergeCell ref="P21:P23"/>
    <mergeCell ref="Q21:Q23"/>
    <mergeCell ref="R21:R2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workbookViewId="0">
      <selection activeCell="J35" sqref="J35"/>
    </sheetView>
  </sheetViews>
  <sheetFormatPr defaultRowHeight="12.75" x14ac:dyDescent="0.2"/>
  <cols>
    <col min="1" max="1" width="10" bestFit="1" customWidth="1"/>
    <col min="2" max="2" width="12" bestFit="1" customWidth="1"/>
    <col min="3" max="3" width="10" bestFit="1" customWidth="1"/>
    <col min="4" max="4" width="12" bestFit="1" customWidth="1"/>
    <col min="5" max="5" width="12.5703125" bestFit="1" customWidth="1"/>
    <col min="6" max="6" width="12.42578125" bestFit="1" customWidth="1"/>
    <col min="7" max="7" width="12" bestFit="1" customWidth="1"/>
    <col min="8" max="8" width="10.28515625" bestFit="1" customWidth="1"/>
    <col min="9" max="9" width="11.42578125" bestFit="1" customWidth="1"/>
    <col min="10" max="10" width="12" bestFit="1" customWidth="1"/>
    <col min="11" max="12" width="10.28515625" bestFit="1" customWidth="1"/>
  </cols>
  <sheetData>
    <row r="1" spans="1:11" ht="41.45" customHeight="1" thickBot="1" x14ac:dyDescent="0.25">
      <c r="A1" s="685" t="s">
        <v>217</v>
      </c>
      <c r="B1" s="686"/>
      <c r="C1" s="10"/>
    </row>
    <row r="2" spans="1:11" ht="13.5" thickTop="1" x14ac:dyDescent="0.2">
      <c r="C2" s="17" t="s">
        <v>174</v>
      </c>
      <c r="D2" s="18"/>
      <c r="E2" s="19"/>
      <c r="F2" s="11" t="s">
        <v>174</v>
      </c>
      <c r="G2" s="12"/>
      <c r="H2" s="13"/>
      <c r="I2" s="5" t="s">
        <v>174</v>
      </c>
      <c r="J2" s="23"/>
      <c r="K2" s="24"/>
    </row>
    <row r="3" spans="1:11" ht="13.5" thickBot="1" x14ac:dyDescent="0.25">
      <c r="C3" s="20" t="s">
        <v>172</v>
      </c>
      <c r="D3" s="21">
        <f>D8*((D13)/(D14*(1-D7)*((D4/D5)^3)*D6))</f>
        <v>1359344473.5814338</v>
      </c>
      <c r="E3" s="22" t="s">
        <v>173</v>
      </c>
      <c r="F3" s="14" t="s">
        <v>223</v>
      </c>
      <c r="G3" s="15">
        <f>G4*(1/G9)*((G5*G6)/((((2.6*(G23/12)^0.8)*((G7/3)^0.4))/((G21/0.2)^0.3))*((365-G22)/365)*281.9*G8))</f>
        <v>776129.4078035407</v>
      </c>
      <c r="H3" s="16"/>
      <c r="I3" s="25" t="s">
        <v>224</v>
      </c>
      <c r="J3" s="124">
        <f>J4*(1/J7)*(1/J8)</f>
        <v>69557565.807898715</v>
      </c>
      <c r="K3" s="26"/>
    </row>
    <row r="4" spans="1:11" ht="13.5" thickTop="1" x14ac:dyDescent="0.2">
      <c r="A4" s="684" t="s">
        <v>216</v>
      </c>
      <c r="B4" s="684"/>
      <c r="C4" s="27" t="s">
        <v>137</v>
      </c>
      <c r="D4" s="6">
        <v>4.6900000000000004</v>
      </c>
      <c r="E4" s="6" t="s">
        <v>138</v>
      </c>
      <c r="F4" s="34" t="s">
        <v>176</v>
      </c>
      <c r="G4" s="6">
        <f>G24*EXP((((LN(G17))-G25)^2)/G26)</f>
        <v>16.403103329458006</v>
      </c>
      <c r="H4" s="6"/>
      <c r="I4" s="34" t="s">
        <v>176</v>
      </c>
      <c r="J4" s="6">
        <f>J43*EXP((((LN(J38))-J44)^2)/J45)</f>
        <v>9.4355742285493491</v>
      </c>
      <c r="K4" s="7"/>
    </row>
    <row r="5" spans="1:11" x14ac:dyDescent="0.2">
      <c r="C5" s="35" t="s">
        <v>139</v>
      </c>
      <c r="D5" s="28">
        <v>11.32</v>
      </c>
      <c r="E5" s="28" t="s">
        <v>138</v>
      </c>
      <c r="F5" s="44" t="s">
        <v>73</v>
      </c>
      <c r="G5" s="37">
        <f>G20*G13*G27*G32</f>
        <v>7200000</v>
      </c>
      <c r="H5" s="28" t="s">
        <v>187</v>
      </c>
      <c r="I5" s="44" t="s">
        <v>73</v>
      </c>
      <c r="J5" s="37">
        <f>J39*J17*J40*J48</f>
        <v>7200000</v>
      </c>
      <c r="K5" s="29" t="s">
        <v>187</v>
      </c>
    </row>
    <row r="6" spans="1:11" x14ac:dyDescent="0.2">
      <c r="C6" s="35" t="s">
        <v>136</v>
      </c>
      <c r="D6" s="28">
        <v>0.19400000000000001</v>
      </c>
      <c r="E6" s="28" t="s">
        <v>41</v>
      </c>
      <c r="F6" s="44" t="s">
        <v>177</v>
      </c>
      <c r="G6" s="28">
        <f>G11*G14*G30</f>
        <v>867.14059713578104</v>
      </c>
      <c r="H6" s="28" t="s">
        <v>178</v>
      </c>
      <c r="I6" s="44" t="s">
        <v>181</v>
      </c>
      <c r="J6" s="28">
        <f>J39*J41*J46*J47</f>
        <v>8400</v>
      </c>
      <c r="K6" s="29" t="s">
        <v>188</v>
      </c>
    </row>
    <row r="7" spans="1:11" x14ac:dyDescent="0.2">
      <c r="A7" s="36"/>
      <c r="B7" s="38"/>
      <c r="C7" s="35" t="s">
        <v>129</v>
      </c>
      <c r="D7" s="28">
        <v>0.5</v>
      </c>
      <c r="E7" s="28"/>
      <c r="F7" s="44" t="s">
        <v>124</v>
      </c>
      <c r="G7" s="28">
        <f>((G15*G33)+(G16*G34))/(G15+G16)</f>
        <v>8</v>
      </c>
      <c r="H7" s="28" t="s">
        <v>125</v>
      </c>
      <c r="I7" s="44" t="s">
        <v>180</v>
      </c>
      <c r="J7" s="28">
        <f>0.1852+(5.3537/J6)+(-9.6318/(J6)^2)</f>
        <v>0.18583720873299323</v>
      </c>
      <c r="K7" s="29" t="s">
        <v>41</v>
      </c>
    </row>
    <row r="8" spans="1:11" x14ac:dyDescent="0.2">
      <c r="C8" s="40" t="s">
        <v>176</v>
      </c>
      <c r="D8" s="28">
        <f>D10*EXP((((LN(D9))-D11)^2)/D12)</f>
        <v>93.773582452087695</v>
      </c>
      <c r="E8" s="28"/>
      <c r="F8" s="44" t="s">
        <v>179</v>
      </c>
      <c r="G8" s="28">
        <f>(G15+G16)*G12*G18*G19</f>
        <v>1066.8565089676306</v>
      </c>
      <c r="H8" s="28" t="s">
        <v>122</v>
      </c>
      <c r="I8" s="44" t="s">
        <v>130</v>
      </c>
      <c r="J8" s="125">
        <f>(J9+J10+J11+J12+J13)/(J14*J5)</f>
        <v>7.2994693017488549E-7</v>
      </c>
      <c r="K8" s="29"/>
    </row>
    <row r="9" spans="1:11" x14ac:dyDescent="0.2">
      <c r="C9" s="39" t="s">
        <v>114</v>
      </c>
      <c r="D9" s="28">
        <v>0.5</v>
      </c>
      <c r="E9" s="28" t="s">
        <v>109</v>
      </c>
      <c r="F9" s="44" t="s">
        <v>180</v>
      </c>
      <c r="G9" s="32">
        <f>0.1852+(5.3537/G10)+(-9.6318/(G10)^2)</f>
        <v>0.18583720873299323</v>
      </c>
      <c r="H9" s="28" t="s">
        <v>41</v>
      </c>
      <c r="I9" s="44" t="s">
        <v>196</v>
      </c>
      <c r="J9" s="28">
        <f>0.036*(1-J21)*((J18/J19)^3)*J20*J39*J14*8760</f>
        <v>88039.135458504272</v>
      </c>
      <c r="K9" s="29" t="s">
        <v>132</v>
      </c>
    </row>
    <row r="10" spans="1:11" x14ac:dyDescent="0.2">
      <c r="C10" s="42" t="s">
        <v>117</v>
      </c>
      <c r="D10" s="43">
        <v>16.2302</v>
      </c>
      <c r="E10" s="28"/>
      <c r="F10" s="44" t="s">
        <v>181</v>
      </c>
      <c r="G10" s="28">
        <f>G20*G18*G28*G29</f>
        <v>8400</v>
      </c>
      <c r="H10" s="28" t="s">
        <v>188</v>
      </c>
      <c r="I10" s="44" t="s">
        <v>133</v>
      </c>
      <c r="J10" s="28">
        <f>(0.35*0.0016*((J18/2.2)^1.3)/((J26/2)^1.4))*J22*J23*J24*J25*1000</f>
        <v>1658.1505859098856</v>
      </c>
      <c r="K10" s="29" t="s">
        <v>132</v>
      </c>
    </row>
    <row r="11" spans="1:11" x14ac:dyDescent="0.2">
      <c r="C11" s="42" t="s">
        <v>119</v>
      </c>
      <c r="D11" s="43">
        <v>18.776199999999999</v>
      </c>
      <c r="E11" s="28"/>
      <c r="F11" s="44" t="s">
        <v>182</v>
      </c>
      <c r="G11" s="33">
        <f>SQRT(G17*43560.17)</f>
        <v>466.69138625005706</v>
      </c>
      <c r="H11" s="28" t="s">
        <v>106</v>
      </c>
      <c r="I11" s="44" t="s">
        <v>131</v>
      </c>
      <c r="J11" s="28">
        <f>0.75*((0.45*(J27^1.5))/(J28^1.4))*(J15/J29)*1000</f>
        <v>739.26351214461999</v>
      </c>
      <c r="K11" s="29" t="s">
        <v>132</v>
      </c>
    </row>
    <row r="12" spans="1:11" x14ac:dyDescent="0.2">
      <c r="C12" s="42" t="s">
        <v>121</v>
      </c>
      <c r="D12" s="43">
        <v>216.108</v>
      </c>
      <c r="E12" s="28"/>
      <c r="F12" s="44" t="s">
        <v>127</v>
      </c>
      <c r="G12" s="28">
        <f>G11*0.0003048</f>
        <v>0.14224753452901739</v>
      </c>
      <c r="H12" s="28" t="s">
        <v>128</v>
      </c>
      <c r="I12" s="44" t="s">
        <v>135</v>
      </c>
      <c r="J12" s="28">
        <f>0.6*0.0056*(J30^2)*J16*1000</f>
        <v>10863.846413114754</v>
      </c>
      <c r="K12" s="29" t="s">
        <v>132</v>
      </c>
    </row>
    <row r="13" spans="1:11" x14ac:dyDescent="0.2">
      <c r="A13" s="2"/>
      <c r="C13" s="31"/>
      <c r="D13" s="28">
        <v>3600</v>
      </c>
      <c r="E13" s="28" t="s">
        <v>175</v>
      </c>
      <c r="F13" s="44" t="s">
        <v>191</v>
      </c>
      <c r="G13" s="28">
        <v>250</v>
      </c>
      <c r="H13" s="28" t="s">
        <v>24</v>
      </c>
      <c r="I13" s="44" t="s">
        <v>134</v>
      </c>
      <c r="J13" s="28">
        <f>1.1*(J31^0.6)*J32*4047*(1/10000)*1000*J33</f>
        <v>5043.3532488378178</v>
      </c>
      <c r="K13" s="29" t="s">
        <v>132</v>
      </c>
    </row>
    <row r="14" spans="1:11" ht="13.5" thickBot="1" x14ac:dyDescent="0.25">
      <c r="A14" s="2"/>
      <c r="C14" s="8"/>
      <c r="D14" s="10">
        <v>3.5999999999999997E-2</v>
      </c>
      <c r="E14" s="10"/>
      <c r="F14" s="30" t="s">
        <v>183</v>
      </c>
      <c r="G14" s="28">
        <v>20</v>
      </c>
      <c r="H14" s="28" t="s">
        <v>106</v>
      </c>
      <c r="I14" s="44" t="s">
        <v>120</v>
      </c>
      <c r="J14" s="28">
        <f>J38*4046.86</f>
        <v>20234.3</v>
      </c>
      <c r="K14" s="29" t="s">
        <v>178</v>
      </c>
    </row>
    <row r="15" spans="1:11" ht="13.5" thickTop="1" x14ac:dyDescent="0.2">
      <c r="A15" s="2"/>
      <c r="F15" s="30" t="s">
        <v>185</v>
      </c>
      <c r="G15" s="28">
        <v>20</v>
      </c>
      <c r="H15" s="28"/>
      <c r="I15" s="44" t="s">
        <v>204</v>
      </c>
      <c r="J15" s="28">
        <f>J35*J23*(1/J36)*(1/1000)*J37</f>
        <v>24.879098360655735</v>
      </c>
      <c r="K15" s="29" t="s">
        <v>122</v>
      </c>
    </row>
    <row r="16" spans="1:11" x14ac:dyDescent="0.2">
      <c r="A16" s="2"/>
      <c r="D16" s="4"/>
      <c r="F16" s="30" t="s">
        <v>186</v>
      </c>
      <c r="G16" s="28">
        <v>10</v>
      </c>
      <c r="H16" s="28"/>
      <c r="I16" s="44" t="s">
        <v>209</v>
      </c>
      <c r="J16" s="28">
        <f>J34*J23*(1/J36)*(1/1000)*J37</f>
        <v>24.879098360655735</v>
      </c>
      <c r="K16" s="29" t="s">
        <v>122</v>
      </c>
    </row>
    <row r="17" spans="1:14" x14ac:dyDescent="0.2">
      <c r="A17" s="2"/>
      <c r="F17" s="30" t="s">
        <v>114</v>
      </c>
      <c r="G17" s="3">
        <v>5</v>
      </c>
      <c r="H17" s="3" t="s">
        <v>109</v>
      </c>
      <c r="I17" s="44" t="s">
        <v>191</v>
      </c>
      <c r="J17" s="28">
        <f>'Am-241 Default'!AG7</f>
        <v>250</v>
      </c>
      <c r="K17" s="29" t="s">
        <v>24</v>
      </c>
    </row>
    <row r="18" spans="1:14" x14ac:dyDescent="0.2">
      <c r="A18" s="2"/>
      <c r="F18" s="31" t="s">
        <v>189</v>
      </c>
      <c r="G18" s="28">
        <v>50</v>
      </c>
      <c r="H18" s="28" t="s">
        <v>113</v>
      </c>
      <c r="I18" s="35" t="s">
        <v>137</v>
      </c>
      <c r="J18" s="28">
        <v>4.6900000000000004</v>
      </c>
      <c r="K18" s="29" t="s">
        <v>138</v>
      </c>
    </row>
    <row r="19" spans="1:14" x14ac:dyDescent="0.2">
      <c r="A19" s="2"/>
      <c r="F19" s="31" t="s">
        <v>190</v>
      </c>
      <c r="G19" s="28">
        <v>5</v>
      </c>
      <c r="H19" s="28" t="s">
        <v>112</v>
      </c>
      <c r="I19" s="35" t="s">
        <v>139</v>
      </c>
      <c r="J19" s="28">
        <v>11.32</v>
      </c>
      <c r="K19" s="29" t="s">
        <v>138</v>
      </c>
    </row>
    <row r="20" spans="1:14" x14ac:dyDescent="0.2">
      <c r="A20" s="2"/>
      <c r="D20" s="1"/>
      <c r="F20" s="31" t="s">
        <v>158</v>
      </c>
      <c r="G20" s="28">
        <v>1</v>
      </c>
      <c r="H20" s="28" t="s">
        <v>146</v>
      </c>
      <c r="I20" s="35" t="s">
        <v>136</v>
      </c>
      <c r="J20" s="28">
        <v>0.19400000000000001</v>
      </c>
      <c r="K20" s="29" t="s">
        <v>41</v>
      </c>
    </row>
    <row r="21" spans="1:14" x14ac:dyDescent="0.2">
      <c r="A21" s="2"/>
      <c r="F21" s="31" t="s">
        <v>195</v>
      </c>
      <c r="G21" s="33">
        <v>0.2</v>
      </c>
      <c r="H21" s="28" t="s">
        <v>203</v>
      </c>
      <c r="I21" s="35" t="s">
        <v>129</v>
      </c>
      <c r="J21" s="28">
        <v>0</v>
      </c>
      <c r="K21" s="29"/>
    </row>
    <row r="22" spans="1:14" x14ac:dyDescent="0.2">
      <c r="A22" s="2"/>
      <c r="F22" s="31" t="s">
        <v>115</v>
      </c>
      <c r="G22" s="33">
        <v>70</v>
      </c>
      <c r="H22" s="28" t="s">
        <v>24</v>
      </c>
      <c r="I22" s="39" t="s">
        <v>197</v>
      </c>
      <c r="J22" s="28">
        <v>1.68</v>
      </c>
      <c r="K22" s="29" t="s">
        <v>198</v>
      </c>
    </row>
    <row r="23" spans="1:14" x14ac:dyDescent="0.2">
      <c r="A23" s="2"/>
      <c r="F23" s="30" t="s">
        <v>116</v>
      </c>
      <c r="G23" s="3">
        <v>8.5</v>
      </c>
      <c r="H23" s="3" t="s">
        <v>203</v>
      </c>
      <c r="I23" s="39" t="s">
        <v>199</v>
      </c>
      <c r="J23" s="28">
        <v>4047</v>
      </c>
      <c r="K23" s="29" t="s">
        <v>178</v>
      </c>
    </row>
    <row r="24" spans="1:14" x14ac:dyDescent="0.2">
      <c r="A24" s="2"/>
      <c r="F24" s="42" t="s">
        <v>117</v>
      </c>
      <c r="G24" s="43">
        <v>12.9351</v>
      </c>
      <c r="H24" s="28"/>
      <c r="I24" s="39" t="s">
        <v>200</v>
      </c>
      <c r="J24" s="33">
        <v>1</v>
      </c>
      <c r="K24" s="29" t="s">
        <v>97</v>
      </c>
    </row>
    <row r="25" spans="1:14" x14ac:dyDescent="0.2">
      <c r="A25" s="2"/>
      <c r="F25" s="42" t="s">
        <v>119</v>
      </c>
      <c r="G25" s="43">
        <v>5.7382999999999997</v>
      </c>
      <c r="H25" s="28"/>
      <c r="I25" s="39" t="s">
        <v>201</v>
      </c>
      <c r="J25" s="28">
        <v>2</v>
      </c>
      <c r="K25" s="29"/>
    </row>
    <row r="26" spans="1:14" x14ac:dyDescent="0.2">
      <c r="A26" s="2"/>
      <c r="F26" s="42" t="s">
        <v>121</v>
      </c>
      <c r="G26" s="43">
        <v>71.771100000000004</v>
      </c>
      <c r="H26" s="28"/>
      <c r="I26" s="39" t="s">
        <v>202</v>
      </c>
      <c r="J26" s="28">
        <v>12</v>
      </c>
      <c r="K26" s="29" t="s">
        <v>203</v>
      </c>
    </row>
    <row r="27" spans="1:14" x14ac:dyDescent="0.2">
      <c r="A27" s="2"/>
      <c r="F27" s="31" t="s">
        <v>58</v>
      </c>
      <c r="G27" s="28">
        <v>8</v>
      </c>
      <c r="H27" s="28" t="s">
        <v>141</v>
      </c>
      <c r="I27" s="39" t="s">
        <v>123</v>
      </c>
      <c r="J27" s="28">
        <v>6.9</v>
      </c>
      <c r="K27" s="29" t="s">
        <v>203</v>
      </c>
    </row>
    <row r="28" spans="1:14" x14ac:dyDescent="0.2">
      <c r="A28" s="2"/>
      <c r="F28" s="31"/>
      <c r="G28" s="28">
        <v>7</v>
      </c>
      <c r="H28" s="28" t="s">
        <v>112</v>
      </c>
      <c r="I28" s="39" t="s">
        <v>205</v>
      </c>
      <c r="J28" s="28">
        <v>7.9</v>
      </c>
      <c r="K28" s="29" t="s">
        <v>203</v>
      </c>
    </row>
    <row r="29" spans="1:14" x14ac:dyDescent="0.2">
      <c r="A29" s="2"/>
      <c r="F29" s="31"/>
      <c r="G29" s="28">
        <v>24</v>
      </c>
      <c r="H29" s="28" t="s">
        <v>194</v>
      </c>
      <c r="I29" s="39" t="s">
        <v>206</v>
      </c>
      <c r="J29" s="28">
        <v>11.4</v>
      </c>
      <c r="K29" s="29" t="s">
        <v>207</v>
      </c>
    </row>
    <row r="30" spans="1:14" x14ac:dyDescent="0.2">
      <c r="A30" s="2"/>
      <c r="F30" s="31"/>
      <c r="G30" s="28">
        <v>9.2902999999999999E-2</v>
      </c>
      <c r="H30" s="28" t="s">
        <v>184</v>
      </c>
      <c r="I30" s="39" t="s">
        <v>208</v>
      </c>
      <c r="J30" s="28">
        <v>11.4</v>
      </c>
      <c r="K30" s="29" t="s">
        <v>207</v>
      </c>
      <c r="N30" s="1"/>
    </row>
    <row r="31" spans="1:14" x14ac:dyDescent="0.2">
      <c r="A31" s="2"/>
      <c r="F31" s="31"/>
      <c r="G31" s="28">
        <v>365</v>
      </c>
      <c r="H31" s="28" t="s">
        <v>24</v>
      </c>
      <c r="I31" s="39" t="s">
        <v>126</v>
      </c>
      <c r="J31" s="28">
        <v>18</v>
      </c>
      <c r="K31" s="29" t="s">
        <v>203</v>
      </c>
      <c r="N31" s="28"/>
    </row>
    <row r="32" spans="1:14" x14ac:dyDescent="0.2">
      <c r="F32" s="31"/>
      <c r="G32" s="28">
        <v>3600</v>
      </c>
      <c r="H32" s="28" t="s">
        <v>193</v>
      </c>
      <c r="I32" s="39" t="s">
        <v>210</v>
      </c>
      <c r="J32" s="33">
        <v>1</v>
      </c>
      <c r="K32" s="29" t="s">
        <v>109</v>
      </c>
      <c r="N32" s="28"/>
    </row>
    <row r="33" spans="6:14" x14ac:dyDescent="0.2">
      <c r="F33" s="31"/>
      <c r="G33" s="28">
        <v>2</v>
      </c>
      <c r="H33" s="28" t="s">
        <v>110</v>
      </c>
      <c r="I33" s="39" t="s">
        <v>211</v>
      </c>
      <c r="J33" s="3">
        <v>2</v>
      </c>
      <c r="K33" s="29"/>
      <c r="N33" s="28"/>
    </row>
    <row r="34" spans="6:14" ht="13.5" thickBot="1" x14ac:dyDescent="0.25">
      <c r="F34" s="8"/>
      <c r="G34" s="10">
        <v>20</v>
      </c>
      <c r="H34" s="10" t="s">
        <v>111</v>
      </c>
      <c r="I34" s="39" t="s">
        <v>212</v>
      </c>
      <c r="J34" s="33">
        <v>5</v>
      </c>
      <c r="K34" s="29" t="s">
        <v>109</v>
      </c>
    </row>
    <row r="35" spans="6:14" ht="13.5" thickTop="1" x14ac:dyDescent="0.2">
      <c r="I35" s="39" t="s">
        <v>215</v>
      </c>
      <c r="J35" s="33">
        <v>5</v>
      </c>
      <c r="K35" s="29" t="s">
        <v>109</v>
      </c>
    </row>
    <row r="36" spans="6:14" x14ac:dyDescent="0.2">
      <c r="I36" s="39" t="s">
        <v>213</v>
      </c>
      <c r="J36" s="33">
        <v>2.44</v>
      </c>
      <c r="K36" s="29" t="s">
        <v>97</v>
      </c>
    </row>
    <row r="37" spans="6:14" x14ac:dyDescent="0.2">
      <c r="I37" s="39" t="s">
        <v>214</v>
      </c>
      <c r="J37" s="33">
        <v>3</v>
      </c>
      <c r="K37" s="29"/>
    </row>
    <row r="38" spans="6:14" x14ac:dyDescent="0.2">
      <c r="H38" s="28"/>
      <c r="I38" s="39" t="s">
        <v>118</v>
      </c>
      <c r="J38" s="33">
        <v>5</v>
      </c>
      <c r="K38" s="29" t="s">
        <v>109</v>
      </c>
    </row>
    <row r="39" spans="6:14" x14ac:dyDescent="0.2">
      <c r="H39" s="28"/>
      <c r="I39" s="31" t="s">
        <v>158</v>
      </c>
      <c r="J39" s="28">
        <f>'Am-241 Default'!AG9</f>
        <v>1</v>
      </c>
      <c r="K39" s="29" t="s">
        <v>146</v>
      </c>
    </row>
    <row r="40" spans="6:14" x14ac:dyDescent="0.2">
      <c r="F40" s="28"/>
      <c r="G40" s="28"/>
      <c r="H40" s="28"/>
      <c r="I40" s="31" t="s">
        <v>192</v>
      </c>
      <c r="J40" s="28">
        <f>'Am-241 Default'!B274</f>
        <v>8</v>
      </c>
      <c r="K40" s="29" t="s">
        <v>141</v>
      </c>
    </row>
    <row r="41" spans="6:14" x14ac:dyDescent="0.2">
      <c r="F41" s="28"/>
      <c r="G41" s="28"/>
      <c r="H41" s="28"/>
      <c r="I41" s="31" t="s">
        <v>189</v>
      </c>
      <c r="J41" s="28">
        <f>'Am-241 Default'!AG11</f>
        <v>50</v>
      </c>
      <c r="K41" s="29" t="s">
        <v>113</v>
      </c>
    </row>
    <row r="42" spans="6:14" x14ac:dyDescent="0.2">
      <c r="F42" s="28"/>
      <c r="G42" s="28"/>
      <c r="H42" s="28"/>
      <c r="I42" s="31" t="s">
        <v>190</v>
      </c>
      <c r="J42" s="28">
        <f>'Am-241 Default'!AG10</f>
        <v>5</v>
      </c>
      <c r="K42" s="29" t="s">
        <v>112</v>
      </c>
    </row>
    <row r="43" spans="6:14" x14ac:dyDescent="0.2">
      <c r="I43" s="42" t="s">
        <v>117</v>
      </c>
      <c r="J43" s="41">
        <v>2.4538000000000002</v>
      </c>
      <c r="K43" s="29"/>
    </row>
    <row r="44" spans="6:14" x14ac:dyDescent="0.2">
      <c r="I44" s="42" t="s">
        <v>119</v>
      </c>
      <c r="J44" s="41">
        <v>17.565999999999999</v>
      </c>
      <c r="K44" s="29"/>
    </row>
    <row r="45" spans="6:14" x14ac:dyDescent="0.2">
      <c r="I45" s="42" t="s">
        <v>121</v>
      </c>
      <c r="J45" s="41">
        <v>189.04259999999999</v>
      </c>
      <c r="K45" s="29"/>
    </row>
    <row r="46" spans="6:14" x14ac:dyDescent="0.2">
      <c r="I46" s="31"/>
      <c r="J46" s="28">
        <v>7</v>
      </c>
      <c r="K46" s="29" t="s">
        <v>112</v>
      </c>
    </row>
    <row r="47" spans="6:14" x14ac:dyDescent="0.2">
      <c r="I47" s="31"/>
      <c r="J47" s="28">
        <v>24</v>
      </c>
      <c r="K47" s="29" t="s">
        <v>194</v>
      </c>
    </row>
    <row r="48" spans="6:14" ht="13.5" thickBot="1" x14ac:dyDescent="0.25">
      <c r="I48" s="8"/>
      <c r="J48" s="10">
        <v>3600</v>
      </c>
      <c r="K48" s="9" t="s">
        <v>187</v>
      </c>
    </row>
    <row r="49" ht="13.5" thickTop="1" x14ac:dyDescent="0.2"/>
  </sheetData>
  <mergeCells count="2">
    <mergeCell ref="A4:B4"/>
    <mergeCell ref="A1:B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301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U2" sqref="CU2:CU4"/>
    </sheetView>
  </sheetViews>
  <sheetFormatPr defaultRowHeight="12.75" x14ac:dyDescent="0.2"/>
  <cols>
    <col min="1" max="1" width="15" style="52" bestFit="1" customWidth="1"/>
    <col min="2" max="2" width="10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85546875" style="52" bestFit="1" customWidth="1"/>
    <col min="79" max="79" width="18.85546875" style="52" bestFit="1" customWidth="1"/>
    <col min="80" max="80" width="11" style="52" bestFit="1" customWidth="1"/>
    <col min="81" max="81" width="10.85546875" style="52" bestFit="1" customWidth="1"/>
    <col min="82" max="82" width="20.28515625" style="52" bestFit="1" customWidth="1"/>
    <col min="83" max="83" width="12.42578125" style="52" bestFit="1" customWidth="1"/>
    <col min="84" max="84" width="9.85546875" style="52" bestFit="1" customWidth="1"/>
    <col min="85" max="85" width="20.28515625" style="52" bestFit="1" customWidth="1"/>
    <col min="86" max="86" width="13.5703125" style="52" bestFit="1" customWidth="1"/>
    <col min="87" max="87" width="9.8554687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4.57031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6.285156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8.85546875" style="52" bestFit="1" customWidth="1"/>
    <col min="142" max="142" width="6.28515625" style="52" bestFit="1" customWidth="1"/>
    <col min="143" max="143" width="12" style="52" bestFit="1" customWidth="1"/>
    <col min="144" max="144" width="9.28515625" style="52" bestFit="1" customWidth="1"/>
    <col min="145" max="145" width="6.28515625" style="52" bestFit="1" customWidth="1"/>
    <col min="146" max="146" width="12" style="52" bestFit="1" customWidth="1"/>
    <col min="147" max="147" width="9.28515625" style="52" bestFit="1" customWidth="1"/>
    <col min="148" max="148" width="6.28515625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6.28515625" style="52" bestFit="1" customWidth="1"/>
    <col min="158" max="158" width="12" style="52" bestFit="1" customWidth="1"/>
    <col min="159" max="159" width="9.28515625" style="52" bestFit="1" customWidth="1"/>
    <col min="160" max="160" width="6.28515625" style="52" bestFit="1" customWidth="1"/>
    <col min="161" max="161" width="12" style="52" bestFit="1" customWidth="1"/>
    <col min="162" max="162" width="9.28515625" style="52" bestFit="1" customWidth="1"/>
    <col min="163" max="163" width="6.28515625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6.285156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7.7109375" style="52" bestFit="1" customWidth="1"/>
    <col min="186" max="186" width="9.28515625" style="52" bestFit="1" customWidth="1"/>
    <col min="187" max="187" width="6.28515625" style="52" bestFit="1" customWidth="1"/>
    <col min="188" max="188" width="12" style="52" bestFit="1" customWidth="1"/>
    <col min="189" max="189" width="9.28515625" style="52" bestFit="1" customWidth="1"/>
    <col min="190" max="190" width="6.28515625" style="52" bestFit="1" customWidth="1"/>
    <col min="191" max="191" width="12" style="52" bestFit="1" customWidth="1"/>
    <col min="192" max="192" width="9.28515625" style="52" bestFit="1" customWidth="1"/>
    <col min="193" max="193" width="6.28515625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6.28515625" style="52" bestFit="1" customWidth="1"/>
    <col min="203" max="203" width="12" style="52" bestFit="1" customWidth="1"/>
    <col min="204" max="204" width="9.28515625" style="52" bestFit="1" customWidth="1"/>
    <col min="205" max="205" width="6.28515625" style="52" bestFit="1" customWidth="1"/>
    <col min="206" max="206" width="12" style="52" bestFit="1" customWidth="1"/>
    <col min="207" max="207" width="9.28515625" style="52" bestFit="1" customWidth="1"/>
    <col min="208" max="208" width="6.28515625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9.28515625" style="52" bestFit="1" customWidth="1"/>
    <col min="214" max="214" width="21.28515625" style="52" bestFit="1" customWidth="1"/>
    <col min="215" max="16384" width="9.140625" style="52"/>
  </cols>
  <sheetData>
    <row r="1" spans="1:214" ht="21.75" customHeight="1" thickTop="1" thickBot="1" x14ac:dyDescent="0.25">
      <c r="A1" s="649" t="s">
        <v>8</v>
      </c>
      <c r="B1" s="650"/>
      <c r="C1" s="651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565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296" t="s">
        <v>557</v>
      </c>
      <c r="AJ1" s="294"/>
      <c r="AK1" s="297"/>
      <c r="AL1" s="293" t="s">
        <v>546</v>
      </c>
      <c r="AM1" s="294"/>
      <c r="AN1" s="297"/>
      <c r="AO1" s="293" t="s">
        <v>547</v>
      </c>
      <c r="AP1" s="294"/>
      <c r="AQ1" s="295"/>
      <c r="AR1" s="296" t="s">
        <v>559</v>
      </c>
      <c r="AS1" s="294"/>
      <c r="AT1" s="297"/>
      <c r="AU1" s="293" t="s">
        <v>548</v>
      </c>
      <c r="AV1" s="294"/>
      <c r="AW1" s="297"/>
      <c r="AX1" s="293" t="s">
        <v>549</v>
      </c>
      <c r="AY1" s="294"/>
      <c r="AZ1" s="295"/>
      <c r="BA1" s="296" t="s">
        <v>561</v>
      </c>
      <c r="BB1" s="294"/>
      <c r="BC1" s="297"/>
      <c r="BD1" s="293" t="s">
        <v>551</v>
      </c>
      <c r="BE1" s="294"/>
      <c r="BF1" s="297"/>
      <c r="BG1" s="293" t="s">
        <v>552</v>
      </c>
      <c r="BH1" s="294"/>
      <c r="BI1" s="295"/>
      <c r="BJ1" s="296" t="s">
        <v>564</v>
      </c>
      <c r="BK1" s="294"/>
      <c r="BL1" s="297"/>
      <c r="BM1" s="293" t="s">
        <v>554</v>
      </c>
      <c r="BN1" s="294"/>
      <c r="BO1" s="297"/>
      <c r="BP1" s="293" t="s">
        <v>555</v>
      </c>
      <c r="BQ1" s="294"/>
      <c r="BR1" s="295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274" t="s">
        <v>569</v>
      </c>
      <c r="CC1" s="270"/>
      <c r="CD1" s="270"/>
      <c r="CE1" s="271" t="s">
        <v>570</v>
      </c>
      <c r="CF1" s="270"/>
      <c r="CG1" s="272"/>
      <c r="CH1" s="270" t="s">
        <v>571</v>
      </c>
      <c r="CI1" s="270"/>
      <c r="CJ1" s="273"/>
      <c r="CK1" s="270" t="s">
        <v>575</v>
      </c>
      <c r="CL1" s="270"/>
      <c r="CM1" s="270"/>
      <c r="CN1" s="271" t="s">
        <v>575</v>
      </c>
      <c r="CO1" s="270"/>
      <c r="CP1" s="272"/>
      <c r="CQ1" s="270" t="s">
        <v>575</v>
      </c>
      <c r="CR1" s="270"/>
      <c r="CS1" s="273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3.5" customHeight="1" thickTop="1" x14ac:dyDescent="0.2">
      <c r="A2" s="372" t="s">
        <v>233</v>
      </c>
      <c r="B2" s="373"/>
      <c r="C2" s="374"/>
      <c r="D2" s="193"/>
      <c r="E2" s="194"/>
      <c r="F2" s="194"/>
      <c r="G2" s="363" t="s">
        <v>531</v>
      </c>
      <c r="H2" s="360">
        <f>1/((1/H10)+(1/H12)+(1/H13))</f>
        <v>3.0772317035167087</v>
      </c>
      <c r="I2" s="625" t="s">
        <v>11</v>
      </c>
      <c r="J2" s="622" t="s">
        <v>531</v>
      </c>
      <c r="K2" s="360">
        <f>1/((1/K14)+(1/K15)+(1/K16)+(1/K17))</f>
        <v>0.72549929335093832</v>
      </c>
      <c r="L2" s="345" t="s">
        <v>10</v>
      </c>
      <c r="M2" s="330" t="s">
        <v>537</v>
      </c>
      <c r="N2" s="333">
        <f>(N5*N6*N7)/((1-EXP(-N7*N6))*N15*N13*(N9/365)*(((N14/24)*N12)+((N16/24)*N11)))</f>
        <v>0.95280065385801604</v>
      </c>
      <c r="O2" s="336" t="s">
        <v>10</v>
      </c>
      <c r="P2" s="339" t="s">
        <v>537</v>
      </c>
      <c r="Q2" s="333">
        <f>(Q5*Q6*Q7)/((1-EXP(-Q7*Q6))*Q15*Q13*(Q9/365)*(((Q14/24)*Q12)+((Q16/24)*Q11)))</f>
        <v>4.792026817932963</v>
      </c>
      <c r="R2" s="336" t="s">
        <v>10</v>
      </c>
      <c r="S2" s="339" t="s">
        <v>537</v>
      </c>
      <c r="T2" s="333">
        <f>(T5*T6*T7)/((1-EXP(-T7*T6))*T15*T13*(T9/365)*(((T14/24)*T12)+((T16/24)*T11)))</f>
        <v>1.0719007355902681</v>
      </c>
      <c r="U2" s="342" t="s">
        <v>10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1.3846214594556854</v>
      </c>
      <c r="AD2" s="315">
        <f>1/((1/AD29)+(1/AD30)+(1/AD31))</f>
        <v>3.4600600646873017</v>
      </c>
      <c r="AE2" s="315">
        <f>1/((1/AE29)+(1/AE30)+(1/AE31))</f>
        <v>1.5384682882840948</v>
      </c>
      <c r="AF2" s="315">
        <f>1/((1/AF29)+(1/AF30)+(1/AF31))</f>
        <v>19.770392881350034</v>
      </c>
      <c r="AG2" s="320">
        <f>1/((1/AG29)+(1/AG31)+(1/AG30))</f>
        <v>20.157332962629599</v>
      </c>
      <c r="AH2" s="318" t="s">
        <v>10</v>
      </c>
      <c r="AI2" s="306" t="s">
        <v>537</v>
      </c>
      <c r="AJ2" s="303">
        <f>(AJ5*AJ6*AJ7)/((1-EXP(-AJ7*AJ6))*AJ15*(AJ9/365)*AJ10*(AJ16/24)*AJ11*AJ13)</f>
        <v>3.4675274195854784</v>
      </c>
      <c r="AK2" s="290" t="s">
        <v>10</v>
      </c>
      <c r="AL2" s="287" t="s">
        <v>537</v>
      </c>
      <c r="AM2" s="303">
        <f>(AM5*AM6*AM7)/((1-EXP(-AM7*AM6))*AM15*(AM9/365)*AM10*(AM16/24)*AM11*AM13)</f>
        <v>17.439623198503433</v>
      </c>
      <c r="AN2" s="290" t="s">
        <v>10</v>
      </c>
      <c r="AO2" s="287" t="s">
        <v>537</v>
      </c>
      <c r="AP2" s="303">
        <f>(AP5*AP6*AP7)/((1-EXP(-AP7*AP6))*AP15*(AP9/365)*AP10*(AP16/24)*AP11*AP13)</f>
        <v>3.9009683470336625</v>
      </c>
      <c r="AQ2" s="281" t="s">
        <v>10</v>
      </c>
      <c r="AR2" s="306" t="s">
        <v>537</v>
      </c>
      <c r="AS2" s="303">
        <f>(AS5*AS6*AS7)/((1-EXP(-AS7*AS6))*AS15*(AS9/365)*AS10*(AS14/24)*AS12*AS13)</f>
        <v>1.5411232975935456</v>
      </c>
      <c r="AT2" s="290" t="s">
        <v>10</v>
      </c>
      <c r="AU2" s="287" t="s">
        <v>537</v>
      </c>
      <c r="AV2" s="303">
        <f>(AV5*AV6*AV7)/((1-EXP(-AV7*AV6))*AV15*(AV9/365)*AV10*(AV14/24)*AV12*AV13)</f>
        <v>7.7509436437793049</v>
      </c>
      <c r="AW2" s="290" t="s">
        <v>10</v>
      </c>
      <c r="AX2" s="287" t="s">
        <v>537</v>
      </c>
      <c r="AY2" s="303">
        <f>(AY5*AY6*AY7)/((1-EXP(-AY7*AY6))*AY15*(AY9/365)*AY10*(AY14/24)*AY12*AY13)</f>
        <v>1.733763709792739</v>
      </c>
      <c r="AZ2" s="281" t="s">
        <v>10</v>
      </c>
      <c r="BA2" s="306" t="s">
        <v>537</v>
      </c>
      <c r="BB2" s="303">
        <f>(BB5*BB6*BB7)/((1-EXP(-BB7*BB6))*BB15*(BB9/365)*(BB14/24)*BB12*BB13)</f>
        <v>1.3870109678341913</v>
      </c>
      <c r="BC2" s="290" t="s">
        <v>10</v>
      </c>
      <c r="BD2" s="287" t="s">
        <v>537</v>
      </c>
      <c r="BE2" s="303">
        <f>(BE5*BE6*BE7)/((1-EXP(-BE7*BE6))*BE15*(BE9/365)*(BE14/24)*BE12*BE13)</f>
        <v>6.9758492794013733</v>
      </c>
      <c r="BF2" s="290" t="s">
        <v>10</v>
      </c>
      <c r="BG2" s="287" t="s">
        <v>537</v>
      </c>
      <c r="BH2" s="303">
        <f>(BH5*BH6*BH7)/((1-EXP(-BH7*BH6))*BH15*(BH9/365)*(BH14/24)*BH12*BH13)</f>
        <v>1.560387338813465</v>
      </c>
      <c r="BI2" s="281" t="s">
        <v>10</v>
      </c>
      <c r="BJ2" s="306" t="s">
        <v>537</v>
      </c>
      <c r="BK2" s="284">
        <f>(BK5*BK6*BK7)/((1-EXP(-BK7*BK6))*BK16*(BK9/365)*(BK15/24)*BK13*BK14)</f>
        <v>21.980581614493303</v>
      </c>
      <c r="BL2" s="290" t="s">
        <v>10</v>
      </c>
      <c r="BM2" s="287" t="s">
        <v>537</v>
      </c>
      <c r="BN2" s="284">
        <f>(BN5*BN6*BN7)/((1-EXP(-BN7*BN6))*BN16*(BN9/365)*(BN15/24)*BN13*BN14)</f>
        <v>246.92350520449162</v>
      </c>
      <c r="BO2" s="290" t="s">
        <v>10</v>
      </c>
      <c r="BP2" s="287" t="s">
        <v>537</v>
      </c>
      <c r="BQ2" s="284">
        <f>(BQ5*BQ6*BQ7)/((1-EXP(-BQ7*BQ6))*BQ16*(BQ9/365)*(BQ15/24)*BQ13*BQ14)</f>
        <v>29.263151812054645</v>
      </c>
      <c r="BR2" s="281" t="s">
        <v>10</v>
      </c>
      <c r="BS2" s="214"/>
      <c r="BT2" s="120"/>
      <c r="BU2" s="215"/>
      <c r="BV2" s="258" t="s">
        <v>531</v>
      </c>
      <c r="BW2" s="261">
        <f>1/((1/BW10)+(1/BW12))</f>
        <v>18.873674829147461</v>
      </c>
      <c r="BX2" s="278" t="s">
        <v>11</v>
      </c>
      <c r="BY2" s="258" t="s">
        <v>531</v>
      </c>
      <c r="BZ2" s="261">
        <f>1/((1/BZ13)+(1/BZ14)+(1/BZ15))</f>
        <v>464.2681090704275</v>
      </c>
      <c r="CA2" s="264" t="s">
        <v>10</v>
      </c>
      <c r="CB2" s="267" t="s">
        <v>537</v>
      </c>
      <c r="CC2" s="261">
        <f>(CC5*CC6*CC7)/((1-EXP(-CC7*CC6))*CC14*(CC9/365)*CC12*(CC13/24)*CC11)</f>
        <v>586.14884305315468</v>
      </c>
      <c r="CD2" s="278" t="s">
        <v>10</v>
      </c>
      <c r="CE2" s="258" t="s">
        <v>537</v>
      </c>
      <c r="CF2" s="261">
        <f>(CF5*CF6*CF7)/((1-EXP(-CF7*CF6))*CF10*CF14*(CF9/365)*CF12*(CF13/24)*CF11)</f>
        <v>6584.6268054531101</v>
      </c>
      <c r="CG2" s="278" t="s">
        <v>10</v>
      </c>
      <c r="CH2" s="258" t="s">
        <v>537</v>
      </c>
      <c r="CI2" s="261">
        <f>(CI5*CI6*CI7)/((1-EXP(-CI7*CI6))*CI10*CI14*(CI9/365)*CI12*(CI13/24)*CI11)</f>
        <v>780.35071498812363</v>
      </c>
      <c r="CJ2" s="264" t="s">
        <v>10</v>
      </c>
      <c r="CK2" s="267" t="s">
        <v>530</v>
      </c>
      <c r="CL2" s="261">
        <f>CL5/(CL6*CL7*CL8)</f>
        <v>271.50264326539508</v>
      </c>
      <c r="CM2" s="255" t="s">
        <v>10</v>
      </c>
      <c r="CN2" s="258" t="s">
        <v>7</v>
      </c>
      <c r="CO2" s="261">
        <f>(CL2/(CO5*((CO10*CO12*CO13*(CO6+CO7))+(CO11*CO12))))*CO17</f>
        <v>79.527717948336402</v>
      </c>
      <c r="CP2" s="278" t="s">
        <v>10</v>
      </c>
      <c r="CQ2" s="275" t="s">
        <v>6</v>
      </c>
      <c r="CR2" s="261">
        <f>CL2/(CR5*CR6*(1/CR7))</f>
        <v>100556.53454273891</v>
      </c>
      <c r="CS2" s="264" t="s">
        <v>10</v>
      </c>
      <c r="CT2" s="395" t="s">
        <v>531</v>
      </c>
      <c r="CU2" s="392">
        <f>1/((1/CU14)+(1/CU15)+(1/CU16)+(1/CU17)+(1/CU19)+(1/CU20)+(1/CU21)+(1/CU22)+(1/CU23)+(1/CU24))</f>
        <v>1.7045279805271711E-3</v>
      </c>
      <c r="CV2" s="389" t="s">
        <v>10</v>
      </c>
      <c r="CW2" s="218"/>
      <c r="CX2" s="219"/>
      <c r="CY2" s="219"/>
      <c r="CZ2" s="407" t="s">
        <v>531</v>
      </c>
      <c r="DA2" s="404">
        <f>1/((1/DA13)+(1/DA15)+(1/DA16))</f>
        <v>2.6854890505421634</v>
      </c>
      <c r="DB2" s="401" t="s">
        <v>11</v>
      </c>
      <c r="DC2" s="442" t="s">
        <v>530</v>
      </c>
      <c r="DD2" s="439">
        <f>DD7</f>
        <v>0.21264693376189134</v>
      </c>
      <c r="DE2" s="436" t="s">
        <v>10</v>
      </c>
      <c r="DF2" s="433" t="s">
        <v>530</v>
      </c>
      <c r="DG2" s="424">
        <f>DD7/((1/DG24)*(DG5+DG6+DG7))</f>
        <v>19.104521238263178</v>
      </c>
      <c r="DH2" s="430" t="s">
        <v>11</v>
      </c>
      <c r="DI2" s="427" t="s">
        <v>530</v>
      </c>
      <c r="DJ2" s="424">
        <f>(DD7/(DJ5+DJ6))*DJ12</f>
        <v>0.75412387418243243</v>
      </c>
      <c r="DK2" s="430" t="s">
        <v>10</v>
      </c>
      <c r="DL2" s="427" t="s">
        <v>581</v>
      </c>
      <c r="DM2" s="424">
        <f>((DD7)/(DM5+DM6))*DJ12</f>
        <v>0.75412387418243243</v>
      </c>
      <c r="DN2" s="430" t="s">
        <v>10</v>
      </c>
      <c r="DO2" s="427" t="s">
        <v>582</v>
      </c>
      <c r="DP2" s="424">
        <f>-(DP5+DP6+DP7)/(DP23+DP24)</f>
        <v>-48.516527231988597</v>
      </c>
      <c r="DQ2" s="421" t="s">
        <v>18</v>
      </c>
      <c r="DR2" s="574" t="s">
        <v>530</v>
      </c>
      <c r="DS2" s="445">
        <f>DS7</f>
        <v>0.13492848276861361</v>
      </c>
      <c r="DT2" s="484" t="s">
        <v>10</v>
      </c>
      <c r="DU2" s="481" t="s">
        <v>530</v>
      </c>
      <c r="DV2" s="463">
        <f>(DS7*DV8)/(DV5*DV6*(1/1000))</f>
        <v>328.39399161548204</v>
      </c>
      <c r="DW2" s="466" t="s">
        <v>11</v>
      </c>
      <c r="DX2" s="478" t="s">
        <v>530</v>
      </c>
      <c r="DY2" s="463">
        <f>(DS7*DY14)/(DY9*((DY10*DY12*DY13*(DY5+DY6))+(DY11*DY12)))*DY18</f>
        <v>5.0399251942021319</v>
      </c>
      <c r="DZ2" s="466" t="s">
        <v>10</v>
      </c>
      <c r="EA2" s="478" t="s">
        <v>581</v>
      </c>
      <c r="EB2" s="463">
        <f>(DS7*DY14)/(EB9*((EB10*EB12*EB13*(EB5+EB6))+(EB11*EB12)))*DY18</f>
        <v>5.0399251942021319</v>
      </c>
      <c r="EC2" s="466" t="s">
        <v>10</v>
      </c>
      <c r="ED2" s="478" t="s">
        <v>582</v>
      </c>
      <c r="EE2" s="463">
        <f>-EE15/((EE10*EE12*EE13*(EE5+EE6))+(EE11*EE12))</f>
        <v>-15.172254564045053</v>
      </c>
      <c r="EF2" s="460" t="s">
        <v>18</v>
      </c>
      <c r="EG2" s="475" t="s">
        <v>530</v>
      </c>
      <c r="EH2" s="469">
        <f>EH7</f>
        <v>0.36982574988135053</v>
      </c>
      <c r="EI2" s="457" t="s">
        <v>10</v>
      </c>
      <c r="EJ2" s="472" t="s">
        <v>530</v>
      </c>
      <c r="EK2" s="454">
        <f>EH7/(EK5*EK6*(1/1000))</f>
        <v>317.17474260836241</v>
      </c>
      <c r="EL2" s="451" t="s">
        <v>11</v>
      </c>
      <c r="EM2" s="448" t="s">
        <v>530</v>
      </c>
      <c r="EN2" s="454">
        <f>(EH7/(EN9*((EN10*EN12*EN13*(EN5+EN6))+(EN11*EN12))))*EN17</f>
        <v>4.4938815036498925</v>
      </c>
      <c r="EO2" s="451" t="s">
        <v>10</v>
      </c>
      <c r="EP2" s="448" t="s">
        <v>581</v>
      </c>
      <c r="EQ2" s="454">
        <f>(EH7/(EQ9*((EQ10*EQ12*EQ13*(EQ5+EQ6))+(EQ11*EQ12))))*EN17</f>
        <v>4.4938815036498925</v>
      </c>
      <c r="ER2" s="451" t="s">
        <v>10</v>
      </c>
      <c r="ES2" s="448" t="s">
        <v>582</v>
      </c>
      <c r="ET2" s="454">
        <f>-ET15/((ET10*ET12*ET13*(ET5+ET6))+(ET11*ET12))</f>
        <v>-14.006971771987642</v>
      </c>
      <c r="EU2" s="499" t="s">
        <v>18</v>
      </c>
      <c r="EV2" s="496" t="s">
        <v>530</v>
      </c>
      <c r="EW2" s="493">
        <f>EW7</f>
        <v>1.2369986252609293</v>
      </c>
      <c r="EX2" s="490" t="s">
        <v>10</v>
      </c>
      <c r="EY2" s="487" t="s">
        <v>530</v>
      </c>
      <c r="EZ2" s="586">
        <f>EW7/(EZ5*EZ6*(1/EZ7))</f>
        <v>7731.241407880806</v>
      </c>
      <c r="FA2" s="592" t="s">
        <v>11</v>
      </c>
      <c r="FB2" s="589" t="s">
        <v>530</v>
      </c>
      <c r="FC2" s="586">
        <f>(EW7/(FC9*((FC10*FC12*FC13*(FC5+FC6))+(FC11*FC12))))*FC17</f>
        <v>40.207622680264393</v>
      </c>
      <c r="FD2" s="595" t="s">
        <v>10</v>
      </c>
      <c r="FE2" s="589" t="s">
        <v>581</v>
      </c>
      <c r="FF2" s="586">
        <f>(EW7/(FF9*(FF10*FF12*FF13*(FF5*FF6))+(FF11*FF12)))*FC17</f>
        <v>55.414580062437025</v>
      </c>
      <c r="FG2" s="592" t="s">
        <v>10</v>
      </c>
      <c r="FH2" s="589" t="s">
        <v>582</v>
      </c>
      <c r="FI2" s="586">
        <f>FI15/((FI10*FI12*FI13*(FI5+FI6))+(FI11*FI12))</f>
        <v>5.1413881748071981</v>
      </c>
      <c r="FJ2" s="583" t="s">
        <v>18</v>
      </c>
      <c r="FK2" s="580" t="s">
        <v>530</v>
      </c>
      <c r="FL2" s="577">
        <f>FL7</f>
        <v>0.4246342445265649</v>
      </c>
      <c r="FM2" s="571" t="s">
        <v>10</v>
      </c>
      <c r="FN2" s="568" t="s">
        <v>530</v>
      </c>
      <c r="FO2" s="505">
        <f>FL7/(FO5*(1/FO6))</f>
        <v>0.16985369781062595</v>
      </c>
      <c r="FP2" s="511" t="s">
        <v>11</v>
      </c>
      <c r="FQ2" s="508" t="s">
        <v>530</v>
      </c>
      <c r="FR2" s="505">
        <f>((FL7*FR6)/FR5)*FR10</f>
        <v>1.7181211072663522E-3</v>
      </c>
      <c r="FS2" s="511" t="s">
        <v>10</v>
      </c>
      <c r="FT2" s="508" t="s">
        <v>581</v>
      </c>
      <c r="FU2" s="505">
        <f>((FL7*FU6)/FU5)*FR10</f>
        <v>1.7181211072663522E-3</v>
      </c>
      <c r="FV2" s="511" t="s">
        <v>10</v>
      </c>
      <c r="FW2" s="508" t="s">
        <v>582</v>
      </c>
      <c r="FX2" s="505">
        <f>-FX5/FX6</f>
        <v>-0.01</v>
      </c>
      <c r="FY2" s="502" t="s">
        <v>18</v>
      </c>
      <c r="FZ2" s="556" t="s">
        <v>530</v>
      </c>
      <c r="GA2" s="553">
        <f>GA7</f>
        <v>0.61794092238539211</v>
      </c>
      <c r="GB2" s="550" t="s">
        <v>10</v>
      </c>
      <c r="GC2" s="559" t="s">
        <v>530</v>
      </c>
      <c r="GD2" s="538">
        <f>GA7/(GD5*GD6*(1/GD7))</f>
        <v>572.16752072721488</v>
      </c>
      <c r="GE2" s="544" t="s">
        <v>11</v>
      </c>
      <c r="GF2" s="541" t="s">
        <v>530</v>
      </c>
      <c r="GG2" s="538">
        <f>(GA7/((GG9)*((GG10*GG12*GG13*(GG5+GG6))+(GG11*GG12))))*GG17</f>
        <v>2.9756535295679241</v>
      </c>
      <c r="GH2" s="544" t="s">
        <v>10</v>
      </c>
      <c r="GI2" s="541" t="s">
        <v>581</v>
      </c>
      <c r="GJ2" s="538">
        <f>(GA7/((GJ9)*((GJ10*GJ12*GJ13*(GJ5+GJ6))+(GJ11*GJ12))))*GG17</f>
        <v>2.9756535295679241</v>
      </c>
      <c r="GK2" s="544" t="s">
        <v>10</v>
      </c>
      <c r="GL2" s="541" t="s">
        <v>582</v>
      </c>
      <c r="GM2" s="538">
        <f>GM15/((GM10*GM12*GM13*(GM5+GM6))+(GM11*GM12))</f>
        <v>5.1413881748071981</v>
      </c>
      <c r="GN2" s="535" t="s">
        <v>18</v>
      </c>
      <c r="GO2" s="532" t="s">
        <v>530</v>
      </c>
      <c r="GP2" s="529">
        <f>GP7</f>
        <v>0.67658027494574557</v>
      </c>
      <c r="GQ2" s="526" t="s">
        <v>10</v>
      </c>
      <c r="GR2" s="523" t="s">
        <v>530</v>
      </c>
      <c r="GS2" s="517">
        <f>GP7/(GS5*GS6*(1/GS7))</f>
        <v>296.74573462532697</v>
      </c>
      <c r="GT2" s="514" t="s">
        <v>11</v>
      </c>
      <c r="GU2" s="520" t="s">
        <v>530</v>
      </c>
      <c r="GV2" s="517">
        <f>(GP7/((GV9)*((GV10*GV12*GV13*(GV5+GV6))+(GV11*GV12))))*GV17</f>
        <v>2.0352740279561892</v>
      </c>
      <c r="GW2" s="514" t="s">
        <v>10</v>
      </c>
      <c r="GX2" s="520" t="s">
        <v>581</v>
      </c>
      <c r="GY2" s="517">
        <f>(GP7/((GY9*((GY10*GY12*GY13*(GY5+GY6))+(GY11*GY12)))))*GV17</f>
        <v>2.0352740279561892</v>
      </c>
      <c r="GZ2" s="514" t="s">
        <v>10</v>
      </c>
      <c r="HA2" s="520" t="s">
        <v>582</v>
      </c>
      <c r="HB2" s="517">
        <f>GP7/((HB10*HB12*HB13*(HB5+HB6))+(HB11*HB12))</f>
        <v>0.40241496160455925</v>
      </c>
      <c r="HC2" s="547" t="s">
        <v>18</v>
      </c>
      <c r="HD2" s="54"/>
      <c r="HE2" s="55"/>
      <c r="HF2" s="56"/>
    </row>
    <row r="3" spans="1:214" ht="12.75" customHeight="1" x14ac:dyDescent="0.2">
      <c r="A3" s="375"/>
      <c r="B3" s="376"/>
      <c r="C3" s="377"/>
      <c r="D3" s="189" t="s">
        <v>15</v>
      </c>
      <c r="E3" s="134">
        <f>1/((1/E19)+(1/E20))</f>
        <v>2.1888548595288903E-4</v>
      </c>
      <c r="F3" s="58" t="s">
        <v>9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1.0327271306710274E-3</v>
      </c>
      <c r="X3" s="62" t="s">
        <v>9</v>
      </c>
      <c r="Y3" s="202" t="s">
        <v>16</v>
      </c>
      <c r="Z3" s="187">
        <f>1/((1/Z18)+(1/Z19))</f>
        <v>9.2945441760392466E-4</v>
      </c>
      <c r="AA3" s="63" t="s">
        <v>9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307"/>
      <c r="AS3" s="304"/>
      <c r="AT3" s="291"/>
      <c r="AU3" s="288"/>
      <c r="AV3" s="304"/>
      <c r="AW3" s="291"/>
      <c r="AX3" s="288"/>
      <c r="AY3" s="304"/>
      <c r="AZ3" s="282"/>
      <c r="BA3" s="307"/>
      <c r="BB3" s="304"/>
      <c r="BC3" s="291"/>
      <c r="BD3" s="288"/>
      <c r="BE3" s="304"/>
      <c r="BF3" s="291"/>
      <c r="BG3" s="288"/>
      <c r="BH3" s="304"/>
      <c r="BI3" s="282"/>
      <c r="BJ3" s="307"/>
      <c r="BK3" s="285"/>
      <c r="BL3" s="291"/>
      <c r="BM3" s="288"/>
      <c r="BN3" s="285"/>
      <c r="BO3" s="291"/>
      <c r="BP3" s="288"/>
      <c r="BQ3" s="285"/>
      <c r="BR3" s="282"/>
      <c r="BS3" s="212" t="s">
        <v>15</v>
      </c>
      <c r="BT3" s="64">
        <f>1/((1/BT18)+(1/BT19))</f>
        <v>2.451517442672357E-2</v>
      </c>
      <c r="BU3" s="53" t="s">
        <v>9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56"/>
      <c r="CN3" s="259"/>
      <c r="CO3" s="262"/>
      <c r="CP3" s="279"/>
      <c r="CQ3" s="276"/>
      <c r="CR3" s="262"/>
      <c r="CS3" s="265"/>
      <c r="CT3" s="396"/>
      <c r="CU3" s="393"/>
      <c r="CV3" s="390"/>
      <c r="CW3" s="216" t="s">
        <v>15</v>
      </c>
      <c r="CX3" s="65">
        <f>1/((1/CX19)+(1/CX20))</f>
        <v>2.1888341772093866E-4</v>
      </c>
      <c r="CY3" s="66" t="s">
        <v>9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126">
        <f>(HE5*HE14)*(10^-3)*(HE13+(HE10/HE11))*((HE12*HE7)/HE8)</f>
        <v>2.0635211973607621</v>
      </c>
      <c r="HF3" s="220" t="s">
        <v>592</v>
      </c>
    </row>
    <row r="4" spans="1:214" ht="13.5" customHeight="1" thickBot="1" x14ac:dyDescent="0.25">
      <c r="A4" s="378"/>
      <c r="B4" s="379"/>
      <c r="C4" s="380"/>
      <c r="D4" s="190" t="s">
        <v>16</v>
      </c>
      <c r="E4" s="135">
        <f>1/((1/E21)+(1/E22))</f>
        <v>2.2140923532274403E-4</v>
      </c>
      <c r="F4" s="68" t="s">
        <v>9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1.0209555149050275E-3</v>
      </c>
      <c r="X4" s="76" t="s">
        <v>9</v>
      </c>
      <c r="Y4" s="203" t="s">
        <v>15</v>
      </c>
      <c r="Z4" s="186">
        <f>1/((1/Z16)+(1/Z17))</f>
        <v>9.1885996341452487E-4</v>
      </c>
      <c r="AA4" s="77" t="s">
        <v>9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308"/>
      <c r="AS4" s="305"/>
      <c r="AT4" s="292"/>
      <c r="AU4" s="289"/>
      <c r="AV4" s="305"/>
      <c r="AW4" s="292"/>
      <c r="AX4" s="289"/>
      <c r="AY4" s="305"/>
      <c r="AZ4" s="283"/>
      <c r="BA4" s="308"/>
      <c r="BB4" s="305"/>
      <c r="BC4" s="292"/>
      <c r="BD4" s="289"/>
      <c r="BE4" s="305"/>
      <c r="BF4" s="292"/>
      <c r="BG4" s="289"/>
      <c r="BH4" s="305"/>
      <c r="BI4" s="283"/>
      <c r="BJ4" s="308"/>
      <c r="BK4" s="286"/>
      <c r="BL4" s="292"/>
      <c r="BM4" s="289"/>
      <c r="BN4" s="286"/>
      <c r="BO4" s="292"/>
      <c r="BP4" s="289"/>
      <c r="BQ4" s="286"/>
      <c r="BR4" s="283"/>
      <c r="BS4" s="213" t="s">
        <v>16</v>
      </c>
      <c r="BT4" s="78">
        <f>1/((1/BT20)+(1/BT21))</f>
        <v>2.4797834356147332E-2</v>
      </c>
      <c r="BU4" s="79" t="s">
        <v>9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57"/>
      <c r="CN4" s="260"/>
      <c r="CO4" s="263"/>
      <c r="CP4" s="280"/>
      <c r="CQ4" s="277"/>
      <c r="CR4" s="263"/>
      <c r="CS4" s="266"/>
      <c r="CT4" s="397"/>
      <c r="CU4" s="394"/>
      <c r="CV4" s="391"/>
      <c r="CW4" s="217" t="s">
        <v>16</v>
      </c>
      <c r="CX4" s="80">
        <f>1/((1/CX21)+(1/CX22))</f>
        <v>2.2140714324408195E-4</v>
      </c>
      <c r="CY4" s="81" t="s">
        <v>9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127">
        <f>(HE6*HE14)*10^-3*(HE13+(HE10/HE11))*((HE12*HE7)/(HE8))</f>
        <v>3.1749664246986477E-2</v>
      </c>
      <c r="HF4" s="221" t="s">
        <v>593</v>
      </c>
    </row>
    <row r="5" spans="1:214" ht="13.5" thickTop="1" x14ac:dyDescent="0.2">
      <c r="A5" s="52" t="s">
        <v>267</v>
      </c>
      <c r="B5" s="129">
        <v>1</v>
      </c>
      <c r="C5" s="52" t="s">
        <v>344</v>
      </c>
      <c r="D5" s="52" t="s">
        <v>267</v>
      </c>
      <c r="E5" s="136">
        <f>B5</f>
        <v>1</v>
      </c>
      <c r="F5" s="52" t="s">
        <v>344</v>
      </c>
      <c r="G5" s="83" t="s">
        <v>267</v>
      </c>
      <c r="H5" s="136">
        <f>B5</f>
        <v>1</v>
      </c>
      <c r="I5" s="52" t="s">
        <v>344</v>
      </c>
      <c r="J5" s="83" t="s">
        <v>267</v>
      </c>
      <c r="K5" s="136">
        <f>B5</f>
        <v>1</v>
      </c>
      <c r="L5" s="52" t="s">
        <v>344</v>
      </c>
      <c r="M5" s="52" t="s">
        <v>267</v>
      </c>
      <c r="N5" s="136">
        <f>B5</f>
        <v>1</v>
      </c>
      <c r="O5" s="52" t="s">
        <v>344</v>
      </c>
      <c r="P5" s="52" t="s">
        <v>267</v>
      </c>
      <c r="Q5" s="136">
        <f>B5</f>
        <v>1</v>
      </c>
      <c r="R5" s="52" t="s">
        <v>344</v>
      </c>
      <c r="S5" s="52" t="s">
        <v>267</v>
      </c>
      <c r="T5" s="136">
        <f>B5</f>
        <v>1</v>
      </c>
      <c r="U5" s="52" t="s">
        <v>344</v>
      </c>
      <c r="V5" s="52" t="s">
        <v>267</v>
      </c>
      <c r="W5" s="136">
        <f>B5</f>
        <v>1</v>
      </c>
      <c r="X5" s="52" t="s">
        <v>344</v>
      </c>
      <c r="Y5" s="52" t="s">
        <v>267</v>
      </c>
      <c r="Z5" s="136">
        <f>B5</f>
        <v>1</v>
      </c>
      <c r="AA5" s="52" t="s">
        <v>344</v>
      </c>
      <c r="AB5" s="83" t="s">
        <v>267</v>
      </c>
      <c r="AC5" s="136">
        <f>B5</f>
        <v>1</v>
      </c>
      <c r="AD5" s="136">
        <f>B5</f>
        <v>1</v>
      </c>
      <c r="AE5" s="136">
        <f>B5</f>
        <v>1</v>
      </c>
      <c r="AF5" s="136">
        <f>B5</f>
        <v>1</v>
      </c>
      <c r="AG5" s="136">
        <f>B5</f>
        <v>1</v>
      </c>
      <c r="AH5" s="52" t="s">
        <v>344</v>
      </c>
      <c r="AI5" s="52" t="s">
        <v>267</v>
      </c>
      <c r="AJ5" s="136">
        <f>B5</f>
        <v>1</v>
      </c>
      <c r="AK5" s="52" t="s">
        <v>344</v>
      </c>
      <c r="AL5" s="52" t="s">
        <v>267</v>
      </c>
      <c r="AM5" s="136">
        <f>B5</f>
        <v>1</v>
      </c>
      <c r="AN5" s="52" t="s">
        <v>344</v>
      </c>
      <c r="AO5" s="52" t="s">
        <v>267</v>
      </c>
      <c r="AP5" s="136">
        <f>B5</f>
        <v>1</v>
      </c>
      <c r="AQ5" s="52" t="s">
        <v>344</v>
      </c>
      <c r="AR5" s="52" t="s">
        <v>267</v>
      </c>
      <c r="AS5" s="136">
        <f>B5</f>
        <v>1</v>
      </c>
      <c r="AT5" s="52" t="s">
        <v>344</v>
      </c>
      <c r="AU5" s="52" t="s">
        <v>267</v>
      </c>
      <c r="AV5" s="136">
        <f>B5</f>
        <v>1</v>
      </c>
      <c r="AW5" s="52" t="s">
        <v>344</v>
      </c>
      <c r="AX5" s="52" t="s">
        <v>267</v>
      </c>
      <c r="AY5" s="136">
        <f>B5</f>
        <v>1</v>
      </c>
      <c r="AZ5" s="52" t="s">
        <v>344</v>
      </c>
      <c r="BA5" s="52" t="s">
        <v>267</v>
      </c>
      <c r="BB5" s="136">
        <f>B5</f>
        <v>1</v>
      </c>
      <c r="BC5" s="52" t="s">
        <v>344</v>
      </c>
      <c r="BD5" s="52" t="s">
        <v>267</v>
      </c>
      <c r="BE5" s="136">
        <f>B5</f>
        <v>1</v>
      </c>
      <c r="BF5" s="52" t="s">
        <v>344</v>
      </c>
      <c r="BG5" s="52" t="s">
        <v>267</v>
      </c>
      <c r="BH5" s="136">
        <f>B5</f>
        <v>1</v>
      </c>
      <c r="BI5" s="52" t="s">
        <v>344</v>
      </c>
      <c r="BJ5" s="52" t="s">
        <v>267</v>
      </c>
      <c r="BK5" s="136">
        <f>B5</f>
        <v>1</v>
      </c>
      <c r="BL5" s="52" t="s">
        <v>344</v>
      </c>
      <c r="BM5" s="52" t="s">
        <v>267</v>
      </c>
      <c r="BN5" s="136">
        <f>B5</f>
        <v>1</v>
      </c>
      <c r="BO5" s="52" t="s">
        <v>344</v>
      </c>
      <c r="BP5" s="52" t="s">
        <v>267</v>
      </c>
      <c r="BQ5" s="136">
        <f>B5</f>
        <v>1</v>
      </c>
      <c r="BR5" s="52" t="s">
        <v>344</v>
      </c>
      <c r="BS5" s="52" t="s">
        <v>267</v>
      </c>
      <c r="BT5" s="136">
        <f>B5</f>
        <v>1</v>
      </c>
      <c r="BU5" s="52" t="s">
        <v>344</v>
      </c>
      <c r="BV5" s="83" t="s">
        <v>267</v>
      </c>
      <c r="BW5" s="136">
        <f>B5</f>
        <v>1</v>
      </c>
      <c r="BX5" s="52" t="s">
        <v>344</v>
      </c>
      <c r="BY5" s="83" t="s">
        <v>267</v>
      </c>
      <c r="BZ5" s="136">
        <f>B5</f>
        <v>1</v>
      </c>
      <c r="CA5" s="52" t="s">
        <v>344</v>
      </c>
      <c r="CB5" s="52" t="s">
        <v>267</v>
      </c>
      <c r="CC5" s="136">
        <f>B5</f>
        <v>1</v>
      </c>
      <c r="CD5" s="52" t="s">
        <v>344</v>
      </c>
      <c r="CE5" s="52" t="s">
        <v>267</v>
      </c>
      <c r="CF5" s="136">
        <f>B5</f>
        <v>1</v>
      </c>
      <c r="CG5" s="52" t="s">
        <v>344</v>
      </c>
      <c r="CH5" s="52" t="s">
        <v>267</v>
      </c>
      <c r="CI5" s="136">
        <f>B5</f>
        <v>1</v>
      </c>
      <c r="CJ5" s="52" t="s">
        <v>344</v>
      </c>
      <c r="CK5" s="52" t="s">
        <v>267</v>
      </c>
      <c r="CL5" s="136">
        <f>B5</f>
        <v>1</v>
      </c>
      <c r="CM5" s="52" t="s">
        <v>344</v>
      </c>
      <c r="CN5" s="83" t="s">
        <v>228</v>
      </c>
      <c r="CO5" s="136">
        <f>B30</f>
        <v>2.7</v>
      </c>
      <c r="CP5" s="52" t="s">
        <v>268</v>
      </c>
      <c r="CQ5" s="83" t="s">
        <v>228</v>
      </c>
      <c r="CR5" s="136">
        <f>CO5</f>
        <v>2.7</v>
      </c>
      <c r="CS5" s="52" t="s">
        <v>268</v>
      </c>
      <c r="CT5" s="83" t="s">
        <v>267</v>
      </c>
      <c r="CU5" s="136">
        <f>B5</f>
        <v>1</v>
      </c>
      <c r="CV5" s="52" t="s">
        <v>344</v>
      </c>
      <c r="CW5" s="52" t="s">
        <v>267</v>
      </c>
      <c r="CX5" s="136">
        <f>B5</f>
        <v>1</v>
      </c>
      <c r="CY5" s="52" t="s">
        <v>344</v>
      </c>
      <c r="CZ5" s="83" t="s">
        <v>267</v>
      </c>
      <c r="DA5" s="136">
        <f>B5</f>
        <v>1</v>
      </c>
      <c r="DB5" s="52" t="s">
        <v>344</v>
      </c>
      <c r="DC5" s="83" t="s">
        <v>267</v>
      </c>
      <c r="DD5" s="136">
        <f>B5</f>
        <v>1</v>
      </c>
      <c r="DE5" s="52" t="s">
        <v>344</v>
      </c>
      <c r="DF5" s="52" t="s">
        <v>17</v>
      </c>
      <c r="DG5" s="137">
        <f>(DG8*DG9*DG10*((1-EXP(-DG11*DG12))))/(DG13*DG11)</f>
        <v>0.66271991443607436</v>
      </c>
      <c r="DH5" s="52" t="s">
        <v>18</v>
      </c>
      <c r="DI5" s="83" t="s">
        <v>19</v>
      </c>
      <c r="DJ5" s="161">
        <f>DJ7</f>
        <v>2.5229999999999999E-2</v>
      </c>
      <c r="DK5" s="83"/>
      <c r="DL5" s="83" t="s">
        <v>19</v>
      </c>
      <c r="DM5" s="161">
        <f>DM7</f>
        <v>2.5229999999999999E-2</v>
      </c>
      <c r="DO5" s="52" t="s">
        <v>17</v>
      </c>
      <c r="DP5" s="137">
        <f>(DP8*DP9*DP10*((1-EXP(-DP11*DP12))))/(DP13*DP11)</f>
        <v>0.90188194353411644</v>
      </c>
      <c r="DQ5" s="52" t="s">
        <v>18</v>
      </c>
      <c r="DR5" s="83" t="s">
        <v>267</v>
      </c>
      <c r="DS5" s="136">
        <f>B5</f>
        <v>1</v>
      </c>
      <c r="DT5" s="52" t="s">
        <v>344</v>
      </c>
      <c r="DU5" s="83" t="s">
        <v>239</v>
      </c>
      <c r="DV5" s="169">
        <f>B24</f>
        <v>4.5999999999999999E-3</v>
      </c>
      <c r="DW5" s="52" t="s">
        <v>601</v>
      </c>
      <c r="DX5" s="83" t="s">
        <v>20</v>
      </c>
      <c r="DY5" s="161">
        <f>DY7</f>
        <v>2.9000000000000001E-2</v>
      </c>
      <c r="DZ5" s="83"/>
      <c r="EA5" s="83" t="s">
        <v>20</v>
      </c>
      <c r="EB5" s="161">
        <f>EB7</f>
        <v>2.9000000000000001E-2</v>
      </c>
      <c r="EC5" s="84"/>
      <c r="ED5" s="83" t="s">
        <v>20</v>
      </c>
      <c r="EE5" s="161">
        <f>EE7</f>
        <v>2.9000000000000001E-2</v>
      </c>
      <c r="EF5" s="84"/>
      <c r="EG5" s="83" t="s">
        <v>267</v>
      </c>
      <c r="EH5" s="136">
        <f>B5</f>
        <v>1</v>
      </c>
      <c r="EI5" s="52" t="s">
        <v>344</v>
      </c>
      <c r="EJ5" s="83" t="s">
        <v>236</v>
      </c>
      <c r="EK5" s="169">
        <f>B25</f>
        <v>2.1999999999999999E-2</v>
      </c>
      <c r="EL5" s="52" t="s">
        <v>388</v>
      </c>
      <c r="EM5" s="83" t="s">
        <v>20</v>
      </c>
      <c r="EN5" s="161">
        <f>EN7</f>
        <v>2.9000000000000001E-2</v>
      </c>
      <c r="EO5" s="83"/>
      <c r="EP5" s="83" t="s">
        <v>20</v>
      </c>
      <c r="EQ5" s="161">
        <f>EQ7</f>
        <v>2.9000000000000001E-2</v>
      </c>
      <c r="ER5" s="84"/>
      <c r="ES5" s="83" t="s">
        <v>20</v>
      </c>
      <c r="ET5" s="161">
        <f>ET7</f>
        <v>2.9000000000000001E-2</v>
      </c>
      <c r="EU5" s="84"/>
      <c r="EV5" s="83" t="s">
        <v>267</v>
      </c>
      <c r="EW5" s="136">
        <f>B5</f>
        <v>1</v>
      </c>
      <c r="EX5" s="52" t="s">
        <v>344</v>
      </c>
      <c r="EY5" s="83" t="s">
        <v>171</v>
      </c>
      <c r="EZ5" s="169">
        <f>B27</f>
        <v>0.4</v>
      </c>
      <c r="FA5" s="52" t="s">
        <v>388</v>
      </c>
      <c r="FB5" s="83" t="s">
        <v>20</v>
      </c>
      <c r="FC5" s="161">
        <f>FC7</f>
        <v>2.9000000000000001E-2</v>
      </c>
      <c r="FD5" s="83"/>
      <c r="FE5" s="83" t="s">
        <v>20</v>
      </c>
      <c r="FF5" s="161">
        <f>FF7</f>
        <v>2.9000000000000001E-2</v>
      </c>
      <c r="FG5" s="83"/>
      <c r="FH5" s="83" t="s">
        <v>20</v>
      </c>
      <c r="FI5" s="161">
        <f>FI7</f>
        <v>2.9000000000000001E-2</v>
      </c>
      <c r="FJ5" s="84"/>
      <c r="FK5" s="83" t="s">
        <v>267</v>
      </c>
      <c r="FL5" s="136">
        <f>B5</f>
        <v>1</v>
      </c>
      <c r="FM5" s="52" t="s">
        <v>344</v>
      </c>
      <c r="FN5" s="83" t="s">
        <v>105</v>
      </c>
      <c r="FO5" s="161">
        <f>B23</f>
        <v>2500</v>
      </c>
      <c r="FP5" s="83" t="s">
        <v>18</v>
      </c>
      <c r="FQ5" s="83" t="s">
        <v>105</v>
      </c>
      <c r="FR5" s="161">
        <f>B23</f>
        <v>2500</v>
      </c>
      <c r="FS5" s="83" t="s">
        <v>18</v>
      </c>
      <c r="FT5" s="83" t="s">
        <v>105</v>
      </c>
      <c r="FU5" s="161">
        <f>B23</f>
        <v>2500</v>
      </c>
      <c r="FV5" s="83" t="s">
        <v>18</v>
      </c>
      <c r="FW5" s="83" t="s">
        <v>156</v>
      </c>
      <c r="FX5" s="161">
        <f>B33</f>
        <v>10</v>
      </c>
      <c r="FY5" s="88" t="s">
        <v>18</v>
      </c>
      <c r="FZ5" s="83" t="s">
        <v>267</v>
      </c>
      <c r="GA5" s="136">
        <f>B5</f>
        <v>1</v>
      </c>
      <c r="GB5" s="52" t="s">
        <v>344</v>
      </c>
      <c r="GC5" s="83" t="s">
        <v>237</v>
      </c>
      <c r="GD5" s="169">
        <f>B26</f>
        <v>2.7</v>
      </c>
      <c r="GE5" s="52" t="s">
        <v>388</v>
      </c>
      <c r="GF5" s="83" t="s">
        <v>20</v>
      </c>
      <c r="GG5" s="161">
        <f>GG7</f>
        <v>2.9000000000000001E-2</v>
      </c>
      <c r="GH5" s="83"/>
      <c r="GI5" s="83" t="s">
        <v>20</v>
      </c>
      <c r="GJ5" s="161">
        <f>GJ7</f>
        <v>2.9000000000000001E-2</v>
      </c>
      <c r="GK5" s="83"/>
      <c r="GL5" s="83" t="s">
        <v>20</v>
      </c>
      <c r="GM5" s="161">
        <f>GM7</f>
        <v>2.9000000000000001E-2</v>
      </c>
      <c r="GN5" s="84"/>
      <c r="GO5" s="83" t="s">
        <v>267</v>
      </c>
      <c r="GP5" s="136">
        <f>B5</f>
        <v>1</v>
      </c>
      <c r="GQ5" s="52" t="s">
        <v>344</v>
      </c>
      <c r="GR5" s="83" t="s">
        <v>238</v>
      </c>
      <c r="GS5" s="169">
        <f>B28</f>
        <v>0.2</v>
      </c>
      <c r="GT5" s="52" t="s">
        <v>388</v>
      </c>
      <c r="GU5" s="83" t="s">
        <v>20</v>
      </c>
      <c r="GV5" s="161">
        <f>GV7</f>
        <v>2.9000000000000001E-2</v>
      </c>
      <c r="GW5" s="83"/>
      <c r="GX5" s="83" t="s">
        <v>20</v>
      </c>
      <c r="GY5" s="161">
        <f>GY7</f>
        <v>2.9000000000000001E-2</v>
      </c>
      <c r="GZ5" s="83"/>
      <c r="HA5" s="83" t="s">
        <v>20</v>
      </c>
      <c r="HB5" s="161">
        <f>HB7</f>
        <v>2.9000000000000001E-2</v>
      </c>
      <c r="HC5" s="84"/>
      <c r="HD5" s="89" t="s">
        <v>21</v>
      </c>
      <c r="HE5" s="175">
        <f>B34</f>
        <v>200</v>
      </c>
      <c r="HF5" s="83" t="s">
        <v>11</v>
      </c>
    </row>
    <row r="6" spans="1:214" x14ac:dyDescent="0.2">
      <c r="A6" s="83" t="s">
        <v>247</v>
      </c>
      <c r="B6" s="180">
        <v>1.5417408700798101E-4</v>
      </c>
      <c r="C6" s="84" t="s">
        <v>259</v>
      </c>
      <c r="D6" s="83" t="s">
        <v>22</v>
      </c>
      <c r="E6" s="137">
        <f>0.693/E7</f>
        <v>2.2972045705420805E-2</v>
      </c>
      <c r="G6" s="83" t="s">
        <v>248</v>
      </c>
      <c r="H6" s="136">
        <f>B7</f>
        <v>4.9109405245458101E-5</v>
      </c>
      <c r="I6" s="83" t="s">
        <v>259</v>
      </c>
      <c r="J6" s="83" t="s">
        <v>249</v>
      </c>
      <c r="K6" s="136">
        <f>B8</f>
        <v>4.9109405245458101E-5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2.2972045705420805E-2</v>
      </c>
      <c r="BV6" s="83" t="s">
        <v>248</v>
      </c>
      <c r="BW6" s="136">
        <f>B7</f>
        <v>4.9109405245458101E-5</v>
      </c>
      <c r="BX6" s="83" t="s">
        <v>259</v>
      </c>
      <c r="BY6" s="83" t="s">
        <v>249</v>
      </c>
      <c r="BZ6" s="136">
        <f>B8</f>
        <v>4.9109405245458101E-5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B17</f>
        <v>4.9109405245458101E-5</v>
      </c>
      <c r="CM6" s="91" t="s">
        <v>10</v>
      </c>
      <c r="CN6" s="84" t="s">
        <v>20</v>
      </c>
      <c r="CO6" s="139">
        <f>CO8</f>
        <v>2.9000000000000001E-2</v>
      </c>
      <c r="CQ6" s="84" t="s">
        <v>169</v>
      </c>
      <c r="CR6" s="162">
        <f>B133</f>
        <v>1</v>
      </c>
      <c r="CS6" s="52" t="s">
        <v>28</v>
      </c>
      <c r="CT6" s="83" t="s">
        <v>249</v>
      </c>
      <c r="CU6" s="136">
        <f>B8</f>
        <v>4.9109405245458101E-5</v>
      </c>
      <c r="CV6" s="83" t="s">
        <v>259</v>
      </c>
      <c r="CW6" s="83" t="s">
        <v>22</v>
      </c>
      <c r="CX6" s="137">
        <f>0.693/CX7</f>
        <v>2.2972045705420805E-2</v>
      </c>
      <c r="CZ6" s="83" t="s">
        <v>248</v>
      </c>
      <c r="DA6" s="136">
        <f>B7</f>
        <v>4.9109405245458101E-5</v>
      </c>
      <c r="DB6" s="83" t="s">
        <v>259</v>
      </c>
      <c r="DC6" s="83" t="s">
        <v>258</v>
      </c>
      <c r="DD6" s="136">
        <f>B17</f>
        <v>4.9109405245458101E-5</v>
      </c>
      <c r="DE6" s="92" t="s">
        <v>259</v>
      </c>
      <c r="DF6" s="52" t="s">
        <v>25</v>
      </c>
      <c r="DG6" s="137">
        <f>(DG8*DG9*DG14*((1-EXP(-DG11*DG12))))/(DG13*DG11)</f>
        <v>6.8294561138874093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B17</f>
        <v>4.9109405245458101E-5</v>
      </c>
      <c r="DT6" s="83" t="s">
        <v>259</v>
      </c>
      <c r="DU6" s="83" t="s">
        <v>27</v>
      </c>
      <c r="DV6" s="142">
        <f>B203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B17</f>
        <v>4.9109405245458101E-5</v>
      </c>
      <c r="EI6" s="83" t="s">
        <v>259</v>
      </c>
      <c r="EJ6" s="83" t="s">
        <v>29</v>
      </c>
      <c r="EK6" s="142">
        <f>B209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B17</f>
        <v>4.9109405245458101E-5</v>
      </c>
      <c r="EX6" s="83" t="s">
        <v>259</v>
      </c>
      <c r="EY6" s="83" t="s">
        <v>148</v>
      </c>
      <c r="EZ6" s="164">
        <f>B214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B17</f>
        <v>4.9109405245458101E-5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B33</f>
        <v>10</v>
      </c>
      <c r="FS6" s="83" t="s">
        <v>18</v>
      </c>
      <c r="FT6" s="83" t="s">
        <v>156</v>
      </c>
      <c r="FU6" s="161">
        <f>B33</f>
        <v>10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B17</f>
        <v>4.9109405245458101E-5</v>
      </c>
      <c r="GB6" s="83" t="s">
        <v>259</v>
      </c>
      <c r="GC6" s="83" t="s">
        <v>485</v>
      </c>
      <c r="GD6" s="164">
        <f>B219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B17</f>
        <v>4.9109405245458101E-5</v>
      </c>
      <c r="GQ6" s="83" t="s">
        <v>259</v>
      </c>
      <c r="GR6" s="83" t="s">
        <v>150</v>
      </c>
      <c r="GS6" s="142">
        <f>B224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3.0772317035167087</v>
      </c>
      <c r="HF6" s="83" t="s">
        <v>11</v>
      </c>
    </row>
    <row r="7" spans="1:214" x14ac:dyDescent="0.2">
      <c r="A7" s="83" t="s">
        <v>248</v>
      </c>
      <c r="B7" s="183">
        <v>4.9109405245458101E-5</v>
      </c>
      <c r="C7" s="84" t="s">
        <v>259</v>
      </c>
      <c r="D7" s="91" t="s">
        <v>231</v>
      </c>
      <c r="E7" s="136">
        <f>B18</f>
        <v>30.167100000000001</v>
      </c>
      <c r="F7" s="52" t="s">
        <v>60</v>
      </c>
      <c r="G7" s="83" t="s">
        <v>247</v>
      </c>
      <c r="H7" s="139">
        <f>B6</f>
        <v>1.5417408700798101E-4</v>
      </c>
      <c r="I7" s="84" t="s">
        <v>259</v>
      </c>
      <c r="J7" s="83" t="s">
        <v>247</v>
      </c>
      <c r="K7" s="136">
        <f>B6</f>
        <v>1.5417408700798101E-4</v>
      </c>
      <c r="L7" s="84" t="s">
        <v>259</v>
      </c>
      <c r="M7" s="83" t="s">
        <v>22</v>
      </c>
      <c r="N7" s="137">
        <f>0.693/N8</f>
        <v>2.2972045705420805E-2</v>
      </c>
      <c r="P7" s="83" t="s">
        <v>22</v>
      </c>
      <c r="Q7" s="137">
        <f>0.693/Q8</f>
        <v>2.2972045705420805E-2</v>
      </c>
      <c r="S7" s="83" t="s">
        <v>22</v>
      </c>
      <c r="T7" s="137">
        <f>0.693/T8</f>
        <v>2.2972045705420805E-2</v>
      </c>
      <c r="V7" s="83" t="s">
        <v>22</v>
      </c>
      <c r="W7" s="137">
        <f>0.693/W8</f>
        <v>2.2972045705420805E-2</v>
      </c>
      <c r="Y7" s="83" t="s">
        <v>22</v>
      </c>
      <c r="Z7" s="137">
        <f>0.693/Z8</f>
        <v>2.2972045705420805E-2</v>
      </c>
      <c r="AB7" s="83" t="s">
        <v>425</v>
      </c>
      <c r="AC7" s="150">
        <f>B231</f>
        <v>250</v>
      </c>
      <c r="AD7" s="150">
        <f>B243</f>
        <v>250</v>
      </c>
      <c r="AE7" s="150">
        <f>B255</f>
        <v>225</v>
      </c>
      <c r="AF7" s="150">
        <f>B267</f>
        <v>250</v>
      </c>
      <c r="AG7" s="150">
        <f>B291</f>
        <v>250</v>
      </c>
      <c r="AH7" s="83" t="s">
        <v>24</v>
      </c>
      <c r="AI7" s="83" t="s">
        <v>22</v>
      </c>
      <c r="AJ7" s="137">
        <f>0.693/AJ8</f>
        <v>2.2972045705420805E-2</v>
      </c>
      <c r="AL7" s="83" t="s">
        <v>22</v>
      </c>
      <c r="AM7" s="137">
        <f>0.693/AM8</f>
        <v>2.2972045705420805E-2</v>
      </c>
      <c r="AO7" s="83" t="s">
        <v>22</v>
      </c>
      <c r="AP7" s="137">
        <f>0.693/AP8</f>
        <v>2.2972045705420805E-2</v>
      </c>
      <c r="AR7" s="83" t="s">
        <v>22</v>
      </c>
      <c r="AS7" s="137">
        <f>0.693/AS8</f>
        <v>2.2972045705420805E-2</v>
      </c>
      <c r="AU7" s="83" t="s">
        <v>22</v>
      </c>
      <c r="AV7" s="137">
        <f>0.693/AV8</f>
        <v>2.2972045705420805E-2</v>
      </c>
      <c r="AX7" s="83" t="s">
        <v>22</v>
      </c>
      <c r="AY7" s="137">
        <f>0.693/AY8</f>
        <v>2.2972045705420805E-2</v>
      </c>
      <c r="BA7" s="83" t="s">
        <v>22</v>
      </c>
      <c r="BB7" s="137">
        <f>0.693/BB8</f>
        <v>2.2972045705420805E-2</v>
      </c>
      <c r="BD7" s="83" t="s">
        <v>22</v>
      </c>
      <c r="BE7" s="137">
        <f>0.693/BE8</f>
        <v>2.2972045705420805E-2</v>
      </c>
      <c r="BG7" s="83" t="s">
        <v>22</v>
      </c>
      <c r="BH7" s="137">
        <f>0.693/BH8</f>
        <v>2.2972045705420805E-2</v>
      </c>
      <c r="BJ7" s="83" t="s">
        <v>22</v>
      </c>
      <c r="BK7" s="137">
        <f>0.693/BK8</f>
        <v>2.2972045705420805E-2</v>
      </c>
      <c r="BM7" s="83" t="s">
        <v>22</v>
      </c>
      <c r="BN7" s="137">
        <f>0.693/BN8</f>
        <v>2.2972045705420805E-2</v>
      </c>
      <c r="BP7" s="83" t="s">
        <v>22</v>
      </c>
      <c r="BQ7" s="137">
        <f>0.693/BQ8</f>
        <v>2.2972045705420805E-2</v>
      </c>
      <c r="BS7" s="91" t="s">
        <v>231</v>
      </c>
      <c r="BT7" s="136">
        <f>B18</f>
        <v>30.167100000000001</v>
      </c>
      <c r="BU7" s="52" t="s">
        <v>60</v>
      </c>
      <c r="BV7" s="83" t="s">
        <v>247</v>
      </c>
      <c r="BW7" s="139">
        <f>B6</f>
        <v>1.5417408700798101E-4</v>
      </c>
      <c r="BX7" s="84" t="s">
        <v>259</v>
      </c>
      <c r="BY7" s="83" t="s">
        <v>247</v>
      </c>
      <c r="BZ7" s="139">
        <f>B6</f>
        <v>1.5417408700798101E-4</v>
      </c>
      <c r="CA7" s="84" t="s">
        <v>259</v>
      </c>
      <c r="CB7" s="83" t="s">
        <v>22</v>
      </c>
      <c r="CC7" s="137">
        <f>0.693/CC8</f>
        <v>2.2972045705420805E-2</v>
      </c>
      <c r="CE7" s="83" t="s">
        <v>22</v>
      </c>
      <c r="CF7" s="137">
        <f>0.693/CF8</f>
        <v>2.2972045705420805E-2</v>
      </c>
      <c r="CH7" s="83" t="s">
        <v>22</v>
      </c>
      <c r="CI7" s="137">
        <f>0.693/CI8</f>
        <v>2.2972045705420805E-2</v>
      </c>
      <c r="CK7" s="52" t="s">
        <v>140</v>
      </c>
      <c r="CL7" s="138">
        <f>B103</f>
        <v>75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B6</f>
        <v>1.5417408700798101E-4</v>
      </c>
      <c r="CV7" s="84" t="s">
        <v>259</v>
      </c>
      <c r="CW7" s="91" t="s">
        <v>231</v>
      </c>
      <c r="CX7" s="136">
        <f>B18</f>
        <v>30.167100000000001</v>
      </c>
      <c r="CY7" s="52" t="s">
        <v>60</v>
      </c>
      <c r="CZ7" s="84" t="s">
        <v>247</v>
      </c>
      <c r="DA7" s="139">
        <f>B6</f>
        <v>1.5417408700798101E-4</v>
      </c>
      <c r="DB7" s="84" t="s">
        <v>259</v>
      </c>
      <c r="DC7" s="83" t="s">
        <v>260</v>
      </c>
      <c r="DD7" s="166">
        <f>(DD5)/(DD6*(DD8+DD11)*DD19)</f>
        <v>0.21264693376189134</v>
      </c>
      <c r="DE7" s="92" t="s">
        <v>10</v>
      </c>
      <c r="DF7" s="52" t="s">
        <v>31</v>
      </c>
      <c r="DG7" s="137">
        <f>(DG8*DG9*DG15*DG21*((1-EXP(-DG16*DG17))))/(DG18*DG16)</f>
        <v>3.6385364930662121</v>
      </c>
      <c r="DH7" s="52" t="s">
        <v>18</v>
      </c>
      <c r="DI7" s="83" t="s">
        <v>32</v>
      </c>
      <c r="DJ7" s="136">
        <f>B31</f>
        <v>2.5229999999999999E-2</v>
      </c>
      <c r="DL7" s="83" t="s">
        <v>32</v>
      </c>
      <c r="DM7" s="136">
        <f>B31</f>
        <v>2.5229999999999999E-2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DS5/(DS6*DS8*DS15)</f>
        <v>0.13492848276861361</v>
      </c>
      <c r="DT7" s="52" t="s">
        <v>10</v>
      </c>
      <c r="DV7" s="138"/>
      <c r="DX7" s="83" t="s">
        <v>33</v>
      </c>
      <c r="DY7" s="136">
        <f>B32</f>
        <v>2.9000000000000001E-2</v>
      </c>
      <c r="EA7" s="83" t="s">
        <v>33</v>
      </c>
      <c r="EB7" s="136">
        <f>B32</f>
        <v>2.9000000000000001E-2</v>
      </c>
      <c r="EC7" s="84"/>
      <c r="ED7" s="83" t="s">
        <v>33</v>
      </c>
      <c r="EE7" s="136">
        <f>B32</f>
        <v>2.9000000000000001E-2</v>
      </c>
      <c r="EF7" s="84"/>
      <c r="EG7" s="83" t="s">
        <v>260</v>
      </c>
      <c r="EH7" s="168">
        <f>EH5/(EH6*EH8*EH15)</f>
        <v>0.36982574988135053</v>
      </c>
      <c r="EI7" s="52" t="s">
        <v>10</v>
      </c>
      <c r="EM7" s="83" t="s">
        <v>33</v>
      </c>
      <c r="EN7" s="136">
        <f>B32</f>
        <v>2.9000000000000001E-2</v>
      </c>
      <c r="EP7" s="83" t="s">
        <v>33</v>
      </c>
      <c r="EQ7" s="136">
        <f>B32</f>
        <v>2.9000000000000001E-2</v>
      </c>
      <c r="ER7" s="84"/>
      <c r="ES7" s="83" t="s">
        <v>33</v>
      </c>
      <c r="ET7" s="136">
        <f>B32</f>
        <v>2.9000000000000001E-2</v>
      </c>
      <c r="EU7" s="84"/>
      <c r="EV7" s="83" t="s">
        <v>260</v>
      </c>
      <c r="EW7" s="168">
        <f>EW5/(EW6*EW8*EW15)</f>
        <v>1.2369986252609293</v>
      </c>
      <c r="EX7" s="52" t="s">
        <v>10</v>
      </c>
      <c r="EY7" s="83"/>
      <c r="EZ7" s="142">
        <v>1000</v>
      </c>
      <c r="FA7" s="83" t="s">
        <v>132</v>
      </c>
      <c r="FB7" s="83" t="s">
        <v>33</v>
      </c>
      <c r="FC7" s="161">
        <f>B32</f>
        <v>2.9000000000000001E-2</v>
      </c>
      <c r="FD7" s="83"/>
      <c r="FE7" s="83" t="s">
        <v>33</v>
      </c>
      <c r="FF7" s="161">
        <f>B32</f>
        <v>2.9000000000000001E-2</v>
      </c>
      <c r="FG7" s="83"/>
      <c r="FH7" s="83" t="s">
        <v>33</v>
      </c>
      <c r="FI7" s="161">
        <f>B32</f>
        <v>2.9000000000000001E-2</v>
      </c>
      <c r="FJ7" s="84"/>
      <c r="FK7" s="83" t="s">
        <v>260</v>
      </c>
      <c r="FL7" s="168">
        <f>FL5/(FL6*FL8*FL15)</f>
        <v>0.4246342445265649</v>
      </c>
      <c r="FM7" s="52" t="s">
        <v>10</v>
      </c>
      <c r="FN7" s="83"/>
      <c r="FQ7" s="52" t="s">
        <v>350</v>
      </c>
      <c r="FR7" s="164">
        <f>B170</f>
        <v>1</v>
      </c>
      <c r="FT7" s="83"/>
      <c r="FU7" s="83"/>
      <c r="FV7" s="83"/>
      <c r="FZ7" s="83" t="s">
        <v>260</v>
      </c>
      <c r="GA7" s="168">
        <f>GA5/(GA6*GA8*GA15)</f>
        <v>0.61794092238539211</v>
      </c>
      <c r="GB7" s="52" t="s">
        <v>10</v>
      </c>
      <c r="GC7" s="83"/>
      <c r="GD7" s="142">
        <v>1000</v>
      </c>
      <c r="GE7" s="83" t="s">
        <v>132</v>
      </c>
      <c r="GF7" s="83" t="s">
        <v>33</v>
      </c>
      <c r="GG7" s="161">
        <f>B32</f>
        <v>2.9000000000000001E-2</v>
      </c>
      <c r="GH7" s="83"/>
      <c r="GI7" s="83" t="s">
        <v>33</v>
      </c>
      <c r="GJ7" s="161">
        <f>B32</f>
        <v>2.9000000000000001E-2</v>
      </c>
      <c r="GK7" s="83"/>
      <c r="GL7" s="83" t="s">
        <v>33</v>
      </c>
      <c r="GM7" s="161">
        <f>B32</f>
        <v>2.9000000000000001E-2</v>
      </c>
      <c r="GN7" s="84"/>
      <c r="GO7" s="83" t="s">
        <v>260</v>
      </c>
      <c r="GP7" s="168">
        <f>GP5/(GP6*GP8*GP14)</f>
        <v>0.67658027494574557</v>
      </c>
      <c r="GQ7" s="52" t="s">
        <v>10</v>
      </c>
      <c r="GR7" s="88"/>
      <c r="GS7" s="142">
        <v>1000</v>
      </c>
      <c r="GT7" s="83" t="s">
        <v>132</v>
      </c>
      <c r="GU7" s="83" t="s">
        <v>33</v>
      </c>
      <c r="GV7" s="161">
        <f>B32</f>
        <v>2.9000000000000001E-2</v>
      </c>
      <c r="GW7" s="83"/>
      <c r="GX7" s="83" t="s">
        <v>33</v>
      </c>
      <c r="GY7" s="161">
        <f>B32</f>
        <v>2.9000000000000001E-2</v>
      </c>
      <c r="GZ7" s="83"/>
      <c r="HA7" s="83" t="s">
        <v>33</v>
      </c>
      <c r="HB7" s="161">
        <f>B32</f>
        <v>2.9000000000000001E-2</v>
      </c>
      <c r="HC7" s="84"/>
      <c r="HD7" s="83" t="s">
        <v>22</v>
      </c>
      <c r="HE7" s="137">
        <f>0.693/HE9</f>
        <v>2.2972045705420805E-2</v>
      </c>
    </row>
    <row r="8" spans="1:214" x14ac:dyDescent="0.2">
      <c r="A8" s="83" t="s">
        <v>249</v>
      </c>
      <c r="B8" s="183">
        <v>4.9109405245458101E-5</v>
      </c>
      <c r="C8" s="83" t="s">
        <v>259</v>
      </c>
      <c r="D8" s="52" t="s">
        <v>382</v>
      </c>
      <c r="E8" s="138">
        <f>B56</f>
        <v>350</v>
      </c>
      <c r="F8" s="52" t="s">
        <v>24</v>
      </c>
      <c r="G8" s="91" t="s">
        <v>257</v>
      </c>
      <c r="H8" s="136">
        <f>B16</f>
        <v>10.292680000000001</v>
      </c>
      <c r="I8" s="84" t="s">
        <v>259</v>
      </c>
      <c r="J8" s="83" t="s">
        <v>269</v>
      </c>
      <c r="K8" s="136">
        <f>B10</f>
        <v>3.19428</v>
      </c>
      <c r="L8" s="83" t="s">
        <v>351</v>
      </c>
      <c r="M8" s="91" t="s">
        <v>231</v>
      </c>
      <c r="N8" s="136">
        <f>B18</f>
        <v>30.167100000000001</v>
      </c>
      <c r="O8" s="52" t="s">
        <v>60</v>
      </c>
      <c r="P8" s="91" t="s">
        <v>231</v>
      </c>
      <c r="Q8" s="136">
        <f>B18</f>
        <v>30.167100000000001</v>
      </c>
      <c r="R8" s="52" t="s">
        <v>60</v>
      </c>
      <c r="S8" s="91" t="s">
        <v>231</v>
      </c>
      <c r="T8" s="136">
        <f>B18</f>
        <v>30.167100000000001</v>
      </c>
      <c r="U8" s="52" t="s">
        <v>60</v>
      </c>
      <c r="V8" s="91" t="s">
        <v>231</v>
      </c>
      <c r="W8" s="136">
        <f>B18</f>
        <v>30.167100000000001</v>
      </c>
      <c r="X8" s="52" t="s">
        <v>60</v>
      </c>
      <c r="Y8" s="91" t="s">
        <v>231</v>
      </c>
      <c r="Z8" s="136">
        <f>B18</f>
        <v>30.167100000000001</v>
      </c>
      <c r="AA8" s="52" t="s">
        <v>60</v>
      </c>
      <c r="AB8" s="83" t="s">
        <v>249</v>
      </c>
      <c r="AC8" s="136">
        <f>B9</f>
        <v>5.0319999999999999E-5</v>
      </c>
      <c r="AD8" s="136">
        <f>B9</f>
        <v>5.0319999999999999E-5</v>
      </c>
      <c r="AE8" s="136">
        <f>B9</f>
        <v>5.0319999999999999E-5</v>
      </c>
      <c r="AF8" s="136">
        <f>B9</f>
        <v>5.0319999999999999E-5</v>
      </c>
      <c r="AG8" s="136">
        <f>B9</f>
        <v>5.0319999999999999E-5</v>
      </c>
      <c r="AH8" s="83" t="s">
        <v>259</v>
      </c>
      <c r="AI8" s="91" t="s">
        <v>231</v>
      </c>
      <c r="AJ8" s="136">
        <f>B18</f>
        <v>30.167100000000001</v>
      </c>
      <c r="AK8" s="52" t="s">
        <v>60</v>
      </c>
      <c r="AL8" s="91" t="s">
        <v>231</v>
      </c>
      <c r="AM8" s="136">
        <f>B18</f>
        <v>30.167100000000001</v>
      </c>
      <c r="AN8" s="52" t="s">
        <v>60</v>
      </c>
      <c r="AO8" s="91" t="s">
        <v>231</v>
      </c>
      <c r="AP8" s="136">
        <f>B18</f>
        <v>30.167100000000001</v>
      </c>
      <c r="AQ8" s="52" t="s">
        <v>60</v>
      </c>
      <c r="AR8" s="91" t="s">
        <v>231</v>
      </c>
      <c r="AS8" s="136">
        <f>B18</f>
        <v>30.167100000000001</v>
      </c>
      <c r="AT8" s="52" t="s">
        <v>60</v>
      </c>
      <c r="AU8" s="91" t="s">
        <v>231</v>
      </c>
      <c r="AV8" s="136">
        <f>B18</f>
        <v>30.167100000000001</v>
      </c>
      <c r="AW8" s="52" t="s">
        <v>60</v>
      </c>
      <c r="AX8" s="91" t="s">
        <v>231</v>
      </c>
      <c r="AY8" s="136">
        <f>B18</f>
        <v>30.167100000000001</v>
      </c>
      <c r="AZ8" s="52" t="s">
        <v>60</v>
      </c>
      <c r="BA8" s="91" t="s">
        <v>231</v>
      </c>
      <c r="BB8" s="136">
        <f>B18</f>
        <v>30.167100000000001</v>
      </c>
      <c r="BC8" s="52" t="s">
        <v>60</v>
      </c>
      <c r="BD8" s="91" t="s">
        <v>231</v>
      </c>
      <c r="BE8" s="136">
        <f>B18</f>
        <v>30.167100000000001</v>
      </c>
      <c r="BF8" s="52" t="s">
        <v>60</v>
      </c>
      <c r="BG8" s="91" t="s">
        <v>231</v>
      </c>
      <c r="BH8" s="136">
        <f>B18</f>
        <v>30.167100000000001</v>
      </c>
      <c r="BI8" s="52" t="s">
        <v>60</v>
      </c>
      <c r="BJ8" s="91" t="s">
        <v>231</v>
      </c>
      <c r="BK8" s="136">
        <f>B18</f>
        <v>30.167100000000001</v>
      </c>
      <c r="BL8" s="52" t="s">
        <v>60</v>
      </c>
      <c r="BM8" s="91" t="s">
        <v>231</v>
      </c>
      <c r="BN8" s="136">
        <f>B18</f>
        <v>30.167100000000001</v>
      </c>
      <c r="BO8" s="52" t="s">
        <v>60</v>
      </c>
      <c r="BP8" s="91" t="s">
        <v>231</v>
      </c>
      <c r="BQ8" s="136">
        <f>B18</f>
        <v>30.167100000000001</v>
      </c>
      <c r="BR8" s="52" t="s">
        <v>60</v>
      </c>
      <c r="BS8" s="52" t="s">
        <v>140</v>
      </c>
      <c r="BT8" s="138">
        <f>B103</f>
        <v>75</v>
      </c>
      <c r="BU8" s="52" t="s">
        <v>24</v>
      </c>
      <c r="BV8" s="91" t="s">
        <v>257</v>
      </c>
      <c r="BW8" s="136">
        <f>B16</f>
        <v>10.292680000000001</v>
      </c>
      <c r="BX8" s="84" t="s">
        <v>259</v>
      </c>
      <c r="BY8" s="83" t="s">
        <v>269</v>
      </c>
      <c r="BZ8" s="136">
        <f>B10</f>
        <v>3.19428</v>
      </c>
      <c r="CA8" s="83" t="s">
        <v>351</v>
      </c>
      <c r="CB8" s="91" t="s">
        <v>231</v>
      </c>
      <c r="CC8" s="136">
        <f>B18</f>
        <v>30.167100000000001</v>
      </c>
      <c r="CD8" s="52" t="s">
        <v>60</v>
      </c>
      <c r="CE8" s="91" t="s">
        <v>231</v>
      </c>
      <c r="CF8" s="136">
        <f>B18</f>
        <v>30.167100000000001</v>
      </c>
      <c r="CG8" s="52" t="s">
        <v>60</v>
      </c>
      <c r="CH8" s="91" t="s">
        <v>231</v>
      </c>
      <c r="CI8" s="136">
        <f>B18</f>
        <v>30.167100000000001</v>
      </c>
      <c r="CJ8" s="52" t="s">
        <v>60</v>
      </c>
      <c r="CK8" s="52" t="s">
        <v>159</v>
      </c>
      <c r="CL8" s="162">
        <f>B128</f>
        <v>1</v>
      </c>
      <c r="CM8" s="52" t="s">
        <v>221</v>
      </c>
      <c r="CN8" s="84" t="s">
        <v>33</v>
      </c>
      <c r="CO8" s="136">
        <f>B32</f>
        <v>2.9000000000000001E-2</v>
      </c>
      <c r="CT8" s="83" t="s">
        <v>269</v>
      </c>
      <c r="CU8" s="136">
        <f>B10</f>
        <v>3.19428</v>
      </c>
      <c r="CV8" s="83" t="s">
        <v>351</v>
      </c>
      <c r="CW8" s="52" t="s">
        <v>362</v>
      </c>
      <c r="CX8" s="138">
        <f>B169</f>
        <v>350</v>
      </c>
      <c r="CY8" s="52" t="s">
        <v>24</v>
      </c>
      <c r="CZ8" s="83" t="s">
        <v>270</v>
      </c>
      <c r="DA8" s="165">
        <f>B16</f>
        <v>10.292680000000001</v>
      </c>
      <c r="DB8" s="83" t="s">
        <v>259</v>
      </c>
      <c r="DC8" s="83" t="s">
        <v>516</v>
      </c>
      <c r="DD8" s="149">
        <f>(DD9*DD15*DD20)+(DD10*DD14*DD21)</f>
        <v>39585</v>
      </c>
      <c r="DE8" s="92" t="s">
        <v>347</v>
      </c>
      <c r="DF8" s="83" t="s">
        <v>36</v>
      </c>
      <c r="DG8" s="138">
        <f>B193</f>
        <v>3.62</v>
      </c>
      <c r="DH8" s="52" t="s">
        <v>37</v>
      </c>
      <c r="DI8" s="83" t="s">
        <v>393</v>
      </c>
      <c r="DJ8" s="138">
        <f>B35</f>
        <v>0.26</v>
      </c>
      <c r="DL8" s="83" t="s">
        <v>393</v>
      </c>
      <c r="DM8" s="138">
        <f>B35</f>
        <v>0.26</v>
      </c>
      <c r="DO8" s="83" t="s">
        <v>36</v>
      </c>
      <c r="DP8" s="138">
        <f>B193</f>
        <v>3.62</v>
      </c>
      <c r="DQ8" s="52" t="s">
        <v>37</v>
      </c>
      <c r="DR8" s="83" t="s">
        <v>147</v>
      </c>
      <c r="DS8" s="149">
        <f>(DS11*DS9*DS17)+(DS12*DS10*DS18)</f>
        <v>150914.75</v>
      </c>
      <c r="DT8" s="92" t="s">
        <v>347</v>
      </c>
      <c r="DU8" s="52" t="s">
        <v>518</v>
      </c>
      <c r="DV8" s="146">
        <f>B204</f>
        <v>1.03</v>
      </c>
      <c r="DW8" s="52" t="s">
        <v>286</v>
      </c>
      <c r="DX8" s="83" t="s">
        <v>392</v>
      </c>
      <c r="DY8" s="138">
        <f>B36</f>
        <v>0.25</v>
      </c>
      <c r="EA8" s="83" t="s">
        <v>392</v>
      </c>
      <c r="EB8" s="138">
        <f>B36</f>
        <v>0.25</v>
      </c>
      <c r="EC8" s="84"/>
      <c r="ED8" s="83" t="s">
        <v>392</v>
      </c>
      <c r="EE8" s="138">
        <f>B36</f>
        <v>0.25</v>
      </c>
      <c r="EF8" s="84"/>
      <c r="EG8" s="83" t="s">
        <v>519</v>
      </c>
      <c r="EH8" s="149">
        <f>(EH11*EH9*EH17)+(EH12*EH10*EH18)</f>
        <v>55060.25</v>
      </c>
      <c r="EI8" s="92" t="s">
        <v>347</v>
      </c>
      <c r="EJ8" s="83"/>
      <c r="EM8" s="83" t="s">
        <v>392</v>
      </c>
      <c r="EN8" s="138">
        <f>B36</f>
        <v>0.25</v>
      </c>
      <c r="EP8" s="83" t="s">
        <v>392</v>
      </c>
      <c r="EQ8" s="138">
        <f>B36</f>
        <v>0.25</v>
      </c>
      <c r="ER8" s="84"/>
      <c r="ES8" s="83" t="s">
        <v>392</v>
      </c>
      <c r="ET8" s="138">
        <f>B36</f>
        <v>0.25</v>
      </c>
      <c r="EU8" s="84"/>
      <c r="EV8" s="83" t="s">
        <v>520</v>
      </c>
      <c r="EW8" s="149">
        <f>(EW11*EW9*EW17)+(EW12*EW10*EW18)</f>
        <v>16461.375</v>
      </c>
      <c r="EX8" s="92" t="s">
        <v>347</v>
      </c>
      <c r="EY8" s="83"/>
      <c r="EZ8" s="83"/>
      <c r="FA8" s="83"/>
      <c r="FB8" s="83" t="s">
        <v>392</v>
      </c>
      <c r="FC8" s="142">
        <f>B36</f>
        <v>0.25</v>
      </c>
      <c r="FD8" s="83"/>
      <c r="FE8" s="83" t="s">
        <v>392</v>
      </c>
      <c r="FF8" s="142">
        <f>B36</f>
        <v>0.25</v>
      </c>
      <c r="FG8" s="83"/>
      <c r="FH8" s="83" t="s">
        <v>392</v>
      </c>
      <c r="FI8" s="142">
        <f>B36</f>
        <v>0.25</v>
      </c>
      <c r="FJ8" s="84"/>
      <c r="FK8" s="83" t="s">
        <v>521</v>
      </c>
      <c r="FL8" s="173">
        <f>(FL9*FL11*FL17)+(FL10*FL12*FL18)</f>
        <v>47953.5</v>
      </c>
      <c r="FM8" s="92" t="s">
        <v>347</v>
      </c>
      <c r="FN8" s="83"/>
      <c r="FO8" s="83"/>
      <c r="FP8" s="83"/>
      <c r="FQ8" s="83" t="s">
        <v>22</v>
      </c>
      <c r="FR8" s="137">
        <f>0.693/FR9</f>
        <v>2.2972045705420805E-2</v>
      </c>
      <c r="FT8" s="83"/>
      <c r="FU8" s="83"/>
      <c r="FV8" s="83"/>
      <c r="FZ8" s="83" t="s">
        <v>522</v>
      </c>
      <c r="GA8" s="173">
        <f>(GA11*GA9*GA17)+(GA10*GA12*GA18)</f>
        <v>32952.5</v>
      </c>
      <c r="GB8" s="92" t="s">
        <v>347</v>
      </c>
      <c r="GC8" s="83"/>
      <c r="GD8" s="83"/>
      <c r="GE8" s="83"/>
      <c r="GF8" s="83" t="s">
        <v>392</v>
      </c>
      <c r="GG8" s="142">
        <f>B36</f>
        <v>0.25</v>
      </c>
      <c r="GH8" s="83"/>
      <c r="GI8" s="83" t="s">
        <v>392</v>
      </c>
      <c r="GJ8" s="142">
        <f>B36</f>
        <v>0.25</v>
      </c>
      <c r="GK8" s="83"/>
      <c r="GL8" s="83" t="s">
        <v>392</v>
      </c>
      <c r="GM8" s="142">
        <f>B36</f>
        <v>0.25</v>
      </c>
      <c r="GN8" s="84"/>
      <c r="GO8" s="83" t="s">
        <v>523</v>
      </c>
      <c r="GP8" s="149">
        <f>(GP9*GP11*GP16)+(GP10*GP12*GP17)</f>
        <v>30096.5</v>
      </c>
      <c r="GQ8" s="92" t="s">
        <v>347</v>
      </c>
      <c r="GR8" s="83"/>
      <c r="GS8" s="83"/>
      <c r="GT8" s="83"/>
      <c r="GU8" s="83" t="s">
        <v>392</v>
      </c>
      <c r="GV8" s="142">
        <f>B36</f>
        <v>0.25</v>
      </c>
      <c r="GW8" s="83"/>
      <c r="GX8" s="83" t="s">
        <v>392</v>
      </c>
      <c r="GY8" s="142">
        <f>B36</f>
        <v>0.25</v>
      </c>
      <c r="GZ8" s="83"/>
      <c r="HA8" s="83" t="s">
        <v>392</v>
      </c>
      <c r="HB8" s="142">
        <f>B36</f>
        <v>0.25</v>
      </c>
      <c r="HC8" s="84"/>
      <c r="HD8" s="52" t="s">
        <v>16</v>
      </c>
      <c r="HE8" s="137">
        <f>1-EXP(-HE7*HE12)</f>
        <v>2.2710197161529555E-2</v>
      </c>
    </row>
    <row r="9" spans="1:214" x14ac:dyDescent="0.2">
      <c r="A9" s="83" t="s">
        <v>250</v>
      </c>
      <c r="B9" s="183">
        <v>5.0319999999999999E-5</v>
      </c>
      <c r="C9" s="83" t="s">
        <v>259</v>
      </c>
      <c r="D9" s="52" t="s">
        <v>379</v>
      </c>
      <c r="E9" s="138">
        <f>B53</f>
        <v>1</v>
      </c>
      <c r="F9" s="52" t="s">
        <v>146</v>
      </c>
      <c r="G9" s="83" t="s">
        <v>258</v>
      </c>
      <c r="H9" s="136">
        <f>B17</f>
        <v>4.9109405245458101E-5</v>
      </c>
      <c r="I9" s="92" t="s">
        <v>259</v>
      </c>
      <c r="J9" s="83" t="s">
        <v>258</v>
      </c>
      <c r="K9" s="136">
        <f>B17</f>
        <v>4.9109405245458101E-5</v>
      </c>
      <c r="L9" s="92" t="s">
        <v>259</v>
      </c>
      <c r="M9" s="52" t="s">
        <v>382</v>
      </c>
      <c r="N9" s="138">
        <f>B56</f>
        <v>350</v>
      </c>
      <c r="O9" s="52" t="s">
        <v>24</v>
      </c>
      <c r="P9" s="52" t="s">
        <v>382</v>
      </c>
      <c r="Q9" s="138">
        <f>B56</f>
        <v>350</v>
      </c>
      <c r="R9" s="52" t="s">
        <v>24</v>
      </c>
      <c r="S9" s="52" t="s">
        <v>382</v>
      </c>
      <c r="T9" s="138">
        <f>B56</f>
        <v>350</v>
      </c>
      <c r="U9" s="52" t="s">
        <v>24</v>
      </c>
      <c r="V9" s="52" t="s">
        <v>423</v>
      </c>
      <c r="W9" s="138">
        <f>B255</f>
        <v>225</v>
      </c>
      <c r="X9" s="52" t="s">
        <v>24</v>
      </c>
      <c r="Y9" s="52" t="s">
        <v>316</v>
      </c>
      <c r="Z9" s="138">
        <f>B231</f>
        <v>250</v>
      </c>
      <c r="AA9" s="52" t="s">
        <v>24</v>
      </c>
      <c r="AB9" s="83" t="s">
        <v>34</v>
      </c>
      <c r="AC9" s="146">
        <f>B232</f>
        <v>1</v>
      </c>
      <c r="AD9" s="146">
        <f>B244</f>
        <v>1</v>
      </c>
      <c r="AE9" s="146">
        <f>B256</f>
        <v>1</v>
      </c>
      <c r="AF9" s="146">
        <f>B268</f>
        <v>1</v>
      </c>
      <c r="AG9" s="146">
        <f>B292</f>
        <v>1</v>
      </c>
      <c r="AH9" s="83" t="s">
        <v>60</v>
      </c>
      <c r="AI9" s="52" t="s">
        <v>35</v>
      </c>
      <c r="AJ9" s="138">
        <f>B243</f>
        <v>250</v>
      </c>
      <c r="AK9" s="52" t="s">
        <v>24</v>
      </c>
      <c r="AL9" s="52" t="s">
        <v>35</v>
      </c>
      <c r="AM9" s="138">
        <f>B243</f>
        <v>250</v>
      </c>
      <c r="AN9" s="52" t="s">
        <v>24</v>
      </c>
      <c r="AO9" s="52" t="s">
        <v>35</v>
      </c>
      <c r="AP9" s="138">
        <f>B243</f>
        <v>250</v>
      </c>
      <c r="AQ9" s="52" t="s">
        <v>24</v>
      </c>
      <c r="AR9" s="52" t="s">
        <v>423</v>
      </c>
      <c r="AS9" s="138">
        <f>B255</f>
        <v>225</v>
      </c>
      <c r="AT9" s="52" t="s">
        <v>24</v>
      </c>
      <c r="AU9" s="52" t="s">
        <v>423</v>
      </c>
      <c r="AV9" s="138">
        <f>B255</f>
        <v>225</v>
      </c>
      <c r="AW9" s="52" t="s">
        <v>24</v>
      </c>
      <c r="AX9" s="52" t="s">
        <v>423</v>
      </c>
      <c r="AY9" s="138">
        <f>B255</f>
        <v>225</v>
      </c>
      <c r="AZ9" s="52" t="s">
        <v>24</v>
      </c>
      <c r="BA9" s="52" t="s">
        <v>316</v>
      </c>
      <c r="BB9" s="138">
        <f>B231</f>
        <v>250</v>
      </c>
      <c r="BC9" s="52" t="s">
        <v>24</v>
      </c>
      <c r="BD9" s="52" t="s">
        <v>316</v>
      </c>
      <c r="BE9" s="138">
        <f>B231</f>
        <v>250</v>
      </c>
      <c r="BF9" s="52" t="s">
        <v>24</v>
      </c>
      <c r="BG9" s="52" t="s">
        <v>316</v>
      </c>
      <c r="BH9" s="138">
        <f>B231</f>
        <v>250</v>
      </c>
      <c r="BI9" s="52" t="s">
        <v>24</v>
      </c>
      <c r="BJ9" s="52" t="s">
        <v>191</v>
      </c>
      <c r="BK9" s="138">
        <f>BK10*BK11</f>
        <v>250</v>
      </c>
      <c r="BL9" s="52" t="s">
        <v>24</v>
      </c>
      <c r="BM9" s="52" t="s">
        <v>191</v>
      </c>
      <c r="BN9" s="138">
        <f>BN10*BN11</f>
        <v>250</v>
      </c>
      <c r="BO9" s="52" t="s">
        <v>24</v>
      </c>
      <c r="BP9" s="52" t="s">
        <v>191</v>
      </c>
      <c r="BQ9" s="138">
        <f>BQ10*BQ11</f>
        <v>250</v>
      </c>
      <c r="BR9" s="52" t="s">
        <v>24</v>
      </c>
      <c r="BS9" s="52" t="s">
        <v>247</v>
      </c>
      <c r="BT9" s="139">
        <f>E11</f>
        <v>1.5417408700798101E-4</v>
      </c>
      <c r="BU9" s="84" t="s">
        <v>259</v>
      </c>
      <c r="BV9" s="83" t="s">
        <v>258</v>
      </c>
      <c r="BW9" s="136">
        <f>B17</f>
        <v>4.9109405245458101E-5</v>
      </c>
      <c r="BX9" s="92" t="s">
        <v>259</v>
      </c>
      <c r="BY9" s="83" t="s">
        <v>77</v>
      </c>
      <c r="BZ9" s="136">
        <f>B19</f>
        <v>1359344473.5814338</v>
      </c>
      <c r="CA9" s="83" t="s">
        <v>78</v>
      </c>
      <c r="CB9" s="52" t="s">
        <v>140</v>
      </c>
      <c r="CC9" s="138">
        <f>B103</f>
        <v>75</v>
      </c>
      <c r="CD9" s="52" t="s">
        <v>24</v>
      </c>
      <c r="CE9" s="52" t="s">
        <v>140</v>
      </c>
      <c r="CF9" s="138">
        <f>B103</f>
        <v>75</v>
      </c>
      <c r="CG9" s="52" t="s">
        <v>24</v>
      </c>
      <c r="CH9" s="52" t="s">
        <v>140</v>
      </c>
      <c r="CI9" s="138">
        <f>B103</f>
        <v>75</v>
      </c>
      <c r="CJ9" s="52" t="s">
        <v>24</v>
      </c>
      <c r="CN9" s="84" t="s">
        <v>392</v>
      </c>
      <c r="CO9" s="162">
        <f>B36</f>
        <v>0.25</v>
      </c>
      <c r="CT9" s="83" t="s">
        <v>258</v>
      </c>
      <c r="CU9" s="136">
        <f>B17</f>
        <v>4.9109405245458101E-5</v>
      </c>
      <c r="CV9" s="92" t="s">
        <v>259</v>
      </c>
      <c r="CW9" s="52" t="s">
        <v>363</v>
      </c>
      <c r="CX9" s="138">
        <f>B170</f>
        <v>1</v>
      </c>
      <c r="CY9" s="52" t="s">
        <v>146</v>
      </c>
      <c r="CZ9" s="83" t="s">
        <v>258</v>
      </c>
      <c r="DA9" s="136">
        <f>B17</f>
        <v>4.9109405245458101E-5</v>
      </c>
      <c r="DB9" s="84" t="s">
        <v>259</v>
      </c>
      <c r="DC9" s="83" t="s">
        <v>513</v>
      </c>
      <c r="DD9" s="146">
        <f>B151</f>
        <v>41.7</v>
      </c>
      <c r="DE9" s="92" t="s">
        <v>221</v>
      </c>
      <c r="DF9" s="83" t="s">
        <v>40</v>
      </c>
      <c r="DG9" s="138">
        <f>B194</f>
        <v>0.25</v>
      </c>
      <c r="DH9" s="52" t="s">
        <v>41</v>
      </c>
      <c r="DI9" s="52" t="s">
        <v>350</v>
      </c>
      <c r="DJ9" s="164">
        <f>B170</f>
        <v>1</v>
      </c>
      <c r="DL9" s="83"/>
      <c r="DO9" s="83" t="s">
        <v>40</v>
      </c>
      <c r="DP9" s="138">
        <f>B194</f>
        <v>0.25</v>
      </c>
      <c r="DQ9" s="52" t="s">
        <v>41</v>
      </c>
      <c r="DR9" s="83" t="s">
        <v>452</v>
      </c>
      <c r="DS9" s="146">
        <f>B153</f>
        <v>349.5</v>
      </c>
      <c r="DT9" s="92" t="s">
        <v>221</v>
      </c>
      <c r="DU9" s="83"/>
      <c r="DX9" s="83" t="s">
        <v>517</v>
      </c>
      <c r="DY9" s="136">
        <f>B24</f>
        <v>4.5999999999999999E-3</v>
      </c>
      <c r="DZ9" s="52" t="s">
        <v>601</v>
      </c>
      <c r="EA9" s="83" t="s">
        <v>517</v>
      </c>
      <c r="EB9" s="136">
        <f>B24</f>
        <v>4.5999999999999999E-3</v>
      </c>
      <c r="EC9" s="52" t="s">
        <v>601</v>
      </c>
      <c r="ED9" s="83" t="s">
        <v>517</v>
      </c>
      <c r="EE9" s="136">
        <f>B24</f>
        <v>4.5999999999999999E-3</v>
      </c>
      <c r="EF9" s="52" t="s">
        <v>601</v>
      </c>
      <c r="EG9" s="83" t="s">
        <v>453</v>
      </c>
      <c r="EH9" s="170">
        <f>B155</f>
        <v>40.1</v>
      </c>
      <c r="EI9" s="92" t="s">
        <v>221</v>
      </c>
      <c r="EJ9" s="83"/>
      <c r="EM9" s="83" t="s">
        <v>236</v>
      </c>
      <c r="EN9" s="136">
        <f>B25</f>
        <v>2.1999999999999999E-2</v>
      </c>
      <c r="EO9" s="52" t="s">
        <v>388</v>
      </c>
      <c r="EP9" s="83" t="s">
        <v>236</v>
      </c>
      <c r="EQ9" s="169">
        <f>B25</f>
        <v>2.1999999999999999E-2</v>
      </c>
      <c r="ER9" s="52" t="s">
        <v>388</v>
      </c>
      <c r="ES9" s="83" t="s">
        <v>236</v>
      </c>
      <c r="ET9" s="169">
        <f>B25</f>
        <v>2.1999999999999999E-2</v>
      </c>
      <c r="EU9" s="52" t="s">
        <v>388</v>
      </c>
      <c r="EV9" s="83" t="s">
        <v>454</v>
      </c>
      <c r="EW9" s="171">
        <f>B157</f>
        <v>10.95</v>
      </c>
      <c r="EX9" s="92" t="s">
        <v>221</v>
      </c>
      <c r="EY9" s="83"/>
      <c r="EZ9" s="83"/>
      <c r="FA9" s="83"/>
      <c r="FB9" s="83" t="s">
        <v>171</v>
      </c>
      <c r="FC9" s="169">
        <f>B27</f>
        <v>0.4</v>
      </c>
      <c r="FD9" s="52" t="s">
        <v>388</v>
      </c>
      <c r="FE9" s="83" t="s">
        <v>171</v>
      </c>
      <c r="FF9" s="169">
        <f>B27</f>
        <v>0.4</v>
      </c>
      <c r="FG9" s="52" t="s">
        <v>388</v>
      </c>
      <c r="FH9" s="83" t="s">
        <v>171</v>
      </c>
      <c r="FI9" s="169">
        <f>B27</f>
        <v>0.4</v>
      </c>
      <c r="FJ9" s="52" t="s">
        <v>388</v>
      </c>
      <c r="FK9" s="83" t="s">
        <v>471</v>
      </c>
      <c r="FL9" s="150">
        <f>B159</f>
        <v>32.799999999999997</v>
      </c>
      <c r="FM9" s="92" t="s">
        <v>221</v>
      </c>
      <c r="FN9" s="83"/>
      <c r="FO9" s="83"/>
      <c r="FP9" s="83"/>
      <c r="FQ9" s="91" t="s">
        <v>231</v>
      </c>
      <c r="FR9" s="136">
        <f>B18</f>
        <v>30.167100000000001</v>
      </c>
      <c r="FS9" s="52" t="s">
        <v>60</v>
      </c>
      <c r="FT9" s="83"/>
      <c r="FU9" s="93"/>
      <c r="FV9" s="83"/>
      <c r="FW9" s="83"/>
      <c r="FX9" s="93"/>
      <c r="FY9" s="83"/>
      <c r="FZ9" s="83" t="s">
        <v>473</v>
      </c>
      <c r="GA9" s="174">
        <f>B161</f>
        <v>23.6</v>
      </c>
      <c r="GB9" s="92" t="s">
        <v>221</v>
      </c>
      <c r="GC9" s="83"/>
      <c r="GD9" s="83"/>
      <c r="GE9" s="83"/>
      <c r="GF9" s="83" t="s">
        <v>237</v>
      </c>
      <c r="GG9" s="169">
        <f>B26</f>
        <v>2.7</v>
      </c>
      <c r="GH9" s="52" t="s">
        <v>388</v>
      </c>
      <c r="GI9" s="83" t="s">
        <v>237</v>
      </c>
      <c r="GJ9" s="169">
        <f>B26</f>
        <v>2.7</v>
      </c>
      <c r="GK9" s="52" t="s">
        <v>388</v>
      </c>
      <c r="GL9" s="83" t="s">
        <v>237</v>
      </c>
      <c r="GM9" s="169">
        <f>B26</f>
        <v>2.7</v>
      </c>
      <c r="GN9" s="52" t="s">
        <v>388</v>
      </c>
      <c r="GO9" s="83" t="s">
        <v>455</v>
      </c>
      <c r="GP9" s="150">
        <f>B163</f>
        <v>18.5</v>
      </c>
      <c r="GQ9" s="92" t="s">
        <v>221</v>
      </c>
      <c r="GR9" s="83"/>
      <c r="GS9" s="83"/>
      <c r="GT9" s="83"/>
      <c r="GU9" s="83" t="s">
        <v>238</v>
      </c>
      <c r="GV9" s="169">
        <f>B28</f>
        <v>0.2</v>
      </c>
      <c r="GW9" s="52" t="s">
        <v>388</v>
      </c>
      <c r="GX9" s="83" t="s">
        <v>238</v>
      </c>
      <c r="GY9" s="169">
        <f>B28</f>
        <v>0.2</v>
      </c>
      <c r="GZ9" s="52" t="s">
        <v>388</v>
      </c>
      <c r="HA9" s="83" t="s">
        <v>238</v>
      </c>
      <c r="HB9" s="169">
        <f>B28</f>
        <v>0.2</v>
      </c>
      <c r="HC9" s="52" t="s">
        <v>388</v>
      </c>
      <c r="HD9" s="91" t="s">
        <v>231</v>
      </c>
      <c r="HE9" s="136">
        <f>B18</f>
        <v>30.167100000000001</v>
      </c>
      <c r="HF9" s="52" t="s">
        <v>60</v>
      </c>
    </row>
    <row r="10" spans="1:214" x14ac:dyDescent="0.2">
      <c r="A10" s="83" t="s">
        <v>251</v>
      </c>
      <c r="B10" s="179">
        <v>3.19428</v>
      </c>
      <c r="C10" s="83" t="s">
        <v>351</v>
      </c>
      <c r="D10" s="52" t="s">
        <v>92</v>
      </c>
      <c r="E10" s="138">
        <f>E9</f>
        <v>1</v>
      </c>
      <c r="G10" s="83" t="s">
        <v>260</v>
      </c>
      <c r="H10" s="143">
        <f>H5/(H6*H15)</f>
        <v>27.646425509686686</v>
      </c>
      <c r="I10" s="92" t="s">
        <v>11</v>
      </c>
      <c r="J10" s="83" t="s">
        <v>77</v>
      </c>
      <c r="K10" s="136">
        <f>B19</f>
        <v>1359344473.5814338</v>
      </c>
      <c r="L10" s="83" t="s">
        <v>78</v>
      </c>
      <c r="M10" s="52" t="s">
        <v>379</v>
      </c>
      <c r="N10" s="138">
        <f>B53</f>
        <v>1</v>
      </c>
      <c r="O10" s="52" t="s">
        <v>146</v>
      </c>
      <c r="P10" s="52" t="s">
        <v>379</v>
      </c>
      <c r="Q10" s="138">
        <f>B53</f>
        <v>1</v>
      </c>
      <c r="R10" s="52" t="s">
        <v>146</v>
      </c>
      <c r="S10" s="52" t="s">
        <v>379</v>
      </c>
      <c r="T10" s="138">
        <f>B53</f>
        <v>1</v>
      </c>
      <c r="U10" s="52" t="s">
        <v>146</v>
      </c>
      <c r="V10" s="52" t="s">
        <v>424</v>
      </c>
      <c r="W10" s="138">
        <f>B256</f>
        <v>1</v>
      </c>
      <c r="X10" s="52" t="s">
        <v>146</v>
      </c>
      <c r="Y10" s="52" t="s">
        <v>422</v>
      </c>
      <c r="Z10" s="138">
        <f>B232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B277</f>
        <v>5</v>
      </c>
      <c r="AG10" s="146">
        <f>B300</f>
        <v>5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B244</f>
        <v>1</v>
      </c>
      <c r="AN10" s="52" t="s">
        <v>146</v>
      </c>
      <c r="AO10" s="52" t="s">
        <v>420</v>
      </c>
      <c r="AP10" s="138">
        <f>B244</f>
        <v>1</v>
      </c>
      <c r="AQ10" s="52" t="s">
        <v>146</v>
      </c>
      <c r="AR10" s="52" t="s">
        <v>424</v>
      </c>
      <c r="AS10" s="138">
        <f>B256</f>
        <v>1</v>
      </c>
      <c r="AT10" s="52" t="s">
        <v>146</v>
      </c>
      <c r="AU10" s="52" t="s">
        <v>424</v>
      </c>
      <c r="AV10" s="138">
        <f>B256</f>
        <v>1</v>
      </c>
      <c r="AW10" s="52" t="s">
        <v>146</v>
      </c>
      <c r="AX10" s="52" t="s">
        <v>424</v>
      </c>
      <c r="AY10" s="138">
        <f>B256</f>
        <v>1</v>
      </c>
      <c r="AZ10" s="52" t="s">
        <v>146</v>
      </c>
      <c r="BA10" s="52" t="s">
        <v>422</v>
      </c>
      <c r="BB10" s="138">
        <f>B232</f>
        <v>1</v>
      </c>
      <c r="BC10" s="52" t="s">
        <v>146</v>
      </c>
      <c r="BD10" s="52" t="s">
        <v>422</v>
      </c>
      <c r="BE10" s="138">
        <f>B232</f>
        <v>1</v>
      </c>
      <c r="BF10" s="52" t="s">
        <v>146</v>
      </c>
      <c r="BG10" s="52" t="s">
        <v>422</v>
      </c>
      <c r="BH10" s="138">
        <f>B232</f>
        <v>1</v>
      </c>
      <c r="BI10" s="52" t="s">
        <v>146</v>
      </c>
      <c r="BJ10" s="52" t="s">
        <v>220</v>
      </c>
      <c r="BK10" s="138">
        <f>B278</f>
        <v>50</v>
      </c>
      <c r="BL10" s="52" t="s">
        <v>113</v>
      </c>
      <c r="BM10" s="52" t="s">
        <v>220</v>
      </c>
      <c r="BN10" s="138">
        <f>B278</f>
        <v>50</v>
      </c>
      <c r="BO10" s="52" t="s">
        <v>113</v>
      </c>
      <c r="BP10" s="52" t="s">
        <v>220</v>
      </c>
      <c r="BQ10" s="138">
        <f>B278</f>
        <v>50</v>
      </c>
      <c r="BR10" s="52" t="s">
        <v>113</v>
      </c>
      <c r="BS10" s="83" t="s">
        <v>428</v>
      </c>
      <c r="BT10" s="149">
        <f>(BT22*BT13*(1/24)*BT11*BT25)+(BT23*BT14*(1/24)*BT12*BT26)</f>
        <v>55.3125</v>
      </c>
      <c r="BU10" s="52" t="s">
        <v>426</v>
      </c>
      <c r="BV10" s="83" t="s">
        <v>260</v>
      </c>
      <c r="BW10" s="143">
        <f>BW5/(BW6*BW13)</f>
        <v>9050.088108846503</v>
      </c>
      <c r="BX10" s="92" t="s">
        <v>11</v>
      </c>
      <c r="BY10" s="84" t="s">
        <v>16</v>
      </c>
      <c r="BZ10" s="137">
        <f>(BZ30*BZ11)/(1-EXP(-BZ11*BZ30))</f>
        <v>1.0115299987062558</v>
      </c>
      <c r="CB10" s="52" t="s">
        <v>51</v>
      </c>
      <c r="CC10" s="138">
        <f>B117</f>
        <v>1</v>
      </c>
      <c r="CD10" s="52" t="s">
        <v>146</v>
      </c>
      <c r="CE10" s="52" t="s">
        <v>51</v>
      </c>
      <c r="CF10" s="138">
        <f>B117</f>
        <v>1</v>
      </c>
      <c r="CG10" s="52" t="s">
        <v>146</v>
      </c>
      <c r="CH10" s="52" t="s">
        <v>51</v>
      </c>
      <c r="CI10" s="138">
        <f>B117</f>
        <v>1</v>
      </c>
      <c r="CJ10" s="52" t="s">
        <v>146</v>
      </c>
      <c r="CN10" s="84" t="s">
        <v>164</v>
      </c>
      <c r="CO10" s="162">
        <f>B129</f>
        <v>1</v>
      </c>
      <c r="CP10" s="52" t="s">
        <v>246</v>
      </c>
      <c r="CT10" s="83" t="s">
        <v>77</v>
      </c>
      <c r="CU10" s="136">
        <f>B19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1.0115299987062558</v>
      </c>
      <c r="DC10" s="83" t="s">
        <v>514</v>
      </c>
      <c r="DD10" s="146">
        <f>B152</f>
        <v>125.7</v>
      </c>
      <c r="DE10" s="92" t="s">
        <v>221</v>
      </c>
      <c r="DF10" s="92" t="s">
        <v>32</v>
      </c>
      <c r="DG10" s="136">
        <f>B31</f>
        <v>2.5229999999999999E-2</v>
      </c>
      <c r="DI10" s="83" t="s">
        <v>22</v>
      </c>
      <c r="DJ10" s="137">
        <f>0.693/DJ11</f>
        <v>2.2972045705420805E-2</v>
      </c>
      <c r="DL10" s="92"/>
      <c r="DO10" s="92" t="s">
        <v>32</v>
      </c>
      <c r="DP10" s="136">
        <f>B31</f>
        <v>2.5229999999999999E-2</v>
      </c>
      <c r="DR10" s="83" t="s">
        <v>461</v>
      </c>
      <c r="DS10" s="146">
        <f>B154</f>
        <v>445.6</v>
      </c>
      <c r="DT10" s="92" t="s">
        <v>221</v>
      </c>
      <c r="DU10" s="92"/>
      <c r="DX10" s="83" t="s">
        <v>498</v>
      </c>
      <c r="DY10" s="138">
        <f>B205</f>
        <v>20.3</v>
      </c>
      <c r="DZ10" s="52" t="s">
        <v>246</v>
      </c>
      <c r="EA10" s="83" t="s">
        <v>498</v>
      </c>
      <c r="EB10" s="138">
        <f>B205</f>
        <v>20.3</v>
      </c>
      <c r="EC10" s="52" t="s">
        <v>246</v>
      </c>
      <c r="ED10" s="83" t="s">
        <v>498</v>
      </c>
      <c r="EE10" s="138">
        <f>B205</f>
        <v>20.3</v>
      </c>
      <c r="EF10" s="52" t="s">
        <v>246</v>
      </c>
      <c r="EG10" s="83" t="s">
        <v>462</v>
      </c>
      <c r="EH10" s="170">
        <f>B156</f>
        <v>178</v>
      </c>
      <c r="EI10" s="92" t="s">
        <v>221</v>
      </c>
      <c r="EJ10" s="92"/>
      <c r="EM10" s="83" t="s">
        <v>494</v>
      </c>
      <c r="EN10" s="138">
        <f>B210</f>
        <v>11.77</v>
      </c>
      <c r="EO10" s="52" t="s">
        <v>246</v>
      </c>
      <c r="EP10" s="83" t="s">
        <v>494</v>
      </c>
      <c r="EQ10" s="138">
        <f>B210</f>
        <v>11.77</v>
      </c>
      <c r="ER10" s="52" t="s">
        <v>246</v>
      </c>
      <c r="ES10" s="83" t="s">
        <v>494</v>
      </c>
      <c r="ET10" s="138">
        <f>B210</f>
        <v>11.77</v>
      </c>
      <c r="EU10" s="52" t="s">
        <v>246</v>
      </c>
      <c r="EV10" s="83" t="s">
        <v>463</v>
      </c>
      <c r="EW10" s="170">
        <f>B158</f>
        <v>53.4</v>
      </c>
      <c r="EX10" s="92" t="s">
        <v>221</v>
      </c>
      <c r="EY10" s="83"/>
      <c r="EZ10" s="83"/>
      <c r="FA10" s="83"/>
      <c r="FB10" s="83" t="s">
        <v>152</v>
      </c>
      <c r="FC10" s="142">
        <f>B215</f>
        <v>0.2</v>
      </c>
      <c r="FD10" s="52" t="s">
        <v>246</v>
      </c>
      <c r="FE10" s="83" t="s">
        <v>152</v>
      </c>
      <c r="FF10" s="142">
        <f>B215</f>
        <v>0.2</v>
      </c>
      <c r="FG10" s="52" t="s">
        <v>246</v>
      </c>
      <c r="FH10" s="83" t="s">
        <v>152</v>
      </c>
      <c r="FI10" s="142">
        <f>B215</f>
        <v>0.2</v>
      </c>
      <c r="FJ10" s="52" t="s">
        <v>246</v>
      </c>
      <c r="FK10" s="83" t="s">
        <v>472</v>
      </c>
      <c r="FL10" s="150">
        <f>B160</f>
        <v>155.4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1.0115299987062558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B162</f>
        <v>106.6</v>
      </c>
      <c r="GB10" s="92" t="s">
        <v>221</v>
      </c>
      <c r="GC10" s="83"/>
      <c r="GD10" s="83"/>
      <c r="GE10" s="83"/>
      <c r="GF10" s="83" t="s">
        <v>486</v>
      </c>
      <c r="GG10" s="142">
        <f>B220</f>
        <v>0.2</v>
      </c>
      <c r="GH10" s="52" t="s">
        <v>246</v>
      </c>
      <c r="GI10" s="83" t="s">
        <v>486</v>
      </c>
      <c r="GJ10" s="142">
        <f>B220</f>
        <v>0.2</v>
      </c>
      <c r="GK10" s="52" t="s">
        <v>246</v>
      </c>
      <c r="GL10" s="83" t="s">
        <v>486</v>
      </c>
      <c r="GM10" s="142">
        <f>B220</f>
        <v>0.2</v>
      </c>
      <c r="GN10" s="52" t="s">
        <v>246</v>
      </c>
      <c r="GO10" s="83" t="s">
        <v>464</v>
      </c>
      <c r="GP10" s="150">
        <f>B164</f>
        <v>97.9</v>
      </c>
      <c r="GQ10" s="92" t="s">
        <v>221</v>
      </c>
      <c r="GR10" s="83"/>
      <c r="GS10" s="83"/>
      <c r="GT10" s="83"/>
      <c r="GU10" s="83" t="s">
        <v>490</v>
      </c>
      <c r="GV10" s="142">
        <f>B225</f>
        <v>4.7</v>
      </c>
      <c r="GW10" s="52" t="s">
        <v>246</v>
      </c>
      <c r="GX10" s="83" t="s">
        <v>490</v>
      </c>
      <c r="GY10" s="142">
        <f>B225</f>
        <v>4.7</v>
      </c>
      <c r="GZ10" s="52" t="s">
        <v>246</v>
      </c>
      <c r="HA10" s="83" t="s">
        <v>490</v>
      </c>
      <c r="HB10" s="142">
        <f>B225</f>
        <v>4.7</v>
      </c>
      <c r="HC10" s="52" t="s">
        <v>246</v>
      </c>
      <c r="HD10" s="84" t="s">
        <v>38</v>
      </c>
      <c r="HE10" s="163">
        <f>B83</f>
        <v>0.3</v>
      </c>
    </row>
    <row r="11" spans="1:214" x14ac:dyDescent="0.2">
      <c r="A11" s="83" t="s">
        <v>252</v>
      </c>
      <c r="B11" s="183">
        <v>0.64061199999999996</v>
      </c>
      <c r="C11" s="83" t="s">
        <v>352</v>
      </c>
      <c r="D11" s="52" t="s">
        <v>247</v>
      </c>
      <c r="E11" s="139">
        <f>B6</f>
        <v>1.5417408700798101E-4</v>
      </c>
      <c r="F11" s="84" t="s">
        <v>259</v>
      </c>
      <c r="G11" s="83" t="s">
        <v>261</v>
      </c>
      <c r="H11" s="144">
        <f>H5/(H7*H16*H28)</f>
        <v>2.094003000584594</v>
      </c>
      <c r="I11" s="92" t="s">
        <v>11</v>
      </c>
      <c r="J11" s="84" t="s">
        <v>16</v>
      </c>
      <c r="K11" s="137">
        <f>(K43*K12)/(1-EXP(-K12*K43))</f>
        <v>1.0115299987062558</v>
      </c>
      <c r="M11" s="52" t="s">
        <v>299</v>
      </c>
      <c r="N11" s="138">
        <f>B61</f>
        <v>0.4</v>
      </c>
      <c r="P11" s="52" t="s">
        <v>299</v>
      </c>
      <c r="Q11" s="138">
        <f>B61</f>
        <v>0.4</v>
      </c>
      <c r="S11" s="52" t="s">
        <v>299</v>
      </c>
      <c r="T11" s="138">
        <f>B61</f>
        <v>0.4</v>
      </c>
      <c r="V11" s="52" t="s">
        <v>247</v>
      </c>
      <c r="W11" s="139">
        <f>B6</f>
        <v>1.5417408700798101E-4</v>
      </c>
      <c r="X11" s="84" t="s">
        <v>39</v>
      </c>
      <c r="Y11" s="52" t="s">
        <v>247</v>
      </c>
      <c r="Z11" s="139">
        <f>B6</f>
        <v>1.5417408700798101E-4</v>
      </c>
      <c r="AA11" s="84" t="s">
        <v>39</v>
      </c>
      <c r="AB11" s="83" t="s">
        <v>220</v>
      </c>
      <c r="AC11" s="146"/>
      <c r="AD11" s="146"/>
      <c r="AE11" s="146"/>
      <c r="AF11" s="146">
        <f>B278</f>
        <v>50</v>
      </c>
      <c r="AG11" s="146">
        <f>B301</f>
        <v>50</v>
      </c>
      <c r="AH11" s="83" t="s">
        <v>113</v>
      </c>
      <c r="AI11" s="52" t="s">
        <v>299</v>
      </c>
      <c r="AJ11" s="138">
        <f>B248</f>
        <v>0.4</v>
      </c>
      <c r="AL11" s="52" t="s">
        <v>299</v>
      </c>
      <c r="AM11" s="138">
        <f>B248</f>
        <v>0.4</v>
      </c>
      <c r="AO11" s="52" t="s">
        <v>299</v>
      </c>
      <c r="AP11" s="138">
        <f>B248</f>
        <v>0.4</v>
      </c>
      <c r="AR11" s="52" t="s">
        <v>299</v>
      </c>
      <c r="AS11" s="138">
        <f>B260</f>
        <v>0.4</v>
      </c>
      <c r="AU11" s="52" t="s">
        <v>299</v>
      </c>
      <c r="AV11" s="138">
        <f>B260</f>
        <v>0.4</v>
      </c>
      <c r="AX11" s="52" t="s">
        <v>299</v>
      </c>
      <c r="AY11" s="138">
        <f>B260</f>
        <v>0.4</v>
      </c>
      <c r="BA11" s="52" t="s">
        <v>299</v>
      </c>
      <c r="BB11" s="138">
        <f>B236</f>
        <v>0.4</v>
      </c>
      <c r="BD11" s="52" t="s">
        <v>299</v>
      </c>
      <c r="BE11" s="138">
        <f>B236</f>
        <v>0.4</v>
      </c>
      <c r="BG11" s="52" t="s">
        <v>299</v>
      </c>
      <c r="BH11" s="138">
        <f>B236</f>
        <v>0.4</v>
      </c>
      <c r="BJ11" s="52" t="s">
        <v>219</v>
      </c>
      <c r="BK11" s="138">
        <f>B277</f>
        <v>5</v>
      </c>
      <c r="BL11" s="52" t="s">
        <v>112</v>
      </c>
      <c r="BM11" s="52" t="s">
        <v>219</v>
      </c>
      <c r="BN11" s="138">
        <f>B277</f>
        <v>5</v>
      </c>
      <c r="BO11" s="52" t="s">
        <v>112</v>
      </c>
      <c r="BP11" s="52" t="s">
        <v>219</v>
      </c>
      <c r="BQ11" s="138">
        <f>B277</f>
        <v>5</v>
      </c>
      <c r="BR11" s="52" t="s">
        <v>112</v>
      </c>
      <c r="BS11" s="83" t="s">
        <v>429</v>
      </c>
      <c r="BT11" s="141">
        <f>B93</f>
        <v>10</v>
      </c>
      <c r="BU11" s="92" t="s">
        <v>407</v>
      </c>
      <c r="BV11" s="83" t="s">
        <v>261</v>
      </c>
      <c r="BW11" s="159"/>
      <c r="BX11" s="92" t="s">
        <v>11</v>
      </c>
      <c r="BY11" s="83" t="s">
        <v>22</v>
      </c>
      <c r="BZ11" s="137">
        <f>0.693/BZ12</f>
        <v>2.2972045705420805E-2</v>
      </c>
      <c r="CB11" s="52" t="s">
        <v>300</v>
      </c>
      <c r="CC11" s="138">
        <f>B118</f>
        <v>8.5099999999999995E-2</v>
      </c>
      <c r="CE11" s="52" t="s">
        <v>300</v>
      </c>
      <c r="CF11" s="138">
        <f>B120</f>
        <v>4.3290000000000002E-2</v>
      </c>
      <c r="CH11" s="52" t="s">
        <v>300</v>
      </c>
      <c r="CI11" s="138">
        <f>B124</f>
        <v>7.2400000000000006E-2</v>
      </c>
      <c r="CN11" s="84" t="s">
        <v>161</v>
      </c>
      <c r="CO11" s="162">
        <f>B130</f>
        <v>1</v>
      </c>
      <c r="CP11" s="52" t="s">
        <v>246</v>
      </c>
      <c r="CT11" s="84" t="s">
        <v>16</v>
      </c>
      <c r="CU11" s="137">
        <f>(CU43*CU12)/(1-EXP(-CU12*CU43))</f>
        <v>1.0115299987062558</v>
      </c>
      <c r="CW11" s="52" t="s">
        <v>247</v>
      </c>
      <c r="CX11" s="139">
        <f>B6</f>
        <v>1.5417408700798101E-4</v>
      </c>
      <c r="CY11" s="84" t="s">
        <v>259</v>
      </c>
      <c r="CZ11" s="83" t="s">
        <v>22</v>
      </c>
      <c r="DA11" s="137">
        <f>0.693/DA12</f>
        <v>2.2972045705420805E-2</v>
      </c>
      <c r="DC11" s="83" t="s">
        <v>515</v>
      </c>
      <c r="DD11" s="149">
        <f>(DD12*DD15*DD20)+(DD13*DD14*DD21)</f>
        <v>56173.250000000007</v>
      </c>
      <c r="DE11" s="92" t="s">
        <v>347</v>
      </c>
      <c r="DF11" s="92" t="s">
        <v>49</v>
      </c>
      <c r="DG11" s="137">
        <f>DG19+DG20</f>
        <v>8.993711152170084E-5</v>
      </c>
      <c r="DI11" s="91" t="s">
        <v>231</v>
      </c>
      <c r="DJ11" s="136">
        <f>B18</f>
        <v>30.167100000000001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B168</f>
        <v>350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B168</f>
        <v>350</v>
      </c>
      <c r="EI11" s="83" t="s">
        <v>24</v>
      </c>
      <c r="EJ11" s="92"/>
      <c r="EM11" s="83" t="s">
        <v>495</v>
      </c>
      <c r="EN11" s="138">
        <f>B211</f>
        <v>0.5</v>
      </c>
      <c r="EP11" s="83" t="s">
        <v>495</v>
      </c>
      <c r="EQ11" s="138">
        <f>B211</f>
        <v>0.5</v>
      </c>
      <c r="ER11" s="84"/>
      <c r="ES11" s="83" t="s">
        <v>495</v>
      </c>
      <c r="ET11" s="138">
        <f>B211</f>
        <v>0.5</v>
      </c>
      <c r="EU11" s="84"/>
      <c r="EV11" s="83" t="s">
        <v>456</v>
      </c>
      <c r="EW11" s="150">
        <f>B168</f>
        <v>350</v>
      </c>
      <c r="EX11" s="83" t="s">
        <v>24</v>
      </c>
      <c r="EY11" s="83"/>
      <c r="EZ11" s="83"/>
      <c r="FA11" s="83"/>
      <c r="FB11" s="83" t="s">
        <v>151</v>
      </c>
      <c r="FC11" s="142">
        <f>B216</f>
        <v>2.1999999999999999E-2</v>
      </c>
      <c r="FD11" s="52" t="s">
        <v>246</v>
      </c>
      <c r="FE11" s="83" t="s">
        <v>151</v>
      </c>
      <c r="FF11" s="142">
        <f>B216</f>
        <v>2.1999999999999999E-2</v>
      </c>
      <c r="FG11" s="52" t="s">
        <v>246</v>
      </c>
      <c r="FH11" s="83" t="s">
        <v>151</v>
      </c>
      <c r="FI11" s="142">
        <f>B216</f>
        <v>2.1999999999999999E-2</v>
      </c>
      <c r="FJ11" s="52" t="s">
        <v>246</v>
      </c>
      <c r="FK11" s="83" t="s">
        <v>456</v>
      </c>
      <c r="FL11" s="150">
        <f>B168</f>
        <v>350</v>
      </c>
      <c r="FM11" s="83" t="s">
        <v>24</v>
      </c>
      <c r="FN11" s="83"/>
      <c r="FO11" s="83"/>
      <c r="FP11" s="83"/>
      <c r="FQ11" s="88"/>
      <c r="FR11" s="86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B168</f>
        <v>350</v>
      </c>
      <c r="GB11" s="83" t="s">
        <v>24</v>
      </c>
      <c r="GC11" s="83"/>
      <c r="GD11" s="83"/>
      <c r="GE11" s="83"/>
      <c r="GF11" s="83" t="s">
        <v>487</v>
      </c>
      <c r="GG11" s="142">
        <f>B221</f>
        <v>2.1999999999999999E-2</v>
      </c>
      <c r="GH11" s="52" t="s">
        <v>246</v>
      </c>
      <c r="GI11" s="83" t="s">
        <v>487</v>
      </c>
      <c r="GJ11" s="142">
        <f>B221</f>
        <v>2.1999999999999999E-2</v>
      </c>
      <c r="GK11" s="52" t="s">
        <v>246</v>
      </c>
      <c r="GL11" s="83" t="s">
        <v>487</v>
      </c>
      <c r="GM11" s="142">
        <f>B221</f>
        <v>2.1999999999999999E-2</v>
      </c>
      <c r="GN11" s="52" t="s">
        <v>246</v>
      </c>
      <c r="GO11" s="83" t="s">
        <v>456</v>
      </c>
      <c r="GP11" s="150">
        <f>B168</f>
        <v>350</v>
      </c>
      <c r="GQ11" s="83" t="s">
        <v>24</v>
      </c>
      <c r="GR11" s="83"/>
      <c r="GS11" s="83"/>
      <c r="GT11" s="83"/>
      <c r="GU11" s="83" t="s">
        <v>491</v>
      </c>
      <c r="GV11" s="142">
        <f>B226</f>
        <v>0.37</v>
      </c>
      <c r="GW11" s="52" t="s">
        <v>246</v>
      </c>
      <c r="GX11" s="83" t="s">
        <v>491</v>
      </c>
      <c r="GY11" s="142">
        <f>B226</f>
        <v>0.37</v>
      </c>
      <c r="GZ11" s="52" t="s">
        <v>246</v>
      </c>
      <c r="HA11" s="83" t="s">
        <v>491</v>
      </c>
      <c r="HB11" s="142">
        <f>B226</f>
        <v>0.37</v>
      </c>
      <c r="HC11" s="52" t="s">
        <v>246</v>
      </c>
      <c r="HD11" s="84" t="s">
        <v>42</v>
      </c>
      <c r="HE11" s="150">
        <f>B84</f>
        <v>1.5</v>
      </c>
    </row>
    <row r="12" spans="1:214" x14ac:dyDescent="0.2">
      <c r="A12" s="83" t="s">
        <v>253</v>
      </c>
      <c r="B12" s="183">
        <v>0.63512000000000002</v>
      </c>
      <c r="C12" s="83" t="s">
        <v>351</v>
      </c>
      <c r="D12" s="83" t="s">
        <v>43</v>
      </c>
      <c r="E12" s="140">
        <f>((E15/E16)*E23*E13*E25)+((E15/E16)*E24*E14*E26)</f>
        <v>6195</v>
      </c>
      <c r="F12" s="52" t="s">
        <v>426</v>
      </c>
      <c r="G12" s="83" t="s">
        <v>266</v>
      </c>
      <c r="H12" s="144">
        <f>H5/(H8*(1/H43)*H21)</f>
        <v>3.6245141469223041</v>
      </c>
      <c r="I12" s="92" t="s">
        <v>11</v>
      </c>
      <c r="J12" s="83" t="s">
        <v>22</v>
      </c>
      <c r="K12" s="137">
        <f>0.693/K13</f>
        <v>2.2972045705420805E-2</v>
      </c>
      <c r="M12" s="52" t="s">
        <v>300</v>
      </c>
      <c r="N12" s="138">
        <f>B62</f>
        <v>1</v>
      </c>
      <c r="P12" s="52" t="s">
        <v>300</v>
      </c>
      <c r="Q12" s="138">
        <f>B62</f>
        <v>1</v>
      </c>
      <c r="S12" s="52" t="s">
        <v>300</v>
      </c>
      <c r="T12" s="138">
        <f>B62</f>
        <v>1</v>
      </c>
      <c r="V12" s="52" t="s">
        <v>44</v>
      </c>
      <c r="W12" s="150">
        <f>B262</f>
        <v>8</v>
      </c>
      <c r="X12" s="84" t="s">
        <v>194</v>
      </c>
      <c r="Y12" s="52" t="s">
        <v>44</v>
      </c>
      <c r="Z12" s="150">
        <f>B239</f>
        <v>8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B274</f>
        <v>8</v>
      </c>
      <c r="AG12" s="150">
        <f>B297</f>
        <v>8</v>
      </c>
      <c r="AH12" s="83" t="s">
        <v>194</v>
      </c>
      <c r="AI12" s="52" t="s">
        <v>300</v>
      </c>
      <c r="AJ12" s="138">
        <f>B235</f>
        <v>1</v>
      </c>
      <c r="AL12" s="52" t="s">
        <v>300</v>
      </c>
      <c r="AM12" s="138">
        <f>B235</f>
        <v>1</v>
      </c>
      <c r="AO12" s="52" t="s">
        <v>300</v>
      </c>
      <c r="AP12" s="138">
        <f>B247</f>
        <v>1</v>
      </c>
      <c r="AR12" s="52" t="s">
        <v>300</v>
      </c>
      <c r="AS12" s="138">
        <f>B259</f>
        <v>1</v>
      </c>
      <c r="AU12" s="52" t="s">
        <v>300</v>
      </c>
      <c r="AV12" s="138">
        <f>B259</f>
        <v>1</v>
      </c>
      <c r="AX12" s="52" t="s">
        <v>300</v>
      </c>
      <c r="AY12" s="138">
        <f>B259</f>
        <v>1</v>
      </c>
      <c r="BA12" s="52" t="s">
        <v>300</v>
      </c>
      <c r="BB12" s="138">
        <f>B235</f>
        <v>1</v>
      </c>
      <c r="BD12" s="52" t="s">
        <v>300</v>
      </c>
      <c r="BE12" s="138">
        <f>B235</f>
        <v>1</v>
      </c>
      <c r="BG12" s="52" t="s">
        <v>300</v>
      </c>
      <c r="BH12" s="138">
        <f>B235</f>
        <v>1</v>
      </c>
      <c r="BJ12" s="52" t="s">
        <v>158</v>
      </c>
      <c r="BK12" s="138">
        <f>B268</f>
        <v>1</v>
      </c>
      <c r="BL12" s="52" t="s">
        <v>146</v>
      </c>
      <c r="BM12" s="52" t="s">
        <v>158</v>
      </c>
      <c r="BN12" s="138">
        <f>B268</f>
        <v>1</v>
      </c>
      <c r="BO12" s="52" t="s">
        <v>146</v>
      </c>
      <c r="BP12" s="52" t="s">
        <v>158</v>
      </c>
      <c r="BQ12" s="138">
        <f>B268</f>
        <v>1</v>
      </c>
      <c r="BR12" s="52" t="s">
        <v>146</v>
      </c>
      <c r="BS12" s="83" t="s">
        <v>430</v>
      </c>
      <c r="BT12" s="141">
        <f>B94</f>
        <v>20</v>
      </c>
      <c r="BU12" s="92" t="s">
        <v>407</v>
      </c>
      <c r="BV12" s="83" t="s">
        <v>266</v>
      </c>
      <c r="BW12" s="145">
        <f>BW5/(BW8*(1/BW29)*BW16)</f>
        <v>18.913117542434687</v>
      </c>
      <c r="BX12" s="92" t="s">
        <v>11</v>
      </c>
      <c r="BY12" s="91" t="s">
        <v>231</v>
      </c>
      <c r="BZ12" s="136">
        <f>B18</f>
        <v>30.167100000000001</v>
      </c>
      <c r="CA12" s="52" t="s">
        <v>60</v>
      </c>
      <c r="CB12" s="52" t="s">
        <v>413</v>
      </c>
      <c r="CC12" s="138">
        <f>B119</f>
        <v>0.74150000000000005</v>
      </c>
      <c r="CE12" s="52" t="s">
        <v>414</v>
      </c>
      <c r="CF12" s="138">
        <f>B121</f>
        <v>0.65259999999999996</v>
      </c>
      <c r="CH12" s="52" t="s">
        <v>416</v>
      </c>
      <c r="CI12" s="138">
        <f>B125</f>
        <v>0.73650000000000004</v>
      </c>
      <c r="CN12" s="84" t="s">
        <v>162</v>
      </c>
      <c r="CO12" s="162">
        <f>B131</f>
        <v>1</v>
      </c>
      <c r="CP12" s="52" t="s">
        <v>41</v>
      </c>
      <c r="CT12" s="83" t="s">
        <v>22</v>
      </c>
      <c r="CU12" s="137">
        <f>0.693/CU13</f>
        <v>2.2972045705420805E-2</v>
      </c>
      <c r="CW12" s="83" t="s">
        <v>506</v>
      </c>
      <c r="CX12" s="140">
        <f>((CX16/24)*CX23*CX13*CX25)+((CX15/24)*CX24*CX14*CX26)</f>
        <v>6475</v>
      </c>
      <c r="CY12" s="52" t="s">
        <v>426</v>
      </c>
      <c r="CZ12" s="91" t="s">
        <v>231</v>
      </c>
      <c r="DA12" s="136">
        <f>B18</f>
        <v>30.167100000000001</v>
      </c>
      <c r="DB12" s="52" t="s">
        <v>60</v>
      </c>
      <c r="DC12" s="83" t="s">
        <v>467</v>
      </c>
      <c r="DD12" s="146">
        <f>B149</f>
        <v>68.099999999999994</v>
      </c>
      <c r="DE12" s="92" t="s">
        <v>221</v>
      </c>
      <c r="DF12" s="92" t="s">
        <v>52</v>
      </c>
      <c r="DG12" s="138">
        <f>B195</f>
        <v>10950</v>
      </c>
      <c r="DH12" s="52" t="s">
        <v>53</v>
      </c>
      <c r="DI12" s="84" t="s">
        <v>16</v>
      </c>
      <c r="DJ12" s="137">
        <f>(DJ9*DJ10)/(1-EXP(-DJ10*DJ9))</f>
        <v>1.0115299987062558</v>
      </c>
      <c r="DL12" s="92"/>
      <c r="DO12" s="92" t="s">
        <v>52</v>
      </c>
      <c r="DP12" s="138">
        <f>B195</f>
        <v>10950</v>
      </c>
      <c r="DQ12" s="52" t="s">
        <v>53</v>
      </c>
      <c r="DR12" s="83" t="s">
        <v>465</v>
      </c>
      <c r="DS12" s="150">
        <f>B168</f>
        <v>350</v>
      </c>
      <c r="DT12" s="83" t="s">
        <v>24</v>
      </c>
      <c r="DU12" s="92"/>
      <c r="DX12" s="83" t="s">
        <v>500</v>
      </c>
      <c r="DY12" s="138">
        <f>B207</f>
        <v>1</v>
      </c>
      <c r="EA12" s="83" t="s">
        <v>500</v>
      </c>
      <c r="EB12" s="138">
        <f>B207</f>
        <v>1</v>
      </c>
      <c r="EC12" s="84"/>
      <c r="ED12" s="83" t="s">
        <v>500</v>
      </c>
      <c r="EE12" s="138">
        <f>B207</f>
        <v>1</v>
      </c>
      <c r="EF12" s="84"/>
      <c r="EG12" s="83" t="s">
        <v>465</v>
      </c>
      <c r="EH12" s="150">
        <f>B168</f>
        <v>350</v>
      </c>
      <c r="EI12" s="83" t="s">
        <v>24</v>
      </c>
      <c r="EJ12" s="92"/>
      <c r="EM12" s="83" t="s">
        <v>496</v>
      </c>
      <c r="EN12" s="138">
        <f>B212</f>
        <v>1</v>
      </c>
      <c r="EP12" s="83" t="s">
        <v>496</v>
      </c>
      <c r="EQ12" s="138">
        <f>B212</f>
        <v>1</v>
      </c>
      <c r="ER12" s="84"/>
      <c r="ES12" s="83" t="s">
        <v>496</v>
      </c>
      <c r="ET12" s="138">
        <f>B212</f>
        <v>1</v>
      </c>
      <c r="EU12" s="84"/>
      <c r="EV12" s="83" t="s">
        <v>465</v>
      </c>
      <c r="EW12" s="150">
        <f>B168</f>
        <v>350</v>
      </c>
      <c r="EX12" s="83" t="s">
        <v>24</v>
      </c>
      <c r="EY12" s="83"/>
      <c r="EZ12" s="83"/>
      <c r="FA12" s="83"/>
      <c r="FB12" s="83" t="s">
        <v>153</v>
      </c>
      <c r="FC12" s="164">
        <f>B217</f>
        <v>1</v>
      </c>
      <c r="FD12" s="83"/>
      <c r="FE12" s="83" t="s">
        <v>153</v>
      </c>
      <c r="FF12" s="164">
        <f>B217</f>
        <v>1</v>
      </c>
      <c r="FG12" s="83"/>
      <c r="FH12" s="83" t="s">
        <v>153</v>
      </c>
      <c r="FI12" s="164">
        <f>B217</f>
        <v>1</v>
      </c>
      <c r="FJ12" s="84"/>
      <c r="FK12" s="83" t="s">
        <v>465</v>
      </c>
      <c r="FL12" s="150">
        <f>B168</f>
        <v>350</v>
      </c>
      <c r="FM12" s="83" t="s">
        <v>24</v>
      </c>
      <c r="FN12" s="83"/>
      <c r="FO12" s="83"/>
      <c r="FP12" s="83"/>
      <c r="FQ12" s="88"/>
      <c r="FR12" s="88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B168</f>
        <v>350</v>
      </c>
      <c r="GB12" s="83" t="s">
        <v>24</v>
      </c>
      <c r="GC12" s="83"/>
      <c r="GD12" s="83"/>
      <c r="GE12" s="83"/>
      <c r="GF12" s="83" t="s">
        <v>488</v>
      </c>
      <c r="GG12" s="142">
        <f>B222</f>
        <v>1</v>
      </c>
      <c r="GH12" s="83"/>
      <c r="GI12" s="83" t="s">
        <v>488</v>
      </c>
      <c r="GJ12" s="142">
        <f>B222</f>
        <v>1</v>
      </c>
      <c r="GK12" s="83"/>
      <c r="GL12" s="83" t="s">
        <v>488</v>
      </c>
      <c r="GM12" s="142">
        <f>B222</f>
        <v>1</v>
      </c>
      <c r="GN12" s="84"/>
      <c r="GO12" s="83" t="s">
        <v>465</v>
      </c>
      <c r="GP12" s="150">
        <f>B168</f>
        <v>350</v>
      </c>
      <c r="GQ12" s="83" t="s">
        <v>24</v>
      </c>
      <c r="GR12" s="83"/>
      <c r="GS12" s="83"/>
      <c r="GT12" s="83"/>
      <c r="GU12" s="83" t="s">
        <v>492</v>
      </c>
      <c r="GV12" s="142">
        <f>B227</f>
        <v>1</v>
      </c>
      <c r="GW12" s="83"/>
      <c r="GX12" s="83" t="s">
        <v>492</v>
      </c>
      <c r="GY12" s="142">
        <f>B227</f>
        <v>1</v>
      </c>
      <c r="GZ12" s="83"/>
      <c r="HA12" s="83" t="s">
        <v>492</v>
      </c>
      <c r="HB12" s="142">
        <f>B227</f>
        <v>1</v>
      </c>
      <c r="HC12" s="84"/>
      <c r="HD12" s="84" t="s">
        <v>47</v>
      </c>
      <c r="HE12" s="163">
        <v>1</v>
      </c>
    </row>
    <row r="13" spans="1:214" x14ac:dyDescent="0.2">
      <c r="A13" s="83" t="s">
        <v>254</v>
      </c>
      <c r="B13" s="183">
        <v>1.817564</v>
      </c>
      <c r="C13" s="83" t="s">
        <v>351</v>
      </c>
      <c r="D13" s="83" t="s">
        <v>366</v>
      </c>
      <c r="E13" s="141">
        <f>B38</f>
        <v>10</v>
      </c>
      <c r="F13" s="92" t="s">
        <v>407</v>
      </c>
      <c r="G13" s="83" t="s">
        <v>263</v>
      </c>
      <c r="H13" s="144">
        <f>H14/((1/H40)*(H48+H49+H50))</f>
        <v>77.535512262955422</v>
      </c>
      <c r="I13" s="92" t="s">
        <v>11</v>
      </c>
      <c r="J13" s="91" t="s">
        <v>231</v>
      </c>
      <c r="K13" s="136">
        <f>B18</f>
        <v>30.167100000000001</v>
      </c>
      <c r="L13" s="52" t="s">
        <v>60</v>
      </c>
      <c r="M13" s="52" t="s">
        <v>54</v>
      </c>
      <c r="N13" s="138">
        <f>B63</f>
        <v>1</v>
      </c>
      <c r="P13" s="52" t="s">
        <v>54</v>
      </c>
      <c r="Q13" s="138">
        <f>B63</f>
        <v>1</v>
      </c>
      <c r="S13" s="52" t="s">
        <v>54</v>
      </c>
      <c r="T13" s="138">
        <f>B63</f>
        <v>1</v>
      </c>
      <c r="V13" s="52" t="s">
        <v>50</v>
      </c>
      <c r="W13" s="146">
        <f>B254</f>
        <v>60</v>
      </c>
      <c r="X13" s="84" t="s">
        <v>407</v>
      </c>
      <c r="Y13" s="52" t="s">
        <v>50</v>
      </c>
      <c r="Z13" s="146">
        <f>B230</f>
        <v>60</v>
      </c>
      <c r="AA13" s="84" t="s">
        <v>407</v>
      </c>
      <c r="AB13" s="83" t="s">
        <v>349</v>
      </c>
      <c r="AC13" s="146">
        <f>B233</f>
        <v>100</v>
      </c>
      <c r="AD13" s="146">
        <f>B245</f>
        <v>50</v>
      </c>
      <c r="AE13" s="146">
        <f>B257</f>
        <v>100</v>
      </c>
      <c r="AF13" s="146">
        <f>B269</f>
        <v>330</v>
      </c>
      <c r="AG13" s="146">
        <f>B293</f>
        <v>330</v>
      </c>
      <c r="AH13" s="52" t="s">
        <v>48</v>
      </c>
      <c r="AI13" s="52" t="s">
        <v>54</v>
      </c>
      <c r="AJ13" s="138">
        <f>B249</f>
        <v>1</v>
      </c>
      <c r="AL13" s="52" t="s">
        <v>54</v>
      </c>
      <c r="AM13" s="138">
        <f>B249</f>
        <v>1</v>
      </c>
      <c r="AO13" s="52" t="s">
        <v>54</v>
      </c>
      <c r="AP13" s="138">
        <f>B249</f>
        <v>1</v>
      </c>
      <c r="AR13" s="52" t="s">
        <v>54</v>
      </c>
      <c r="AS13" s="138">
        <f>B261</f>
        <v>1</v>
      </c>
      <c r="AU13" s="52" t="s">
        <v>54</v>
      </c>
      <c r="AV13" s="138">
        <f>B261</f>
        <v>1</v>
      </c>
      <c r="AX13" s="52" t="s">
        <v>54</v>
      </c>
      <c r="AY13" s="138">
        <f>B261</f>
        <v>1</v>
      </c>
      <c r="BA13" s="52" t="s">
        <v>54</v>
      </c>
      <c r="BB13" s="138">
        <f>B237</f>
        <v>1</v>
      </c>
      <c r="BD13" s="52" t="s">
        <v>54</v>
      </c>
      <c r="BE13" s="138">
        <f>B237</f>
        <v>1</v>
      </c>
      <c r="BG13" s="52" t="s">
        <v>54</v>
      </c>
      <c r="BH13" s="138">
        <f>B237</f>
        <v>1</v>
      </c>
      <c r="BJ13" s="52" t="s">
        <v>300</v>
      </c>
      <c r="BK13" s="136">
        <f>B279</f>
        <v>8.5099999999999995E-2</v>
      </c>
      <c r="BM13" s="52" t="s">
        <v>300</v>
      </c>
      <c r="BN13" s="136">
        <f>B283</f>
        <v>4.3290000000000002E-2</v>
      </c>
      <c r="BP13" s="52" t="s">
        <v>300</v>
      </c>
      <c r="BQ13" s="136">
        <f>B287</f>
        <v>7.2400000000000006E-2</v>
      </c>
      <c r="BS13" s="52" t="s">
        <v>431</v>
      </c>
      <c r="BT13" s="141">
        <f>B106</f>
        <v>1</v>
      </c>
      <c r="BU13" s="52" t="s">
        <v>194</v>
      </c>
      <c r="BV13" s="83" t="s">
        <v>440</v>
      </c>
      <c r="BW13" s="160">
        <f>((BW18*BW20*BW23*BW14*BW30)+(BW19*BW21*BW24*BW15*BW31))</f>
        <v>2.25</v>
      </c>
      <c r="BX13" s="83" t="s">
        <v>345</v>
      </c>
      <c r="BY13" s="83" t="s">
        <v>260</v>
      </c>
      <c r="BZ13" s="143">
        <f>(BZ5/(BZ6*BZ16*(1/BZ33)))*BZ10</f>
        <v>2232.7891739104884</v>
      </c>
      <c r="CA13" s="92" t="s">
        <v>10</v>
      </c>
      <c r="CB13" s="52" t="s">
        <v>90</v>
      </c>
      <c r="CC13" s="138">
        <f>B108</f>
        <v>1</v>
      </c>
      <c r="CD13" s="52" t="s">
        <v>194</v>
      </c>
      <c r="CE13" s="52" t="s">
        <v>90</v>
      </c>
      <c r="CF13" s="138">
        <f>B108</f>
        <v>1</v>
      </c>
      <c r="CG13" s="52" t="s">
        <v>194</v>
      </c>
      <c r="CH13" s="52" t="s">
        <v>90</v>
      </c>
      <c r="CI13" s="138">
        <f>B108</f>
        <v>1</v>
      </c>
      <c r="CJ13" s="52" t="s">
        <v>194</v>
      </c>
      <c r="CN13" s="84" t="s">
        <v>163</v>
      </c>
      <c r="CO13" s="162">
        <f>B132</f>
        <v>1</v>
      </c>
      <c r="CP13" s="52" t="s">
        <v>41</v>
      </c>
      <c r="CT13" s="91" t="s">
        <v>231</v>
      </c>
      <c r="CU13" s="136">
        <f>B18</f>
        <v>30.167100000000001</v>
      </c>
      <c r="CV13" s="52" t="s">
        <v>60</v>
      </c>
      <c r="CW13" s="83" t="s">
        <v>450</v>
      </c>
      <c r="CX13" s="141">
        <f>B147</f>
        <v>10</v>
      </c>
      <c r="CY13" s="92" t="s">
        <v>407</v>
      </c>
      <c r="CZ13" s="83" t="s">
        <v>260</v>
      </c>
      <c r="DA13" s="143">
        <f>DA5/(DA6*DA24)</f>
        <v>25.949660054676475</v>
      </c>
      <c r="DB13" s="83" t="s">
        <v>11</v>
      </c>
      <c r="DC13" s="83" t="s">
        <v>468</v>
      </c>
      <c r="DD13" s="146">
        <f>B150</f>
        <v>176.8</v>
      </c>
      <c r="DE13" s="92" t="s">
        <v>221</v>
      </c>
      <c r="DF13" s="92" t="s">
        <v>55</v>
      </c>
      <c r="DG13" s="138">
        <f>B196</f>
        <v>240</v>
      </c>
      <c r="DH13" s="52" t="s">
        <v>56</v>
      </c>
      <c r="DL13" s="92"/>
      <c r="DO13" s="92" t="s">
        <v>55</v>
      </c>
      <c r="DP13" s="138">
        <f>B196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B208</f>
        <v>1</v>
      </c>
      <c r="EA13" s="83" t="s">
        <v>501</v>
      </c>
      <c r="EB13" s="138">
        <f>B208</f>
        <v>1</v>
      </c>
      <c r="EC13" s="84"/>
      <c r="ED13" s="83" t="s">
        <v>501</v>
      </c>
      <c r="EE13" s="138">
        <f>B208</f>
        <v>1</v>
      </c>
      <c r="EF13" s="84"/>
      <c r="EG13" s="83" t="s">
        <v>363</v>
      </c>
      <c r="EH13" s="150">
        <f>B170</f>
        <v>1</v>
      </c>
      <c r="EI13" s="84" t="s">
        <v>60</v>
      </c>
      <c r="EJ13" s="92"/>
      <c r="EM13" s="83" t="s">
        <v>497</v>
      </c>
      <c r="EN13" s="138">
        <f>B213</f>
        <v>1</v>
      </c>
      <c r="EP13" s="83" t="s">
        <v>497</v>
      </c>
      <c r="EQ13" s="138">
        <f>B213</f>
        <v>1</v>
      </c>
      <c r="ER13" s="84"/>
      <c r="ES13" s="83" t="s">
        <v>497</v>
      </c>
      <c r="ET13" s="138">
        <f>B213</f>
        <v>1</v>
      </c>
      <c r="EU13" s="84"/>
      <c r="EV13" s="83" t="s">
        <v>363</v>
      </c>
      <c r="EW13" s="150">
        <f>B170</f>
        <v>1</v>
      </c>
      <c r="EX13" s="84" t="s">
        <v>60</v>
      </c>
      <c r="EY13" s="83"/>
      <c r="EZ13" s="83"/>
      <c r="FA13" s="83"/>
      <c r="FB13" s="83" t="s">
        <v>154</v>
      </c>
      <c r="FC13" s="164">
        <f>B218</f>
        <v>1</v>
      </c>
      <c r="FD13" s="83"/>
      <c r="FE13" s="83" t="s">
        <v>154</v>
      </c>
      <c r="FF13" s="164">
        <f>B218</f>
        <v>1</v>
      </c>
      <c r="FG13" s="83"/>
      <c r="FH13" s="83" t="s">
        <v>154</v>
      </c>
      <c r="FI13" s="164">
        <f>B218</f>
        <v>1</v>
      </c>
      <c r="FJ13" s="84"/>
      <c r="FK13" s="83" t="s">
        <v>363</v>
      </c>
      <c r="FL13" s="141">
        <f>B170</f>
        <v>1</v>
      </c>
      <c r="FM13" s="92" t="s">
        <v>60</v>
      </c>
      <c r="FN13" s="83"/>
      <c r="FO13" s="83"/>
      <c r="FP13" s="83"/>
      <c r="FQ13" s="88"/>
      <c r="FR13" s="88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B170</f>
        <v>1</v>
      </c>
      <c r="GB13" s="92" t="s">
        <v>60</v>
      </c>
      <c r="GC13" s="83"/>
      <c r="GD13" s="83"/>
      <c r="GE13" s="83"/>
      <c r="GF13" s="83" t="s">
        <v>489</v>
      </c>
      <c r="GG13" s="142">
        <f>B223</f>
        <v>1</v>
      </c>
      <c r="GH13" s="83"/>
      <c r="GI13" s="83" t="s">
        <v>489</v>
      </c>
      <c r="GJ13" s="142">
        <f>B223</f>
        <v>1</v>
      </c>
      <c r="GK13" s="83"/>
      <c r="GL13" s="83" t="s">
        <v>489</v>
      </c>
      <c r="GM13" s="142">
        <f>B223</f>
        <v>1</v>
      </c>
      <c r="GN13" s="84"/>
      <c r="GO13" s="83" t="s">
        <v>363</v>
      </c>
      <c r="GP13" s="141">
        <f>B170</f>
        <v>1</v>
      </c>
      <c r="GQ13" s="92" t="s">
        <v>60</v>
      </c>
      <c r="GR13" s="83"/>
      <c r="GS13" s="83"/>
      <c r="GT13" s="83"/>
      <c r="GU13" s="83" t="s">
        <v>493</v>
      </c>
      <c r="GV13" s="142">
        <f>B228</f>
        <v>1</v>
      </c>
      <c r="GW13" s="83"/>
      <c r="GX13" s="83" t="s">
        <v>493</v>
      </c>
      <c r="GY13" s="142">
        <f>B228</f>
        <v>1</v>
      </c>
      <c r="GZ13" s="83"/>
      <c r="HA13" s="83" t="s">
        <v>493</v>
      </c>
      <c r="HB13" s="142">
        <f>B228</f>
        <v>1</v>
      </c>
      <c r="HC13" s="84"/>
      <c r="HD13" s="84" t="s">
        <v>59</v>
      </c>
      <c r="HE13" s="150">
        <f>B33</f>
        <v>10</v>
      </c>
    </row>
    <row r="14" spans="1:214" x14ac:dyDescent="0.2">
      <c r="A14" s="83" t="s">
        <v>255</v>
      </c>
      <c r="B14" s="183">
        <v>2.8393600000000001</v>
      </c>
      <c r="C14" s="83" t="s">
        <v>351</v>
      </c>
      <c r="D14" s="83" t="s">
        <v>367</v>
      </c>
      <c r="E14" s="141">
        <f>B39</f>
        <v>20</v>
      </c>
      <c r="F14" s="92" t="s">
        <v>407</v>
      </c>
      <c r="G14" s="83" t="s">
        <v>264</v>
      </c>
      <c r="H14" s="145">
        <f>H5/(H9*(H22+H25)*H41)</f>
        <v>0.86302549719764221</v>
      </c>
      <c r="I14" s="92" t="s">
        <v>10</v>
      </c>
      <c r="J14" s="83" t="s">
        <v>260</v>
      </c>
      <c r="K14" s="143">
        <f>(K5/(K6*K19*(1/K46)))*K11</f>
        <v>478.45482298081902</v>
      </c>
      <c r="L14" s="92" t="s">
        <v>10</v>
      </c>
      <c r="M14" s="52" t="s">
        <v>408</v>
      </c>
      <c r="N14" s="150">
        <f>B78</f>
        <v>1.752</v>
      </c>
      <c r="O14" s="52" t="s">
        <v>194</v>
      </c>
      <c r="P14" s="52" t="s">
        <v>408</v>
      </c>
      <c r="Q14" s="150">
        <f>B78</f>
        <v>1.752</v>
      </c>
      <c r="R14" s="52" t="s">
        <v>194</v>
      </c>
      <c r="S14" s="52" t="s">
        <v>408</v>
      </c>
      <c r="T14" s="150">
        <f>B78</f>
        <v>1.752</v>
      </c>
      <c r="U14" s="52" t="s">
        <v>194</v>
      </c>
      <c r="V14" s="83" t="s">
        <v>256</v>
      </c>
      <c r="W14" s="136">
        <f>B15</f>
        <v>4763.3999999999996</v>
      </c>
      <c r="X14" s="83" t="s">
        <v>343</v>
      </c>
      <c r="Y14" s="83" t="s">
        <v>256</v>
      </c>
      <c r="Z14" s="136">
        <f>B15</f>
        <v>4763.3999999999996</v>
      </c>
      <c r="AA14" s="83" t="s">
        <v>343</v>
      </c>
      <c r="AB14" s="83" t="s">
        <v>300</v>
      </c>
      <c r="AC14" s="141">
        <f>B235</f>
        <v>1</v>
      </c>
      <c r="AD14" s="141">
        <f>B247</f>
        <v>1</v>
      </c>
      <c r="AE14" s="141">
        <f>B259</f>
        <v>1</v>
      </c>
      <c r="AF14" s="141">
        <f>B279</f>
        <v>8.5099999999999995E-2</v>
      </c>
      <c r="AG14" s="141">
        <f>B279</f>
        <v>8.5099999999999995E-2</v>
      </c>
      <c r="AH14" s="92"/>
      <c r="AI14" s="52" t="s">
        <v>57</v>
      </c>
      <c r="AJ14" s="136">
        <f>B250</f>
        <v>0</v>
      </c>
      <c r="AK14" s="52" t="s">
        <v>194</v>
      </c>
      <c r="AL14" s="52" t="s">
        <v>57</v>
      </c>
      <c r="AM14" s="136">
        <f>B250</f>
        <v>0</v>
      </c>
      <c r="AN14" s="52" t="s">
        <v>194</v>
      </c>
      <c r="AO14" s="52" t="s">
        <v>57</v>
      </c>
      <c r="AP14" s="136">
        <f>B250</f>
        <v>0</v>
      </c>
      <c r="AQ14" s="52" t="s">
        <v>194</v>
      </c>
      <c r="AR14" s="52" t="s">
        <v>57</v>
      </c>
      <c r="AS14" s="136">
        <f>B262</f>
        <v>8</v>
      </c>
      <c r="AT14" s="52" t="s">
        <v>194</v>
      </c>
      <c r="AU14" s="52" t="s">
        <v>57</v>
      </c>
      <c r="AV14" s="136">
        <f>B262</f>
        <v>8</v>
      </c>
      <c r="AW14" s="52" t="s">
        <v>194</v>
      </c>
      <c r="AX14" s="52" t="s">
        <v>57</v>
      </c>
      <c r="AY14" s="136">
        <f>B262</f>
        <v>8</v>
      </c>
      <c r="AZ14" s="52" t="s">
        <v>194</v>
      </c>
      <c r="BA14" s="52" t="s">
        <v>57</v>
      </c>
      <c r="BB14" s="136">
        <f>B238</f>
        <v>8</v>
      </c>
      <c r="BC14" s="52" t="s">
        <v>194</v>
      </c>
      <c r="BD14" s="52" t="s">
        <v>57</v>
      </c>
      <c r="BE14" s="136">
        <f>B238</f>
        <v>8</v>
      </c>
      <c r="BF14" s="52" t="s">
        <v>194</v>
      </c>
      <c r="BG14" s="52" t="s">
        <v>58</v>
      </c>
      <c r="BH14" s="136">
        <f>B238</f>
        <v>8</v>
      </c>
      <c r="BI14" s="52" t="s">
        <v>194</v>
      </c>
      <c r="BJ14" s="52" t="s">
        <v>413</v>
      </c>
      <c r="BK14" s="136">
        <f>B280</f>
        <v>0.74150000000000005</v>
      </c>
      <c r="BM14" s="52" t="s">
        <v>414</v>
      </c>
      <c r="BN14" s="136">
        <f>B284</f>
        <v>0.65259999999999996</v>
      </c>
      <c r="BP14" s="52" t="s">
        <v>416</v>
      </c>
      <c r="BQ14" s="136">
        <f>B288</f>
        <v>0.73650000000000004</v>
      </c>
      <c r="BS14" s="52" t="s">
        <v>432</v>
      </c>
      <c r="BT14" s="141">
        <f>B107</f>
        <v>1</v>
      </c>
      <c r="BU14" s="52" t="s">
        <v>194</v>
      </c>
      <c r="BV14" s="83" t="s">
        <v>439</v>
      </c>
      <c r="BW14" s="146">
        <f>B95</f>
        <v>0.05</v>
      </c>
      <c r="BX14" s="83" t="s">
        <v>357</v>
      </c>
      <c r="BY14" s="83" t="s">
        <v>261</v>
      </c>
      <c r="BZ14" s="144">
        <f>(BZ5/(BZ7*BZ17*(1/BZ9)*BZ32))*BZ10</f>
        <v>161240308.21595395</v>
      </c>
      <c r="CA14" s="92" t="s">
        <v>10</v>
      </c>
      <c r="CB14" s="52" t="s">
        <v>412</v>
      </c>
      <c r="CC14" s="139">
        <f>B10</f>
        <v>3.19428</v>
      </c>
      <c r="CD14" s="84" t="s">
        <v>353</v>
      </c>
      <c r="CE14" s="52" t="s">
        <v>415</v>
      </c>
      <c r="CF14" s="139">
        <f>B12</f>
        <v>0.63512000000000002</v>
      </c>
      <c r="CG14" s="84" t="s">
        <v>353</v>
      </c>
      <c r="CH14" s="52" t="s">
        <v>417</v>
      </c>
      <c r="CI14" s="139">
        <f>B14</f>
        <v>2.8393600000000001</v>
      </c>
      <c r="CJ14" s="84" t="s">
        <v>353</v>
      </c>
      <c r="CK14" s="84"/>
      <c r="CL14" s="84"/>
      <c r="CM14" s="84"/>
      <c r="CN14" s="52" t="s">
        <v>95</v>
      </c>
      <c r="CO14" s="164">
        <f>B117</f>
        <v>1</v>
      </c>
      <c r="CQ14" s="84"/>
      <c r="CR14" s="84"/>
      <c r="CS14" s="84"/>
      <c r="CT14" s="83" t="s">
        <v>260</v>
      </c>
      <c r="CU14" s="143">
        <f>(CU5/(CU6*CU25*(1/CU46)))*CU11</f>
        <v>511.73863675339777</v>
      </c>
      <c r="CV14" s="92" t="s">
        <v>10</v>
      </c>
      <c r="CW14" s="83" t="s">
        <v>459</v>
      </c>
      <c r="CX14" s="141">
        <f>B148</f>
        <v>20</v>
      </c>
      <c r="CY14" s="92" t="s">
        <v>407</v>
      </c>
      <c r="CZ14" s="83" t="s">
        <v>261</v>
      </c>
      <c r="DA14" s="144">
        <f>DA5/(DA7*DA25*DA45)</f>
        <v>2.003451519478233</v>
      </c>
      <c r="DB14" s="83" t="s">
        <v>11</v>
      </c>
      <c r="DC14" s="83" t="s">
        <v>465</v>
      </c>
      <c r="DD14" s="146">
        <f>B168</f>
        <v>350</v>
      </c>
      <c r="DE14" s="83" t="s">
        <v>24</v>
      </c>
      <c r="DF14" s="92" t="s">
        <v>393</v>
      </c>
      <c r="DG14" s="138">
        <f>B35</f>
        <v>0.26</v>
      </c>
      <c r="DL14" s="92"/>
      <c r="DO14" s="92" t="s">
        <v>393</v>
      </c>
      <c r="DP14" s="138">
        <f>B35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B204</f>
        <v>1.03</v>
      </c>
      <c r="DZ14" s="52" t="s">
        <v>286</v>
      </c>
      <c r="EA14" s="52" t="s">
        <v>518</v>
      </c>
      <c r="EB14" s="146">
        <f>B204</f>
        <v>1.03</v>
      </c>
      <c r="EC14" s="52" t="s">
        <v>286</v>
      </c>
      <c r="ED14" s="92" t="s">
        <v>392</v>
      </c>
      <c r="EE14" s="163">
        <f>B36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B170</f>
        <v>1</v>
      </c>
      <c r="EP14" s="92"/>
      <c r="EQ14" s="84"/>
      <c r="ER14" s="84"/>
      <c r="ES14" s="92" t="s">
        <v>392</v>
      </c>
      <c r="ET14" s="163">
        <f>B36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B170</f>
        <v>1</v>
      </c>
      <c r="FE14" s="83"/>
      <c r="FF14" s="83"/>
      <c r="FG14" s="83"/>
      <c r="FH14" s="83" t="s">
        <v>392</v>
      </c>
      <c r="FI14" s="142">
        <f>B36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88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B170</f>
        <v>1</v>
      </c>
      <c r="GI14" s="83"/>
      <c r="GJ14" s="83"/>
      <c r="GK14" s="83"/>
      <c r="GL14" s="83" t="s">
        <v>392</v>
      </c>
      <c r="GM14" s="142">
        <f>B36</f>
        <v>0.25</v>
      </c>
      <c r="GN14" s="84"/>
      <c r="GO14" s="92" t="s">
        <v>484</v>
      </c>
      <c r="GP14" s="146">
        <f>B192</f>
        <v>1</v>
      </c>
      <c r="GR14" s="83"/>
      <c r="GS14" s="83"/>
      <c r="GT14" s="83"/>
      <c r="GU14" s="52" t="s">
        <v>350</v>
      </c>
      <c r="GV14" s="164">
        <f>B170</f>
        <v>1</v>
      </c>
      <c r="GX14" s="83"/>
      <c r="GY14" s="83"/>
      <c r="GZ14" s="83"/>
      <c r="HA14" s="83" t="s">
        <v>392</v>
      </c>
      <c r="HB14" s="142">
        <f>B36</f>
        <v>0.25</v>
      </c>
      <c r="HC14" s="84"/>
      <c r="HD14" s="52" t="s">
        <v>225</v>
      </c>
      <c r="HE14" s="138">
        <v>1</v>
      </c>
    </row>
    <row r="15" spans="1:214" x14ac:dyDescent="0.2">
      <c r="A15" s="83" t="s">
        <v>256</v>
      </c>
      <c r="B15" s="183">
        <v>4763.3999999999996</v>
      </c>
      <c r="C15" s="83" t="s">
        <v>351</v>
      </c>
      <c r="D15" s="52" t="s">
        <v>384</v>
      </c>
      <c r="E15" s="138">
        <f>B59</f>
        <v>24</v>
      </c>
      <c r="F15" s="52" t="s">
        <v>194</v>
      </c>
      <c r="G15" s="83" t="s">
        <v>395</v>
      </c>
      <c r="H15" s="147">
        <f>(H29*H17*H68)+(H30*H18*H69)</f>
        <v>736.54</v>
      </c>
      <c r="I15" s="83" t="s">
        <v>345</v>
      </c>
      <c r="J15" s="83" t="s">
        <v>261</v>
      </c>
      <c r="K15" s="144">
        <f>(K5/(K7*K20*(1/K10)*K45))*K11</f>
        <v>1439645.6090710172</v>
      </c>
      <c r="L15" s="92" t="s">
        <v>10</v>
      </c>
      <c r="M15" s="52" t="s">
        <v>412</v>
      </c>
      <c r="N15" s="139">
        <f>B10</f>
        <v>3.19428</v>
      </c>
      <c r="O15" s="84" t="s">
        <v>353</v>
      </c>
      <c r="P15" s="52" t="s">
        <v>415</v>
      </c>
      <c r="Q15" s="139">
        <f>B12</f>
        <v>0.63512000000000002</v>
      </c>
      <c r="R15" s="84" t="s">
        <v>353</v>
      </c>
      <c r="S15" s="52" t="s">
        <v>417</v>
      </c>
      <c r="T15" s="139">
        <f>B14</f>
        <v>2.8393600000000001</v>
      </c>
      <c r="U15" s="84" t="s">
        <v>353</v>
      </c>
      <c r="V15" s="83" t="s">
        <v>301</v>
      </c>
      <c r="W15" s="142">
        <f>B258</f>
        <v>1</v>
      </c>
      <c r="Y15" s="83" t="s">
        <v>301</v>
      </c>
      <c r="Z15" s="142">
        <f>B234</f>
        <v>1</v>
      </c>
      <c r="AB15" s="83" t="s">
        <v>232</v>
      </c>
      <c r="AC15" s="141">
        <f>B230</f>
        <v>60</v>
      </c>
      <c r="AD15" s="141">
        <f>B242</f>
        <v>60</v>
      </c>
      <c r="AE15" s="141">
        <f>B254</f>
        <v>60</v>
      </c>
      <c r="AF15" s="141">
        <f>B266</f>
        <v>60</v>
      </c>
      <c r="AG15" s="141">
        <f>B290</f>
        <v>60</v>
      </c>
      <c r="AH15" s="92" t="s">
        <v>407</v>
      </c>
      <c r="AI15" s="52" t="s">
        <v>412</v>
      </c>
      <c r="AJ15" s="139">
        <f>B10</f>
        <v>3.19428</v>
      </c>
      <c r="AK15" s="84" t="s">
        <v>353</v>
      </c>
      <c r="AL15" s="52" t="s">
        <v>415</v>
      </c>
      <c r="AM15" s="139">
        <f>B12</f>
        <v>0.63512000000000002</v>
      </c>
      <c r="AN15" s="84" t="s">
        <v>353</v>
      </c>
      <c r="AO15" s="52" t="s">
        <v>417</v>
      </c>
      <c r="AP15" s="139">
        <f>B14</f>
        <v>2.8393600000000001</v>
      </c>
      <c r="AQ15" s="84" t="s">
        <v>353</v>
      </c>
      <c r="AR15" s="52" t="s">
        <v>412</v>
      </c>
      <c r="AS15" s="139">
        <f>B10</f>
        <v>3.19428</v>
      </c>
      <c r="AT15" s="84" t="s">
        <v>353</v>
      </c>
      <c r="AU15" s="52" t="s">
        <v>415</v>
      </c>
      <c r="AV15" s="139">
        <f>B12</f>
        <v>0.63512000000000002</v>
      </c>
      <c r="AW15" s="84" t="s">
        <v>353</v>
      </c>
      <c r="AX15" s="52" t="s">
        <v>417</v>
      </c>
      <c r="AY15" s="139">
        <f>B14</f>
        <v>2.8393600000000001</v>
      </c>
      <c r="AZ15" s="84" t="s">
        <v>353</v>
      </c>
      <c r="BA15" s="52" t="s">
        <v>412</v>
      </c>
      <c r="BB15" s="139">
        <f>B10</f>
        <v>3.19428</v>
      </c>
      <c r="BC15" s="84" t="s">
        <v>353</v>
      </c>
      <c r="BD15" s="52" t="s">
        <v>415</v>
      </c>
      <c r="BE15" s="139">
        <f>B12</f>
        <v>0.63512000000000002</v>
      </c>
      <c r="BF15" s="84" t="s">
        <v>353</v>
      </c>
      <c r="BG15" s="52" t="s">
        <v>417</v>
      </c>
      <c r="BH15" s="139">
        <f>B14</f>
        <v>2.8393600000000001</v>
      </c>
      <c r="BI15" s="84" t="s">
        <v>353</v>
      </c>
      <c r="BJ15" s="52" t="s">
        <v>57</v>
      </c>
      <c r="BK15" s="136">
        <f>B274</f>
        <v>8</v>
      </c>
      <c r="BL15" s="52" t="s">
        <v>194</v>
      </c>
      <c r="BM15" s="52" t="s">
        <v>57</v>
      </c>
      <c r="BN15" s="136">
        <f>B274</f>
        <v>8</v>
      </c>
      <c r="BO15" s="52" t="s">
        <v>194</v>
      </c>
      <c r="BP15" s="52" t="s">
        <v>57</v>
      </c>
      <c r="BQ15" s="136">
        <f>B274</f>
        <v>8</v>
      </c>
      <c r="BR15" s="52" t="s">
        <v>194</v>
      </c>
      <c r="BS15" s="52" t="s">
        <v>90</v>
      </c>
      <c r="BT15" s="138">
        <f>B108</f>
        <v>1</v>
      </c>
      <c r="BU15" s="52" t="s">
        <v>194</v>
      </c>
      <c r="BV15" s="83" t="s">
        <v>438</v>
      </c>
      <c r="BW15" s="146">
        <f>B96</f>
        <v>0.05</v>
      </c>
      <c r="BX15" s="83" t="s">
        <v>357</v>
      </c>
      <c r="BY15" s="83" t="s">
        <v>262</v>
      </c>
      <c r="BZ15" s="145">
        <f>((BZ5)/(BZ8*BZ22*(1/BZ31)*BZ25*(1/24)*BZ28*BZ29))*BZ10</f>
        <v>586.14884305315468</v>
      </c>
      <c r="CA15" s="92" t="s">
        <v>10</v>
      </c>
      <c r="CN15" s="83" t="s">
        <v>22</v>
      </c>
      <c r="CO15" s="137">
        <f>0.693/CO16</f>
        <v>2.2972045705420805E-2</v>
      </c>
      <c r="CT15" s="83" t="s">
        <v>261</v>
      </c>
      <c r="CU15" s="144">
        <f>(CU5/(CU7*CU26*(1/CU10)*CU45))*CU11</f>
        <v>1377390.6638138923</v>
      </c>
      <c r="CV15" s="92" t="s">
        <v>10</v>
      </c>
      <c r="CW15" s="52" t="s">
        <v>365</v>
      </c>
      <c r="CX15" s="138">
        <f>B172</f>
        <v>24</v>
      </c>
      <c r="CY15" s="52" t="s">
        <v>194</v>
      </c>
      <c r="CZ15" s="83" t="s">
        <v>266</v>
      </c>
      <c r="DA15" s="153">
        <f>DA5/(DA8*DA26*(DA46/DA47))</f>
        <v>3.552500425376441</v>
      </c>
      <c r="DB15" s="83" t="s">
        <v>11</v>
      </c>
      <c r="DC15" s="83" t="s">
        <v>456</v>
      </c>
      <c r="DD15" s="146">
        <f>B167</f>
        <v>350</v>
      </c>
      <c r="DE15" s="83" t="s">
        <v>24</v>
      </c>
      <c r="DF15" s="92" t="s">
        <v>61</v>
      </c>
      <c r="DG15" s="138">
        <f>B197</f>
        <v>0.42</v>
      </c>
      <c r="DH15" s="52" t="s">
        <v>41</v>
      </c>
      <c r="DL15" s="92"/>
      <c r="DO15" s="92" t="s">
        <v>61</v>
      </c>
      <c r="DP15" s="138">
        <f>B197</f>
        <v>0.42</v>
      </c>
      <c r="DQ15" s="52" t="s">
        <v>41</v>
      </c>
      <c r="DR15" s="92" t="s">
        <v>479</v>
      </c>
      <c r="DS15" s="146">
        <f>B187</f>
        <v>1</v>
      </c>
      <c r="DU15" s="92"/>
      <c r="DX15" s="52" t="s">
        <v>350</v>
      </c>
      <c r="DY15" s="164">
        <f>B170</f>
        <v>1</v>
      </c>
      <c r="EA15" s="92"/>
      <c r="EB15" s="84"/>
      <c r="EC15" s="84"/>
      <c r="ED15" s="83" t="s">
        <v>27</v>
      </c>
      <c r="EE15" s="142">
        <f>B203</f>
        <v>92</v>
      </c>
      <c r="EF15" s="83" t="s">
        <v>28</v>
      </c>
      <c r="EG15" s="92" t="s">
        <v>480</v>
      </c>
      <c r="EH15" s="146">
        <f>B188</f>
        <v>1</v>
      </c>
      <c r="EJ15" s="92"/>
      <c r="EM15" s="83" t="s">
        <v>22</v>
      </c>
      <c r="EN15" s="137">
        <f>0.693/EN16</f>
        <v>2.2972045705420805E-2</v>
      </c>
      <c r="EP15" s="92"/>
      <c r="EQ15" s="84"/>
      <c r="ER15" s="84"/>
      <c r="ES15" s="83" t="s">
        <v>29</v>
      </c>
      <c r="ET15" s="142">
        <f>B209</f>
        <v>53</v>
      </c>
      <c r="EU15" s="83" t="s">
        <v>28</v>
      </c>
      <c r="EV15" s="92" t="s">
        <v>481</v>
      </c>
      <c r="EW15" s="146">
        <f>B189</f>
        <v>1</v>
      </c>
      <c r="EY15" s="83"/>
      <c r="EZ15" s="83"/>
      <c r="FA15" s="83"/>
      <c r="FB15" s="83" t="s">
        <v>22</v>
      </c>
      <c r="FC15" s="137">
        <f>0.693/FC16</f>
        <v>2.2972045705420805E-2</v>
      </c>
      <c r="FE15" s="83"/>
      <c r="FF15" s="83"/>
      <c r="FG15" s="83"/>
      <c r="FH15" s="83" t="s">
        <v>148</v>
      </c>
      <c r="FI15" s="164">
        <f>B214</f>
        <v>0.4</v>
      </c>
      <c r="FJ15" s="83" t="s">
        <v>28</v>
      </c>
      <c r="FK15" s="92" t="s">
        <v>482</v>
      </c>
      <c r="FL15" s="146">
        <f>B190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B191</f>
        <v>1</v>
      </c>
      <c r="GC15" s="83"/>
      <c r="GD15" s="83"/>
      <c r="GE15" s="83"/>
      <c r="GF15" s="83" t="s">
        <v>22</v>
      </c>
      <c r="GG15" s="137">
        <f>0.693/GG16</f>
        <v>2.2972045705420805E-2</v>
      </c>
      <c r="GI15" s="83"/>
      <c r="GJ15" s="83"/>
      <c r="GK15" s="83"/>
      <c r="GL15" s="83" t="s">
        <v>149</v>
      </c>
      <c r="GM15" s="164">
        <f>B219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2.2972045705420805E-2</v>
      </c>
      <c r="GX15" s="83"/>
      <c r="GY15" s="83"/>
      <c r="GZ15" s="83"/>
      <c r="HA15" s="83" t="s">
        <v>150</v>
      </c>
      <c r="HB15" s="142">
        <f>B224</f>
        <v>11.4</v>
      </c>
      <c r="HC15" s="83" t="s">
        <v>28</v>
      </c>
      <c r="HD15" s="84"/>
    </row>
    <row r="16" spans="1:214" s="83" customFormat="1" x14ac:dyDescent="0.2">
      <c r="A16" s="91" t="s">
        <v>257</v>
      </c>
      <c r="B16" s="183">
        <v>10.292680000000001</v>
      </c>
      <c r="C16" s="84" t="s">
        <v>259</v>
      </c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6195</v>
      </c>
      <c r="I16" s="83" t="s">
        <v>426</v>
      </c>
      <c r="J16" s="83" t="s">
        <v>262</v>
      </c>
      <c r="K16" s="144">
        <f>(K5/(K8*K42*((K37*K41*(1/K35))+(K38*K40*(1/K35)))*K32*(1/K44)*K33))*K11</f>
        <v>0.95280065385801593</v>
      </c>
      <c r="L16" s="92" t="s">
        <v>10</v>
      </c>
      <c r="M16" s="52" t="s">
        <v>409</v>
      </c>
      <c r="N16" s="150">
        <f>B79</f>
        <v>16.416</v>
      </c>
      <c r="O16" s="52" t="s">
        <v>194</v>
      </c>
      <c r="P16" s="52" t="s">
        <v>409</v>
      </c>
      <c r="Q16" s="150">
        <f>B79</f>
        <v>16.416</v>
      </c>
      <c r="R16" s="52" t="s">
        <v>194</v>
      </c>
      <c r="S16" s="52" t="s">
        <v>409</v>
      </c>
      <c r="T16" s="150">
        <f>B79</f>
        <v>16.416</v>
      </c>
      <c r="U16" s="52" t="s">
        <v>194</v>
      </c>
      <c r="V16" s="52" t="s">
        <v>261</v>
      </c>
      <c r="W16" s="143">
        <f>(W5)/((W12/24)*W9*W10*W11*W13)</f>
        <v>1.4413720654023956</v>
      </c>
      <c r="X16" s="52" t="s">
        <v>15</v>
      </c>
      <c r="Y16" s="52" t="s">
        <v>261</v>
      </c>
      <c r="Z16" s="143">
        <f>(Z5)/((Z12/24)*Z9*Z10*Z11*Z13)</f>
        <v>1.2972348588621561</v>
      </c>
      <c r="AA16" s="52" t="s">
        <v>15</v>
      </c>
      <c r="AB16" s="83" t="s">
        <v>299</v>
      </c>
      <c r="AC16" s="141">
        <f>B236</f>
        <v>0.4</v>
      </c>
      <c r="AD16" s="141">
        <f>B248</f>
        <v>0.4</v>
      </c>
      <c r="AE16" s="141">
        <f>B260</f>
        <v>0.4</v>
      </c>
      <c r="AF16" s="141">
        <f>B272</f>
        <v>0.4</v>
      </c>
      <c r="AG16" s="141">
        <f>B295</f>
        <v>0.4</v>
      </c>
      <c r="AH16" s="92"/>
      <c r="AI16" s="52" t="s">
        <v>69</v>
      </c>
      <c r="AJ16" s="136">
        <f>B251</f>
        <v>8</v>
      </c>
      <c r="AK16" s="52" t="s">
        <v>194</v>
      </c>
      <c r="AL16" s="52" t="s">
        <v>69</v>
      </c>
      <c r="AM16" s="136">
        <f>B251</f>
        <v>8</v>
      </c>
      <c r="AN16" s="52" t="s">
        <v>194</v>
      </c>
      <c r="AO16" s="52" t="s">
        <v>69</v>
      </c>
      <c r="AP16" s="136">
        <f>B251</f>
        <v>8</v>
      </c>
      <c r="AQ16" s="52" t="s">
        <v>194</v>
      </c>
      <c r="AR16" s="52" t="s">
        <v>69</v>
      </c>
      <c r="AS16" s="136">
        <f>B263</f>
        <v>0</v>
      </c>
      <c r="AT16" s="52" t="s">
        <v>194</v>
      </c>
      <c r="AU16" s="52" t="s">
        <v>69</v>
      </c>
      <c r="AV16" s="136">
        <f>B263</f>
        <v>0</v>
      </c>
      <c r="AW16" s="52" t="s">
        <v>194</v>
      </c>
      <c r="AX16" s="52" t="s">
        <v>69</v>
      </c>
      <c r="AY16" s="136">
        <f>B263</f>
        <v>0</v>
      </c>
      <c r="AZ16" s="52" t="s">
        <v>194</v>
      </c>
      <c r="BA16" s="52" t="s">
        <v>69</v>
      </c>
      <c r="BB16" s="136">
        <f>B239</f>
        <v>8</v>
      </c>
      <c r="BC16" s="52" t="s">
        <v>194</v>
      </c>
      <c r="BD16" s="52" t="s">
        <v>69</v>
      </c>
      <c r="BE16" s="136">
        <f>B239</f>
        <v>8</v>
      </c>
      <c r="BF16" s="52" t="s">
        <v>194</v>
      </c>
      <c r="BG16" s="52" t="s">
        <v>69</v>
      </c>
      <c r="BH16" s="136">
        <f>B239</f>
        <v>8</v>
      </c>
      <c r="BI16" s="52" t="s">
        <v>194</v>
      </c>
      <c r="BJ16" s="52" t="s">
        <v>412</v>
      </c>
      <c r="BK16" s="139">
        <f>B10</f>
        <v>3.19428</v>
      </c>
      <c r="BL16" s="84" t="s">
        <v>353</v>
      </c>
      <c r="BM16" s="52" t="s">
        <v>415</v>
      </c>
      <c r="BN16" s="139">
        <f>B12</f>
        <v>0.63512000000000002</v>
      </c>
      <c r="BO16" s="84" t="s">
        <v>353</v>
      </c>
      <c r="BP16" s="52" t="s">
        <v>417</v>
      </c>
      <c r="BQ16" s="139">
        <f>B14</f>
        <v>2.8393600000000001</v>
      </c>
      <c r="BR16" s="84" t="s">
        <v>353</v>
      </c>
      <c r="BS16" s="83" t="s">
        <v>256</v>
      </c>
      <c r="BT16" s="136">
        <f>E17</f>
        <v>4763.3999999999996</v>
      </c>
      <c r="BU16" s="83" t="s">
        <v>343</v>
      </c>
      <c r="BV16" s="83" t="s">
        <v>437</v>
      </c>
      <c r="BW16" s="140">
        <f>((BW18*BW20*BW23*BW30)+(BW19*BW21*BW24*BW31))</f>
        <v>45</v>
      </c>
      <c r="BX16" s="83" t="s">
        <v>356</v>
      </c>
      <c r="BY16" s="83" t="s">
        <v>46</v>
      </c>
      <c r="BZ16" s="149">
        <f>(BZ18*BZ22*BZ34)+(BZ19*BZ23*BZ35)</f>
        <v>9225</v>
      </c>
      <c r="CA16" s="83" t="s">
        <v>346</v>
      </c>
      <c r="CN16" s="91" t="s">
        <v>231</v>
      </c>
      <c r="CO16" s="136">
        <f>B18</f>
        <v>30.167100000000001</v>
      </c>
      <c r="CP16" s="52" t="s">
        <v>60</v>
      </c>
      <c r="CT16" s="83" t="s">
        <v>262</v>
      </c>
      <c r="CU16" s="144">
        <f>(CU5/(CU8*CU42*((CU37*CU41*(1/24))+(CU38*CU40*(1/24)))*CU32*(1/CU44)))*CU11</f>
        <v>0.49011681007300151</v>
      </c>
      <c r="CV16" s="92" t="s">
        <v>10</v>
      </c>
      <c r="CW16" s="52" t="s">
        <v>364</v>
      </c>
      <c r="CX16" s="138">
        <f>B171</f>
        <v>24</v>
      </c>
      <c r="CY16" s="52" t="s">
        <v>194</v>
      </c>
      <c r="CZ16" s="83" t="s">
        <v>512</v>
      </c>
      <c r="DA16" s="153">
        <f>DG2</f>
        <v>19.104521238263178</v>
      </c>
      <c r="DB16" s="83" t="s">
        <v>11</v>
      </c>
      <c r="DC16" s="83" t="s">
        <v>363</v>
      </c>
      <c r="DD16" s="146">
        <f>B170</f>
        <v>1</v>
      </c>
      <c r="DE16" s="83" t="s">
        <v>60</v>
      </c>
      <c r="DF16" s="92" t="s">
        <v>63</v>
      </c>
      <c r="DG16" s="151">
        <f>DG20+(0.693/DG22)</f>
        <v>4.9562937111521696E-2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2.2972045705420805E-2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B18</f>
        <v>30.167100000000001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B18</f>
        <v>30.167100000000001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B18</f>
        <v>30.167100000000001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B165</f>
        <v>0.15</v>
      </c>
      <c r="GQ16" s="52"/>
      <c r="GU16" s="91" t="s">
        <v>231</v>
      </c>
      <c r="GV16" s="136">
        <f>B18</f>
        <v>30.167100000000001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</row>
    <row r="17" spans="1:214" ht="13.5" thickBot="1" x14ac:dyDescent="0.25">
      <c r="A17" s="83" t="s">
        <v>258</v>
      </c>
      <c r="B17" s="183">
        <v>4.9109405245458101E-5</v>
      </c>
      <c r="C17" s="92" t="s">
        <v>259</v>
      </c>
      <c r="D17" s="83" t="s">
        <v>256</v>
      </c>
      <c r="E17" s="136">
        <f>B15</f>
        <v>4763.3999999999996</v>
      </c>
      <c r="F17" s="83" t="s">
        <v>343</v>
      </c>
      <c r="G17" s="83" t="s">
        <v>370</v>
      </c>
      <c r="H17" s="146">
        <f>B42</f>
        <v>0.78</v>
      </c>
      <c r="I17" s="52" t="s">
        <v>28</v>
      </c>
      <c r="J17" s="83" t="s">
        <v>263</v>
      </c>
      <c r="K17" s="153">
        <f>(K18/(K47+K48))*K11</f>
        <v>3.0606043546043438</v>
      </c>
      <c r="L17" s="92" t="s">
        <v>10</v>
      </c>
      <c r="M17" s="83"/>
      <c r="N17" s="83"/>
      <c r="O17" s="83"/>
      <c r="P17" s="83"/>
      <c r="Q17" s="83"/>
      <c r="R17" s="83"/>
      <c r="S17" s="83"/>
      <c r="T17" s="83"/>
      <c r="U17" s="83"/>
      <c r="V17" s="52" t="s">
        <v>271</v>
      </c>
      <c r="W17" s="144">
        <f>(W5)/((W12/24)*W9*W14*(1/365))</f>
        <v>1.0216791927334817E-3</v>
      </c>
      <c r="X17" s="52" t="s">
        <v>15</v>
      </c>
      <c r="Y17" s="52" t="s">
        <v>271</v>
      </c>
      <c r="Z17" s="144">
        <f>(Z5)/((Z12/24)*Z9*Z14*(1/365))</f>
        <v>9.1951127346013358E-4</v>
      </c>
      <c r="AA17" s="52" t="s">
        <v>15</v>
      </c>
      <c r="AB17" s="83" t="s">
        <v>413</v>
      </c>
      <c r="AC17" s="141">
        <f>B237</f>
        <v>1</v>
      </c>
      <c r="AD17" s="141">
        <f>B249</f>
        <v>1</v>
      </c>
      <c r="AE17" s="141">
        <f>B261</f>
        <v>1</v>
      </c>
      <c r="AF17" s="141">
        <f>B280</f>
        <v>0.74150000000000005</v>
      </c>
      <c r="AG17" s="141">
        <f>B280</f>
        <v>0.74150000000000005</v>
      </c>
      <c r="AH17" s="92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K17" s="83"/>
      <c r="BL17" s="83"/>
      <c r="BM17" s="83"/>
      <c r="BN17" s="83"/>
      <c r="BO17" s="83"/>
      <c r="BP17" s="83"/>
      <c r="BQ17" s="83"/>
      <c r="BR17" s="83"/>
      <c r="BS17" s="83" t="s">
        <v>301</v>
      </c>
      <c r="BT17" s="142">
        <f>B111</f>
        <v>1</v>
      </c>
      <c r="BV17" s="83" t="s">
        <v>65</v>
      </c>
      <c r="BW17" s="141">
        <f>B116</f>
        <v>0.5</v>
      </c>
      <c r="BX17" s="52" t="s">
        <v>66</v>
      </c>
      <c r="BY17" s="83" t="s">
        <v>43</v>
      </c>
      <c r="BZ17" s="149">
        <f>(BZ24*BZ20*(BZ26/24)*BZ34)+(BZ23*BZ21*(BZ27/24)*BZ35)</f>
        <v>55.3125</v>
      </c>
      <c r="CA17" s="52" t="s">
        <v>426</v>
      </c>
      <c r="CN17" s="84" t="s">
        <v>16</v>
      </c>
      <c r="CO17" s="137">
        <f>(CO14*CO15)/(1-EXP(-CO15*CO14))</f>
        <v>1.0115299987062558</v>
      </c>
      <c r="CT17" s="83" t="s">
        <v>263</v>
      </c>
      <c r="CU17" s="153">
        <f>DJ2</f>
        <v>0.75412387418243243</v>
      </c>
      <c r="CV17" s="92" t="s">
        <v>10</v>
      </c>
      <c r="CW17" s="83" t="s">
        <v>256</v>
      </c>
      <c r="CX17" s="136">
        <f>B15</f>
        <v>4763.3999999999996</v>
      </c>
      <c r="CY17" s="83" t="s">
        <v>343</v>
      </c>
      <c r="CZ17" s="83" t="s">
        <v>511</v>
      </c>
      <c r="DA17" s="153">
        <f>DD2</f>
        <v>0.21264693376189134</v>
      </c>
      <c r="DB17" s="83" t="s">
        <v>10</v>
      </c>
      <c r="DC17" s="93"/>
      <c r="DD17" s="136">
        <v>9.9999999999999995E-7</v>
      </c>
      <c r="DE17" s="88"/>
      <c r="DF17" s="92" t="s">
        <v>67</v>
      </c>
      <c r="DG17" s="142">
        <f>B198</f>
        <v>60</v>
      </c>
      <c r="DH17" s="83" t="s">
        <v>53</v>
      </c>
      <c r="DL17" s="92"/>
      <c r="DM17" s="83"/>
      <c r="DN17" s="83"/>
      <c r="DO17" s="92" t="s">
        <v>67</v>
      </c>
      <c r="DP17" s="142">
        <f>B198</f>
        <v>60</v>
      </c>
      <c r="DQ17" s="83" t="s">
        <v>53</v>
      </c>
      <c r="DR17" s="83" t="s">
        <v>475</v>
      </c>
      <c r="DS17" s="146">
        <f>B165</f>
        <v>0.15</v>
      </c>
      <c r="DU17" s="92"/>
      <c r="DV17" s="87"/>
      <c r="DW17" s="83"/>
      <c r="DX17" s="91" t="s">
        <v>231</v>
      </c>
      <c r="DY17" s="136">
        <f>B18</f>
        <v>30.167100000000001</v>
      </c>
      <c r="DZ17" s="52" t="s">
        <v>60</v>
      </c>
      <c r="EA17" s="92"/>
      <c r="EB17" s="83"/>
      <c r="EC17" s="83"/>
      <c r="ED17" s="92" t="s">
        <v>67</v>
      </c>
      <c r="EE17" s="142">
        <f>B198</f>
        <v>60</v>
      </c>
      <c r="EF17" s="83" t="s">
        <v>53</v>
      </c>
      <c r="EG17" s="83" t="s">
        <v>475</v>
      </c>
      <c r="EH17" s="146">
        <f>B165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1.0115299987062558</v>
      </c>
      <c r="EP17" s="92"/>
      <c r="EQ17" s="83"/>
      <c r="ER17" s="83"/>
      <c r="ES17" s="92" t="s">
        <v>67</v>
      </c>
      <c r="ET17" s="142">
        <f>B198</f>
        <v>60</v>
      </c>
      <c r="EU17" s="83" t="s">
        <v>53</v>
      </c>
      <c r="EV17" s="83" t="s">
        <v>475</v>
      </c>
      <c r="EW17" s="141">
        <f>B165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1.0115299987062558</v>
      </c>
      <c r="FE17" s="83"/>
      <c r="FF17" s="83"/>
      <c r="FG17" s="83"/>
      <c r="FH17" s="83" t="s">
        <v>67</v>
      </c>
      <c r="FI17" s="142">
        <f>B198</f>
        <v>60</v>
      </c>
      <c r="FJ17" s="83" t="s">
        <v>53</v>
      </c>
      <c r="FK17" s="83" t="s">
        <v>475</v>
      </c>
      <c r="FL17" s="141">
        <f>B165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B165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1.0115299987062558</v>
      </c>
      <c r="GI17" s="83"/>
      <c r="GJ17" s="83"/>
      <c r="GK17" s="83"/>
      <c r="GL17" s="83" t="s">
        <v>67</v>
      </c>
      <c r="GM17" s="142">
        <f>B198</f>
        <v>60</v>
      </c>
      <c r="GN17" s="83" t="s">
        <v>53</v>
      </c>
      <c r="GO17" s="83" t="s">
        <v>476</v>
      </c>
      <c r="GP17" s="141">
        <f>B166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1.0115299987062558</v>
      </c>
      <c r="GX17" s="83"/>
      <c r="GY17" s="83"/>
      <c r="GZ17" s="83"/>
      <c r="HA17" s="83" t="s">
        <v>67</v>
      </c>
      <c r="HB17" s="142">
        <f>B198</f>
        <v>60</v>
      </c>
      <c r="HC17" s="83" t="s">
        <v>53</v>
      </c>
      <c r="HD17" s="84"/>
      <c r="HE17" s="84"/>
    </row>
    <row r="18" spans="1:214" ht="19.5" thickTop="1" thickBot="1" x14ac:dyDescent="0.25">
      <c r="A18" s="91" t="s">
        <v>231</v>
      </c>
      <c r="B18" s="183">
        <v>30.167100000000001</v>
      </c>
      <c r="C18" s="52" t="s">
        <v>235</v>
      </c>
      <c r="D18" s="83" t="s">
        <v>301</v>
      </c>
      <c r="E18" s="142">
        <f>B60</f>
        <v>1</v>
      </c>
      <c r="G18" s="83" t="s">
        <v>371</v>
      </c>
      <c r="H18" s="146">
        <f>B43</f>
        <v>2.5</v>
      </c>
      <c r="I18" s="52" t="s">
        <v>28</v>
      </c>
      <c r="J18" s="83" t="s">
        <v>264</v>
      </c>
      <c r="K18" s="154">
        <f>K5/(K9*(K25+K28)*K36)</f>
        <v>0.86302549719764221</v>
      </c>
      <c r="L18" s="92" t="s">
        <v>10</v>
      </c>
      <c r="V18" s="52" t="s">
        <v>261</v>
      </c>
      <c r="W18" s="144">
        <f>(W5*W7*W6)/((W12/24)*(1-EXP(-W7*W10))*W11*W13*W9*W10)</f>
        <v>1.4579910834517185</v>
      </c>
      <c r="X18" s="52" t="s">
        <v>16</v>
      </c>
      <c r="Y18" s="52" t="s">
        <v>261</v>
      </c>
      <c r="Z18" s="144">
        <f>(Z5*Z7*Z6)/((Z12/24)*(1-EXP(-Z7*Z10))*Z11*Z13*Z9*Z10)</f>
        <v>1.3121919751065465</v>
      </c>
      <c r="AA18" s="52" t="s">
        <v>16</v>
      </c>
      <c r="AB18" s="83" t="s">
        <v>412</v>
      </c>
      <c r="AC18" s="136">
        <f>B10</f>
        <v>3.19428</v>
      </c>
      <c r="AD18" s="136">
        <f>B10</f>
        <v>3.19428</v>
      </c>
      <c r="AE18" s="136">
        <f>B10</f>
        <v>3.19428</v>
      </c>
      <c r="AF18" s="136">
        <f>B10</f>
        <v>3.19428</v>
      </c>
      <c r="AG18" s="136">
        <f>B10</f>
        <v>3.19428</v>
      </c>
      <c r="AH18" s="83" t="s">
        <v>351</v>
      </c>
      <c r="BS18" s="52" t="s">
        <v>261</v>
      </c>
      <c r="BT18" s="143">
        <f>(BT5)/(BT9*BT10)</f>
        <v>117.26416803273727</v>
      </c>
      <c r="BU18" s="52" t="s">
        <v>15</v>
      </c>
      <c r="BV18" s="83" t="s">
        <v>433</v>
      </c>
      <c r="BW18" s="150">
        <f>B112</f>
        <v>45</v>
      </c>
      <c r="BX18" s="83" t="s">
        <v>24</v>
      </c>
      <c r="BY18" s="83" t="s">
        <v>441</v>
      </c>
      <c r="BZ18" s="146">
        <f>B97</f>
        <v>200</v>
      </c>
      <c r="CA18" s="84" t="s">
        <v>48</v>
      </c>
      <c r="CB18" s="274" t="s">
        <v>572</v>
      </c>
      <c r="CC18" s="270"/>
      <c r="CD18" s="270"/>
      <c r="CE18" s="271" t="s">
        <v>573</v>
      </c>
      <c r="CF18" s="270"/>
      <c r="CG18" s="273"/>
      <c r="CJ18" s="83"/>
      <c r="CT18" s="83" t="s">
        <v>264</v>
      </c>
      <c r="CU18" s="153">
        <f>DD2</f>
        <v>0.21264693376189134</v>
      </c>
      <c r="CV18" s="92" t="s">
        <v>10</v>
      </c>
      <c r="CW18" s="83" t="s">
        <v>301</v>
      </c>
      <c r="CX18" s="142">
        <f>B180</f>
        <v>1</v>
      </c>
      <c r="CZ18" s="91" t="s">
        <v>272</v>
      </c>
      <c r="DA18" s="144">
        <f>EZ2</f>
        <v>7731.241407880806</v>
      </c>
      <c r="DB18" s="83" t="s">
        <v>10</v>
      </c>
      <c r="DC18" s="88"/>
      <c r="DD18" s="136">
        <v>1000</v>
      </c>
      <c r="DE18" s="92" t="s">
        <v>99</v>
      </c>
      <c r="DF18" s="92" t="s">
        <v>68</v>
      </c>
      <c r="DG18" s="142">
        <f>B199</f>
        <v>2</v>
      </c>
      <c r="DH18" s="83" t="s">
        <v>56</v>
      </c>
      <c r="DL18" s="92"/>
      <c r="DM18" s="83"/>
      <c r="DN18" s="83"/>
      <c r="DO18" s="92" t="s">
        <v>68</v>
      </c>
      <c r="DP18" s="142">
        <f>B199</f>
        <v>2</v>
      </c>
      <c r="DQ18" s="83" t="s">
        <v>56</v>
      </c>
      <c r="DR18" s="83" t="s">
        <v>476</v>
      </c>
      <c r="DS18" s="146">
        <f>B166</f>
        <v>0.85</v>
      </c>
      <c r="DU18" s="92"/>
      <c r="DV18" s="83"/>
      <c r="DW18" s="83"/>
      <c r="DX18" s="84" t="s">
        <v>16</v>
      </c>
      <c r="DY18" s="137">
        <f>(DY15*DY16)/(1-EXP(-DY16*DY15))</f>
        <v>1.0115299987062558</v>
      </c>
      <c r="EA18" s="92"/>
      <c r="EB18" s="83"/>
      <c r="EC18" s="83"/>
      <c r="ED18" s="92" t="s">
        <v>68</v>
      </c>
      <c r="EE18" s="142">
        <f>B199</f>
        <v>2</v>
      </c>
      <c r="EF18" s="83" t="s">
        <v>56</v>
      </c>
      <c r="EG18" s="83" t="s">
        <v>476</v>
      </c>
      <c r="EH18" s="146">
        <f>B166</f>
        <v>0.85</v>
      </c>
      <c r="EJ18" s="92"/>
      <c r="EK18" s="83"/>
      <c r="EL18" s="83"/>
      <c r="EP18" s="92"/>
      <c r="EQ18" s="83"/>
      <c r="ER18" s="83"/>
      <c r="ES18" s="92" t="s">
        <v>68</v>
      </c>
      <c r="ET18" s="142">
        <f>B199</f>
        <v>2</v>
      </c>
      <c r="EU18" s="83" t="s">
        <v>56</v>
      </c>
      <c r="EV18" s="83" t="s">
        <v>476</v>
      </c>
      <c r="EW18" s="141">
        <f>B166</f>
        <v>0.85</v>
      </c>
      <c r="EX18" s="92"/>
      <c r="EY18" s="83"/>
      <c r="EZ18" s="83"/>
      <c r="FA18" s="83"/>
      <c r="FB18" s="83"/>
      <c r="FC18" s="83"/>
      <c r="FD18" s="83"/>
      <c r="FE18" s="83"/>
      <c r="FF18" s="83"/>
      <c r="FG18" s="83"/>
      <c r="FH18" s="83" t="s">
        <v>68</v>
      </c>
      <c r="FI18" s="142">
        <f>B199</f>
        <v>2</v>
      </c>
      <c r="FJ18" s="83" t="s">
        <v>56</v>
      </c>
      <c r="FK18" s="83" t="s">
        <v>476</v>
      </c>
      <c r="FL18" s="141">
        <f>B166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B166</f>
        <v>0.85</v>
      </c>
      <c r="GB18" s="92"/>
      <c r="GC18" s="83"/>
      <c r="GD18" s="83"/>
      <c r="GE18" s="83"/>
      <c r="GF18" s="83"/>
      <c r="GG18" s="83"/>
      <c r="GH18" s="83"/>
      <c r="GI18" s="83"/>
      <c r="GJ18" s="83"/>
      <c r="GK18" s="83"/>
      <c r="GL18" s="83" t="s">
        <v>68</v>
      </c>
      <c r="GM18" s="142">
        <f>B199</f>
        <v>2</v>
      </c>
      <c r="GN18" s="83" t="s">
        <v>56</v>
      </c>
      <c r="GR18" s="83"/>
      <c r="GS18" s="83"/>
      <c r="GT18" s="83"/>
      <c r="GU18" s="83"/>
      <c r="GV18" s="83"/>
      <c r="GW18" s="83"/>
      <c r="GX18" s="83"/>
      <c r="GY18" s="83"/>
      <c r="GZ18" s="83"/>
      <c r="HA18" s="83" t="s">
        <v>68</v>
      </c>
      <c r="HB18" s="142">
        <f>B199</f>
        <v>2</v>
      </c>
      <c r="HC18" s="83" t="s">
        <v>56</v>
      </c>
    </row>
    <row r="19" spans="1:214" ht="19.5" thickTop="1" thickBot="1" x14ac:dyDescent="0.25">
      <c r="A19" s="91" t="s">
        <v>77</v>
      </c>
      <c r="B19" s="183">
        <f>PEF!D3</f>
        <v>1359344473.5814338</v>
      </c>
      <c r="C19" s="52" t="s">
        <v>524</v>
      </c>
      <c r="D19" s="52" t="s">
        <v>261</v>
      </c>
      <c r="E19" s="143">
        <f>(E5)/((E15/E16)*E11*E12)</f>
        <v>1.047001500292297</v>
      </c>
      <c r="F19" s="52" t="s">
        <v>15</v>
      </c>
      <c r="G19" s="83" t="s">
        <v>366</v>
      </c>
      <c r="H19" s="146">
        <f>B38</f>
        <v>10</v>
      </c>
      <c r="I19" s="52" t="s">
        <v>407</v>
      </c>
      <c r="J19" s="83" t="s">
        <v>445</v>
      </c>
      <c r="K19" s="155">
        <f>K21*K31*K51+K22*K32*K52</f>
        <v>43050</v>
      </c>
      <c r="L19" s="83" t="s">
        <v>346</v>
      </c>
      <c r="V19" s="52" t="s">
        <v>271</v>
      </c>
      <c r="W19" s="145">
        <f>(W5*W7*W6)/((W12/24)*(1-EXP(-W7*W6))*W14*W9*(1/365))</f>
        <v>1.0334591525039073E-3</v>
      </c>
      <c r="X19" s="52" t="s">
        <v>16</v>
      </c>
      <c r="Y19" s="52" t="s">
        <v>271</v>
      </c>
      <c r="Z19" s="145">
        <f>(Z5*Z7*Z6)/((Z12/24)*(1-EXP(-Z7*Z6))*Z14*Z9*(1/365))</f>
        <v>9.3011323725351663E-4</v>
      </c>
      <c r="AA19" s="52" t="s">
        <v>16</v>
      </c>
      <c r="AB19" s="83" t="s">
        <v>247</v>
      </c>
      <c r="AC19" s="139">
        <f>B6</f>
        <v>1.5417408700798101E-4</v>
      </c>
      <c r="AD19" s="139">
        <f>B6</f>
        <v>1.5417408700798101E-4</v>
      </c>
      <c r="AE19" s="139">
        <f>B6</f>
        <v>1.5417408700798101E-4</v>
      </c>
      <c r="AF19" s="139">
        <f>B6</f>
        <v>1.5417408700798101E-4</v>
      </c>
      <c r="AG19" s="139">
        <f>B6</f>
        <v>1.5417408700798101E-4</v>
      </c>
      <c r="AH19" s="84" t="s">
        <v>259</v>
      </c>
      <c r="BS19" s="52" t="s">
        <v>271</v>
      </c>
      <c r="BT19" s="144">
        <f>(BT5)/(BT16*BT8*(1/365)*BT15*(1/24)*BT17)</f>
        <v>2.4520300625603564E-2</v>
      </c>
      <c r="BU19" s="52" t="s">
        <v>15</v>
      </c>
      <c r="BV19" s="83" t="s">
        <v>434</v>
      </c>
      <c r="BW19" s="150">
        <f>B113</f>
        <v>45</v>
      </c>
      <c r="BX19" s="83" t="s">
        <v>24</v>
      </c>
      <c r="BY19" s="83" t="s">
        <v>442</v>
      </c>
      <c r="BZ19" s="146">
        <f>B98</f>
        <v>100</v>
      </c>
      <c r="CA19" s="84" t="s">
        <v>48</v>
      </c>
      <c r="CB19" s="267" t="s">
        <v>537</v>
      </c>
      <c r="CC19" s="261">
        <f>(CC22*CC23*CC24)/((1-EXP(-CC24*CC23))*CC27*CC31*(CC26/365)*CC29*(CC30/24)*CC28)</f>
        <v>14912.116351381417</v>
      </c>
      <c r="CD19" s="278" t="s">
        <v>10</v>
      </c>
      <c r="CE19" s="258" t="s">
        <v>537</v>
      </c>
      <c r="CF19" s="261">
        <f>(CF22*CF23*CF24)/((1-EXP(-CF24*CF23))*CF27*CF31*(CF26/365)*CF29*(CF30/24)*CF28)</f>
        <v>1786.3976043467308</v>
      </c>
      <c r="CG19" s="264" t="s">
        <v>10</v>
      </c>
      <c r="CH19" s="83"/>
      <c r="CI19" s="83"/>
      <c r="CK19" s="274" t="s">
        <v>576</v>
      </c>
      <c r="CL19" s="270"/>
      <c r="CM19" s="270"/>
      <c r="CN19" s="271" t="s">
        <v>576</v>
      </c>
      <c r="CO19" s="270"/>
      <c r="CP19" s="270"/>
      <c r="CQ19" s="271" t="s">
        <v>576</v>
      </c>
      <c r="CR19" s="270"/>
      <c r="CS19" s="273"/>
      <c r="CT19" s="91" t="s">
        <v>272</v>
      </c>
      <c r="CU19" s="144">
        <f>FC2</f>
        <v>40.207622680264393</v>
      </c>
      <c r="CV19" s="92" t="s">
        <v>10</v>
      </c>
      <c r="CW19" s="52" t="s">
        <v>261</v>
      </c>
      <c r="CX19" s="143">
        <f>(CX5)/((CX15/CX16)*CX11*CX12)</f>
        <v>1.0017257597391165</v>
      </c>
      <c r="CY19" s="52" t="s">
        <v>15</v>
      </c>
      <c r="CZ19" s="91" t="s">
        <v>273</v>
      </c>
      <c r="DA19" s="144">
        <f>GS2</f>
        <v>296.74573462532697</v>
      </c>
      <c r="DB19" s="83" t="s">
        <v>10</v>
      </c>
      <c r="DC19" s="92" t="s">
        <v>361</v>
      </c>
      <c r="DD19" s="146">
        <f>B186</f>
        <v>1</v>
      </c>
      <c r="DE19" s="93"/>
      <c r="DF19" s="92" t="s">
        <v>70</v>
      </c>
      <c r="DG19" s="138">
        <f>B200</f>
        <v>2.6999999999999999E-5</v>
      </c>
      <c r="DH19" s="52" t="s">
        <v>64</v>
      </c>
      <c r="DL19" s="92"/>
      <c r="DO19" s="92" t="s">
        <v>70</v>
      </c>
      <c r="DP19" s="138">
        <f>B200</f>
        <v>2.6999999999999999E-5</v>
      </c>
      <c r="DQ19" s="52" t="s">
        <v>64</v>
      </c>
      <c r="DU19" s="92"/>
      <c r="EA19" s="92"/>
      <c r="EB19" s="84"/>
      <c r="EC19" s="84"/>
      <c r="ED19" s="92" t="s">
        <v>70</v>
      </c>
      <c r="EE19" s="163">
        <f>B200</f>
        <v>2.6999999999999999E-5</v>
      </c>
      <c r="EF19" s="84" t="s">
        <v>64</v>
      </c>
      <c r="EJ19" s="92"/>
      <c r="EP19" s="92"/>
      <c r="EQ19" s="84"/>
      <c r="ER19" s="84"/>
      <c r="ES19" s="92" t="s">
        <v>70</v>
      </c>
      <c r="ET19" s="163">
        <f>B200</f>
        <v>2.6999999999999999E-5</v>
      </c>
      <c r="EU19" s="84" t="s">
        <v>64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B200</f>
        <v>2.6999999999999999E-5</v>
      </c>
      <c r="FJ19" s="84" t="s">
        <v>64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B200</f>
        <v>2.6999999999999999E-5</v>
      </c>
      <c r="GN19" s="84" t="s">
        <v>64</v>
      </c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B200</f>
        <v>2.6999999999999999E-5</v>
      </c>
      <c r="HC19" s="84" t="s">
        <v>64</v>
      </c>
    </row>
    <row r="20" spans="1:214" ht="19.5" thickTop="1" thickBot="1" x14ac:dyDescent="0.25">
      <c r="A20" s="91" t="s">
        <v>103</v>
      </c>
      <c r="B20" s="183">
        <f>PEF!G3</f>
        <v>776129.4078035407</v>
      </c>
      <c r="C20" s="52" t="s">
        <v>524</v>
      </c>
      <c r="D20" s="52" t="s">
        <v>271</v>
      </c>
      <c r="E20" s="144">
        <f>(E5)/((E15/E16)*E8*E17*(1/365)*E18)</f>
        <v>2.189312555857461E-4</v>
      </c>
      <c r="F20" s="52" t="s">
        <v>15</v>
      </c>
      <c r="G20" s="83" t="s">
        <v>367</v>
      </c>
      <c r="H20" s="146">
        <f>B39</f>
        <v>20</v>
      </c>
      <c r="I20" s="52" t="s">
        <v>407</v>
      </c>
      <c r="J20" s="83" t="s">
        <v>396</v>
      </c>
      <c r="K20" s="155">
        <f>(K31*K23*(K34/24)*K51)+(K32*K24*(K35/24)*K52)</f>
        <v>6195</v>
      </c>
      <c r="L20" s="52" t="s">
        <v>407</v>
      </c>
      <c r="M20" s="325" t="s">
        <v>566</v>
      </c>
      <c r="N20" s="326"/>
      <c r="O20" s="326"/>
      <c r="P20" s="327" t="s">
        <v>536</v>
      </c>
      <c r="Q20" s="326"/>
      <c r="R20" s="329"/>
      <c r="AB20" s="83" t="s">
        <v>83</v>
      </c>
      <c r="AC20" s="139">
        <f>B238</f>
        <v>8</v>
      </c>
      <c r="AD20" s="139">
        <f>B250</f>
        <v>0</v>
      </c>
      <c r="AE20" s="139">
        <f>B262</f>
        <v>8</v>
      </c>
      <c r="AF20" s="139">
        <f>B274</f>
        <v>8</v>
      </c>
      <c r="AG20" s="139">
        <f>B297</f>
        <v>8</v>
      </c>
      <c r="AH20" s="84" t="s">
        <v>194</v>
      </c>
      <c r="AI20" s="296" t="s">
        <v>558</v>
      </c>
      <c r="AJ20" s="294"/>
      <c r="AK20" s="297"/>
      <c r="AL20" s="293" t="s">
        <v>545</v>
      </c>
      <c r="AM20" s="294"/>
      <c r="AN20" s="295"/>
      <c r="AR20" s="296" t="s">
        <v>560</v>
      </c>
      <c r="AS20" s="294"/>
      <c r="AT20" s="297"/>
      <c r="AU20" s="293" t="s">
        <v>550</v>
      </c>
      <c r="AV20" s="294"/>
      <c r="AW20" s="295"/>
      <c r="BA20" s="296" t="s">
        <v>562</v>
      </c>
      <c r="BB20" s="294"/>
      <c r="BC20" s="297"/>
      <c r="BD20" s="293" t="s">
        <v>553</v>
      </c>
      <c r="BE20" s="294"/>
      <c r="BF20" s="295"/>
      <c r="BJ20" s="296" t="s">
        <v>563</v>
      </c>
      <c r="BK20" s="294"/>
      <c r="BL20" s="297"/>
      <c r="BM20" s="293" t="s">
        <v>556</v>
      </c>
      <c r="BN20" s="294"/>
      <c r="BO20" s="295"/>
      <c r="BS20" s="52" t="s">
        <v>261</v>
      </c>
      <c r="BT20" s="144">
        <f>(BT5*BT24*BT6)/((1-EXP(-BT6*BT24))*BT9*BT10)</f>
        <v>118.6162237384449</v>
      </c>
      <c r="BU20" s="52" t="s">
        <v>16</v>
      </c>
      <c r="BV20" s="52" t="s">
        <v>443</v>
      </c>
      <c r="BW20" s="138">
        <f>B109</f>
        <v>1</v>
      </c>
      <c r="BX20" s="52" t="s">
        <v>89</v>
      </c>
      <c r="BY20" s="83" t="s">
        <v>429</v>
      </c>
      <c r="BZ20" s="141">
        <f>B93</f>
        <v>10</v>
      </c>
      <c r="CA20" s="92" t="s">
        <v>407</v>
      </c>
      <c r="CB20" s="268"/>
      <c r="CC20" s="262"/>
      <c r="CD20" s="279"/>
      <c r="CE20" s="259"/>
      <c r="CF20" s="262"/>
      <c r="CG20" s="265"/>
      <c r="CK20" s="267" t="s">
        <v>530</v>
      </c>
      <c r="CL20" s="261">
        <f>CL23/(CL24*CL25*CL26)</f>
        <v>271.50264326539508</v>
      </c>
      <c r="CM20" s="255" t="s">
        <v>10</v>
      </c>
      <c r="CN20" s="258" t="s">
        <v>7</v>
      </c>
      <c r="CO20" s="261">
        <f>(CL20/(CO23*((CO28*CO30*CO31*(CO24+CO25))+(CO29*CO30))))*CO34</f>
        <v>9760.2199300231059</v>
      </c>
      <c r="CP20" s="255" t="s">
        <v>10</v>
      </c>
      <c r="CQ20" s="258" t="s">
        <v>6</v>
      </c>
      <c r="CR20" s="261">
        <f>CL20/(CR23*CR24*(1/CR25))</f>
        <v>12341029.23933614</v>
      </c>
      <c r="CS20" s="264" t="s">
        <v>10</v>
      </c>
      <c r="CT20" s="91" t="s">
        <v>273</v>
      </c>
      <c r="CU20" s="144">
        <f>GV2</f>
        <v>2.0352740279561892</v>
      </c>
      <c r="CV20" s="92" t="s">
        <v>10</v>
      </c>
      <c r="CW20" s="52" t="s">
        <v>271</v>
      </c>
      <c r="CX20" s="144">
        <f>(CX5)/((CX15/CX16)*CX8*CX17*(1/365)*CX18)</f>
        <v>2.189312555857461E-4</v>
      </c>
      <c r="CY20" s="52" t="s">
        <v>15</v>
      </c>
      <c r="CZ20" s="91" t="s">
        <v>274</v>
      </c>
      <c r="DA20" s="144">
        <f>EK2</f>
        <v>317.17474260836241</v>
      </c>
      <c r="DB20" s="83" t="s">
        <v>10</v>
      </c>
      <c r="DC20" s="83" t="s">
        <v>475</v>
      </c>
      <c r="DD20" s="146">
        <f>B165</f>
        <v>0.15</v>
      </c>
      <c r="DF20" s="92" t="s">
        <v>71</v>
      </c>
      <c r="DG20" s="137">
        <f>0.693/DG23</f>
        <v>6.2937111521700834E-5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91" t="s">
        <v>104</v>
      </c>
      <c r="B21" s="183">
        <f>PEF!J3</f>
        <v>69557565.807898715</v>
      </c>
      <c r="C21" s="52" t="s">
        <v>524</v>
      </c>
      <c r="D21" s="52" t="s">
        <v>261</v>
      </c>
      <c r="E21" s="144">
        <f>(E5*E10*E6)/((1-EXP(-E6*E10))*E11*E12)</f>
        <v>1.059073426236115</v>
      </c>
      <c r="F21" s="52" t="s">
        <v>16</v>
      </c>
      <c r="G21" s="83" t="s">
        <v>397</v>
      </c>
      <c r="H21" s="148">
        <f>(H29*H36*H32*H68)+(H30*H37*H33*H69)</f>
        <v>234.815</v>
      </c>
      <c r="I21" s="83" t="s">
        <v>356</v>
      </c>
      <c r="J21" s="83" t="s">
        <v>368</v>
      </c>
      <c r="K21" s="146">
        <f>B40</f>
        <v>200</v>
      </c>
      <c r="L21" s="84" t="s">
        <v>48</v>
      </c>
      <c r="M21" s="330" t="s">
        <v>537</v>
      </c>
      <c r="N21" s="333">
        <f>(N24*N25*N26)/((1-EXP(-N26*N25))*N34*N32*(N28/365)*(((N33/24)*N31)+((N35/24)*N30)))</f>
        <v>4.7509445227463489</v>
      </c>
      <c r="O21" s="336" t="s">
        <v>76</v>
      </c>
      <c r="P21" s="339" t="s">
        <v>537</v>
      </c>
      <c r="Q21" s="333">
        <f>(Q24*Q25*Q26)/((1-EXP(-Q26*Q25))*Q34*Q32*(Q28/365)*(((Q33/24)*Q31)+((Q35/24)*Q30)))</f>
        <v>1.6745006352489287</v>
      </c>
      <c r="R21" s="342" t="s">
        <v>10</v>
      </c>
      <c r="AB21" s="83" t="s">
        <v>85</v>
      </c>
      <c r="AC21" s="139">
        <f>B239</f>
        <v>8</v>
      </c>
      <c r="AD21" s="139">
        <f>B251</f>
        <v>8</v>
      </c>
      <c r="AE21" s="139">
        <f>B263</f>
        <v>0</v>
      </c>
      <c r="AF21" s="139">
        <f>B275</f>
        <v>8</v>
      </c>
      <c r="AG21" s="139">
        <f>B298</f>
        <v>8</v>
      </c>
      <c r="AH21" s="84" t="s">
        <v>194</v>
      </c>
      <c r="AI21" s="306" t="s">
        <v>537</v>
      </c>
      <c r="AJ21" s="303">
        <f>(AJ24*AJ25*AJ26)/((1-EXP(-AJ26*AJ25))*AJ34*(AJ28/365)*AJ29*(AJ35/24)*AJ30*AJ32)</f>
        <v>17.29011240163079</v>
      </c>
      <c r="AK21" s="290" t="s">
        <v>76</v>
      </c>
      <c r="AL21" s="287" t="s">
        <v>537</v>
      </c>
      <c r="AM21" s="303">
        <f>(AM24*AM25*AM26)/((1-EXP(-AM26*AM25))*AM34*(AM28/365)*AM29*(AM35/24)*AM30*AM32)</f>
        <v>6.0940101618614273</v>
      </c>
      <c r="AN21" s="281" t="s">
        <v>10</v>
      </c>
      <c r="AR21" s="306" t="s">
        <v>537</v>
      </c>
      <c r="AS21" s="303">
        <f>(AS24*AS25*AS26)/((1-EXP(-AS26*AS25))*AS34*(AS28/365)*AS29*(AS33/24)*AS31*AS32)</f>
        <v>7.6844944007247946</v>
      </c>
      <c r="AT21" s="290" t="s">
        <v>76</v>
      </c>
      <c r="AU21" s="287" t="s">
        <v>537</v>
      </c>
      <c r="AV21" s="303">
        <f>(AV24*AV25*AV26)/((1-EXP(-AV26*AV25))*AV34*(AV28/365)*AV29*(AV33/24)*AV31*AV32)</f>
        <v>2.708448960827301</v>
      </c>
      <c r="AW21" s="281" t="s">
        <v>10</v>
      </c>
      <c r="BA21" s="306" t="s">
        <v>537</v>
      </c>
      <c r="BB21" s="303">
        <f>(BB24*BB25*BB26)/((1-EXP(-BB26*BB25))*BB34*(BB28/365)*(BB33/24)*BB31*BB32)</f>
        <v>6.9160449606523162</v>
      </c>
      <c r="BC21" s="290" t="s">
        <v>76</v>
      </c>
      <c r="BD21" s="287" t="s">
        <v>537</v>
      </c>
      <c r="BE21" s="303">
        <f>(BE24*BE25*BE26)/((1-EXP(-BE26*BE25))*BE34*(BE28/365)*(BE33/24)*BE31*BE32)</f>
        <v>2.4376040647445709</v>
      </c>
      <c r="BF21" s="281" t="s">
        <v>10</v>
      </c>
      <c r="BJ21" s="306" t="s">
        <v>537</v>
      </c>
      <c r="BK21" s="284">
        <f>(BK24*BK25*BK26)/((1-EXP(-BK26*BK25))*BK35*(BK28/365)*(BK34/24)*BK32*BK33)</f>
        <v>559.20436317680321</v>
      </c>
      <c r="BL21" s="290" t="s">
        <v>76</v>
      </c>
      <c r="BM21" s="287" t="s">
        <v>537</v>
      </c>
      <c r="BN21" s="284">
        <f>(BN24*BN25*BN26)/((1-EXP(-BN26*BN25))*BN35*(BN28/365)*(BN34/24)*BN32*BN33)</f>
        <v>66.989910163002406</v>
      </c>
      <c r="BO21" s="281" t="s">
        <v>10</v>
      </c>
      <c r="BS21" s="52" t="s">
        <v>271</v>
      </c>
      <c r="BT21" s="145">
        <f>(BT5*BT24*BT6)/((1-EXP(-BT6*BT24))*BT16*BT8*(1/365)*BT15*(1/24)*BT17)</f>
        <v>2.4803019660093774E-2</v>
      </c>
      <c r="BU21" s="52" t="s">
        <v>16</v>
      </c>
      <c r="BV21" s="52" t="s">
        <v>444</v>
      </c>
      <c r="BW21" s="138">
        <f>B110</f>
        <v>1</v>
      </c>
      <c r="BX21" s="52" t="s">
        <v>89</v>
      </c>
      <c r="BY21" s="83" t="s">
        <v>430</v>
      </c>
      <c r="BZ21" s="141">
        <f>B94</f>
        <v>20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56"/>
      <c r="CN21" s="259"/>
      <c r="CO21" s="262"/>
      <c r="CP21" s="256"/>
      <c r="CQ21" s="259"/>
      <c r="CR21" s="262"/>
      <c r="CS21" s="265"/>
      <c r="CT21" s="91" t="s">
        <v>274</v>
      </c>
      <c r="CU21" s="144">
        <f>EN2</f>
        <v>4.4938815036498925</v>
      </c>
      <c r="CV21" s="92" t="s">
        <v>10</v>
      </c>
      <c r="CW21" s="52" t="s">
        <v>261</v>
      </c>
      <c r="CX21" s="144">
        <f>(CX5*CX10*CX6)/((CX15/CX16)*(1-EXP(-CX6*CX9))*CX11*CX12)</f>
        <v>1.0132756564529317</v>
      </c>
      <c r="CY21" s="52" t="s">
        <v>16</v>
      </c>
      <c r="CZ21" s="91" t="s">
        <v>509</v>
      </c>
      <c r="DA21" s="144">
        <f>DV2</f>
        <v>328.39399161548204</v>
      </c>
      <c r="DB21" s="83" t="s">
        <v>10</v>
      </c>
      <c r="DC21" s="83" t="s">
        <v>476</v>
      </c>
      <c r="DD21" s="146">
        <f>B166</f>
        <v>0.85</v>
      </c>
      <c r="DF21" s="92" t="s">
        <v>73</v>
      </c>
      <c r="DG21" s="138">
        <f>B201</f>
        <v>1</v>
      </c>
      <c r="DH21" s="52" t="s">
        <v>41</v>
      </c>
      <c r="DL21" s="92"/>
      <c r="DO21" s="92" t="s">
        <v>73</v>
      </c>
      <c r="DP21" s="138">
        <f>B201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B201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B201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B201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B201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B201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91" t="s">
        <v>231</v>
      </c>
      <c r="B22" s="183">
        <f>B18*365</f>
        <v>11010.9915</v>
      </c>
      <c r="C22" s="52" t="s">
        <v>222</v>
      </c>
      <c r="D22" s="52" t="s">
        <v>271</v>
      </c>
      <c r="E22" s="145">
        <f>(E5*E10*E6)/((E15/E16)*E8*(1-EXP(-E6*E10))*E17*(1/365)*E18)</f>
        <v>2.2145553267940873E-4</v>
      </c>
      <c r="F22" s="52" t="s">
        <v>16</v>
      </c>
      <c r="G22" s="83" t="s">
        <v>398</v>
      </c>
      <c r="H22" s="149">
        <f>(H29*H23*H68)+(H30*H24*H69)</f>
        <v>56282.8</v>
      </c>
      <c r="I22" s="92" t="s">
        <v>347</v>
      </c>
      <c r="J22" s="83" t="s">
        <v>369</v>
      </c>
      <c r="K22" s="146">
        <f>B41</f>
        <v>100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B240</f>
        <v>0.4</v>
      </c>
      <c r="AD22" s="150">
        <f>B252</f>
        <v>0.4</v>
      </c>
      <c r="AE22" s="150">
        <f>B264</f>
        <v>0.4</v>
      </c>
      <c r="AF22" s="150">
        <f>B276</f>
        <v>0.4</v>
      </c>
      <c r="AG22" s="150">
        <f>B299</f>
        <v>0.4</v>
      </c>
      <c r="AI22" s="307"/>
      <c r="AJ22" s="304"/>
      <c r="AK22" s="291"/>
      <c r="AL22" s="288"/>
      <c r="AM22" s="304"/>
      <c r="AN22" s="282"/>
      <c r="AR22" s="307"/>
      <c r="AS22" s="304"/>
      <c r="AT22" s="291"/>
      <c r="AU22" s="288"/>
      <c r="AV22" s="304"/>
      <c r="AW22" s="282"/>
      <c r="BA22" s="307"/>
      <c r="BB22" s="304"/>
      <c r="BC22" s="291"/>
      <c r="BD22" s="288"/>
      <c r="BE22" s="304"/>
      <c r="BF22" s="282"/>
      <c r="BJ22" s="307"/>
      <c r="BK22" s="285"/>
      <c r="BL22" s="291"/>
      <c r="BM22" s="288"/>
      <c r="BN22" s="285"/>
      <c r="BO22" s="282"/>
      <c r="BS22" s="52" t="s">
        <v>433</v>
      </c>
      <c r="BT22" s="138">
        <f>B104</f>
        <v>75</v>
      </c>
      <c r="BU22" s="52" t="s">
        <v>24</v>
      </c>
      <c r="BV22" s="83" t="s">
        <v>90</v>
      </c>
      <c r="BW22" s="150">
        <f>B108</f>
        <v>1</v>
      </c>
      <c r="BX22" s="52" t="s">
        <v>194</v>
      </c>
      <c r="BY22" s="83" t="s">
        <v>140</v>
      </c>
      <c r="BZ22" s="150">
        <f>B103</f>
        <v>75</v>
      </c>
      <c r="CA22" s="83" t="s">
        <v>24</v>
      </c>
      <c r="CB22" s="52" t="s">
        <v>267</v>
      </c>
      <c r="CC22" s="136">
        <f>B5</f>
        <v>1</v>
      </c>
      <c r="CD22" s="52" t="s">
        <v>344</v>
      </c>
      <c r="CE22" s="52" t="s">
        <v>267</v>
      </c>
      <c r="CF22" s="136">
        <f>B5</f>
        <v>1</v>
      </c>
      <c r="CG22" s="52" t="s">
        <v>344</v>
      </c>
      <c r="CK22" s="269"/>
      <c r="CL22" s="263"/>
      <c r="CM22" s="257"/>
      <c r="CN22" s="260"/>
      <c r="CO22" s="263"/>
      <c r="CP22" s="257"/>
      <c r="CQ22" s="260"/>
      <c r="CR22" s="263"/>
      <c r="CS22" s="266"/>
      <c r="CT22" s="91" t="s">
        <v>275</v>
      </c>
      <c r="CU22" s="144">
        <f>DY2</f>
        <v>5.0399251942021319</v>
      </c>
      <c r="CV22" s="92" t="s">
        <v>10</v>
      </c>
      <c r="CW22" s="52" t="s">
        <v>271</v>
      </c>
      <c r="CX22" s="145">
        <f>(CX5*CX10*CX6)/((CX15/CX16)*CX8*(1-EXP(-CX6*CX10))*CX17*(1/365)*CX18)</f>
        <v>2.2145553267940873E-4</v>
      </c>
      <c r="CY22" s="52" t="s">
        <v>16</v>
      </c>
      <c r="CZ22" s="91" t="s">
        <v>510</v>
      </c>
      <c r="DA22" s="144">
        <f>GD2</f>
        <v>572.16752072721488</v>
      </c>
      <c r="DB22" s="83" t="s">
        <v>10</v>
      </c>
      <c r="DF22" s="92" t="s">
        <v>74</v>
      </c>
      <c r="DG22" s="138">
        <f>B202</f>
        <v>14</v>
      </c>
      <c r="DH22" s="52" t="s">
        <v>75</v>
      </c>
      <c r="DL22" s="92"/>
      <c r="DO22" s="92" t="s">
        <v>74</v>
      </c>
      <c r="DP22" s="138">
        <f>B202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B202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B202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B202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B202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B202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105</v>
      </c>
      <c r="B23" s="182">
        <v>2500</v>
      </c>
      <c r="C23" s="84" t="s">
        <v>18</v>
      </c>
      <c r="D23" s="52" t="s">
        <v>380</v>
      </c>
      <c r="E23" s="138">
        <f>B54</f>
        <v>350</v>
      </c>
      <c r="F23" s="52" t="s">
        <v>24</v>
      </c>
      <c r="G23" s="83" t="s">
        <v>399</v>
      </c>
      <c r="H23" s="146">
        <f>B149</f>
        <v>68.099999999999994</v>
      </c>
      <c r="I23" s="92" t="s">
        <v>221</v>
      </c>
      <c r="J23" s="83" t="s">
        <v>366</v>
      </c>
      <c r="K23" s="141">
        <f>B38</f>
        <v>10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308"/>
      <c r="AS23" s="305"/>
      <c r="AT23" s="292"/>
      <c r="AU23" s="289"/>
      <c r="AV23" s="305"/>
      <c r="AW23" s="283"/>
      <c r="BA23" s="308"/>
      <c r="BB23" s="305"/>
      <c r="BC23" s="292"/>
      <c r="BD23" s="289"/>
      <c r="BE23" s="305"/>
      <c r="BF23" s="283"/>
      <c r="BJ23" s="308"/>
      <c r="BK23" s="286"/>
      <c r="BL23" s="292"/>
      <c r="BM23" s="289"/>
      <c r="BN23" s="286"/>
      <c r="BO23" s="283"/>
      <c r="BS23" s="52" t="s">
        <v>434</v>
      </c>
      <c r="BT23" s="138">
        <f>B105</f>
        <v>75</v>
      </c>
      <c r="BU23" s="52" t="s">
        <v>24</v>
      </c>
      <c r="BV23" s="83" t="s">
        <v>435</v>
      </c>
      <c r="BW23" s="138">
        <f>B114</f>
        <v>1</v>
      </c>
      <c r="BX23" s="52" t="s">
        <v>80</v>
      </c>
      <c r="BY23" s="83" t="s">
        <v>434</v>
      </c>
      <c r="BZ23" s="150">
        <f>B105</f>
        <v>75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B5</f>
        <v>1</v>
      </c>
      <c r="CM23" s="52" t="s">
        <v>344</v>
      </c>
      <c r="CN23" s="52" t="s">
        <v>229</v>
      </c>
      <c r="CO23" s="136">
        <f>B29</f>
        <v>2.1999999999999999E-2</v>
      </c>
      <c r="CP23" s="52" t="s">
        <v>268</v>
      </c>
      <c r="CQ23" s="83" t="s">
        <v>229</v>
      </c>
      <c r="CR23" s="136">
        <f>CO23</f>
        <v>2.1999999999999999E-2</v>
      </c>
      <c r="CS23" s="52" t="s">
        <v>268</v>
      </c>
      <c r="CT23" s="91" t="s">
        <v>276</v>
      </c>
      <c r="CU23" s="144">
        <f>GG2</f>
        <v>2.9756535295679241</v>
      </c>
      <c r="CV23" s="92" t="s">
        <v>10</v>
      </c>
      <c r="CW23" s="52" t="s">
        <v>456</v>
      </c>
      <c r="CX23" s="138">
        <f>B167</f>
        <v>350</v>
      </c>
      <c r="CY23" s="52" t="s">
        <v>24</v>
      </c>
      <c r="CZ23" s="91" t="s">
        <v>277</v>
      </c>
      <c r="DA23" s="145">
        <f>FO2</f>
        <v>0.16985369781062595</v>
      </c>
      <c r="DB23" s="83" t="s">
        <v>10</v>
      </c>
      <c r="DF23" s="83" t="s">
        <v>267</v>
      </c>
      <c r="DG23" s="136">
        <f>B22</f>
        <v>11010.9915</v>
      </c>
      <c r="DH23" s="52" t="s">
        <v>222</v>
      </c>
      <c r="DO23" s="83" t="s">
        <v>19</v>
      </c>
      <c r="DP23" s="161">
        <f>DP25</f>
        <v>2.5229999999999999E-2</v>
      </c>
      <c r="EA23" s="83"/>
      <c r="EB23" s="83"/>
      <c r="EC23" s="84"/>
      <c r="ED23" s="83" t="s">
        <v>19</v>
      </c>
      <c r="EE23" s="161">
        <f>EE25</f>
        <v>2.9000000000000001E-2</v>
      </c>
      <c r="EF23" s="84"/>
      <c r="EP23" s="83"/>
      <c r="EQ23" s="83"/>
      <c r="ER23" s="84"/>
      <c r="ES23" s="83" t="s">
        <v>19</v>
      </c>
      <c r="ET23" s="161">
        <f>ET25</f>
        <v>2.9000000000000001E-2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2.9000000000000001E-2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2.9000000000000001E-2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2.9000000000000001E-2</v>
      </c>
      <c r="HC23" s="84"/>
      <c r="HD23" s="67" t="s">
        <v>14</v>
      </c>
      <c r="HE23" s="126">
        <f>((HE25*HE42)*HE38*HE33*10^-3*HE32*HE27)/(HE31*HE41*(1-EXP(-HE27*HE32)))</f>
        <v>1.0742048847164518</v>
      </c>
      <c r="HF23" s="220" t="s">
        <v>592</v>
      </c>
    </row>
    <row r="24" spans="1:214" ht="14.25" thickTop="1" thickBot="1" x14ac:dyDescent="0.25">
      <c r="A24" s="83" t="s">
        <v>239</v>
      </c>
      <c r="B24" s="183">
        <v>4.5999999999999999E-3</v>
      </c>
      <c r="C24" s="52" t="s">
        <v>601</v>
      </c>
      <c r="D24" s="52" t="s">
        <v>381</v>
      </c>
      <c r="E24" s="138">
        <f>B55</f>
        <v>350</v>
      </c>
      <c r="F24" s="52" t="s">
        <v>24</v>
      </c>
      <c r="G24" s="83" t="s">
        <v>310</v>
      </c>
      <c r="H24" s="146">
        <f>B46</f>
        <v>188.5</v>
      </c>
      <c r="I24" s="92" t="s">
        <v>221</v>
      </c>
      <c r="J24" s="83" t="s">
        <v>367</v>
      </c>
      <c r="K24" s="141">
        <f>B39</f>
        <v>20</v>
      </c>
      <c r="L24" s="52" t="s">
        <v>407</v>
      </c>
      <c r="M24" s="52" t="s">
        <v>267</v>
      </c>
      <c r="N24" s="136">
        <f>B5</f>
        <v>1</v>
      </c>
      <c r="O24" s="52" t="s">
        <v>344</v>
      </c>
      <c r="P24" s="52" t="s">
        <v>267</v>
      </c>
      <c r="Q24" s="136">
        <f>B5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2.2972045705420805E-2</v>
      </c>
      <c r="AD24" s="137">
        <f>0.693/AD25</f>
        <v>2.2972045705420805E-2</v>
      </c>
      <c r="AE24" s="137">
        <f>0.693/AE25</f>
        <v>2.2972045705420805E-2</v>
      </c>
      <c r="AF24" s="137">
        <f>0.693/AF25</f>
        <v>2.2972045705420805E-2</v>
      </c>
      <c r="AG24" s="137">
        <f>0.693/AG25</f>
        <v>2.2972045705420805E-2</v>
      </c>
      <c r="AI24" s="52" t="s">
        <v>267</v>
      </c>
      <c r="AJ24" s="136">
        <f>B5</f>
        <v>1</v>
      </c>
      <c r="AK24" s="52" t="s">
        <v>344</v>
      </c>
      <c r="AL24" s="52" t="s">
        <v>267</v>
      </c>
      <c r="AM24" s="136">
        <f>B5</f>
        <v>1</v>
      </c>
      <c r="AN24" s="52" t="s">
        <v>344</v>
      </c>
      <c r="AR24" s="52" t="s">
        <v>267</v>
      </c>
      <c r="AS24" s="136">
        <f>B5</f>
        <v>1</v>
      </c>
      <c r="AT24" s="52" t="s">
        <v>344</v>
      </c>
      <c r="AU24" s="52" t="s">
        <v>267</v>
      </c>
      <c r="AV24" s="136">
        <f>B5</f>
        <v>1</v>
      </c>
      <c r="AW24" s="52" t="s">
        <v>344</v>
      </c>
      <c r="BA24" s="52" t="s">
        <v>267</v>
      </c>
      <c r="BB24" s="136">
        <f>B5</f>
        <v>1</v>
      </c>
      <c r="BC24" s="52" t="s">
        <v>344</v>
      </c>
      <c r="BD24" s="52" t="s">
        <v>267</v>
      </c>
      <c r="BE24" s="136">
        <f>B5</f>
        <v>1</v>
      </c>
      <c r="BF24" s="52" t="s">
        <v>344</v>
      </c>
      <c r="BJ24" s="52" t="s">
        <v>267</v>
      </c>
      <c r="BK24" s="136">
        <f>B5</f>
        <v>1</v>
      </c>
      <c r="BL24" s="52" t="s">
        <v>344</v>
      </c>
      <c r="BM24" s="52" t="s">
        <v>267</v>
      </c>
      <c r="BN24" s="136">
        <f>B5</f>
        <v>1</v>
      </c>
      <c r="BO24" s="52" t="s">
        <v>344</v>
      </c>
      <c r="BS24" s="91" t="s">
        <v>95</v>
      </c>
      <c r="BT24" s="158">
        <f>B117</f>
        <v>1</v>
      </c>
      <c r="BU24" s="91" t="s">
        <v>60</v>
      </c>
      <c r="BV24" s="83" t="s">
        <v>436</v>
      </c>
      <c r="BW24" s="138">
        <f>B115</f>
        <v>1</v>
      </c>
      <c r="BX24" s="52" t="s">
        <v>80</v>
      </c>
      <c r="BY24" s="83" t="s">
        <v>433</v>
      </c>
      <c r="BZ24" s="150">
        <f>B104</f>
        <v>75</v>
      </c>
      <c r="CA24" s="83" t="s">
        <v>24</v>
      </c>
      <c r="CB24" s="83" t="s">
        <v>22</v>
      </c>
      <c r="CC24" s="137">
        <f>0.693/CC25</f>
        <v>2.2972045705420805E-2</v>
      </c>
      <c r="CE24" s="83" t="s">
        <v>22</v>
      </c>
      <c r="CF24" s="137">
        <f>0.693/CF25</f>
        <v>2.2972045705420805E-2</v>
      </c>
      <c r="CK24" s="52" t="s">
        <v>258</v>
      </c>
      <c r="CL24" s="136">
        <f>B17</f>
        <v>4.9109405245458101E-5</v>
      </c>
      <c r="CM24" s="91" t="s">
        <v>10</v>
      </c>
      <c r="CN24" s="52" t="s">
        <v>20</v>
      </c>
      <c r="CO24" s="139">
        <f>CO26</f>
        <v>2.9000000000000001E-2</v>
      </c>
      <c r="CQ24" s="84" t="s">
        <v>170</v>
      </c>
      <c r="CR24" s="162">
        <f>B139</f>
        <v>1</v>
      </c>
      <c r="CS24" s="52" t="s">
        <v>28</v>
      </c>
      <c r="CT24" s="91" t="s">
        <v>277</v>
      </c>
      <c r="CU24" s="145">
        <f>FR2</f>
        <v>1.7181211072663522E-3</v>
      </c>
      <c r="CV24" s="92" t="s">
        <v>10</v>
      </c>
      <c r="CW24" s="52" t="s">
        <v>465</v>
      </c>
      <c r="CX24" s="138">
        <f>B168</f>
        <v>350</v>
      </c>
      <c r="CY24" s="52" t="s">
        <v>24</v>
      </c>
      <c r="CZ24" s="83" t="s">
        <v>45</v>
      </c>
      <c r="DA24" s="149">
        <f>(DA35*DA27*DA49)+(DA36*DA28*DA50)</f>
        <v>784.7</v>
      </c>
      <c r="DB24" s="52" t="s">
        <v>345</v>
      </c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128">
        <f>((HE26*HE42)*HE38*HE33*10^-3*HE32*HE27)/(HE31*HE41*(1-EXP(-HE27*HE32)))</f>
        <v>1.6527886636609885E-2</v>
      </c>
      <c r="HF24" s="221" t="s">
        <v>593</v>
      </c>
    </row>
    <row r="25" spans="1:214" ht="15" thickTop="1" x14ac:dyDescent="0.2">
      <c r="A25" s="83" t="s">
        <v>236</v>
      </c>
      <c r="B25" s="183">
        <v>2.1999999999999999E-2</v>
      </c>
      <c r="C25" s="52" t="s">
        <v>388</v>
      </c>
      <c r="D25" s="83" t="s">
        <v>376</v>
      </c>
      <c r="E25" s="146">
        <f>B49</f>
        <v>0.23</v>
      </c>
      <c r="G25" s="83" t="s">
        <v>400</v>
      </c>
      <c r="H25" s="149">
        <f>(H29*H26*H68)+(H30*H27*H69)</f>
        <v>38095.4</v>
      </c>
      <c r="I25" s="92" t="s">
        <v>347</v>
      </c>
      <c r="J25" s="83" t="s">
        <v>446</v>
      </c>
      <c r="K25" s="149">
        <f>(K31*K26*K51)+(K32*K27*K52)</f>
        <v>56282.8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9.2945441760392466E-4</v>
      </c>
      <c r="X25" s="62" t="s">
        <v>9</v>
      </c>
      <c r="Y25" s="202" t="s">
        <v>16</v>
      </c>
      <c r="Z25" s="187">
        <f>1/((1/Z41)+(1/Z40))</f>
        <v>9.2945441760392466E-4</v>
      </c>
      <c r="AA25" s="63" t="s">
        <v>9</v>
      </c>
      <c r="AB25" s="91" t="s">
        <v>231</v>
      </c>
      <c r="AC25" s="136">
        <f>B18</f>
        <v>30.167100000000001</v>
      </c>
      <c r="AD25" s="136">
        <f>B18</f>
        <v>30.167100000000001</v>
      </c>
      <c r="AE25" s="136">
        <f>B18</f>
        <v>30.167100000000001</v>
      </c>
      <c r="AF25" s="136">
        <f>B18</f>
        <v>30.167100000000001</v>
      </c>
      <c r="AG25" s="136">
        <f>B18</f>
        <v>30.167100000000001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B101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B108</f>
        <v>1</v>
      </c>
      <c r="CA25" s="94" t="s">
        <v>194</v>
      </c>
      <c r="CB25" s="91" t="s">
        <v>231</v>
      </c>
      <c r="CC25" s="136">
        <f>B18</f>
        <v>30.167100000000001</v>
      </c>
      <c r="CD25" s="52" t="s">
        <v>60</v>
      </c>
      <c r="CE25" s="91" t="s">
        <v>231</v>
      </c>
      <c r="CF25" s="136">
        <f>B18</f>
        <v>30.167100000000001</v>
      </c>
      <c r="CG25" s="52" t="s">
        <v>60</v>
      </c>
      <c r="CK25" s="52" t="s">
        <v>140</v>
      </c>
      <c r="CL25" s="138">
        <f>B103</f>
        <v>75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40250</v>
      </c>
      <c r="CV25" s="83" t="s">
        <v>346</v>
      </c>
      <c r="CW25" s="83" t="s">
        <v>475</v>
      </c>
      <c r="CX25" s="146">
        <f>B165</f>
        <v>0.15</v>
      </c>
      <c r="CZ25" s="83" t="s">
        <v>43</v>
      </c>
      <c r="DA25" s="140">
        <f>(DA35*DA29*(DA38/24)*DA49)+(DA36*DA30*(DA39/24)*DA50)</f>
        <v>6475</v>
      </c>
      <c r="DB25" s="83" t="s">
        <v>426</v>
      </c>
      <c r="DF25" s="52" t="s">
        <v>33</v>
      </c>
      <c r="DG25" s="136">
        <f>B32</f>
        <v>2.9000000000000001E-2</v>
      </c>
      <c r="DO25" s="83" t="s">
        <v>32</v>
      </c>
      <c r="DP25" s="136">
        <f>B31</f>
        <v>2.5229999999999999E-2</v>
      </c>
      <c r="EA25" s="83"/>
      <c r="EC25" s="84"/>
      <c r="ED25" s="83" t="s">
        <v>33</v>
      </c>
      <c r="EE25" s="136">
        <f>B32</f>
        <v>2.9000000000000001E-2</v>
      </c>
      <c r="EF25" s="84"/>
      <c r="EP25" s="83"/>
      <c r="ER25" s="84"/>
      <c r="ES25" s="83" t="s">
        <v>33</v>
      </c>
      <c r="ET25" s="136">
        <f>B32</f>
        <v>2.9000000000000001E-2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B32</f>
        <v>2.9000000000000001E-2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B32</f>
        <v>2.9000000000000001E-2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B32</f>
        <v>2.9000000000000001E-2</v>
      </c>
      <c r="HC25" s="84"/>
      <c r="HD25" s="89" t="s">
        <v>21</v>
      </c>
      <c r="HE25" s="150">
        <f>B34</f>
        <v>200</v>
      </c>
      <c r="HF25" s="83" t="s">
        <v>11</v>
      </c>
    </row>
    <row r="26" spans="1:214" ht="13.5" thickBot="1" x14ac:dyDescent="0.25">
      <c r="A26" s="83" t="s">
        <v>237</v>
      </c>
      <c r="B26" s="183">
        <v>2.7</v>
      </c>
      <c r="C26" s="52" t="s">
        <v>388</v>
      </c>
      <c r="D26" s="83" t="s">
        <v>377</v>
      </c>
      <c r="E26" s="146">
        <f>B50</f>
        <v>0.77</v>
      </c>
      <c r="G26" s="83" t="s">
        <v>401</v>
      </c>
      <c r="H26" s="146">
        <f>B151</f>
        <v>41.7</v>
      </c>
      <c r="I26" s="92" t="s">
        <v>221</v>
      </c>
      <c r="J26" s="83" t="s">
        <v>399</v>
      </c>
      <c r="K26" s="146">
        <f>B45</f>
        <v>68.099999999999994</v>
      </c>
      <c r="L26" s="92" t="s">
        <v>221</v>
      </c>
      <c r="M26" s="83" t="s">
        <v>22</v>
      </c>
      <c r="N26" s="137">
        <f>0.693/N27</f>
        <v>2.2972045705420805E-2</v>
      </c>
      <c r="P26" s="83" t="s">
        <v>22</v>
      </c>
      <c r="Q26" s="137">
        <f>0.693/Q27</f>
        <v>2.2972045705420805E-2</v>
      </c>
      <c r="V26" s="201" t="s">
        <v>15</v>
      </c>
      <c r="W26" s="75">
        <f>1/((1/W38)+(1/W39))</f>
        <v>9.1885996341452487E-4</v>
      </c>
      <c r="X26" s="76" t="s">
        <v>9</v>
      </c>
      <c r="Y26" s="203" t="s">
        <v>15</v>
      </c>
      <c r="Z26" s="185">
        <f>1/((1/Z38)+(1/Z39))</f>
        <v>9.1885996341452487E-4</v>
      </c>
      <c r="AA26" s="77" t="s">
        <v>9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2.2972045705420805E-2</v>
      </c>
      <c r="AL26" s="83" t="s">
        <v>22</v>
      </c>
      <c r="AM26" s="137">
        <f>0.693/AM27</f>
        <v>2.2972045705420805E-2</v>
      </c>
      <c r="AR26" s="83" t="s">
        <v>22</v>
      </c>
      <c r="AS26" s="137">
        <f>0.693/AS27</f>
        <v>2.2972045705420805E-2</v>
      </c>
      <c r="AU26" s="83" t="s">
        <v>22</v>
      </c>
      <c r="AV26" s="137">
        <f>0.693/AV27</f>
        <v>2.2972045705420805E-2</v>
      </c>
      <c r="BA26" s="83" t="s">
        <v>22</v>
      </c>
      <c r="BB26" s="137">
        <f>0.693/BB27</f>
        <v>2.2972045705420805E-2</v>
      </c>
      <c r="BD26" s="83" t="s">
        <v>22</v>
      </c>
      <c r="BE26" s="137">
        <f>0.693/BE27</f>
        <v>2.2972045705420805E-2</v>
      </c>
      <c r="BJ26" s="83" t="s">
        <v>22</v>
      </c>
      <c r="BK26" s="137">
        <f>0.693/BK27</f>
        <v>2.2972045705420805E-2</v>
      </c>
      <c r="BM26" s="83" t="s">
        <v>22</v>
      </c>
      <c r="BN26" s="137">
        <f>0.693/BN27</f>
        <v>2.2972045705420805E-2</v>
      </c>
      <c r="BS26" s="91" t="s">
        <v>309</v>
      </c>
      <c r="BT26" s="177">
        <f>B102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B106</f>
        <v>1</v>
      </c>
      <c r="CA26" s="94" t="s">
        <v>194</v>
      </c>
      <c r="CB26" s="52" t="s">
        <v>140</v>
      </c>
      <c r="CC26" s="138">
        <f>B103</f>
        <v>75</v>
      </c>
      <c r="CD26" s="52" t="s">
        <v>24</v>
      </c>
      <c r="CE26" s="52" t="s">
        <v>140</v>
      </c>
      <c r="CF26" s="138">
        <f>B103</f>
        <v>75</v>
      </c>
      <c r="CG26" s="52" t="s">
        <v>24</v>
      </c>
      <c r="CK26" s="52" t="s">
        <v>160</v>
      </c>
      <c r="CL26" s="162">
        <f>B134</f>
        <v>1</v>
      </c>
      <c r="CM26" s="52" t="s">
        <v>221</v>
      </c>
      <c r="CN26" s="52" t="s">
        <v>33</v>
      </c>
      <c r="CO26" s="136">
        <f>B32</f>
        <v>2.9000000000000001E-2</v>
      </c>
      <c r="CT26" s="83" t="s">
        <v>506</v>
      </c>
      <c r="CU26" s="155">
        <f>((CU31*CU29*CU47)+(CU32*CU30*CU48))</f>
        <v>6475</v>
      </c>
      <c r="CV26" s="52" t="s">
        <v>426</v>
      </c>
      <c r="CW26" s="83" t="s">
        <v>476</v>
      </c>
      <c r="CX26" s="141">
        <f>B166</f>
        <v>0.85</v>
      </c>
      <c r="CY26" s="83"/>
      <c r="CZ26" s="83" t="s">
        <v>142</v>
      </c>
      <c r="DA26" s="149">
        <f>(DA35*DA40*DA42*DA49)+(DA36*DA41*DA43*DA50)</f>
        <v>239.57499999999999</v>
      </c>
      <c r="DB26" s="52" t="s">
        <v>356</v>
      </c>
      <c r="DO26" s="83" t="s">
        <v>393</v>
      </c>
      <c r="DP26" s="138">
        <f>B35</f>
        <v>0.26</v>
      </c>
      <c r="EA26" s="83"/>
      <c r="EB26" s="84"/>
      <c r="EC26" s="84"/>
      <c r="ED26" s="83" t="s">
        <v>392</v>
      </c>
      <c r="EE26" s="163">
        <f>B36</f>
        <v>0.25</v>
      </c>
      <c r="EF26" s="84"/>
      <c r="EP26" s="83"/>
      <c r="EQ26" s="84"/>
      <c r="ER26" s="84"/>
      <c r="ES26" s="83" t="s">
        <v>392</v>
      </c>
      <c r="ET26" s="163">
        <f>B36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B36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B36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B36</f>
        <v>0.25</v>
      </c>
      <c r="HC26" s="84"/>
      <c r="HD26" s="84" t="s">
        <v>265</v>
      </c>
      <c r="HE26" s="139">
        <f>H2</f>
        <v>3.0772317035167087</v>
      </c>
      <c r="HF26" s="83" t="s">
        <v>11</v>
      </c>
    </row>
    <row r="27" spans="1:214" ht="12.75" customHeight="1" thickTop="1" x14ac:dyDescent="0.2">
      <c r="A27" s="83" t="s">
        <v>171</v>
      </c>
      <c r="B27" s="183">
        <v>0.4</v>
      </c>
      <c r="C27" s="52" t="s">
        <v>388</v>
      </c>
      <c r="G27" s="83" t="s">
        <v>402</v>
      </c>
      <c r="H27" s="146">
        <f>B48</f>
        <v>128.9</v>
      </c>
      <c r="I27" s="92" t="s">
        <v>221</v>
      </c>
      <c r="J27" s="83" t="s">
        <v>310</v>
      </c>
      <c r="K27" s="146">
        <f>B46</f>
        <v>188.5</v>
      </c>
      <c r="L27" s="92" t="s">
        <v>221</v>
      </c>
      <c r="M27" s="91" t="s">
        <v>231</v>
      </c>
      <c r="N27" s="136">
        <f>B18</f>
        <v>30.167100000000001</v>
      </c>
      <c r="O27" s="52" t="s">
        <v>60</v>
      </c>
      <c r="P27" s="91" t="s">
        <v>231</v>
      </c>
      <c r="Q27" s="136">
        <f>B18</f>
        <v>30.167100000000001</v>
      </c>
      <c r="R27" s="52" t="s">
        <v>60</v>
      </c>
      <c r="V27" s="52" t="s">
        <v>267</v>
      </c>
      <c r="W27" s="136">
        <f>B5</f>
        <v>1</v>
      </c>
      <c r="X27" s="52" t="s">
        <v>344</v>
      </c>
      <c r="Y27" s="52" t="s">
        <v>267</v>
      </c>
      <c r="Z27" s="136">
        <f>B5</f>
        <v>1</v>
      </c>
      <c r="AA27" s="52" t="s">
        <v>344</v>
      </c>
      <c r="AB27" s="84" t="s">
        <v>16</v>
      </c>
      <c r="AC27" s="156">
        <f>(AC23*AC24)/(1-EXP(-AC24*AC23))</f>
        <v>1.0115299987062558</v>
      </c>
      <c r="AD27" s="156">
        <f>(AD23*AD24)/(1-EXP(-AD24*AD23))</f>
        <v>1.0115299987062558</v>
      </c>
      <c r="AE27" s="156">
        <f>(AE23*AE24)/(1-EXP(-AE24*AE23))</f>
        <v>1.0115299987062558</v>
      </c>
      <c r="AF27" s="156">
        <f>(AF23*AF24)/(1-EXP(-AF24*AF23))</f>
        <v>1.0115299987062558</v>
      </c>
      <c r="AG27" s="156">
        <f>(AG23*AG24)/(1-EXP(-AG24*AG23))</f>
        <v>1.0115299987062558</v>
      </c>
      <c r="AI27" s="91" t="s">
        <v>231</v>
      </c>
      <c r="AJ27" s="136">
        <f>B18</f>
        <v>30.167100000000001</v>
      </c>
      <c r="AK27" s="52" t="s">
        <v>60</v>
      </c>
      <c r="AL27" s="91" t="s">
        <v>231</v>
      </c>
      <c r="AM27" s="136">
        <f>B18</f>
        <v>30.167100000000001</v>
      </c>
      <c r="AN27" s="52" t="s">
        <v>60</v>
      </c>
      <c r="AR27" s="91" t="s">
        <v>231</v>
      </c>
      <c r="AS27" s="136">
        <f>B18</f>
        <v>30.167100000000001</v>
      </c>
      <c r="AT27" s="52" t="s">
        <v>60</v>
      </c>
      <c r="AU27" s="91" t="s">
        <v>231</v>
      </c>
      <c r="AV27" s="136">
        <f>B18</f>
        <v>30.167100000000001</v>
      </c>
      <c r="AW27" s="52" t="s">
        <v>60</v>
      </c>
      <c r="BA27" s="91" t="s">
        <v>231</v>
      </c>
      <c r="BB27" s="136">
        <f>B18</f>
        <v>30.167100000000001</v>
      </c>
      <c r="BC27" s="52" t="s">
        <v>60</v>
      </c>
      <c r="BD27" s="91" t="s">
        <v>231</v>
      </c>
      <c r="BE27" s="136">
        <f>B18</f>
        <v>30.167100000000001</v>
      </c>
      <c r="BF27" s="52" t="s">
        <v>60</v>
      </c>
      <c r="BJ27" s="91" t="s">
        <v>231</v>
      </c>
      <c r="BK27" s="136">
        <f>B18</f>
        <v>30.167100000000001</v>
      </c>
      <c r="BL27" s="52" t="s">
        <v>60</v>
      </c>
      <c r="BM27" s="91" t="s">
        <v>231</v>
      </c>
      <c r="BN27" s="136">
        <f>B18</f>
        <v>30.167100000000001</v>
      </c>
      <c r="BO27" s="52" t="s">
        <v>60</v>
      </c>
      <c r="BT27" s="90"/>
      <c r="BW27" s="138">
        <v>1000</v>
      </c>
      <c r="BX27" s="52" t="s">
        <v>218</v>
      </c>
      <c r="BY27" s="83" t="s">
        <v>90</v>
      </c>
      <c r="BZ27" s="150">
        <f>B107</f>
        <v>1</v>
      </c>
      <c r="CA27" s="52" t="s">
        <v>194</v>
      </c>
      <c r="CB27" s="52" t="s">
        <v>51</v>
      </c>
      <c r="CC27" s="138">
        <f>B117</f>
        <v>1</v>
      </c>
      <c r="CD27" s="52" t="s">
        <v>146</v>
      </c>
      <c r="CE27" s="52" t="s">
        <v>51</v>
      </c>
      <c r="CF27" s="138">
        <f>B117</f>
        <v>1</v>
      </c>
      <c r="CG27" s="52" t="s">
        <v>146</v>
      </c>
      <c r="CN27" s="52" t="s">
        <v>392</v>
      </c>
      <c r="CO27" s="162">
        <f>B36</f>
        <v>0.25</v>
      </c>
      <c r="CT27" s="83" t="s">
        <v>449</v>
      </c>
      <c r="CU27" s="146">
        <f>B141</f>
        <v>200</v>
      </c>
      <c r="CV27" s="84" t="s">
        <v>48</v>
      </c>
      <c r="CZ27" s="92" t="s">
        <v>451</v>
      </c>
      <c r="DA27" s="142">
        <f t="shared" ref="DA27:DA34" si="0">B145</f>
        <v>0.78</v>
      </c>
      <c r="DB27" s="83" t="s">
        <v>28</v>
      </c>
      <c r="DW27" s="88"/>
      <c r="DX27" s="88"/>
      <c r="DY27" s="88"/>
      <c r="DZ27" s="88"/>
      <c r="EA27" s="83"/>
      <c r="EB27" s="85"/>
      <c r="ED27" s="83" t="s">
        <v>517</v>
      </c>
      <c r="EE27" s="136">
        <f>B24</f>
        <v>4.5999999999999999E-3</v>
      </c>
      <c r="EF27" s="52" t="s">
        <v>601</v>
      </c>
      <c r="EP27" s="83"/>
      <c r="EQ27" s="86"/>
      <c r="ES27" s="83" t="s">
        <v>236</v>
      </c>
      <c r="ET27" s="169">
        <f>B25</f>
        <v>2.1999999999999999E-2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B27</f>
        <v>0.4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B26</f>
        <v>2.7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B28</f>
        <v>0.2</v>
      </c>
      <c r="HC27" s="52" t="s">
        <v>388</v>
      </c>
      <c r="HD27" s="83" t="s">
        <v>22</v>
      </c>
      <c r="HE27" s="137">
        <f>0.693/HE29</f>
        <v>2.2972045705420805E-2</v>
      </c>
    </row>
    <row r="28" spans="1:214" x14ac:dyDescent="0.2">
      <c r="A28" s="83" t="s">
        <v>238</v>
      </c>
      <c r="B28" s="183">
        <v>0.2</v>
      </c>
      <c r="C28" s="52" t="s">
        <v>388</v>
      </c>
      <c r="G28" s="83" t="s">
        <v>65</v>
      </c>
      <c r="H28" s="141">
        <f>B65</f>
        <v>0.5</v>
      </c>
      <c r="I28" s="52" t="s">
        <v>66</v>
      </c>
      <c r="J28" s="83" t="s">
        <v>447</v>
      </c>
      <c r="K28" s="149">
        <f>(K31*K29*K51)+(K32*K30*K52)</f>
        <v>38095.4</v>
      </c>
      <c r="L28" s="92" t="s">
        <v>347</v>
      </c>
      <c r="M28" s="52" t="s">
        <v>382</v>
      </c>
      <c r="N28" s="138">
        <f>B56</f>
        <v>350</v>
      </c>
      <c r="O28" s="52" t="s">
        <v>24</v>
      </c>
      <c r="P28" s="52" t="s">
        <v>382</v>
      </c>
      <c r="Q28" s="138">
        <f>B56</f>
        <v>350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B243</f>
        <v>250</v>
      </c>
      <c r="AK28" s="52" t="s">
        <v>24</v>
      </c>
      <c r="AL28" s="52" t="s">
        <v>35</v>
      </c>
      <c r="AM28" s="138">
        <f>B243</f>
        <v>250</v>
      </c>
      <c r="AN28" s="52" t="s">
        <v>24</v>
      </c>
      <c r="AR28" s="52" t="s">
        <v>423</v>
      </c>
      <c r="AS28" s="138">
        <f>B255</f>
        <v>225</v>
      </c>
      <c r="AT28" s="52" t="s">
        <v>24</v>
      </c>
      <c r="AU28" s="52" t="s">
        <v>423</v>
      </c>
      <c r="AV28" s="138">
        <f>B255</f>
        <v>225</v>
      </c>
      <c r="AW28" s="52" t="s">
        <v>24</v>
      </c>
      <c r="BA28" s="52" t="s">
        <v>316</v>
      </c>
      <c r="BB28" s="138">
        <f>B231</f>
        <v>250</v>
      </c>
      <c r="BC28" s="52" t="s">
        <v>24</v>
      </c>
      <c r="BD28" s="52" t="s">
        <v>316</v>
      </c>
      <c r="BE28" s="138">
        <f>B231</f>
        <v>250</v>
      </c>
      <c r="BF28" s="52" t="s">
        <v>24</v>
      </c>
      <c r="BJ28" s="52" t="s">
        <v>191</v>
      </c>
      <c r="BK28" s="138">
        <f>BK29*BK30</f>
        <v>250</v>
      </c>
      <c r="BL28" s="52" t="s">
        <v>24</v>
      </c>
      <c r="BM28" s="52" t="s">
        <v>191</v>
      </c>
      <c r="BN28" s="138">
        <f>BN29*BN30</f>
        <v>250</v>
      </c>
      <c r="BO28" s="52" t="s">
        <v>24</v>
      </c>
      <c r="BS28" s="96"/>
      <c r="BV28" s="83"/>
      <c r="BW28" s="146">
        <v>365</v>
      </c>
      <c r="BX28" s="84" t="s">
        <v>24</v>
      </c>
      <c r="BY28" s="83" t="s">
        <v>302</v>
      </c>
      <c r="BZ28" s="141">
        <f>B118</f>
        <v>8.5099999999999995E-2</v>
      </c>
      <c r="CB28" s="52" t="s">
        <v>300</v>
      </c>
      <c r="CC28" s="138">
        <f>B126</f>
        <v>2.6620000000000001E-2</v>
      </c>
      <c r="CE28" s="52" t="s">
        <v>300</v>
      </c>
      <c r="CF28" s="138">
        <f>B122</f>
        <v>5.0099999999999999E-2</v>
      </c>
      <c r="CN28" s="52" t="s">
        <v>165</v>
      </c>
      <c r="CO28" s="162">
        <f>B135</f>
        <v>1</v>
      </c>
      <c r="CP28" s="52" t="s">
        <v>246</v>
      </c>
      <c r="CT28" s="83" t="s">
        <v>458</v>
      </c>
      <c r="CU28" s="146">
        <f>B142</f>
        <v>100</v>
      </c>
      <c r="CV28" s="84" t="s">
        <v>48</v>
      </c>
      <c r="CZ28" s="92" t="s">
        <v>460</v>
      </c>
      <c r="DA28" s="142">
        <f t="shared" si="0"/>
        <v>2.5</v>
      </c>
      <c r="DB28" s="83" t="s">
        <v>28</v>
      </c>
      <c r="DW28" s="88"/>
      <c r="DX28" s="88"/>
      <c r="DY28" s="88"/>
      <c r="DZ28" s="88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D28" s="52" t="s">
        <v>16</v>
      </c>
      <c r="HE28" s="137">
        <f>1-EXP(-HE27*HE32)</f>
        <v>2.2710197161529555E-2</v>
      </c>
    </row>
    <row r="29" spans="1:214" ht="15.75" thickBot="1" x14ac:dyDescent="0.25">
      <c r="A29" s="52" t="s">
        <v>229</v>
      </c>
      <c r="B29" s="183">
        <v>2.1999999999999999E-2</v>
      </c>
      <c r="C29" s="52" t="s">
        <v>388</v>
      </c>
      <c r="G29" s="83" t="s">
        <v>380</v>
      </c>
      <c r="H29" s="150">
        <f>B54</f>
        <v>350</v>
      </c>
      <c r="I29" s="83" t="s">
        <v>24</v>
      </c>
      <c r="J29" s="83" t="s">
        <v>401</v>
      </c>
      <c r="K29" s="146">
        <f>B47</f>
        <v>41.7</v>
      </c>
      <c r="L29" s="92" t="s">
        <v>221</v>
      </c>
      <c r="M29" s="52" t="s">
        <v>379</v>
      </c>
      <c r="N29" s="138">
        <f>B53</f>
        <v>1</v>
      </c>
      <c r="O29" s="52" t="s">
        <v>146</v>
      </c>
      <c r="P29" s="52" t="s">
        <v>379</v>
      </c>
      <c r="Q29" s="138">
        <f>B53</f>
        <v>1</v>
      </c>
      <c r="R29" s="52" t="s">
        <v>146</v>
      </c>
      <c r="V29" s="83" t="s">
        <v>22</v>
      </c>
      <c r="W29" s="137">
        <f>0.693/W30</f>
        <v>2.2972045705420805E-2</v>
      </c>
      <c r="Y29" s="83" t="s">
        <v>22</v>
      </c>
      <c r="Z29" s="137">
        <f>0.693/Z30</f>
        <v>2.2972045705420805E-2</v>
      </c>
      <c r="AB29" s="83" t="s">
        <v>260</v>
      </c>
      <c r="AC29" s="143">
        <f>(AC5/(AC8*AC13*AC7*AC9*(1/AC6)))*AC27</f>
        <v>804.07790040242912</v>
      </c>
      <c r="AD29" s="143">
        <f>(AD5/(AD8*AD13*AD7*AD9*(1/AD6)))*AD27</f>
        <v>1608.1558008048582</v>
      </c>
      <c r="AE29" s="143">
        <f>(AE5/(AE8*AE13*AE7*AE9*(1/AE6)))*AE27</f>
        <v>893.41988933603227</v>
      </c>
      <c r="AF29" s="143">
        <f>(AF5*AF23*AF24)/((1-EXP(-AF24*AF23))*AF8*AF7*AF9*AF13*(1/AF28))</f>
        <v>243.65996981891789</v>
      </c>
      <c r="AG29" s="143">
        <f>(AG5*AG23*AG24)/((1-EXP(-AG24*AG23))*AG8*AG7*AG9*AG13*(1/AG28))</f>
        <v>243.65996981891789</v>
      </c>
      <c r="AH29" s="83" t="s">
        <v>10</v>
      </c>
      <c r="AI29" s="52" t="s">
        <v>420</v>
      </c>
      <c r="AJ29" s="138">
        <f>B244</f>
        <v>1</v>
      </c>
      <c r="AK29" s="52" t="s">
        <v>146</v>
      </c>
      <c r="AL29" s="52" t="s">
        <v>420</v>
      </c>
      <c r="AM29" s="138">
        <f>B244</f>
        <v>1</v>
      </c>
      <c r="AN29" s="52" t="s">
        <v>146</v>
      </c>
      <c r="AR29" s="52" t="s">
        <v>424</v>
      </c>
      <c r="AS29" s="138">
        <f>B256</f>
        <v>1</v>
      </c>
      <c r="AT29" s="52" t="s">
        <v>146</v>
      </c>
      <c r="AU29" s="52" t="s">
        <v>424</v>
      </c>
      <c r="AV29" s="138">
        <f>B256</f>
        <v>1</v>
      </c>
      <c r="AW29" s="52" t="s">
        <v>146</v>
      </c>
      <c r="BA29" s="52" t="s">
        <v>422</v>
      </c>
      <c r="BB29" s="138">
        <f>B232</f>
        <v>1</v>
      </c>
      <c r="BC29" s="52" t="s">
        <v>146</v>
      </c>
      <c r="BD29" s="52" t="s">
        <v>422</v>
      </c>
      <c r="BE29" s="138">
        <f>B232</f>
        <v>1</v>
      </c>
      <c r="BF29" s="52" t="s">
        <v>146</v>
      </c>
      <c r="BJ29" s="52" t="s">
        <v>220</v>
      </c>
      <c r="BK29" s="138">
        <f>B278</f>
        <v>50</v>
      </c>
      <c r="BL29" s="52" t="s">
        <v>113</v>
      </c>
      <c r="BM29" s="52" t="s">
        <v>220</v>
      </c>
      <c r="BN29" s="138">
        <f>B278</f>
        <v>50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41">
        <f>B119</f>
        <v>0.74150000000000005</v>
      </c>
      <c r="CB29" s="52" t="s">
        <v>411</v>
      </c>
      <c r="CC29" s="138">
        <f>B127</f>
        <v>0.46460000000000001</v>
      </c>
      <c r="CE29" s="52" t="s">
        <v>418</v>
      </c>
      <c r="CF29" s="138">
        <f>B123</f>
        <v>0.72629999999999995</v>
      </c>
      <c r="CN29" s="52" t="s">
        <v>166</v>
      </c>
      <c r="CO29" s="162">
        <f>B136</f>
        <v>1</v>
      </c>
      <c r="CP29" s="52" t="s">
        <v>246</v>
      </c>
      <c r="CT29" s="83" t="s">
        <v>450</v>
      </c>
      <c r="CU29" s="141">
        <f>B147</f>
        <v>10</v>
      </c>
      <c r="CV29" s="92" t="s">
        <v>407</v>
      </c>
      <c r="CZ29" s="92" t="s">
        <v>450</v>
      </c>
      <c r="DA29" s="142">
        <f t="shared" si="0"/>
        <v>10</v>
      </c>
      <c r="DB29" s="83" t="s">
        <v>143</v>
      </c>
      <c r="DW29" s="88"/>
      <c r="DX29" s="88"/>
      <c r="DY29" s="88"/>
      <c r="DZ29" s="8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B18</f>
        <v>30.167100000000001</v>
      </c>
      <c r="HF29" s="52" t="s">
        <v>60</v>
      </c>
    </row>
    <row r="30" spans="1:214" ht="19.5" thickTop="1" thickBot="1" x14ac:dyDescent="0.25">
      <c r="A30" s="83" t="s">
        <v>228</v>
      </c>
      <c r="B30" s="183">
        <v>2.7</v>
      </c>
      <c r="C30" s="52" t="s">
        <v>388</v>
      </c>
      <c r="D30" s="353" t="s">
        <v>528</v>
      </c>
      <c r="E30" s="354"/>
      <c r="F30" s="355"/>
      <c r="G30" s="83" t="s">
        <v>381</v>
      </c>
      <c r="H30" s="150">
        <f>B55</f>
        <v>350</v>
      </c>
      <c r="I30" s="83" t="s">
        <v>24</v>
      </c>
      <c r="J30" s="83" t="s">
        <v>402</v>
      </c>
      <c r="K30" s="146">
        <f>B48</f>
        <v>128.9</v>
      </c>
      <c r="L30" s="92" t="s">
        <v>221</v>
      </c>
      <c r="M30" s="52" t="s">
        <v>299</v>
      </c>
      <c r="N30" s="138">
        <f>B61</f>
        <v>0.4</v>
      </c>
      <c r="P30" s="52" t="s">
        <v>299</v>
      </c>
      <c r="Q30" s="138">
        <f>B61</f>
        <v>0.4</v>
      </c>
      <c r="V30" s="91" t="s">
        <v>231</v>
      </c>
      <c r="W30" s="136">
        <f>B18</f>
        <v>30.167100000000001</v>
      </c>
      <c r="X30" s="52" t="s">
        <v>60</v>
      </c>
      <c r="Y30" s="91" t="s">
        <v>231</v>
      </c>
      <c r="Z30" s="136">
        <f>B18</f>
        <v>30.167100000000001</v>
      </c>
      <c r="AA30" s="52" t="s">
        <v>60</v>
      </c>
      <c r="AB30" s="83" t="s">
        <v>261</v>
      </c>
      <c r="AC30" s="144">
        <f>(AC5/(AC19*AC15*AC7*AC9*(1/AC32)*((8/1)/(24/1))*AC28))*AC27</f>
        <v>1783720.9096389904</v>
      </c>
      <c r="AD30" s="144">
        <f>(AD5/(AD19*AD15*AD7*((8/1)/(24/1))*AD9*(1/AD32)*AD28))*AD27</f>
        <v>1783720.9096389904</v>
      </c>
      <c r="AE30" s="144">
        <f>(AE5/(AE19*AE15*AE7*((8/1)/(24/1))*AE9*(1/AE32)*AE28))*AE27</f>
        <v>1981912.1218211011</v>
      </c>
      <c r="AF30" s="144">
        <f>(AF5*AF23*AF24)/((1-EXP(-AF24*AF23))*AF19*AF7*AF9*(AF12/24)*AF15*(1/AF33)*AF28)</f>
        <v>1018.4307805640025</v>
      </c>
      <c r="AG30" s="144">
        <f>(AG5*AG23*AG24)/((1-EXP(-AG24*AG23))*AG19*AG7*AG9*(AG12/24)*AG15*(1/AG34)*AG28)</f>
        <v>91272.879661070197</v>
      </c>
      <c r="AH30" s="83" t="s">
        <v>10</v>
      </c>
      <c r="AI30" s="52" t="s">
        <v>299</v>
      </c>
      <c r="AJ30" s="138">
        <f>B248</f>
        <v>0.4</v>
      </c>
      <c r="AL30" s="52" t="s">
        <v>299</v>
      </c>
      <c r="AM30" s="138">
        <f>B248</f>
        <v>0.4</v>
      </c>
      <c r="AR30" s="52" t="s">
        <v>299</v>
      </c>
      <c r="AS30" s="138">
        <f>B260</f>
        <v>0.4</v>
      </c>
      <c r="AV30" s="138"/>
      <c r="BA30" s="52" t="s">
        <v>299</v>
      </c>
      <c r="BB30" s="138">
        <f>B236</f>
        <v>0.4</v>
      </c>
      <c r="BD30" s="52" t="s">
        <v>299</v>
      </c>
      <c r="BE30" s="138">
        <f>B236</f>
        <v>0.4</v>
      </c>
      <c r="BJ30" s="52" t="s">
        <v>219</v>
      </c>
      <c r="BK30" s="138">
        <f>B277</f>
        <v>5</v>
      </c>
      <c r="BL30" s="52" t="s">
        <v>112</v>
      </c>
      <c r="BM30" s="52" t="s">
        <v>219</v>
      </c>
      <c r="BN30" s="138">
        <f>B277</f>
        <v>5</v>
      </c>
      <c r="BO30" s="52" t="s">
        <v>112</v>
      </c>
      <c r="BS30" s="91"/>
      <c r="BT30" s="97"/>
      <c r="BU30" s="91"/>
      <c r="BV30" s="91" t="s">
        <v>308</v>
      </c>
      <c r="BW30" s="146">
        <f>B101</f>
        <v>0.23</v>
      </c>
      <c r="BY30" s="94" t="s">
        <v>95</v>
      </c>
      <c r="BZ30" s="150">
        <f>B117</f>
        <v>1</v>
      </c>
      <c r="CA30" s="94" t="s">
        <v>60</v>
      </c>
      <c r="CB30" s="52" t="s">
        <v>90</v>
      </c>
      <c r="CC30" s="138">
        <f>B108</f>
        <v>1</v>
      </c>
      <c r="CD30" s="52" t="s">
        <v>194</v>
      </c>
      <c r="CE30" s="52" t="s">
        <v>90</v>
      </c>
      <c r="CF30" s="138">
        <f>B108</f>
        <v>1</v>
      </c>
      <c r="CG30" s="52" t="s">
        <v>194</v>
      </c>
      <c r="CM30" s="83"/>
      <c r="CN30" s="93" t="s">
        <v>167</v>
      </c>
      <c r="CO30" s="162">
        <f>B137</f>
        <v>1</v>
      </c>
      <c r="CP30" s="52" t="s">
        <v>41</v>
      </c>
      <c r="CQ30" s="88"/>
      <c r="CR30" s="83"/>
      <c r="CS30" s="83"/>
      <c r="CT30" s="83" t="s">
        <v>459</v>
      </c>
      <c r="CU30" s="141">
        <f>B148</f>
        <v>20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20</v>
      </c>
      <c r="DB30" s="83" t="s">
        <v>143</v>
      </c>
      <c r="DW30" s="88"/>
      <c r="DX30" s="88"/>
      <c r="DY30" s="88"/>
      <c r="DZ30" s="8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B83</f>
        <v>0.3</v>
      </c>
    </row>
    <row r="31" spans="1:214" x14ac:dyDescent="0.2">
      <c r="A31" s="84" t="s">
        <v>32</v>
      </c>
      <c r="B31" s="183">
        <f>0.02523</f>
        <v>2.5229999999999999E-2</v>
      </c>
      <c r="D31" s="323" t="s">
        <v>530</v>
      </c>
      <c r="E31" s="347">
        <f>E38</f>
        <v>1.0773914415293455</v>
      </c>
      <c r="F31" s="345" t="s">
        <v>10</v>
      </c>
      <c r="G31" s="83" t="s">
        <v>379</v>
      </c>
      <c r="H31" s="150">
        <f>B53</f>
        <v>1</v>
      </c>
      <c r="I31" s="84" t="s">
        <v>60</v>
      </c>
      <c r="J31" s="83" t="s">
        <v>380</v>
      </c>
      <c r="K31" s="150">
        <f>B54</f>
        <v>350</v>
      </c>
      <c r="L31" s="83" t="s">
        <v>24</v>
      </c>
      <c r="M31" s="52" t="s">
        <v>300</v>
      </c>
      <c r="N31" s="138">
        <f>B62</f>
        <v>1</v>
      </c>
      <c r="P31" s="52" t="s">
        <v>300</v>
      </c>
      <c r="Q31" s="138">
        <f>B62</f>
        <v>1</v>
      </c>
      <c r="V31" s="52" t="s">
        <v>35</v>
      </c>
      <c r="W31" s="138">
        <f>B243</f>
        <v>250</v>
      </c>
      <c r="X31" s="52" t="s">
        <v>24</v>
      </c>
      <c r="Y31" s="52" t="s">
        <v>191</v>
      </c>
      <c r="Z31" s="138">
        <f>B267</f>
        <v>250</v>
      </c>
      <c r="AA31" s="52" t="s">
        <v>24</v>
      </c>
      <c r="AB31" s="83" t="s">
        <v>262</v>
      </c>
      <c r="AC31" s="145">
        <f>(AC5*AC23*AC24)/((1-EXP(-AC24*AC23))*AC18*AC7*(1/365)*AC12*(1/24)*AC14*AC17)</f>
        <v>1.3870109678341911</v>
      </c>
      <c r="AD31" s="145">
        <f>(AD5*AD23*AD24)/((1-EXP(-AD24*AD23))*AD18*AD7*(1/365)*AD12*(1/24)*AD16*AD17)</f>
        <v>3.4675274195854775</v>
      </c>
      <c r="AE31" s="145">
        <f>(AE5*AE23*AE24)/((1-EXP(-AE24*AE23))*AE18*AE7*(1/365)*AE12*(1/24)*AE14*AE17)</f>
        <v>1.5411232975935458</v>
      </c>
      <c r="AF31" s="145">
        <f>(AF5*AF23*AF24)/((1-EXP(-AF24*AF23))*AF18*(AF11*AF10)*(1/365)*AF12*(1/24)*AF14*AF17)</f>
        <v>21.9805816144933</v>
      </c>
      <c r="AG31" s="145">
        <f>(AG5*AG23*AG24)/((1-EXP(-AG24*AG23))*AG18*AG7*(1/365)*AG9*(AG12/24)*AG14*AG17)</f>
        <v>21.9805816144933</v>
      </c>
      <c r="AH31" s="83" t="s">
        <v>10</v>
      </c>
      <c r="AI31" s="52" t="s">
        <v>300</v>
      </c>
      <c r="AJ31" s="138">
        <f>B235</f>
        <v>1</v>
      </c>
      <c r="AL31" s="52" t="s">
        <v>300</v>
      </c>
      <c r="AM31" s="138">
        <f>B235</f>
        <v>1</v>
      </c>
      <c r="AR31" s="52" t="s">
        <v>300</v>
      </c>
      <c r="AS31" s="138">
        <f>B259</f>
        <v>1</v>
      </c>
      <c r="AU31" s="52" t="s">
        <v>300</v>
      </c>
      <c r="AV31" s="138">
        <f>B259</f>
        <v>1</v>
      </c>
      <c r="BA31" s="52" t="s">
        <v>300</v>
      </c>
      <c r="BB31" s="138">
        <f>B235</f>
        <v>1</v>
      </c>
      <c r="BD31" s="52" t="s">
        <v>300</v>
      </c>
      <c r="BE31" s="138">
        <f>B235</f>
        <v>1</v>
      </c>
      <c r="BJ31" s="52" t="s">
        <v>158</v>
      </c>
      <c r="BK31" s="138">
        <f>B268</f>
        <v>1</v>
      </c>
      <c r="BL31" s="52" t="s">
        <v>146</v>
      </c>
      <c r="BM31" s="52" t="s">
        <v>158</v>
      </c>
      <c r="BN31" s="138">
        <f>B268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B102</f>
        <v>0.77</v>
      </c>
      <c r="BZ31" s="150">
        <v>365</v>
      </c>
      <c r="CA31" s="52" t="s">
        <v>24</v>
      </c>
      <c r="CB31" s="52" t="s">
        <v>410</v>
      </c>
      <c r="CC31" s="139">
        <f>B11</f>
        <v>0.64061199999999996</v>
      </c>
      <c r="CD31" s="84" t="s">
        <v>353</v>
      </c>
      <c r="CE31" s="52" t="s">
        <v>419</v>
      </c>
      <c r="CF31" s="139">
        <f>B13</f>
        <v>1.817564</v>
      </c>
      <c r="CG31" s="84" t="s">
        <v>353</v>
      </c>
      <c r="CM31" s="83"/>
      <c r="CN31" s="83" t="s">
        <v>168</v>
      </c>
      <c r="CO31" s="162">
        <f>B138</f>
        <v>1</v>
      </c>
      <c r="CP31" s="52" t="s">
        <v>41</v>
      </c>
      <c r="CQ31" s="83"/>
      <c r="CR31" s="83"/>
      <c r="CS31" s="83"/>
      <c r="CT31" s="83" t="s">
        <v>456</v>
      </c>
      <c r="CU31" s="150">
        <f>B167</f>
        <v>350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68.099999999999994</v>
      </c>
      <c r="DB31" s="83" t="s">
        <v>221</v>
      </c>
      <c r="DW31" s="88"/>
      <c r="DX31" s="88"/>
      <c r="DY31" s="88"/>
      <c r="DZ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B84</f>
        <v>1.5</v>
      </c>
    </row>
    <row r="32" spans="1:214" ht="13.5" thickBot="1" x14ac:dyDescent="0.25">
      <c r="A32" s="52" t="s">
        <v>33</v>
      </c>
      <c r="B32" s="183">
        <v>2.9000000000000001E-2</v>
      </c>
      <c r="D32" s="324"/>
      <c r="E32" s="348"/>
      <c r="F32" s="346"/>
      <c r="G32" s="52" t="s">
        <v>403</v>
      </c>
      <c r="H32" s="138">
        <f>B57</f>
        <v>0.54</v>
      </c>
      <c r="I32" s="52" t="s">
        <v>89</v>
      </c>
      <c r="J32" s="83" t="s">
        <v>381</v>
      </c>
      <c r="K32" s="150">
        <f>B55</f>
        <v>350</v>
      </c>
      <c r="L32" s="83" t="s">
        <v>24</v>
      </c>
      <c r="M32" s="52" t="s">
        <v>54</v>
      </c>
      <c r="N32" s="138">
        <f>B63</f>
        <v>1</v>
      </c>
      <c r="P32" s="52" t="s">
        <v>54</v>
      </c>
      <c r="Q32" s="138">
        <f>B63</f>
        <v>1</v>
      </c>
      <c r="V32" s="52" t="s">
        <v>420</v>
      </c>
      <c r="W32" s="138">
        <f>B244</f>
        <v>1</v>
      </c>
      <c r="X32" s="52" t="s">
        <v>146</v>
      </c>
      <c r="Y32" s="52" t="s">
        <v>158</v>
      </c>
      <c r="Z32" s="138">
        <f>B268</f>
        <v>1</v>
      </c>
      <c r="AA32" s="52" t="s">
        <v>146</v>
      </c>
      <c r="AB32" s="83" t="s">
        <v>77</v>
      </c>
      <c r="AC32" s="136">
        <f>B19</f>
        <v>1359344473.5814338</v>
      </c>
      <c r="AD32" s="136">
        <f>B19</f>
        <v>1359344473.5814338</v>
      </c>
      <c r="AE32" s="136">
        <f>B19</f>
        <v>1359344473.5814338</v>
      </c>
      <c r="AF32" s="136"/>
      <c r="AG32" s="136"/>
      <c r="AH32" s="104" t="s">
        <v>78</v>
      </c>
      <c r="AI32" s="52" t="s">
        <v>54</v>
      </c>
      <c r="AJ32" s="138">
        <f>B249</f>
        <v>1</v>
      </c>
      <c r="AL32" s="52" t="s">
        <v>54</v>
      </c>
      <c r="AM32" s="138">
        <f>B249</f>
        <v>1</v>
      </c>
      <c r="AR32" s="52" t="s">
        <v>54</v>
      </c>
      <c r="AS32" s="138">
        <f>B261</f>
        <v>1</v>
      </c>
      <c r="AU32" s="52" t="s">
        <v>54</v>
      </c>
      <c r="AV32" s="138">
        <f>B261</f>
        <v>1</v>
      </c>
      <c r="BA32" s="52" t="s">
        <v>54</v>
      </c>
      <c r="BB32" s="138">
        <f>B237</f>
        <v>1</v>
      </c>
      <c r="BD32" s="52" t="s">
        <v>54</v>
      </c>
      <c r="BE32" s="138">
        <f>B237</f>
        <v>1</v>
      </c>
      <c r="BJ32" s="52" t="s">
        <v>300</v>
      </c>
      <c r="BK32" s="136">
        <f>B281</f>
        <v>2.6620000000000001E-2</v>
      </c>
      <c r="BM32" s="52" t="s">
        <v>300</v>
      </c>
      <c r="BN32" s="136">
        <f>B285</f>
        <v>5.0099999999999999E-2</v>
      </c>
      <c r="BS32" s="91"/>
      <c r="BT32" s="99"/>
      <c r="BU32" s="100"/>
      <c r="BW32" s="90"/>
      <c r="BZ32" s="138">
        <v>1000</v>
      </c>
      <c r="CA32" s="52" t="s">
        <v>99</v>
      </c>
      <c r="CM32" s="83"/>
      <c r="CN32" s="83" t="s">
        <v>22</v>
      </c>
      <c r="CO32" s="137">
        <f>0.693/CO33</f>
        <v>2.2972045705420805E-2</v>
      </c>
      <c r="CR32" s="83"/>
      <c r="CS32" s="83"/>
      <c r="CT32" s="83" t="s">
        <v>465</v>
      </c>
      <c r="CU32" s="150">
        <f>B168</f>
        <v>350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176.8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15" customHeight="1" thickTop="1" x14ac:dyDescent="0.2">
      <c r="A33" s="83" t="s">
        <v>156</v>
      </c>
      <c r="B33" s="182">
        <v>10</v>
      </c>
      <c r="C33" s="83" t="s">
        <v>18</v>
      </c>
      <c r="D33" s="83" t="s">
        <v>267</v>
      </c>
      <c r="E33" s="136">
        <f>B5</f>
        <v>1</v>
      </c>
      <c r="F33" s="52" t="s">
        <v>344</v>
      </c>
      <c r="G33" s="52" t="s">
        <v>404</v>
      </c>
      <c r="H33" s="138">
        <f>B58</f>
        <v>0.71</v>
      </c>
      <c r="I33" s="52" t="s">
        <v>89</v>
      </c>
      <c r="J33" s="83" t="s">
        <v>379</v>
      </c>
      <c r="K33" s="141">
        <f>B53</f>
        <v>1</v>
      </c>
      <c r="L33" s="92" t="s">
        <v>60</v>
      </c>
      <c r="M33" s="52" t="s">
        <v>408</v>
      </c>
      <c r="N33" s="150">
        <f>B78</f>
        <v>1.752</v>
      </c>
      <c r="O33" s="52" t="s">
        <v>194</v>
      </c>
      <c r="P33" s="52" t="s">
        <v>408</v>
      </c>
      <c r="Q33" s="150">
        <f>B78</f>
        <v>1.752</v>
      </c>
      <c r="R33" s="52" t="s">
        <v>194</v>
      </c>
      <c r="V33" s="52" t="s">
        <v>247</v>
      </c>
      <c r="W33" s="139">
        <f>B6</f>
        <v>1.5417408700798101E-4</v>
      </c>
      <c r="X33" s="84" t="s">
        <v>39</v>
      </c>
      <c r="Y33" s="52" t="s">
        <v>247</v>
      </c>
      <c r="Z33" s="139">
        <f>B6</f>
        <v>1.5417408700798101E-4</v>
      </c>
      <c r="AA33" s="84" t="s">
        <v>39</v>
      </c>
      <c r="AB33" s="104" t="s">
        <v>103</v>
      </c>
      <c r="AC33" s="136"/>
      <c r="AD33" s="136"/>
      <c r="AE33" s="136"/>
      <c r="AF33" s="157">
        <f>B20</f>
        <v>776129.4078035407</v>
      </c>
      <c r="AG33" s="136"/>
      <c r="AH33" s="104" t="s">
        <v>78</v>
      </c>
      <c r="AI33" s="52" t="s">
        <v>57</v>
      </c>
      <c r="AJ33" s="136">
        <f>B250</f>
        <v>0</v>
      </c>
      <c r="AK33" s="52" t="s">
        <v>194</v>
      </c>
      <c r="AL33" s="52" t="s">
        <v>57</v>
      </c>
      <c r="AM33" s="136">
        <f>B250</f>
        <v>0</v>
      </c>
      <c r="AN33" s="52" t="s">
        <v>194</v>
      </c>
      <c r="AR33" s="52" t="s">
        <v>57</v>
      </c>
      <c r="AS33" s="136">
        <f>B262</f>
        <v>8</v>
      </c>
      <c r="AT33" s="52" t="s">
        <v>194</v>
      </c>
      <c r="AU33" s="52" t="s">
        <v>57</v>
      </c>
      <c r="AV33" s="136">
        <f>B262</f>
        <v>8</v>
      </c>
      <c r="AW33" s="52" t="s">
        <v>194</v>
      </c>
      <c r="BA33" s="52" t="s">
        <v>58</v>
      </c>
      <c r="BB33" s="136">
        <f>B238</f>
        <v>8</v>
      </c>
      <c r="BC33" s="52" t="s">
        <v>194</v>
      </c>
      <c r="BD33" s="52" t="s">
        <v>57</v>
      </c>
      <c r="BE33" s="136">
        <f>B238</f>
        <v>8</v>
      </c>
      <c r="BF33" s="52" t="s">
        <v>194</v>
      </c>
      <c r="BJ33" s="52" t="s">
        <v>411</v>
      </c>
      <c r="BK33" s="136">
        <f>B282</f>
        <v>0.46460000000000001</v>
      </c>
      <c r="BM33" s="52" t="s">
        <v>418</v>
      </c>
      <c r="BN33" s="136">
        <f>B286</f>
        <v>0.72629999999999995</v>
      </c>
      <c r="BS33" s="91"/>
      <c r="BT33" s="99"/>
      <c r="BU33" s="100"/>
      <c r="BW33" s="90"/>
      <c r="BZ33" s="146">
        <v>1000</v>
      </c>
      <c r="CA33" s="52" t="s">
        <v>23</v>
      </c>
      <c r="CM33" s="83"/>
      <c r="CN33" s="91" t="s">
        <v>231</v>
      </c>
      <c r="CO33" s="136">
        <f>B18</f>
        <v>30.167100000000001</v>
      </c>
      <c r="CP33" s="52" t="s">
        <v>60</v>
      </c>
      <c r="CR33" s="83"/>
      <c r="CS33" s="83"/>
      <c r="CT33" s="83" t="s">
        <v>363</v>
      </c>
      <c r="CU33" s="141">
        <f t="shared" ref="CU33:CU42" si="1">B170</f>
        <v>1</v>
      </c>
      <c r="CV33" s="92" t="s">
        <v>60</v>
      </c>
      <c r="CZ33" s="92" t="s">
        <v>513</v>
      </c>
      <c r="DA33" s="141">
        <f t="shared" si="0"/>
        <v>41.7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B82</f>
        <v>70</v>
      </c>
    </row>
    <row r="34" spans="1:214" ht="12.75" customHeight="1" x14ac:dyDescent="0.2">
      <c r="A34" s="84" t="s">
        <v>21</v>
      </c>
      <c r="B34" s="181">
        <v>200</v>
      </c>
      <c r="C34" s="52" t="s">
        <v>11</v>
      </c>
      <c r="D34" s="83" t="s">
        <v>382</v>
      </c>
      <c r="E34" s="150">
        <f>B56</f>
        <v>350</v>
      </c>
      <c r="F34" s="83" t="s">
        <v>24</v>
      </c>
      <c r="G34" s="83" t="s">
        <v>383</v>
      </c>
      <c r="H34" s="150">
        <f>B59</f>
        <v>24</v>
      </c>
      <c r="I34" s="94" t="s">
        <v>194</v>
      </c>
      <c r="J34" s="83" t="s">
        <v>383</v>
      </c>
      <c r="K34" s="150">
        <f>B59</f>
        <v>24</v>
      </c>
      <c r="L34" s="94" t="s">
        <v>194</v>
      </c>
      <c r="M34" s="52" t="s">
        <v>410</v>
      </c>
      <c r="N34" s="139">
        <f>B11</f>
        <v>0.64061199999999996</v>
      </c>
      <c r="O34" s="84" t="s">
        <v>354</v>
      </c>
      <c r="P34" s="52" t="s">
        <v>419</v>
      </c>
      <c r="Q34" s="139">
        <f>B13</f>
        <v>1.817564</v>
      </c>
      <c r="R34" s="84" t="s">
        <v>353</v>
      </c>
      <c r="V34" s="52" t="s">
        <v>421</v>
      </c>
      <c r="W34" s="150">
        <f>B251</f>
        <v>8</v>
      </c>
      <c r="X34" s="84" t="s">
        <v>194</v>
      </c>
      <c r="Y34" s="52" t="s">
        <v>192</v>
      </c>
      <c r="Z34" s="150">
        <f>B274</f>
        <v>8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B21</f>
        <v>69557565.807898715</v>
      </c>
      <c r="AH34" s="104" t="s">
        <v>78</v>
      </c>
      <c r="AI34" s="52" t="s">
        <v>410</v>
      </c>
      <c r="AJ34" s="139">
        <f>B11</f>
        <v>0.64061199999999996</v>
      </c>
      <c r="AK34" s="84" t="s">
        <v>353</v>
      </c>
      <c r="AL34" s="52" t="s">
        <v>419</v>
      </c>
      <c r="AM34" s="139">
        <f>B13</f>
        <v>1.817564</v>
      </c>
      <c r="AN34" s="84" t="s">
        <v>353</v>
      </c>
      <c r="AR34" s="52" t="s">
        <v>410</v>
      </c>
      <c r="AS34" s="139">
        <f>B11</f>
        <v>0.64061199999999996</v>
      </c>
      <c r="AT34" s="84" t="s">
        <v>353</v>
      </c>
      <c r="AU34" s="52" t="s">
        <v>419</v>
      </c>
      <c r="AV34" s="139">
        <f>B13</f>
        <v>1.817564</v>
      </c>
      <c r="AW34" s="84" t="s">
        <v>353</v>
      </c>
      <c r="BA34" s="52" t="s">
        <v>410</v>
      </c>
      <c r="BB34" s="139">
        <f>B11</f>
        <v>0.64061199999999996</v>
      </c>
      <c r="BC34" s="84" t="s">
        <v>353</v>
      </c>
      <c r="BD34" s="52" t="s">
        <v>419</v>
      </c>
      <c r="BE34" s="139">
        <f>B13</f>
        <v>1.817564</v>
      </c>
      <c r="BF34" s="84" t="s">
        <v>353</v>
      </c>
      <c r="BJ34" s="52" t="s">
        <v>57</v>
      </c>
      <c r="BK34" s="136">
        <f>B274</f>
        <v>8</v>
      </c>
      <c r="BL34" s="52" t="s">
        <v>194</v>
      </c>
      <c r="BM34" s="52" t="s">
        <v>57</v>
      </c>
      <c r="BN34" s="136">
        <f>B274</f>
        <v>8</v>
      </c>
      <c r="BO34" s="52" t="s">
        <v>194</v>
      </c>
      <c r="BT34" s="102"/>
      <c r="BU34" s="91"/>
      <c r="BY34" s="91" t="s">
        <v>308</v>
      </c>
      <c r="BZ34" s="146">
        <f>B101</f>
        <v>0.23</v>
      </c>
      <c r="CM34" s="83"/>
      <c r="CN34" s="84" t="s">
        <v>16</v>
      </c>
      <c r="CO34" s="137">
        <f>(CO31*CO32)/(1-EXP(-CO32*CO31))</f>
        <v>1.0115299987062558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125.7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B33</f>
        <v>10</v>
      </c>
    </row>
    <row r="35" spans="1:214" ht="13.15" customHeight="1" x14ac:dyDescent="0.2">
      <c r="A35" s="52" t="s">
        <v>393</v>
      </c>
      <c r="B35" s="131">
        <v>0.26</v>
      </c>
      <c r="D35" s="83" t="s">
        <v>258</v>
      </c>
      <c r="E35" s="136">
        <f>B17</f>
        <v>4.9109405245458101E-5</v>
      </c>
      <c r="F35" s="83" t="s">
        <v>87</v>
      </c>
      <c r="G35" s="83" t="s">
        <v>384</v>
      </c>
      <c r="H35" s="150">
        <f>B59</f>
        <v>24</v>
      </c>
      <c r="I35" s="52" t="s">
        <v>194</v>
      </c>
      <c r="J35" s="83" t="s">
        <v>384</v>
      </c>
      <c r="K35" s="150">
        <f>B59</f>
        <v>24</v>
      </c>
      <c r="L35" s="52" t="s">
        <v>194</v>
      </c>
      <c r="M35" s="52" t="s">
        <v>409</v>
      </c>
      <c r="N35" s="150">
        <f>B79</f>
        <v>16.416</v>
      </c>
      <c r="O35" s="52" t="s">
        <v>194</v>
      </c>
      <c r="P35" s="52" t="s">
        <v>409</v>
      </c>
      <c r="Q35" s="150">
        <f>B79</f>
        <v>16.416</v>
      </c>
      <c r="R35" s="52" t="s">
        <v>194</v>
      </c>
      <c r="V35" s="52" t="s">
        <v>304</v>
      </c>
      <c r="W35" s="146">
        <f>B242</f>
        <v>60</v>
      </c>
      <c r="X35" s="84" t="s">
        <v>407</v>
      </c>
      <c r="Y35" s="52" t="s">
        <v>348</v>
      </c>
      <c r="Z35" s="146">
        <f>B266</f>
        <v>60</v>
      </c>
      <c r="AA35" s="84" t="s">
        <v>407</v>
      </c>
      <c r="AI35" s="52" t="s">
        <v>69</v>
      </c>
      <c r="AJ35" s="136">
        <f>B251</f>
        <v>8</v>
      </c>
      <c r="AK35" s="52" t="s">
        <v>194</v>
      </c>
      <c r="AL35" s="52" t="s">
        <v>69</v>
      </c>
      <c r="AM35" s="136">
        <f>B251</f>
        <v>8</v>
      </c>
      <c r="AN35" s="52" t="s">
        <v>194</v>
      </c>
      <c r="AR35" s="52" t="s">
        <v>69</v>
      </c>
      <c r="AS35" s="136">
        <f>B263</f>
        <v>0</v>
      </c>
      <c r="AT35" s="52" t="s">
        <v>194</v>
      </c>
      <c r="AU35" s="52" t="s">
        <v>69</v>
      </c>
      <c r="AV35" s="136">
        <f>B263</f>
        <v>0</v>
      </c>
      <c r="AW35" s="52" t="s">
        <v>194</v>
      </c>
      <c r="BA35" s="52" t="s">
        <v>69</v>
      </c>
      <c r="BB35" s="136">
        <f>B239</f>
        <v>8</v>
      </c>
      <c r="BC35" s="52" t="s">
        <v>194</v>
      </c>
      <c r="BD35" s="52" t="s">
        <v>69</v>
      </c>
      <c r="BE35" s="136">
        <f>B239</f>
        <v>8</v>
      </c>
      <c r="BF35" s="52" t="s">
        <v>194</v>
      </c>
      <c r="BJ35" s="52" t="s">
        <v>410</v>
      </c>
      <c r="BK35" s="139">
        <f>B11</f>
        <v>0.64061199999999996</v>
      </c>
      <c r="BL35" s="84" t="s">
        <v>353</v>
      </c>
      <c r="BM35" s="52" t="s">
        <v>419</v>
      </c>
      <c r="BN35" s="139">
        <f>B13</f>
        <v>1.817564</v>
      </c>
      <c r="BO35" s="84" t="s">
        <v>353</v>
      </c>
      <c r="BY35" s="91" t="s">
        <v>309</v>
      </c>
      <c r="BZ35" s="146">
        <f>B102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B167</f>
        <v>350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B65</f>
        <v>0.5</v>
      </c>
      <c r="HF35" s="52" t="s">
        <v>355</v>
      </c>
    </row>
    <row r="36" spans="1:214" ht="12.75" customHeight="1" x14ac:dyDescent="0.2">
      <c r="A36" s="52" t="s">
        <v>392</v>
      </c>
      <c r="B36" s="131">
        <v>0.25</v>
      </c>
      <c r="D36" s="83" t="s">
        <v>389</v>
      </c>
      <c r="E36" s="146">
        <f>B80</f>
        <v>1</v>
      </c>
      <c r="G36" s="83" t="s">
        <v>405</v>
      </c>
      <c r="H36" s="138">
        <f>B66</f>
        <v>1</v>
      </c>
      <c r="I36" s="52" t="s">
        <v>80</v>
      </c>
      <c r="J36" s="83" t="s">
        <v>390</v>
      </c>
      <c r="K36" s="141">
        <f>B68</f>
        <v>0.25</v>
      </c>
      <c r="M36" s="121"/>
      <c r="N36" s="121"/>
      <c r="O36" s="121"/>
      <c r="P36" s="121"/>
      <c r="Q36" s="121"/>
      <c r="R36" s="121"/>
      <c r="V36" s="83" t="s">
        <v>256</v>
      </c>
      <c r="W36" s="136">
        <f>B15</f>
        <v>4763.3999999999996</v>
      </c>
      <c r="X36" s="83" t="s">
        <v>343</v>
      </c>
      <c r="Y36" s="83" t="s">
        <v>256</v>
      </c>
      <c r="Z36" s="136">
        <f>B15</f>
        <v>4763.3999999999996</v>
      </c>
      <c r="AA36" s="83" t="s">
        <v>343</v>
      </c>
      <c r="AE36" s="352" t="s">
        <v>226</v>
      </c>
      <c r="AF36" s="352"/>
      <c r="AG36" s="352"/>
      <c r="AI36" s="83"/>
      <c r="AJ36" s="83"/>
      <c r="AK36" s="83"/>
      <c r="AL36" s="83"/>
      <c r="AM36" s="83"/>
      <c r="AN36" s="83"/>
      <c r="AR36" s="83"/>
      <c r="AS36" s="83"/>
      <c r="AT36" s="83"/>
      <c r="AU36" s="83"/>
      <c r="AV36" s="83"/>
      <c r="AW36" s="83"/>
      <c r="BA36" s="83"/>
      <c r="BB36" s="83"/>
      <c r="BC36" s="83"/>
      <c r="BD36" s="83"/>
      <c r="BE36" s="83"/>
      <c r="BF36" s="83"/>
      <c r="BS36" s="100"/>
      <c r="BT36" s="100"/>
      <c r="BU36" s="91"/>
      <c r="BZ36" s="90"/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B168</f>
        <v>350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B87</f>
        <v>5</v>
      </c>
      <c r="HF36" s="52" t="s">
        <v>94</v>
      </c>
    </row>
    <row r="37" spans="1:214" ht="12.75" customHeight="1" x14ac:dyDescent="0.2">
      <c r="A37" s="381" t="s">
        <v>2</v>
      </c>
      <c r="B37" s="382"/>
      <c r="C37" s="383"/>
      <c r="D37" s="83" t="s">
        <v>394</v>
      </c>
      <c r="E37" s="146">
        <f>B44</f>
        <v>54</v>
      </c>
      <c r="F37" s="52" t="s">
        <v>48</v>
      </c>
      <c r="G37" s="83" t="s">
        <v>406</v>
      </c>
      <c r="H37" s="138">
        <f>B67</f>
        <v>1</v>
      </c>
      <c r="I37" s="52" t="s">
        <v>80</v>
      </c>
      <c r="J37" s="83" t="s">
        <v>408</v>
      </c>
      <c r="K37" s="150">
        <f>B78</f>
        <v>1.752</v>
      </c>
      <c r="L37" s="84" t="s">
        <v>194</v>
      </c>
      <c r="V37" s="83" t="s">
        <v>301</v>
      </c>
      <c r="W37" s="142">
        <f>B246</f>
        <v>1</v>
      </c>
      <c r="Y37" s="83" t="s">
        <v>301</v>
      </c>
      <c r="Z37" s="142">
        <f>B270</f>
        <v>1</v>
      </c>
      <c r="AE37" s="352"/>
      <c r="AF37" s="352"/>
      <c r="AG37" s="352"/>
      <c r="BK37" s="352" t="s">
        <v>230</v>
      </c>
      <c r="BL37" s="352"/>
      <c r="BM37" s="352"/>
      <c r="BN37" s="352"/>
      <c r="BO37" s="352"/>
      <c r="BS37" s="91"/>
      <c r="BT37" s="91"/>
      <c r="BU37" s="91"/>
      <c r="BZ37" s="90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12.167999999999999</v>
      </c>
      <c r="CV37" s="84" t="s">
        <v>194</v>
      </c>
      <c r="CZ37" s="92" t="s">
        <v>363</v>
      </c>
      <c r="DA37" s="141">
        <f>B170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4.25" x14ac:dyDescent="0.2">
      <c r="A38" s="83" t="s">
        <v>366</v>
      </c>
      <c r="B38" s="130">
        <v>10</v>
      </c>
      <c r="C38" s="92" t="s">
        <v>407</v>
      </c>
      <c r="D38" s="83" t="s">
        <v>260</v>
      </c>
      <c r="E38" s="152">
        <f>E33/(E35*E34*E37*E36)</f>
        <v>1.0773914415293455</v>
      </c>
      <c r="F38" s="84" t="s">
        <v>10</v>
      </c>
      <c r="H38" s="138">
        <f>1/1000</f>
        <v>1E-3</v>
      </c>
      <c r="I38" s="52" t="s">
        <v>82</v>
      </c>
      <c r="J38" s="83" t="s">
        <v>409</v>
      </c>
      <c r="K38" s="150">
        <f>B79</f>
        <v>16.416</v>
      </c>
      <c r="L38" s="84" t="s">
        <v>194</v>
      </c>
      <c r="V38" s="52" t="s">
        <v>261</v>
      </c>
      <c r="W38" s="143">
        <f>(W27)/((W34/24)*W31*W32*W33*W35)</f>
        <v>1.2972348588621561</v>
      </c>
      <c r="X38" s="52" t="s">
        <v>15</v>
      </c>
      <c r="Y38" s="52" t="s">
        <v>261</v>
      </c>
      <c r="Z38" s="143">
        <f>(Z27)/((Z34/24)*Z31*Z32*Z33*Z35)</f>
        <v>1.2972348588621561</v>
      </c>
      <c r="AA38" s="52" t="s">
        <v>15</v>
      </c>
      <c r="AE38" s="352"/>
      <c r="AF38" s="352"/>
      <c r="AG38" s="352"/>
      <c r="BK38" s="352"/>
      <c r="BL38" s="352"/>
      <c r="BM38" s="352"/>
      <c r="BN38" s="352"/>
      <c r="BO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10.007999999999999</v>
      </c>
      <c r="CV38" s="84" t="s">
        <v>194</v>
      </c>
      <c r="CZ38" s="92" t="s">
        <v>364</v>
      </c>
      <c r="DA38" s="141">
        <f>B171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B88</f>
        <v>0.18</v>
      </c>
      <c r="HF38" s="52" t="s">
        <v>355</v>
      </c>
    </row>
    <row r="39" spans="1:214" x14ac:dyDescent="0.2">
      <c r="A39" s="83" t="s">
        <v>367</v>
      </c>
      <c r="B39" s="130">
        <v>20</v>
      </c>
      <c r="C39" s="92" t="s">
        <v>407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(W27)/((W34/24)*W31*W36*(1/365))</f>
        <v>9.1951127346013358E-4</v>
      </c>
      <c r="X39" s="52" t="s">
        <v>15</v>
      </c>
      <c r="Y39" s="52" t="s">
        <v>271</v>
      </c>
      <c r="Z39" s="144">
        <f>(Z27)/((Z34/24)*Z31*Z36*(1/365))</f>
        <v>9.1951127346013358E-4</v>
      </c>
      <c r="AA39" s="52" t="s">
        <v>15</v>
      </c>
      <c r="BK39" s="352"/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B172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B89</f>
        <v>55</v>
      </c>
      <c r="HF39" s="52" t="s">
        <v>97</v>
      </c>
    </row>
    <row r="40" spans="1:214" ht="15" customHeight="1" x14ac:dyDescent="0.2">
      <c r="A40" s="83" t="s">
        <v>368</v>
      </c>
      <c r="B40" s="130">
        <v>200</v>
      </c>
      <c r="C40" s="84" t="s">
        <v>48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(W27*W29*W28)/((W34/24)*(1-EXP(-W29*W32))*W33*W35*W31*W32)</f>
        <v>1.3121919751065465</v>
      </c>
      <c r="X40" s="52" t="s">
        <v>16</v>
      </c>
      <c r="Y40" s="52" t="s">
        <v>261</v>
      </c>
      <c r="Z40" s="144">
        <f>(Z27*Z29*Z28)/((Z34/24)*(1-EXP(-Z29*Z32))*Z33*Z35*Z31*Z32)</f>
        <v>1.3121919751065465</v>
      </c>
      <c r="AA40" s="52" t="s">
        <v>16</v>
      </c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0.4</v>
      </c>
      <c r="CZ40" s="92" t="s">
        <v>457</v>
      </c>
      <c r="DA40" s="141">
        <f>B181</f>
        <v>1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B90</f>
        <v>5</v>
      </c>
      <c r="HF40" s="52" t="s">
        <v>97</v>
      </c>
    </row>
    <row r="41" spans="1:214" ht="13.5" thickBot="1" x14ac:dyDescent="0.25">
      <c r="A41" s="83" t="s">
        <v>369</v>
      </c>
      <c r="B41" s="130">
        <v>100</v>
      </c>
      <c r="C41" s="84" t="s">
        <v>48</v>
      </c>
      <c r="G41" s="83" t="s">
        <v>390</v>
      </c>
      <c r="H41" s="141">
        <f>B68</f>
        <v>0.25</v>
      </c>
      <c r="I41" s="84"/>
      <c r="J41" s="83" t="s">
        <v>302</v>
      </c>
      <c r="K41" s="141">
        <v>1</v>
      </c>
      <c r="V41" s="52" t="s">
        <v>271</v>
      </c>
      <c r="W41" s="145">
        <f>(W27*W29*W28)/((W34/24)*(1-EXP(-W29*W28))*W36*W31*(1/365))</f>
        <v>9.3011323725351663E-4</v>
      </c>
      <c r="X41" s="52" t="s">
        <v>16</v>
      </c>
      <c r="Y41" s="52" t="s">
        <v>271</v>
      </c>
      <c r="Z41" s="145">
        <f>(Z27*Z29*Z28)/((Z34/24)*(1-EXP(-Z29*Z28))*Z36*Z31*(1/365))</f>
        <v>9.3011323725351663E-4</v>
      </c>
      <c r="AA41" s="52" t="s">
        <v>16</v>
      </c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41">
        <f t="shared" si="1"/>
        <v>1</v>
      </c>
      <c r="CZ41" s="92" t="s">
        <v>466</v>
      </c>
      <c r="DA41" s="141">
        <f>B182</f>
        <v>1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B91</f>
        <v>5</v>
      </c>
      <c r="HF41" s="52" t="s">
        <v>97</v>
      </c>
    </row>
    <row r="42" spans="1:214" ht="13.9" customHeight="1" thickTop="1" thickBot="1" x14ac:dyDescent="0.25">
      <c r="A42" s="83" t="s">
        <v>370</v>
      </c>
      <c r="B42" s="130">
        <v>0.78</v>
      </c>
      <c r="C42" s="83" t="s">
        <v>28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41">
        <v>1</v>
      </c>
      <c r="Y42" s="52" t="s">
        <v>220</v>
      </c>
      <c r="Z42" s="138">
        <f>B278</f>
        <v>50</v>
      </c>
      <c r="AA42" s="52" t="s">
        <v>113</v>
      </c>
      <c r="AI42" s="104"/>
      <c r="AJ42" s="104"/>
      <c r="AK42" s="104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41">
        <f t="shared" si="1"/>
        <v>1</v>
      </c>
      <c r="CW42" s="84"/>
      <c r="CX42" s="84"/>
      <c r="CY42" s="84"/>
      <c r="CZ42" s="52" t="s">
        <v>477</v>
      </c>
      <c r="DA42" s="141">
        <f>B183</f>
        <v>0.54</v>
      </c>
      <c r="DB42" s="92" t="s">
        <v>358</v>
      </c>
      <c r="DW42" s="88"/>
      <c r="DX42" s="88"/>
      <c r="DY42" s="88"/>
      <c r="DZ42" s="88"/>
      <c r="HD42" s="52" t="s">
        <v>225</v>
      </c>
      <c r="HE42" s="138">
        <f>1+((HE35*HE36*HE37)/(HE38*HE39))</f>
        <v>3.1605966718331597</v>
      </c>
    </row>
    <row r="43" spans="1:214" ht="13.15" customHeight="1" x14ac:dyDescent="0.2">
      <c r="A43" s="83" t="s">
        <v>371</v>
      </c>
      <c r="B43" s="130">
        <v>2.5</v>
      </c>
      <c r="C43" s="52" t="s">
        <v>28</v>
      </c>
      <c r="D43" s="323" t="s">
        <v>530</v>
      </c>
      <c r="E43" s="347">
        <f>E53</f>
        <v>0.43095657661173825</v>
      </c>
      <c r="F43" s="345" t="s">
        <v>11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Y43" s="52" t="s">
        <v>219</v>
      </c>
      <c r="Z43" s="138">
        <f>B277</f>
        <v>5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B184</f>
        <v>0.71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83" t="s">
        <v>310</v>
      </c>
      <c r="B44" s="130">
        <v>54</v>
      </c>
      <c r="C44" s="52" t="s">
        <v>48</v>
      </c>
      <c r="D44" s="324"/>
      <c r="E44" s="348"/>
      <c r="F44" s="346"/>
      <c r="G44" s="52" t="s">
        <v>19</v>
      </c>
      <c r="H44" s="136">
        <f>H46</f>
        <v>2.5229999999999999E-2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2.75" customHeight="1" thickTop="1" x14ac:dyDescent="0.2">
      <c r="A45" s="83" t="s">
        <v>372</v>
      </c>
      <c r="B45" s="130">
        <v>68.099999999999994</v>
      </c>
      <c r="C45" s="92" t="s">
        <v>221</v>
      </c>
      <c r="D45" s="83" t="s">
        <v>267</v>
      </c>
      <c r="E45" s="136">
        <f>B5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B185</f>
        <v>0.5</v>
      </c>
      <c r="DB45" s="92" t="s">
        <v>145</v>
      </c>
      <c r="DW45" s="88"/>
      <c r="DX45" s="88"/>
      <c r="DY45" s="88"/>
      <c r="DZ45" s="88"/>
    </row>
    <row r="46" spans="1:214" x14ac:dyDescent="0.2">
      <c r="A46" s="83" t="s">
        <v>373</v>
      </c>
      <c r="B46" s="130">
        <v>188.5</v>
      </c>
      <c r="C46" s="92" t="s">
        <v>221</v>
      </c>
      <c r="D46" s="83" t="s">
        <v>382</v>
      </c>
      <c r="E46" s="150">
        <f>B56</f>
        <v>350</v>
      </c>
      <c r="F46" s="83" t="s">
        <v>24</v>
      </c>
      <c r="G46" s="84" t="s">
        <v>32</v>
      </c>
      <c r="H46" s="139">
        <f>B31</f>
        <v>2.5229999999999999E-2</v>
      </c>
      <c r="K46" s="146">
        <v>1000</v>
      </c>
      <c r="L46" s="52" t="s">
        <v>23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83" t="s">
        <v>374</v>
      </c>
      <c r="B47" s="130">
        <v>41.7</v>
      </c>
      <c r="C47" s="92" t="s">
        <v>221</v>
      </c>
      <c r="D47" s="83" t="s">
        <v>258</v>
      </c>
      <c r="E47" s="136">
        <f>B17</f>
        <v>4.9109405245458101E-5</v>
      </c>
      <c r="F47" s="83" t="s">
        <v>87</v>
      </c>
      <c r="G47" s="83" t="s">
        <v>393</v>
      </c>
      <c r="H47" s="142">
        <f>B35</f>
        <v>0.26</v>
      </c>
      <c r="J47" s="52" t="s">
        <v>19</v>
      </c>
      <c r="K47" s="136">
        <f>K49</f>
        <v>2.5229999999999999E-2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B165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83" t="s">
        <v>375</v>
      </c>
      <c r="B48" s="130">
        <v>128.9</v>
      </c>
      <c r="C48" s="92" t="s">
        <v>221</v>
      </c>
      <c r="D48" s="83" t="s">
        <v>379</v>
      </c>
      <c r="E48" s="146">
        <f>B53</f>
        <v>1</v>
      </c>
      <c r="F48" s="52" t="s">
        <v>60</v>
      </c>
      <c r="G48" s="52" t="s">
        <v>17</v>
      </c>
      <c r="H48" s="137">
        <f>((H51*H52*H53)*((1-EXP(-H54*H55))))/(H56*H54)</f>
        <v>0.66271991443607436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B166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83" t="s">
        <v>376</v>
      </c>
      <c r="B49" s="130">
        <v>0.23</v>
      </c>
      <c r="D49" s="83" t="s">
        <v>394</v>
      </c>
      <c r="E49" s="146">
        <f>B44</f>
        <v>54</v>
      </c>
      <c r="F49" s="52" t="s">
        <v>48</v>
      </c>
      <c r="G49" s="52" t="s">
        <v>25</v>
      </c>
      <c r="H49" s="137">
        <f>(H51*H52*H57*((1-EXP(-H54*H55))))/(H56*H54)</f>
        <v>6.8294561138874093</v>
      </c>
      <c r="I49" s="52" t="s">
        <v>18</v>
      </c>
      <c r="J49" s="84" t="s">
        <v>32</v>
      </c>
      <c r="K49" s="139">
        <f>B31</f>
        <v>2.5229999999999999E-2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Z49" s="83" t="s">
        <v>475</v>
      </c>
      <c r="DA49" s="146">
        <f>B165</f>
        <v>0.15</v>
      </c>
      <c r="DW49" s="88"/>
      <c r="DX49" s="88"/>
      <c r="DY49" s="88"/>
      <c r="DZ49" s="88"/>
    </row>
    <row r="50" spans="1:130" x14ac:dyDescent="0.2">
      <c r="A50" s="83" t="s">
        <v>377</v>
      </c>
      <c r="B50" s="130">
        <v>0.77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3.6385364930662121</v>
      </c>
      <c r="I50" s="52" t="s">
        <v>18</v>
      </c>
      <c r="J50" s="83" t="s">
        <v>393</v>
      </c>
      <c r="K50" s="142">
        <f>B35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Z50" s="83" t="s">
        <v>476</v>
      </c>
      <c r="DA50" s="146">
        <f>B166</f>
        <v>0.85</v>
      </c>
      <c r="DW50" s="88"/>
      <c r="DX50" s="88"/>
      <c r="DY50" s="88"/>
      <c r="DZ50" s="88"/>
    </row>
    <row r="51" spans="1:130" x14ac:dyDescent="0.2">
      <c r="A51" s="52" t="s">
        <v>378</v>
      </c>
      <c r="B51" s="131">
        <v>1</v>
      </c>
      <c r="C51" s="52" t="s">
        <v>60</v>
      </c>
      <c r="D51" s="83" t="s">
        <v>105</v>
      </c>
      <c r="E51" s="150">
        <f>B23</f>
        <v>2500</v>
      </c>
      <c r="F51" s="84" t="s">
        <v>18</v>
      </c>
      <c r="G51" s="83" t="s">
        <v>36</v>
      </c>
      <c r="H51" s="138">
        <f>B69</f>
        <v>3.62</v>
      </c>
      <c r="I51" s="52" t="s">
        <v>37</v>
      </c>
      <c r="J51" s="83" t="s">
        <v>376</v>
      </c>
      <c r="K51" s="146">
        <f>B49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DW51" s="88"/>
      <c r="DX51" s="88"/>
      <c r="DY51" s="88"/>
      <c r="DZ51" s="88"/>
    </row>
    <row r="52" spans="1:130" x14ac:dyDescent="0.2">
      <c r="A52" s="52" t="s">
        <v>448</v>
      </c>
      <c r="B52" s="131">
        <v>1</v>
      </c>
      <c r="C52" s="52" t="s">
        <v>60</v>
      </c>
      <c r="D52" s="83" t="s">
        <v>107</v>
      </c>
      <c r="E52" s="138">
        <f>B64</f>
        <v>1</v>
      </c>
      <c r="F52" s="84" t="s">
        <v>108</v>
      </c>
      <c r="G52" s="83" t="s">
        <v>40</v>
      </c>
      <c r="H52" s="138">
        <f>B70</f>
        <v>0.25</v>
      </c>
      <c r="I52" s="52" t="s">
        <v>41</v>
      </c>
      <c r="J52" s="83" t="s">
        <v>377</v>
      </c>
      <c r="K52" s="146">
        <f>B50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DW52" s="88"/>
      <c r="DX52" s="88"/>
      <c r="DY52" s="88"/>
      <c r="DZ52" s="88"/>
    </row>
    <row r="53" spans="1:130" x14ac:dyDescent="0.2">
      <c r="A53" s="52" t="s">
        <v>379</v>
      </c>
      <c r="B53" s="131">
        <v>1</v>
      </c>
      <c r="C53" s="52" t="s">
        <v>60</v>
      </c>
      <c r="D53" s="83" t="s">
        <v>260</v>
      </c>
      <c r="E53" s="152">
        <f>E45/(E47*E46*E48*E49*E51*E52*(1/E50))</f>
        <v>0.43095657661173825</v>
      </c>
      <c r="F53" s="52" t="s">
        <v>11</v>
      </c>
      <c r="G53" s="92" t="s">
        <v>32</v>
      </c>
      <c r="H53" s="136">
        <f>B31</f>
        <v>2.5229999999999999E-2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52" t="s">
        <v>380</v>
      </c>
      <c r="B54" s="131">
        <v>350</v>
      </c>
      <c r="C54" s="83" t="s">
        <v>24</v>
      </c>
      <c r="D54" s="95" t="s">
        <v>287</v>
      </c>
      <c r="E54" s="176">
        <v>27.027027027027</v>
      </c>
      <c r="G54" s="92" t="s">
        <v>49</v>
      </c>
      <c r="H54" s="137">
        <f>H62+H63</f>
        <v>8.993711152170084E-5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52" t="s">
        <v>381</v>
      </c>
      <c r="B55" s="131">
        <v>350</v>
      </c>
      <c r="C55" s="83" t="s">
        <v>24</v>
      </c>
      <c r="G55" s="92" t="s">
        <v>52</v>
      </c>
      <c r="H55" s="138">
        <f>B71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52" t="s">
        <v>382</v>
      </c>
      <c r="B56" s="131">
        <v>350</v>
      </c>
      <c r="C56" s="83" t="s">
        <v>24</v>
      </c>
      <c r="G56" s="92" t="s">
        <v>55</v>
      </c>
      <c r="H56" s="138">
        <f>B72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52" t="s">
        <v>403</v>
      </c>
      <c r="B57" s="131">
        <v>0.54</v>
      </c>
      <c r="C57" s="52" t="s">
        <v>89</v>
      </c>
      <c r="G57" s="92" t="s">
        <v>393</v>
      </c>
      <c r="H57" s="138">
        <f>B35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52" t="s">
        <v>404</v>
      </c>
      <c r="B58" s="131">
        <v>0.71</v>
      </c>
      <c r="C58" s="52" t="s">
        <v>89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52" t="s">
        <v>385</v>
      </c>
      <c r="B59" s="131">
        <v>24</v>
      </c>
      <c r="C59" s="52" t="s">
        <v>194</v>
      </c>
      <c r="G59" s="92" t="s">
        <v>63</v>
      </c>
      <c r="H59" s="151">
        <f>H63+(0.693/H65)</f>
        <v>4.9562937111521696E-2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52" t="s">
        <v>318</v>
      </c>
      <c r="B60" s="131">
        <v>1</v>
      </c>
      <c r="G60" s="92" t="s">
        <v>67</v>
      </c>
      <c r="H60" s="142">
        <f>B73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52" t="s">
        <v>303</v>
      </c>
      <c r="B61" s="131">
        <v>0.4</v>
      </c>
      <c r="G61" s="92" t="s">
        <v>68</v>
      </c>
      <c r="H61" s="142">
        <f>B74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52" t="s">
        <v>302</v>
      </c>
      <c r="B62" s="131">
        <v>1</v>
      </c>
      <c r="G62" s="92" t="s">
        <v>70</v>
      </c>
      <c r="H62" s="138">
        <f>B75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386</v>
      </c>
      <c r="B63" s="131">
        <v>1</v>
      </c>
      <c r="G63" s="92" t="s">
        <v>71</v>
      </c>
      <c r="H63" s="137">
        <f>0.693/H67</f>
        <v>6.2937111521700834E-5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83" t="s">
        <v>107</v>
      </c>
      <c r="B64" s="131">
        <v>1</v>
      </c>
      <c r="C64" s="84" t="s">
        <v>108</v>
      </c>
      <c r="G64" s="92" t="s">
        <v>73</v>
      </c>
      <c r="H64" s="138">
        <f>B76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65</v>
      </c>
      <c r="B65" s="131">
        <v>0.5</v>
      </c>
      <c r="C65" s="52" t="s">
        <v>66</v>
      </c>
      <c r="G65" s="92" t="s">
        <v>74</v>
      </c>
      <c r="H65" s="138">
        <f>B77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79</v>
      </c>
      <c r="B66" s="131">
        <v>1</v>
      </c>
      <c r="C66" s="52" t="s">
        <v>80</v>
      </c>
      <c r="G66" s="52" t="s">
        <v>33</v>
      </c>
      <c r="H66" s="136">
        <f>B32</f>
        <v>2.9000000000000001E-2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81</v>
      </c>
      <c r="B67" s="131">
        <v>1</v>
      </c>
      <c r="C67" s="52" t="s">
        <v>80</v>
      </c>
      <c r="G67" s="83" t="s">
        <v>234</v>
      </c>
      <c r="H67" s="136">
        <f>B22</f>
        <v>11010.9915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390</v>
      </c>
      <c r="B68" s="131">
        <v>0.25</v>
      </c>
      <c r="G68" s="83" t="s">
        <v>376</v>
      </c>
      <c r="H68" s="146">
        <f>B49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83" t="s">
        <v>36</v>
      </c>
      <c r="B69" s="131">
        <v>3.62</v>
      </c>
      <c r="C69" s="52" t="s">
        <v>37</v>
      </c>
      <c r="G69" s="83" t="s">
        <v>377</v>
      </c>
      <c r="H69" s="146">
        <f>B50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83" t="s">
        <v>40</v>
      </c>
      <c r="B70" s="131">
        <v>0.25</v>
      </c>
      <c r="C70" s="52" t="s">
        <v>41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92" t="s">
        <v>52</v>
      </c>
      <c r="B71" s="131">
        <v>10950</v>
      </c>
      <c r="C71" s="52" t="s">
        <v>53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92" t="s">
        <v>55</v>
      </c>
      <c r="B72" s="131">
        <v>240</v>
      </c>
      <c r="C72" s="52" t="s">
        <v>56</v>
      </c>
      <c r="AF72" s="109"/>
      <c r="AG72" s="106"/>
      <c r="AH72" s="106"/>
      <c r="AI72" s="106"/>
      <c r="AJ72" s="106"/>
      <c r="AK72" s="106"/>
    </row>
    <row r="73" spans="1:105" x14ac:dyDescent="0.2">
      <c r="A73" s="92" t="s">
        <v>67</v>
      </c>
      <c r="B73" s="131">
        <v>60</v>
      </c>
      <c r="C73" s="83" t="s">
        <v>53</v>
      </c>
      <c r="AF73" s="109"/>
      <c r="AG73" s="106"/>
      <c r="AH73" s="106"/>
      <c r="AI73" s="106"/>
      <c r="AJ73" s="106"/>
      <c r="AK73" s="106"/>
    </row>
    <row r="74" spans="1:105" x14ac:dyDescent="0.2">
      <c r="A74" s="92" t="s">
        <v>68</v>
      </c>
      <c r="B74" s="131">
        <v>2</v>
      </c>
      <c r="C74" s="83" t="s">
        <v>56</v>
      </c>
      <c r="AF74" s="109"/>
      <c r="AG74" s="106"/>
      <c r="AH74" s="106"/>
      <c r="AI74" s="106"/>
      <c r="AJ74" s="106"/>
      <c r="AK74" s="106"/>
    </row>
    <row r="75" spans="1:105" x14ac:dyDescent="0.2">
      <c r="A75" s="92" t="s">
        <v>70</v>
      </c>
      <c r="B75" s="131">
        <v>2.6999999999999999E-5</v>
      </c>
      <c r="C75" s="52" t="s">
        <v>64</v>
      </c>
      <c r="AF75" s="108"/>
      <c r="AG75" s="106"/>
      <c r="AH75" s="106"/>
      <c r="AI75" s="106"/>
      <c r="AJ75" s="106"/>
      <c r="AK75" s="106"/>
    </row>
    <row r="76" spans="1:105" x14ac:dyDescent="0.2">
      <c r="A76" s="92" t="s">
        <v>73</v>
      </c>
      <c r="B76" s="131">
        <v>1</v>
      </c>
      <c r="C76" s="52" t="s">
        <v>41</v>
      </c>
      <c r="AF76" s="109"/>
      <c r="AG76" s="106"/>
      <c r="AH76" s="106"/>
      <c r="AI76" s="106"/>
      <c r="AJ76" s="106"/>
      <c r="AK76" s="106"/>
    </row>
    <row r="77" spans="1:105" x14ac:dyDescent="0.2">
      <c r="A77" s="92" t="s">
        <v>74</v>
      </c>
      <c r="B77" s="131">
        <v>14</v>
      </c>
      <c r="C77" s="52" t="s">
        <v>75</v>
      </c>
      <c r="AF77" s="109"/>
      <c r="AG77" s="106"/>
      <c r="AH77" s="106"/>
      <c r="AI77" s="106"/>
      <c r="AJ77" s="106"/>
      <c r="AK77" s="106"/>
    </row>
    <row r="78" spans="1:105" x14ac:dyDescent="0.2">
      <c r="A78" s="83" t="s">
        <v>408</v>
      </c>
      <c r="B78" s="130">
        <v>1.752</v>
      </c>
      <c r="C78" s="84" t="s">
        <v>194</v>
      </c>
      <c r="AF78" s="109"/>
      <c r="AG78" s="106"/>
      <c r="AH78" s="106"/>
      <c r="AI78" s="106"/>
      <c r="AJ78" s="106"/>
      <c r="AK78" s="106"/>
    </row>
    <row r="79" spans="1:105" ht="12.75" customHeight="1" x14ac:dyDescent="0.2">
      <c r="A79" s="83" t="s">
        <v>409</v>
      </c>
      <c r="B79" s="130">
        <v>16.416</v>
      </c>
      <c r="C79" s="84" t="s">
        <v>194</v>
      </c>
      <c r="AF79" s="109"/>
      <c r="AG79" s="106"/>
    </row>
    <row r="80" spans="1:105" x14ac:dyDescent="0.2">
      <c r="A80" s="83" t="s">
        <v>389</v>
      </c>
      <c r="B80" s="130">
        <v>1</v>
      </c>
      <c r="C80" s="84"/>
      <c r="AF80" s="109"/>
      <c r="AG80" s="106"/>
      <c r="AH80" s="106"/>
      <c r="AI80" s="106"/>
      <c r="AJ80" s="106"/>
      <c r="AK80" s="106"/>
    </row>
    <row r="81" spans="1:37" x14ac:dyDescent="0.2">
      <c r="A81" s="385" t="s">
        <v>387</v>
      </c>
      <c r="B81" s="385"/>
      <c r="C81" s="385"/>
      <c r="AF81" s="109"/>
      <c r="AG81" s="106"/>
      <c r="AH81" s="106"/>
      <c r="AI81" s="106"/>
      <c r="AJ81" s="106"/>
      <c r="AK81" s="106"/>
    </row>
    <row r="82" spans="1:37" x14ac:dyDescent="0.2">
      <c r="A82" s="52" t="s">
        <v>34</v>
      </c>
      <c r="B82" s="131">
        <v>70</v>
      </c>
      <c r="C82" s="52" t="s">
        <v>60</v>
      </c>
      <c r="AF82" s="109"/>
      <c r="AG82" s="106"/>
      <c r="AH82" s="106"/>
      <c r="AI82" s="106"/>
      <c r="AJ82" s="106"/>
      <c r="AK82" s="106"/>
    </row>
    <row r="83" spans="1:37" x14ac:dyDescent="0.2">
      <c r="A83" s="84" t="s">
        <v>38</v>
      </c>
      <c r="B83" s="131">
        <v>0.3</v>
      </c>
      <c r="C83" s="52" t="s">
        <v>391</v>
      </c>
      <c r="AF83" s="109"/>
      <c r="AG83" s="106"/>
      <c r="AH83" s="106"/>
      <c r="AI83" s="106"/>
      <c r="AJ83" s="106"/>
      <c r="AK83" s="106"/>
    </row>
    <row r="84" spans="1:37" x14ac:dyDescent="0.2">
      <c r="A84" s="84" t="s">
        <v>42</v>
      </c>
      <c r="B84" s="130">
        <v>1.5</v>
      </c>
      <c r="C84" s="52" t="s">
        <v>286</v>
      </c>
      <c r="AF84" s="108"/>
      <c r="AG84" s="106"/>
    </row>
    <row r="85" spans="1:37" x14ac:dyDescent="0.2">
      <c r="A85" s="84" t="s">
        <v>47</v>
      </c>
      <c r="B85" s="131">
        <v>1</v>
      </c>
      <c r="C85" s="52" t="s">
        <v>60</v>
      </c>
      <c r="AF85" s="108"/>
      <c r="AG85" s="106"/>
      <c r="AH85" s="106"/>
      <c r="AI85" s="106"/>
      <c r="AJ85" s="106"/>
      <c r="AK85" s="106"/>
    </row>
    <row r="86" spans="1:37" x14ac:dyDescent="0.2">
      <c r="A86" s="84" t="s">
        <v>225</v>
      </c>
      <c r="B86" s="130">
        <v>1</v>
      </c>
      <c r="AF86" s="108"/>
      <c r="AG86" s="106"/>
    </row>
    <row r="87" spans="1:37" x14ac:dyDescent="0.2">
      <c r="A87" s="52" t="s">
        <v>93</v>
      </c>
      <c r="B87" s="130">
        <v>5</v>
      </c>
      <c r="C87" s="52" t="s">
        <v>94</v>
      </c>
      <c r="AH87" s="108"/>
      <c r="AI87" s="108"/>
      <c r="AJ87" s="108"/>
      <c r="AK87" s="108"/>
    </row>
    <row r="88" spans="1:37" x14ac:dyDescent="0.2">
      <c r="A88" s="52" t="s">
        <v>98</v>
      </c>
      <c r="B88" s="130">
        <v>0.18</v>
      </c>
      <c r="C88" s="52" t="s">
        <v>355</v>
      </c>
    </row>
    <row r="89" spans="1:37" x14ac:dyDescent="0.2">
      <c r="A89" s="52" t="s">
        <v>100</v>
      </c>
      <c r="B89" s="130">
        <v>55</v>
      </c>
      <c r="C89" s="52" t="s">
        <v>97</v>
      </c>
    </row>
    <row r="90" spans="1:37" x14ac:dyDescent="0.2">
      <c r="A90" s="52" t="s">
        <v>101</v>
      </c>
      <c r="B90" s="130">
        <v>5</v>
      </c>
      <c r="C90" s="52" t="s">
        <v>97</v>
      </c>
    </row>
    <row r="91" spans="1:37" x14ac:dyDescent="0.2">
      <c r="A91" s="52" t="s">
        <v>102</v>
      </c>
      <c r="B91" s="130">
        <v>5</v>
      </c>
      <c r="C91" s="52" t="s">
        <v>97</v>
      </c>
    </row>
    <row r="92" spans="1:37" x14ac:dyDescent="0.2">
      <c r="A92" s="384" t="s">
        <v>5</v>
      </c>
      <c r="B92" s="384"/>
      <c r="C92" s="384"/>
    </row>
    <row r="93" spans="1:37" x14ac:dyDescent="0.2">
      <c r="A93" s="83" t="s">
        <v>429</v>
      </c>
      <c r="B93" s="131">
        <v>10</v>
      </c>
      <c r="C93" s="92" t="s">
        <v>407</v>
      </c>
    </row>
    <row r="94" spans="1:37" x14ac:dyDescent="0.2">
      <c r="A94" s="83" t="s">
        <v>430</v>
      </c>
      <c r="B94" s="131">
        <v>20</v>
      </c>
      <c r="C94" s="92" t="s">
        <v>407</v>
      </c>
    </row>
    <row r="95" spans="1:37" x14ac:dyDescent="0.2">
      <c r="A95" s="83" t="s">
        <v>439</v>
      </c>
      <c r="B95" s="130">
        <v>0.05</v>
      </c>
      <c r="C95" s="83" t="s">
        <v>357</v>
      </c>
    </row>
    <row r="96" spans="1:37" x14ac:dyDescent="0.2">
      <c r="A96" s="83" t="s">
        <v>438</v>
      </c>
      <c r="B96" s="130">
        <v>0.05</v>
      </c>
      <c r="C96" s="83" t="s">
        <v>357</v>
      </c>
    </row>
    <row r="97" spans="1:3" x14ac:dyDescent="0.2">
      <c r="A97" s="83" t="s">
        <v>441</v>
      </c>
      <c r="B97" s="131">
        <v>200</v>
      </c>
      <c r="C97" s="84" t="s">
        <v>48</v>
      </c>
    </row>
    <row r="98" spans="1:3" x14ac:dyDescent="0.2">
      <c r="A98" s="83" t="s">
        <v>442</v>
      </c>
      <c r="B98" s="131">
        <v>100</v>
      </c>
      <c r="C98" s="84" t="s">
        <v>48</v>
      </c>
    </row>
    <row r="99" spans="1:3" x14ac:dyDescent="0.2">
      <c r="A99" s="52" t="s">
        <v>159</v>
      </c>
      <c r="B99" s="131">
        <v>1</v>
      </c>
      <c r="C99" s="52" t="s">
        <v>221</v>
      </c>
    </row>
    <row r="100" spans="1:3" x14ac:dyDescent="0.2">
      <c r="A100" s="52" t="s">
        <v>160</v>
      </c>
      <c r="B100" s="131">
        <v>1</v>
      </c>
      <c r="C100" s="52" t="s">
        <v>221</v>
      </c>
    </row>
    <row r="101" spans="1:3" x14ac:dyDescent="0.2">
      <c r="A101" s="83" t="s">
        <v>308</v>
      </c>
      <c r="B101" s="130">
        <v>0.23</v>
      </c>
    </row>
    <row r="102" spans="1:3" x14ac:dyDescent="0.2">
      <c r="A102" s="83" t="s">
        <v>309</v>
      </c>
      <c r="B102" s="130">
        <v>0.77</v>
      </c>
    </row>
    <row r="103" spans="1:3" x14ac:dyDescent="0.2">
      <c r="A103" s="52" t="s">
        <v>140</v>
      </c>
      <c r="B103" s="131">
        <v>75</v>
      </c>
      <c r="C103" s="52" t="s">
        <v>24</v>
      </c>
    </row>
    <row r="104" spans="1:3" x14ac:dyDescent="0.2">
      <c r="A104" s="52" t="s">
        <v>433</v>
      </c>
      <c r="B104" s="131">
        <v>75</v>
      </c>
      <c r="C104" s="52" t="s">
        <v>24</v>
      </c>
    </row>
    <row r="105" spans="1:3" x14ac:dyDescent="0.2">
      <c r="A105" s="52" t="s">
        <v>434</v>
      </c>
      <c r="B105" s="131">
        <v>75</v>
      </c>
      <c r="C105" s="52" t="s">
        <v>24</v>
      </c>
    </row>
    <row r="106" spans="1:3" x14ac:dyDescent="0.2">
      <c r="A106" s="52" t="s">
        <v>431</v>
      </c>
      <c r="B106" s="130">
        <v>1</v>
      </c>
      <c r="C106" s="52" t="s">
        <v>194</v>
      </c>
    </row>
    <row r="107" spans="1:3" x14ac:dyDescent="0.2">
      <c r="A107" s="52" t="s">
        <v>432</v>
      </c>
      <c r="B107" s="130">
        <v>1</v>
      </c>
      <c r="C107" s="52" t="s">
        <v>194</v>
      </c>
    </row>
    <row r="108" spans="1:3" x14ac:dyDescent="0.2">
      <c r="A108" s="52" t="s">
        <v>90</v>
      </c>
      <c r="B108" s="131">
        <v>1</v>
      </c>
      <c r="C108" s="52" t="s">
        <v>194</v>
      </c>
    </row>
    <row r="109" spans="1:3" x14ac:dyDescent="0.2">
      <c r="A109" s="52" t="s">
        <v>443</v>
      </c>
      <c r="B109" s="131">
        <v>1</v>
      </c>
      <c r="C109" s="52" t="s">
        <v>89</v>
      </c>
    </row>
    <row r="110" spans="1:3" x14ac:dyDescent="0.2">
      <c r="A110" s="52" t="s">
        <v>444</v>
      </c>
      <c r="B110" s="131">
        <v>1</v>
      </c>
      <c r="C110" s="52" t="s">
        <v>89</v>
      </c>
    </row>
    <row r="111" spans="1:3" x14ac:dyDescent="0.2">
      <c r="A111" s="83" t="s">
        <v>301</v>
      </c>
      <c r="B111" s="131">
        <v>1</v>
      </c>
    </row>
    <row r="112" spans="1:3" x14ac:dyDescent="0.2">
      <c r="A112" s="83" t="s">
        <v>433</v>
      </c>
      <c r="B112" s="130">
        <v>45</v>
      </c>
      <c r="C112" s="83" t="s">
        <v>24</v>
      </c>
    </row>
    <row r="113" spans="1:3" x14ac:dyDescent="0.2">
      <c r="A113" s="83" t="s">
        <v>434</v>
      </c>
      <c r="B113" s="130">
        <v>45</v>
      </c>
      <c r="C113" s="83" t="s">
        <v>24</v>
      </c>
    </row>
    <row r="114" spans="1:3" x14ac:dyDescent="0.2">
      <c r="A114" s="83" t="s">
        <v>435</v>
      </c>
      <c r="B114" s="131">
        <v>1</v>
      </c>
      <c r="C114" s="52" t="s">
        <v>80</v>
      </c>
    </row>
    <row r="115" spans="1:3" x14ac:dyDescent="0.2">
      <c r="A115" s="83" t="s">
        <v>436</v>
      </c>
      <c r="B115" s="131">
        <v>1</v>
      </c>
      <c r="C115" s="52" t="s">
        <v>80</v>
      </c>
    </row>
    <row r="116" spans="1:3" x14ac:dyDescent="0.2">
      <c r="A116" s="83" t="s">
        <v>65</v>
      </c>
      <c r="B116" s="130">
        <v>0.5</v>
      </c>
      <c r="C116" s="52" t="s">
        <v>66</v>
      </c>
    </row>
    <row r="117" spans="1:3" x14ac:dyDescent="0.2">
      <c r="A117" s="52" t="s">
        <v>51</v>
      </c>
      <c r="B117" s="131">
        <v>1</v>
      </c>
      <c r="C117" s="52" t="s">
        <v>60</v>
      </c>
    </row>
    <row r="118" spans="1:3" x14ac:dyDescent="0.2">
      <c r="A118" s="52" t="s">
        <v>329</v>
      </c>
      <c r="B118" s="131">
        <v>8.5099999999999995E-2</v>
      </c>
    </row>
    <row r="119" spans="1:3" x14ac:dyDescent="0.2">
      <c r="A119" s="52" t="s">
        <v>330</v>
      </c>
      <c r="B119" s="131">
        <v>0.74150000000000005</v>
      </c>
    </row>
    <row r="120" spans="1:3" x14ac:dyDescent="0.2">
      <c r="A120" s="52" t="s">
        <v>331</v>
      </c>
      <c r="B120" s="131">
        <v>4.3290000000000002E-2</v>
      </c>
    </row>
    <row r="121" spans="1:3" x14ac:dyDescent="0.2">
      <c r="A121" s="52" t="s">
        <v>332</v>
      </c>
      <c r="B121" s="131">
        <v>0.65259999999999996</v>
      </c>
    </row>
    <row r="122" spans="1:3" x14ac:dyDescent="0.2">
      <c r="A122" s="52" t="s">
        <v>333</v>
      </c>
      <c r="B122" s="131">
        <v>5.0099999999999999E-2</v>
      </c>
    </row>
    <row r="123" spans="1:3" x14ac:dyDescent="0.2">
      <c r="A123" s="52" t="s">
        <v>334</v>
      </c>
      <c r="B123" s="131">
        <v>0.72629999999999995</v>
      </c>
    </row>
    <row r="124" spans="1:3" x14ac:dyDescent="0.2">
      <c r="A124" s="52" t="s">
        <v>335</v>
      </c>
      <c r="B124" s="131">
        <v>7.2400000000000006E-2</v>
      </c>
    </row>
    <row r="125" spans="1:3" x14ac:dyDescent="0.2">
      <c r="A125" s="52" t="s">
        <v>336</v>
      </c>
      <c r="B125" s="131">
        <v>0.73650000000000004</v>
      </c>
    </row>
    <row r="126" spans="1:3" x14ac:dyDescent="0.2">
      <c r="A126" s="52" t="s">
        <v>337</v>
      </c>
      <c r="B126" s="131">
        <v>2.6620000000000001E-2</v>
      </c>
    </row>
    <row r="127" spans="1:3" x14ac:dyDescent="0.2">
      <c r="A127" s="52" t="s">
        <v>338</v>
      </c>
      <c r="B127" s="131">
        <v>0.46460000000000001</v>
      </c>
    </row>
    <row r="128" spans="1:3" x14ac:dyDescent="0.2">
      <c r="A128" s="52" t="s">
        <v>159</v>
      </c>
      <c r="B128" s="130">
        <v>1</v>
      </c>
      <c r="C128" s="52" t="s">
        <v>221</v>
      </c>
    </row>
    <row r="129" spans="1:3" x14ac:dyDescent="0.2">
      <c r="A129" s="84" t="s">
        <v>164</v>
      </c>
      <c r="B129" s="130">
        <v>1</v>
      </c>
      <c r="C129" s="52" t="s">
        <v>246</v>
      </c>
    </row>
    <row r="130" spans="1:3" x14ac:dyDescent="0.2">
      <c r="A130" s="84" t="s">
        <v>161</v>
      </c>
      <c r="B130" s="130">
        <v>1</v>
      </c>
      <c r="C130" s="52" t="s">
        <v>246</v>
      </c>
    </row>
    <row r="131" spans="1:3" x14ac:dyDescent="0.2">
      <c r="A131" s="84" t="s">
        <v>162</v>
      </c>
      <c r="B131" s="130">
        <v>1</v>
      </c>
      <c r="C131" s="52" t="s">
        <v>41</v>
      </c>
    </row>
    <row r="132" spans="1:3" x14ac:dyDescent="0.2">
      <c r="A132" s="84" t="s">
        <v>163</v>
      </c>
      <c r="B132" s="130">
        <v>1</v>
      </c>
      <c r="C132" s="52" t="s">
        <v>41</v>
      </c>
    </row>
    <row r="133" spans="1:3" x14ac:dyDescent="0.2">
      <c r="A133" s="84" t="s">
        <v>169</v>
      </c>
      <c r="B133" s="130">
        <v>1</v>
      </c>
      <c r="C133" s="52" t="s">
        <v>28</v>
      </c>
    </row>
    <row r="134" spans="1:3" x14ac:dyDescent="0.2">
      <c r="A134" s="52" t="s">
        <v>160</v>
      </c>
      <c r="B134" s="130">
        <v>1</v>
      </c>
      <c r="C134" s="52" t="s">
        <v>221</v>
      </c>
    </row>
    <row r="135" spans="1:3" x14ac:dyDescent="0.2">
      <c r="A135" s="52" t="s">
        <v>165</v>
      </c>
      <c r="B135" s="130">
        <v>1</v>
      </c>
      <c r="C135" s="52" t="s">
        <v>246</v>
      </c>
    </row>
    <row r="136" spans="1:3" x14ac:dyDescent="0.2">
      <c r="A136" s="52" t="s">
        <v>166</v>
      </c>
      <c r="B136" s="130">
        <v>1</v>
      </c>
      <c r="C136" s="52" t="s">
        <v>246</v>
      </c>
    </row>
    <row r="137" spans="1:3" x14ac:dyDescent="0.2">
      <c r="A137" s="93" t="s">
        <v>167</v>
      </c>
      <c r="B137" s="130">
        <v>1</v>
      </c>
      <c r="C137" s="52" t="s">
        <v>41</v>
      </c>
    </row>
    <row r="138" spans="1:3" x14ac:dyDescent="0.2">
      <c r="A138" s="83" t="s">
        <v>168</v>
      </c>
      <c r="B138" s="130">
        <v>1</v>
      </c>
      <c r="C138" s="52" t="s">
        <v>41</v>
      </c>
    </row>
    <row r="139" spans="1:3" x14ac:dyDescent="0.2">
      <c r="A139" s="84" t="s">
        <v>170</v>
      </c>
      <c r="B139" s="130">
        <v>1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200</v>
      </c>
      <c r="C141" s="84" t="s">
        <v>48</v>
      </c>
    </row>
    <row r="142" spans="1:3" x14ac:dyDescent="0.2">
      <c r="A142" s="83" t="s">
        <v>458</v>
      </c>
      <c r="B142" s="130">
        <v>100</v>
      </c>
      <c r="C142" s="84" t="s">
        <v>48</v>
      </c>
    </row>
    <row r="143" spans="1:3" x14ac:dyDescent="0.2">
      <c r="A143" s="83" t="s">
        <v>450</v>
      </c>
      <c r="B143" s="130">
        <v>10</v>
      </c>
      <c r="C143" s="92" t="s">
        <v>407</v>
      </c>
    </row>
    <row r="144" spans="1:3" x14ac:dyDescent="0.2">
      <c r="A144" s="83" t="s">
        <v>459</v>
      </c>
      <c r="B144" s="130">
        <v>20</v>
      </c>
      <c r="C144" s="92" t="s">
        <v>407</v>
      </c>
    </row>
    <row r="145" spans="1:3" x14ac:dyDescent="0.2">
      <c r="A145" s="92" t="s">
        <v>451</v>
      </c>
      <c r="B145" s="131">
        <v>0.78</v>
      </c>
      <c r="C145" s="83" t="s">
        <v>28</v>
      </c>
    </row>
    <row r="146" spans="1:3" x14ac:dyDescent="0.2">
      <c r="A146" s="92" t="s">
        <v>460</v>
      </c>
      <c r="B146" s="131">
        <v>2.5</v>
      </c>
      <c r="C146" s="83" t="s">
        <v>28</v>
      </c>
    </row>
    <row r="147" spans="1:3" ht="15" x14ac:dyDescent="0.2">
      <c r="A147" s="92" t="s">
        <v>450</v>
      </c>
      <c r="B147" s="131">
        <v>10</v>
      </c>
      <c r="C147" s="83" t="s">
        <v>143</v>
      </c>
    </row>
    <row r="148" spans="1:3" ht="15" x14ac:dyDescent="0.2">
      <c r="A148" s="92" t="s">
        <v>459</v>
      </c>
      <c r="B148" s="131">
        <v>20</v>
      </c>
      <c r="C148" s="83" t="s">
        <v>143</v>
      </c>
    </row>
    <row r="149" spans="1:3" x14ac:dyDescent="0.2">
      <c r="A149" s="83" t="s">
        <v>467</v>
      </c>
      <c r="B149" s="130">
        <v>68.099999999999994</v>
      </c>
      <c r="C149" s="92" t="s">
        <v>221</v>
      </c>
    </row>
    <row r="150" spans="1:3" x14ac:dyDescent="0.2">
      <c r="A150" s="83" t="s">
        <v>468</v>
      </c>
      <c r="B150" s="130">
        <v>176.8</v>
      </c>
      <c r="C150" s="92" t="s">
        <v>221</v>
      </c>
    </row>
    <row r="151" spans="1:3" x14ac:dyDescent="0.2">
      <c r="A151" s="83" t="s">
        <v>469</v>
      </c>
      <c r="B151" s="130">
        <v>41.7</v>
      </c>
      <c r="C151" s="92" t="s">
        <v>221</v>
      </c>
    </row>
    <row r="152" spans="1:3" x14ac:dyDescent="0.2">
      <c r="A152" s="83" t="s">
        <v>470</v>
      </c>
      <c r="B152" s="130">
        <v>125.7</v>
      </c>
      <c r="C152" s="92" t="s">
        <v>221</v>
      </c>
    </row>
    <row r="153" spans="1:3" x14ac:dyDescent="0.2">
      <c r="A153" s="83" t="s">
        <v>452</v>
      </c>
      <c r="B153" s="130">
        <v>349.5</v>
      </c>
      <c r="C153" s="92" t="s">
        <v>221</v>
      </c>
    </row>
    <row r="154" spans="1:3" x14ac:dyDescent="0.2">
      <c r="A154" s="83" t="s">
        <v>461</v>
      </c>
      <c r="B154" s="130">
        <v>445.6</v>
      </c>
      <c r="C154" s="92" t="s">
        <v>221</v>
      </c>
    </row>
    <row r="155" spans="1:3" x14ac:dyDescent="0.2">
      <c r="A155" s="83" t="s">
        <v>453</v>
      </c>
      <c r="B155" s="132">
        <v>40.1</v>
      </c>
      <c r="C155" s="92" t="s">
        <v>221</v>
      </c>
    </row>
    <row r="156" spans="1:3" x14ac:dyDescent="0.2">
      <c r="A156" s="83" t="s">
        <v>462</v>
      </c>
      <c r="B156" s="132">
        <v>178</v>
      </c>
      <c r="C156" s="92" t="s">
        <v>221</v>
      </c>
    </row>
    <row r="157" spans="1:3" x14ac:dyDescent="0.2">
      <c r="A157" s="83" t="s">
        <v>454</v>
      </c>
      <c r="B157" s="133">
        <v>10.95</v>
      </c>
      <c r="C157" s="92" t="s">
        <v>221</v>
      </c>
    </row>
    <row r="158" spans="1:3" x14ac:dyDescent="0.2">
      <c r="A158" s="83" t="s">
        <v>463</v>
      </c>
      <c r="B158" s="132">
        <v>53.4</v>
      </c>
      <c r="C158" s="92" t="s">
        <v>221</v>
      </c>
    </row>
    <row r="159" spans="1:3" x14ac:dyDescent="0.2">
      <c r="A159" s="83" t="s">
        <v>471</v>
      </c>
      <c r="B159" s="130">
        <v>32.799999999999997</v>
      </c>
      <c r="C159" s="92" t="s">
        <v>221</v>
      </c>
    </row>
    <row r="160" spans="1:3" x14ac:dyDescent="0.2">
      <c r="A160" s="83" t="s">
        <v>472</v>
      </c>
      <c r="B160" s="130">
        <v>155.4</v>
      </c>
      <c r="C160" s="92" t="s">
        <v>221</v>
      </c>
    </row>
    <row r="161" spans="1:3" x14ac:dyDescent="0.2">
      <c r="A161" s="83" t="s">
        <v>473</v>
      </c>
      <c r="B161" s="132">
        <v>23.6</v>
      </c>
      <c r="C161" s="92" t="s">
        <v>221</v>
      </c>
    </row>
    <row r="162" spans="1:3" x14ac:dyDescent="0.2">
      <c r="A162" s="83" t="s">
        <v>474</v>
      </c>
      <c r="B162" s="132">
        <v>106.6</v>
      </c>
      <c r="C162" s="92" t="s">
        <v>221</v>
      </c>
    </row>
    <row r="163" spans="1:3" x14ac:dyDescent="0.2">
      <c r="A163" s="83" t="s">
        <v>455</v>
      </c>
      <c r="B163" s="130">
        <v>18.5</v>
      </c>
      <c r="C163" s="92" t="s">
        <v>221</v>
      </c>
    </row>
    <row r="164" spans="1:3" x14ac:dyDescent="0.2">
      <c r="A164" s="83" t="s">
        <v>464</v>
      </c>
      <c r="B164" s="130">
        <v>97.9</v>
      </c>
      <c r="C164" s="92" t="s">
        <v>221</v>
      </c>
    </row>
    <row r="165" spans="1:3" x14ac:dyDescent="0.2">
      <c r="A165" s="83" t="s">
        <v>475</v>
      </c>
      <c r="B165" s="130">
        <v>0.15</v>
      </c>
      <c r="C165" s="88"/>
    </row>
    <row r="166" spans="1:3" x14ac:dyDescent="0.2">
      <c r="A166" s="83" t="s">
        <v>476</v>
      </c>
      <c r="B166" s="130">
        <v>0.85</v>
      </c>
      <c r="C166" s="88"/>
    </row>
    <row r="167" spans="1:3" x14ac:dyDescent="0.2">
      <c r="A167" s="83" t="s">
        <v>456</v>
      </c>
      <c r="B167" s="130">
        <v>350</v>
      </c>
      <c r="C167" s="83" t="s">
        <v>24</v>
      </c>
    </row>
    <row r="168" spans="1:3" x14ac:dyDescent="0.2">
      <c r="A168" s="83" t="s">
        <v>465</v>
      </c>
      <c r="B168" s="130">
        <v>350</v>
      </c>
      <c r="C168" s="83" t="s">
        <v>24</v>
      </c>
    </row>
    <row r="169" spans="1:3" x14ac:dyDescent="0.2">
      <c r="A169" s="52" t="s">
        <v>362</v>
      </c>
      <c r="B169" s="131">
        <v>350</v>
      </c>
      <c r="C169" s="83" t="s">
        <v>24</v>
      </c>
    </row>
    <row r="170" spans="1:3" x14ac:dyDescent="0.2">
      <c r="A170" s="83" t="s">
        <v>363</v>
      </c>
      <c r="B170" s="130">
        <v>1</v>
      </c>
      <c r="C170" s="92" t="s">
        <v>60</v>
      </c>
    </row>
    <row r="171" spans="1:3" x14ac:dyDescent="0.2">
      <c r="A171" s="83" t="s">
        <v>364</v>
      </c>
      <c r="B171" s="130">
        <v>24</v>
      </c>
      <c r="C171" s="94" t="s">
        <v>194</v>
      </c>
    </row>
    <row r="172" spans="1:3" x14ac:dyDescent="0.2">
      <c r="A172" s="83" t="s">
        <v>365</v>
      </c>
      <c r="B172" s="130">
        <v>24</v>
      </c>
      <c r="C172" s="52" t="s">
        <v>194</v>
      </c>
    </row>
    <row r="173" spans="1:3" x14ac:dyDescent="0.2">
      <c r="A173" s="83" t="s">
        <v>361</v>
      </c>
      <c r="B173" s="130">
        <v>1</v>
      </c>
    </row>
    <row r="174" spans="1:3" x14ac:dyDescent="0.2">
      <c r="A174" s="83" t="s">
        <v>507</v>
      </c>
      <c r="B174" s="130">
        <v>12.167999999999999</v>
      </c>
      <c r="C174" s="84" t="s">
        <v>194</v>
      </c>
    </row>
    <row r="175" spans="1:3" x14ac:dyDescent="0.2">
      <c r="A175" s="83" t="s">
        <v>508</v>
      </c>
      <c r="B175" s="130">
        <v>10.007999999999999</v>
      </c>
      <c r="C175" s="84" t="s">
        <v>194</v>
      </c>
    </row>
    <row r="176" spans="1:3" x14ac:dyDescent="0.2">
      <c r="A176" s="83" t="s">
        <v>88</v>
      </c>
      <c r="B176" s="130">
        <v>0.4</v>
      </c>
    </row>
    <row r="177" spans="1:3" x14ac:dyDescent="0.2">
      <c r="A177" s="83" t="s">
        <v>303</v>
      </c>
      <c r="B177" s="130">
        <v>0.4</v>
      </c>
    </row>
    <row r="178" spans="1:3" x14ac:dyDescent="0.2">
      <c r="A178" s="83" t="s">
        <v>302</v>
      </c>
      <c r="B178" s="130">
        <v>1</v>
      </c>
    </row>
    <row r="179" spans="1:3" x14ac:dyDescent="0.2">
      <c r="A179" s="83" t="s">
        <v>54</v>
      </c>
      <c r="B179" s="130">
        <v>1</v>
      </c>
    </row>
    <row r="180" spans="1:3" x14ac:dyDescent="0.2">
      <c r="A180" s="83" t="s">
        <v>301</v>
      </c>
      <c r="B180" s="131">
        <v>1</v>
      </c>
    </row>
    <row r="181" spans="1:3" x14ac:dyDescent="0.2">
      <c r="A181" s="92" t="s">
        <v>457</v>
      </c>
      <c r="B181" s="130">
        <v>1</v>
      </c>
      <c r="C181" s="92" t="s">
        <v>144</v>
      </c>
    </row>
    <row r="182" spans="1:3" x14ac:dyDescent="0.2">
      <c r="A182" s="92" t="s">
        <v>466</v>
      </c>
      <c r="B182" s="130">
        <v>1</v>
      </c>
      <c r="C182" s="92" t="s">
        <v>144</v>
      </c>
    </row>
    <row r="183" spans="1:3" x14ac:dyDescent="0.2">
      <c r="A183" s="52" t="s">
        <v>477</v>
      </c>
      <c r="B183" s="130">
        <v>0.54</v>
      </c>
      <c r="C183" s="92" t="s">
        <v>358</v>
      </c>
    </row>
    <row r="184" spans="1:3" x14ac:dyDescent="0.2">
      <c r="A184" s="52" t="s">
        <v>478</v>
      </c>
      <c r="B184" s="130">
        <v>0.71</v>
      </c>
      <c r="C184" s="92" t="s">
        <v>358</v>
      </c>
    </row>
    <row r="185" spans="1:3" ht="15" x14ac:dyDescent="0.2">
      <c r="A185" s="84" t="s">
        <v>65</v>
      </c>
      <c r="B185" s="130">
        <v>0.5</v>
      </c>
      <c r="C185" s="92" t="s">
        <v>145</v>
      </c>
    </row>
    <row r="186" spans="1:3" x14ac:dyDescent="0.2">
      <c r="A186" s="92" t="s">
        <v>361</v>
      </c>
      <c r="B186" s="130">
        <v>1</v>
      </c>
    </row>
    <row r="187" spans="1:3" x14ac:dyDescent="0.2">
      <c r="A187" s="92" t="s">
        <v>479</v>
      </c>
      <c r="B187" s="130">
        <v>1</v>
      </c>
    </row>
    <row r="188" spans="1:3" x14ac:dyDescent="0.2">
      <c r="A188" s="92" t="s">
        <v>480</v>
      </c>
      <c r="B188" s="130">
        <v>1</v>
      </c>
    </row>
    <row r="189" spans="1:3" x14ac:dyDescent="0.2">
      <c r="A189" s="92" t="s">
        <v>481</v>
      </c>
      <c r="B189" s="130">
        <v>1</v>
      </c>
    </row>
    <row r="190" spans="1:3" x14ac:dyDescent="0.2">
      <c r="A190" s="92" t="s">
        <v>482</v>
      </c>
      <c r="B190" s="130">
        <v>1</v>
      </c>
    </row>
    <row r="191" spans="1:3" x14ac:dyDescent="0.2">
      <c r="A191" s="92" t="s">
        <v>483</v>
      </c>
      <c r="B191" s="130">
        <v>1</v>
      </c>
    </row>
    <row r="192" spans="1:3" x14ac:dyDescent="0.2">
      <c r="A192" s="92" t="s">
        <v>484</v>
      </c>
      <c r="B192" s="131">
        <v>1</v>
      </c>
    </row>
    <row r="193" spans="1:3" x14ac:dyDescent="0.2">
      <c r="A193" s="83" t="s">
        <v>36</v>
      </c>
      <c r="B193" s="131">
        <v>3.62</v>
      </c>
      <c r="C193" s="52" t="s">
        <v>37</v>
      </c>
    </row>
    <row r="194" spans="1:3" x14ac:dyDescent="0.2">
      <c r="A194" s="83" t="s">
        <v>40</v>
      </c>
      <c r="B194" s="131">
        <v>0.25</v>
      </c>
      <c r="C194" s="52" t="s">
        <v>41</v>
      </c>
    </row>
    <row r="195" spans="1:3" x14ac:dyDescent="0.2">
      <c r="A195" s="92" t="s">
        <v>52</v>
      </c>
      <c r="B195" s="131">
        <v>10950</v>
      </c>
      <c r="C195" s="52" t="s">
        <v>53</v>
      </c>
    </row>
    <row r="196" spans="1:3" x14ac:dyDescent="0.2">
      <c r="A196" s="92" t="s">
        <v>55</v>
      </c>
      <c r="B196" s="131">
        <v>240</v>
      </c>
      <c r="C196" s="52" t="s">
        <v>56</v>
      </c>
    </row>
    <row r="197" spans="1:3" x14ac:dyDescent="0.2">
      <c r="A197" s="92" t="s">
        <v>61</v>
      </c>
      <c r="B197" s="131">
        <v>0.42</v>
      </c>
      <c r="C197" s="52" t="s">
        <v>41</v>
      </c>
    </row>
    <row r="198" spans="1:3" x14ac:dyDescent="0.2">
      <c r="A198" s="92" t="s">
        <v>67</v>
      </c>
      <c r="B198" s="131">
        <v>60</v>
      </c>
      <c r="C198" s="83" t="s">
        <v>53</v>
      </c>
    </row>
    <row r="199" spans="1:3" x14ac:dyDescent="0.2">
      <c r="A199" s="92" t="s">
        <v>68</v>
      </c>
      <c r="B199" s="131">
        <v>2</v>
      </c>
      <c r="C199" s="83" t="s">
        <v>56</v>
      </c>
    </row>
    <row r="200" spans="1:3" x14ac:dyDescent="0.2">
      <c r="A200" s="92" t="s">
        <v>70</v>
      </c>
      <c r="B200" s="131">
        <v>2.6999999999999999E-5</v>
      </c>
      <c r="C200" s="52" t="s">
        <v>64</v>
      </c>
    </row>
    <row r="201" spans="1:3" x14ac:dyDescent="0.2">
      <c r="A201" s="92" t="s">
        <v>73</v>
      </c>
      <c r="B201" s="131">
        <v>1</v>
      </c>
      <c r="C201" s="52" t="s">
        <v>41</v>
      </c>
    </row>
    <row r="202" spans="1:3" x14ac:dyDescent="0.2">
      <c r="A202" s="92" t="s">
        <v>74</v>
      </c>
      <c r="B202" s="131">
        <v>14</v>
      </c>
      <c r="C202" s="52" t="s">
        <v>75</v>
      </c>
    </row>
    <row r="203" spans="1:3" x14ac:dyDescent="0.2">
      <c r="A203" s="83" t="s">
        <v>27</v>
      </c>
      <c r="B203" s="131">
        <v>92</v>
      </c>
      <c r="C203" s="83" t="s">
        <v>28</v>
      </c>
    </row>
    <row r="204" spans="1:3" x14ac:dyDescent="0.2">
      <c r="A204" s="52" t="s">
        <v>285</v>
      </c>
      <c r="B204" s="130">
        <v>1.03</v>
      </c>
      <c r="C204" s="52" t="s">
        <v>286</v>
      </c>
    </row>
    <row r="205" spans="1:3" x14ac:dyDescent="0.2">
      <c r="A205" s="83" t="s">
        <v>498</v>
      </c>
      <c r="B205" s="131">
        <v>20.3</v>
      </c>
      <c r="C205" s="52" t="s">
        <v>246</v>
      </c>
    </row>
    <row r="206" spans="1:3" x14ac:dyDescent="0.2">
      <c r="A206" s="83" t="s">
        <v>499</v>
      </c>
      <c r="B206" s="131">
        <v>0.04</v>
      </c>
      <c r="C206" s="52" t="s">
        <v>246</v>
      </c>
    </row>
    <row r="207" spans="1:3" x14ac:dyDescent="0.2">
      <c r="A207" s="83" t="s">
        <v>500</v>
      </c>
      <c r="B207" s="131">
        <v>1</v>
      </c>
    </row>
    <row r="208" spans="1:3" x14ac:dyDescent="0.2">
      <c r="A208" s="83" t="s">
        <v>501</v>
      </c>
      <c r="B208" s="131">
        <v>1</v>
      </c>
    </row>
    <row r="209" spans="1:3" x14ac:dyDescent="0.2">
      <c r="A209" s="83" t="s">
        <v>29</v>
      </c>
      <c r="B209" s="131">
        <v>53</v>
      </c>
      <c r="C209" s="83" t="s">
        <v>28</v>
      </c>
    </row>
    <row r="210" spans="1:3" x14ac:dyDescent="0.2">
      <c r="A210" s="83" t="s">
        <v>494</v>
      </c>
      <c r="B210" s="131">
        <v>11.77</v>
      </c>
      <c r="C210" s="52" t="s">
        <v>246</v>
      </c>
    </row>
    <row r="211" spans="1:3" x14ac:dyDescent="0.2">
      <c r="A211" s="83" t="s">
        <v>495</v>
      </c>
      <c r="B211" s="131">
        <v>0.5</v>
      </c>
      <c r="C211" s="52" t="s">
        <v>246</v>
      </c>
    </row>
    <row r="212" spans="1:3" x14ac:dyDescent="0.2">
      <c r="A212" s="83" t="s">
        <v>496</v>
      </c>
      <c r="B212" s="131">
        <v>1</v>
      </c>
    </row>
    <row r="213" spans="1:3" x14ac:dyDescent="0.2">
      <c r="A213" s="83" t="s">
        <v>497</v>
      </c>
      <c r="B213" s="131">
        <v>1</v>
      </c>
    </row>
    <row r="214" spans="1:3" x14ac:dyDescent="0.2">
      <c r="A214" s="83" t="s">
        <v>148</v>
      </c>
      <c r="B214" s="130">
        <v>0.4</v>
      </c>
      <c r="C214" s="83" t="s">
        <v>28</v>
      </c>
    </row>
    <row r="215" spans="1:3" x14ac:dyDescent="0.2">
      <c r="A215" s="83" t="s">
        <v>152</v>
      </c>
      <c r="B215" s="131">
        <v>0.2</v>
      </c>
      <c r="C215" s="52" t="s">
        <v>246</v>
      </c>
    </row>
    <row r="216" spans="1:3" x14ac:dyDescent="0.2">
      <c r="A216" s="83" t="s">
        <v>151</v>
      </c>
      <c r="B216" s="131">
        <v>2.1999999999999999E-2</v>
      </c>
      <c r="C216" s="52" t="s">
        <v>246</v>
      </c>
    </row>
    <row r="217" spans="1:3" x14ac:dyDescent="0.2">
      <c r="A217" s="83" t="s">
        <v>153</v>
      </c>
      <c r="B217" s="130">
        <v>1</v>
      </c>
    </row>
    <row r="218" spans="1:3" x14ac:dyDescent="0.2">
      <c r="A218" s="83" t="s">
        <v>154</v>
      </c>
      <c r="B218" s="130">
        <v>1</v>
      </c>
    </row>
    <row r="219" spans="1:3" x14ac:dyDescent="0.2">
      <c r="A219" s="83" t="s">
        <v>485</v>
      </c>
      <c r="B219" s="130">
        <v>0.4</v>
      </c>
      <c r="C219" s="83" t="s">
        <v>28</v>
      </c>
    </row>
    <row r="220" spans="1:3" x14ac:dyDescent="0.2">
      <c r="A220" s="83" t="s">
        <v>486</v>
      </c>
      <c r="B220" s="131">
        <v>0.2</v>
      </c>
      <c r="C220" s="52" t="s">
        <v>246</v>
      </c>
    </row>
    <row r="221" spans="1:3" x14ac:dyDescent="0.2">
      <c r="A221" s="83" t="s">
        <v>487</v>
      </c>
      <c r="B221" s="131">
        <v>2.1999999999999999E-2</v>
      </c>
      <c r="C221" s="52" t="s">
        <v>246</v>
      </c>
    </row>
    <row r="222" spans="1:3" x14ac:dyDescent="0.2">
      <c r="A222" s="83" t="s">
        <v>488</v>
      </c>
      <c r="B222" s="131">
        <v>1</v>
      </c>
    </row>
    <row r="223" spans="1:3" x14ac:dyDescent="0.2">
      <c r="A223" s="83" t="s">
        <v>489</v>
      </c>
      <c r="B223" s="131">
        <v>1</v>
      </c>
    </row>
    <row r="224" spans="1:3" x14ac:dyDescent="0.2">
      <c r="A224" s="83" t="s">
        <v>150</v>
      </c>
      <c r="B224" s="131">
        <v>11.4</v>
      </c>
      <c r="C224" s="83" t="s">
        <v>28</v>
      </c>
    </row>
    <row r="225" spans="1:3" x14ac:dyDescent="0.2">
      <c r="A225" s="83" t="s">
        <v>490</v>
      </c>
      <c r="B225" s="131">
        <v>4.7</v>
      </c>
      <c r="C225" s="52" t="s">
        <v>246</v>
      </c>
    </row>
    <row r="226" spans="1:3" x14ac:dyDescent="0.2">
      <c r="A226" s="83" t="s">
        <v>491</v>
      </c>
      <c r="B226" s="131">
        <v>0.37</v>
      </c>
      <c r="C226" s="52" t="s">
        <v>246</v>
      </c>
    </row>
    <row r="227" spans="1:3" x14ac:dyDescent="0.2">
      <c r="A227" s="83" t="s">
        <v>492</v>
      </c>
      <c r="B227" s="131">
        <v>1</v>
      </c>
    </row>
    <row r="228" spans="1:3" x14ac:dyDescent="0.2">
      <c r="A228" s="83" t="s">
        <v>493</v>
      </c>
      <c r="B228" s="131">
        <v>1</v>
      </c>
    </row>
    <row r="229" spans="1:3" x14ac:dyDescent="0.2">
      <c r="A229" s="370" t="s">
        <v>311</v>
      </c>
      <c r="B229" s="370"/>
      <c r="C229" s="370"/>
    </row>
    <row r="230" spans="1:3" x14ac:dyDescent="0.2">
      <c r="A230" s="52" t="s">
        <v>504</v>
      </c>
      <c r="B230" s="130">
        <v>60</v>
      </c>
      <c r="C230" s="84" t="s">
        <v>407</v>
      </c>
    </row>
    <row r="231" spans="1:3" x14ac:dyDescent="0.2">
      <c r="A231" s="83" t="s">
        <v>316</v>
      </c>
      <c r="B231" s="130">
        <v>250</v>
      </c>
      <c r="C231" s="52" t="s">
        <v>24</v>
      </c>
    </row>
    <row r="232" spans="1:3" x14ac:dyDescent="0.2">
      <c r="A232" s="83" t="s">
        <v>422</v>
      </c>
      <c r="B232" s="131">
        <v>1</v>
      </c>
      <c r="C232" s="52" t="s">
        <v>60</v>
      </c>
    </row>
    <row r="233" spans="1:3" x14ac:dyDescent="0.2">
      <c r="A233" s="83" t="s">
        <v>317</v>
      </c>
      <c r="B233" s="130">
        <v>100</v>
      </c>
      <c r="C233" s="84" t="s">
        <v>48</v>
      </c>
    </row>
    <row r="234" spans="1:3" x14ac:dyDescent="0.2">
      <c r="A234" s="52" t="s">
        <v>318</v>
      </c>
      <c r="B234" s="131">
        <v>1</v>
      </c>
    </row>
    <row r="235" spans="1:3" x14ac:dyDescent="0.2">
      <c r="A235" s="83" t="s">
        <v>300</v>
      </c>
      <c r="B235" s="131">
        <v>1</v>
      </c>
    </row>
    <row r="236" spans="1:3" x14ac:dyDescent="0.2">
      <c r="A236" s="83" t="s">
        <v>299</v>
      </c>
      <c r="B236" s="131">
        <v>0.4</v>
      </c>
    </row>
    <row r="237" spans="1:3" x14ac:dyDescent="0.2">
      <c r="A237" s="83" t="s">
        <v>54</v>
      </c>
      <c r="B237" s="131">
        <v>1</v>
      </c>
    </row>
    <row r="238" spans="1:3" x14ac:dyDescent="0.2">
      <c r="A238" s="83" t="s">
        <v>83</v>
      </c>
      <c r="B238" s="130">
        <v>8</v>
      </c>
      <c r="C238" s="52" t="s">
        <v>194</v>
      </c>
    </row>
    <row r="239" spans="1:3" x14ac:dyDescent="0.2">
      <c r="A239" s="83" t="s">
        <v>85</v>
      </c>
      <c r="B239" s="130">
        <v>8</v>
      </c>
      <c r="C239" s="52" t="s">
        <v>194</v>
      </c>
    </row>
    <row r="240" spans="1:3" x14ac:dyDescent="0.2">
      <c r="A240" s="83" t="s">
        <v>88</v>
      </c>
      <c r="B240" s="130">
        <v>0.4</v>
      </c>
    </row>
    <row r="241" spans="1:3" x14ac:dyDescent="0.2">
      <c r="A241" s="370" t="s">
        <v>312</v>
      </c>
      <c r="B241" s="370"/>
      <c r="C241" s="370"/>
    </row>
    <row r="242" spans="1:3" x14ac:dyDescent="0.2">
      <c r="A242" s="52" t="s">
        <v>304</v>
      </c>
      <c r="B242" s="130">
        <v>60</v>
      </c>
      <c r="C242" s="84" t="s">
        <v>407</v>
      </c>
    </row>
    <row r="243" spans="1:3" x14ac:dyDescent="0.2">
      <c r="A243" s="83" t="s">
        <v>35</v>
      </c>
      <c r="B243" s="130">
        <v>250</v>
      </c>
      <c r="C243" s="52" t="s">
        <v>24</v>
      </c>
    </row>
    <row r="244" spans="1:3" x14ac:dyDescent="0.2">
      <c r="A244" s="83" t="s">
        <v>420</v>
      </c>
      <c r="B244" s="131">
        <v>1</v>
      </c>
      <c r="C244" s="52" t="s">
        <v>60</v>
      </c>
    </row>
    <row r="245" spans="1:3" x14ac:dyDescent="0.2">
      <c r="A245" s="83" t="s">
        <v>62</v>
      </c>
      <c r="B245" s="130">
        <v>50</v>
      </c>
      <c r="C245" s="84" t="s">
        <v>48</v>
      </c>
    </row>
    <row r="246" spans="1:3" x14ac:dyDescent="0.2">
      <c r="A246" s="52" t="s">
        <v>318</v>
      </c>
      <c r="B246" s="131">
        <v>1</v>
      </c>
    </row>
    <row r="247" spans="1:3" x14ac:dyDescent="0.2">
      <c r="A247" s="83" t="s">
        <v>300</v>
      </c>
      <c r="B247" s="131">
        <v>1</v>
      </c>
    </row>
    <row r="248" spans="1:3" x14ac:dyDescent="0.2">
      <c r="A248" s="83" t="s">
        <v>299</v>
      </c>
      <c r="B248" s="131">
        <v>0.4</v>
      </c>
    </row>
    <row r="249" spans="1:3" x14ac:dyDescent="0.2">
      <c r="A249" s="83" t="s">
        <v>54</v>
      </c>
      <c r="B249" s="131">
        <v>1</v>
      </c>
    </row>
    <row r="250" spans="1:3" x14ac:dyDescent="0.2">
      <c r="A250" s="83" t="s">
        <v>83</v>
      </c>
      <c r="B250" s="130">
        <v>0</v>
      </c>
      <c r="C250" s="52" t="s">
        <v>194</v>
      </c>
    </row>
    <row r="251" spans="1:3" x14ac:dyDescent="0.2">
      <c r="A251" s="83" t="s">
        <v>85</v>
      </c>
      <c r="B251" s="130">
        <v>8</v>
      </c>
      <c r="C251" s="52" t="s">
        <v>194</v>
      </c>
    </row>
    <row r="252" spans="1:3" x14ac:dyDescent="0.2">
      <c r="A252" s="83" t="s">
        <v>88</v>
      </c>
      <c r="B252" s="130">
        <v>0.4</v>
      </c>
    </row>
    <row r="253" spans="1:3" x14ac:dyDescent="0.2">
      <c r="A253" s="370" t="s">
        <v>313</v>
      </c>
      <c r="B253" s="370"/>
      <c r="C253" s="370"/>
    </row>
    <row r="254" spans="1:3" x14ac:dyDescent="0.2">
      <c r="A254" s="52" t="s">
        <v>50</v>
      </c>
      <c r="B254" s="130">
        <v>60</v>
      </c>
      <c r="C254" s="84" t="s">
        <v>407</v>
      </c>
    </row>
    <row r="255" spans="1:3" x14ac:dyDescent="0.2">
      <c r="A255" s="83" t="s">
        <v>423</v>
      </c>
      <c r="B255" s="130">
        <v>225</v>
      </c>
      <c r="C255" s="52" t="s">
        <v>24</v>
      </c>
    </row>
    <row r="256" spans="1:3" x14ac:dyDescent="0.2">
      <c r="A256" s="83" t="s">
        <v>424</v>
      </c>
      <c r="B256" s="131">
        <v>1</v>
      </c>
      <c r="C256" s="52" t="s">
        <v>60</v>
      </c>
    </row>
    <row r="257" spans="1:3" x14ac:dyDescent="0.2">
      <c r="A257" s="83" t="s">
        <v>503</v>
      </c>
      <c r="B257" s="130">
        <v>100</v>
      </c>
      <c r="C257" s="84" t="s">
        <v>48</v>
      </c>
    </row>
    <row r="258" spans="1:3" x14ac:dyDescent="0.2">
      <c r="A258" s="52" t="s">
        <v>318</v>
      </c>
      <c r="B258" s="131">
        <v>1</v>
      </c>
    </row>
    <row r="259" spans="1:3" x14ac:dyDescent="0.2">
      <c r="A259" s="83" t="s">
        <v>300</v>
      </c>
      <c r="B259" s="131">
        <v>1</v>
      </c>
    </row>
    <row r="260" spans="1:3" x14ac:dyDescent="0.2">
      <c r="A260" s="83" t="s">
        <v>299</v>
      </c>
      <c r="B260" s="131">
        <v>0.4</v>
      </c>
    </row>
    <row r="261" spans="1:3" x14ac:dyDescent="0.2">
      <c r="A261" s="83" t="s">
        <v>54</v>
      </c>
      <c r="B261" s="131">
        <v>1</v>
      </c>
    </row>
    <row r="262" spans="1:3" x14ac:dyDescent="0.2">
      <c r="A262" s="83" t="s">
        <v>83</v>
      </c>
      <c r="B262" s="130">
        <v>8</v>
      </c>
      <c r="C262" s="52" t="s">
        <v>194</v>
      </c>
    </row>
    <row r="263" spans="1:3" x14ac:dyDescent="0.2">
      <c r="A263" s="83" t="s">
        <v>85</v>
      </c>
      <c r="B263" s="130">
        <v>0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370" t="s">
        <v>314</v>
      </c>
      <c r="B265" s="370"/>
      <c r="C265" s="370"/>
    </row>
    <row r="266" spans="1:3" x14ac:dyDescent="0.2">
      <c r="A266" s="52" t="s">
        <v>348</v>
      </c>
      <c r="B266" s="130">
        <v>60</v>
      </c>
      <c r="C266" s="84" t="s">
        <v>407</v>
      </c>
    </row>
    <row r="267" spans="1:3" x14ac:dyDescent="0.2">
      <c r="A267" s="83" t="s">
        <v>191</v>
      </c>
      <c r="B267" s="130">
        <v>250</v>
      </c>
      <c r="C267" s="52" t="s">
        <v>24</v>
      </c>
    </row>
    <row r="268" spans="1:3" x14ac:dyDescent="0.2">
      <c r="A268" s="83" t="s">
        <v>158</v>
      </c>
      <c r="B268" s="131">
        <v>1</v>
      </c>
      <c r="C268" s="52" t="s">
        <v>60</v>
      </c>
    </row>
    <row r="269" spans="1:3" x14ac:dyDescent="0.2">
      <c r="A269" s="83" t="s">
        <v>502</v>
      </c>
      <c r="B269" s="130">
        <v>330</v>
      </c>
      <c r="C269" s="84" t="s">
        <v>48</v>
      </c>
    </row>
    <row r="270" spans="1:3" x14ac:dyDescent="0.2">
      <c r="A270" s="52" t="s">
        <v>318</v>
      </c>
      <c r="B270" s="131">
        <v>1</v>
      </c>
    </row>
    <row r="271" spans="1:3" x14ac:dyDescent="0.2">
      <c r="A271" s="83" t="s">
        <v>300</v>
      </c>
      <c r="B271" s="131">
        <v>1</v>
      </c>
    </row>
    <row r="272" spans="1:3" x14ac:dyDescent="0.2">
      <c r="A272" s="83" t="s">
        <v>299</v>
      </c>
      <c r="B272" s="131">
        <v>0.4</v>
      </c>
    </row>
    <row r="273" spans="1:3" x14ac:dyDescent="0.2">
      <c r="A273" s="83" t="s">
        <v>54</v>
      </c>
      <c r="B273" s="131">
        <v>1</v>
      </c>
    </row>
    <row r="274" spans="1:3" x14ac:dyDescent="0.2">
      <c r="A274" s="83" t="s">
        <v>83</v>
      </c>
      <c r="B274" s="130">
        <v>8</v>
      </c>
      <c r="C274" s="52" t="s">
        <v>194</v>
      </c>
    </row>
    <row r="275" spans="1:3" x14ac:dyDescent="0.2">
      <c r="A275" s="83" t="s">
        <v>85</v>
      </c>
      <c r="B275" s="130">
        <v>8</v>
      </c>
      <c r="C275" s="52" t="s">
        <v>194</v>
      </c>
    </row>
    <row r="276" spans="1:3" x14ac:dyDescent="0.2">
      <c r="A276" s="83" t="s">
        <v>88</v>
      </c>
      <c r="B276" s="130">
        <v>0.4</v>
      </c>
    </row>
    <row r="277" spans="1:3" x14ac:dyDescent="0.2">
      <c r="A277" s="83" t="s">
        <v>219</v>
      </c>
      <c r="B277" s="130">
        <v>5</v>
      </c>
      <c r="C277" s="52" t="s">
        <v>112</v>
      </c>
    </row>
    <row r="278" spans="1:3" x14ac:dyDescent="0.2">
      <c r="A278" s="83" t="s">
        <v>220</v>
      </c>
      <c r="B278" s="130">
        <v>50</v>
      </c>
      <c r="C278" s="52" t="s">
        <v>113</v>
      </c>
    </row>
    <row r="279" spans="1:3" x14ac:dyDescent="0.2">
      <c r="A279" s="52" t="s">
        <v>319</v>
      </c>
      <c r="B279" s="131">
        <v>8.5099999999999995E-2</v>
      </c>
    </row>
    <row r="280" spans="1:3" x14ac:dyDescent="0.2">
      <c r="A280" s="52" t="s">
        <v>320</v>
      </c>
      <c r="B280" s="131">
        <v>0.74150000000000005</v>
      </c>
    </row>
    <row r="281" spans="1:3" x14ac:dyDescent="0.2">
      <c r="A281" s="52" t="s">
        <v>321</v>
      </c>
      <c r="B281" s="131">
        <v>2.6620000000000001E-2</v>
      </c>
    </row>
    <row r="282" spans="1:3" x14ac:dyDescent="0.2">
      <c r="A282" s="52" t="s">
        <v>322</v>
      </c>
      <c r="B282" s="131">
        <v>0.46460000000000001</v>
      </c>
    </row>
    <row r="283" spans="1:3" x14ac:dyDescent="0.2">
      <c r="A283" s="52" t="s">
        <v>323</v>
      </c>
      <c r="B283" s="131">
        <v>4.3290000000000002E-2</v>
      </c>
    </row>
    <row r="284" spans="1:3" x14ac:dyDescent="0.2">
      <c r="A284" s="52" t="s">
        <v>324</v>
      </c>
      <c r="B284" s="131">
        <v>0.65259999999999996</v>
      </c>
    </row>
    <row r="285" spans="1:3" x14ac:dyDescent="0.2">
      <c r="A285" s="52" t="s">
        <v>325</v>
      </c>
      <c r="B285" s="131">
        <v>5.0099999999999999E-2</v>
      </c>
    </row>
    <row r="286" spans="1:3" x14ac:dyDescent="0.2">
      <c r="A286" s="52" t="s">
        <v>326</v>
      </c>
      <c r="B286" s="131">
        <v>0.72629999999999995</v>
      </c>
    </row>
    <row r="287" spans="1:3" x14ac:dyDescent="0.2">
      <c r="A287" s="52" t="s">
        <v>327</v>
      </c>
      <c r="B287" s="131">
        <v>7.2400000000000006E-2</v>
      </c>
    </row>
    <row r="288" spans="1:3" x14ac:dyDescent="0.2">
      <c r="A288" s="52" t="s">
        <v>328</v>
      </c>
      <c r="B288" s="131">
        <v>0.73650000000000004</v>
      </c>
    </row>
    <row r="289" spans="1:3" x14ac:dyDescent="0.2">
      <c r="A289" s="370" t="s">
        <v>315</v>
      </c>
      <c r="B289" s="370"/>
      <c r="C289" s="370"/>
    </row>
    <row r="290" spans="1:3" x14ac:dyDescent="0.2">
      <c r="A290" s="52" t="s">
        <v>348</v>
      </c>
      <c r="B290" s="130">
        <v>60</v>
      </c>
      <c r="C290" s="84" t="s">
        <v>407</v>
      </c>
    </row>
    <row r="291" spans="1:3" x14ac:dyDescent="0.2">
      <c r="A291" s="83" t="s">
        <v>191</v>
      </c>
      <c r="B291" s="130">
        <v>250</v>
      </c>
      <c r="C291" s="52" t="s">
        <v>24</v>
      </c>
    </row>
    <row r="292" spans="1:3" x14ac:dyDescent="0.2">
      <c r="A292" s="83" t="s">
        <v>158</v>
      </c>
      <c r="B292" s="131">
        <v>1</v>
      </c>
      <c r="C292" s="52" t="s">
        <v>60</v>
      </c>
    </row>
    <row r="293" spans="1:3" x14ac:dyDescent="0.2">
      <c r="A293" s="83" t="s">
        <v>502</v>
      </c>
      <c r="B293" s="130">
        <v>330</v>
      </c>
      <c r="C293" s="84" t="s">
        <v>48</v>
      </c>
    </row>
    <row r="294" spans="1:3" x14ac:dyDescent="0.2">
      <c r="A294" s="83" t="s">
        <v>300</v>
      </c>
      <c r="B294" s="131">
        <v>1</v>
      </c>
    </row>
    <row r="295" spans="1:3" x14ac:dyDescent="0.2">
      <c r="A295" s="83" t="s">
        <v>299</v>
      </c>
      <c r="B295" s="131">
        <v>0.4</v>
      </c>
    </row>
    <row r="296" spans="1:3" x14ac:dyDescent="0.2">
      <c r="A296" s="83" t="s">
        <v>54</v>
      </c>
      <c r="B296" s="131">
        <v>1</v>
      </c>
    </row>
    <row r="297" spans="1:3" x14ac:dyDescent="0.2">
      <c r="A297" s="83" t="s">
        <v>83</v>
      </c>
      <c r="B297" s="130">
        <v>8</v>
      </c>
      <c r="C297" s="52" t="s">
        <v>194</v>
      </c>
    </row>
    <row r="298" spans="1:3" x14ac:dyDescent="0.2">
      <c r="A298" s="83" t="s">
        <v>85</v>
      </c>
      <c r="B298" s="130">
        <v>8</v>
      </c>
      <c r="C298" s="52" t="s">
        <v>194</v>
      </c>
    </row>
    <row r="299" spans="1:3" x14ac:dyDescent="0.2">
      <c r="A299" s="83" t="s">
        <v>88</v>
      </c>
      <c r="B299" s="130">
        <v>0.4</v>
      </c>
    </row>
    <row r="300" spans="1:3" x14ac:dyDescent="0.2">
      <c r="A300" s="83" t="s">
        <v>219</v>
      </c>
      <c r="B300" s="130">
        <v>5</v>
      </c>
      <c r="C300" s="52" t="s">
        <v>112</v>
      </c>
    </row>
    <row r="301" spans="1:3" x14ac:dyDescent="0.2">
      <c r="A301" s="83" t="s">
        <v>220</v>
      </c>
      <c r="B301" s="130">
        <v>50</v>
      </c>
      <c r="C301" s="52" t="s">
        <v>113</v>
      </c>
    </row>
  </sheetData>
  <mergeCells count="346">
    <mergeCell ref="CC35:CG38"/>
    <mergeCell ref="D42:F42"/>
    <mergeCell ref="CE18:CG18"/>
    <mergeCell ref="CB19:CB21"/>
    <mergeCell ref="CC19:CC21"/>
    <mergeCell ref="CD19:CD21"/>
    <mergeCell ref="CE19:CE21"/>
    <mergeCell ref="CF19:CF21"/>
    <mergeCell ref="CG19:CG21"/>
    <mergeCell ref="CB18:CD18"/>
    <mergeCell ref="M20:O20"/>
    <mergeCell ref="P20:R20"/>
    <mergeCell ref="M21:M23"/>
    <mergeCell ref="N21:N23"/>
    <mergeCell ref="O21:O23"/>
    <mergeCell ref="P21:P23"/>
    <mergeCell ref="Q21:Q23"/>
    <mergeCell ref="R21:R23"/>
    <mergeCell ref="V23:X23"/>
    <mergeCell ref="Y23:AA23"/>
    <mergeCell ref="D30:F30"/>
    <mergeCell ref="BE21:BE23"/>
    <mergeCell ref="BF21:BF23"/>
    <mergeCell ref="BJ21:BJ23"/>
    <mergeCell ref="HD21:HF21"/>
    <mergeCell ref="CR20:CR22"/>
    <mergeCell ref="CS20:CS22"/>
    <mergeCell ref="AI21:AI23"/>
    <mergeCell ref="AJ21:AJ23"/>
    <mergeCell ref="AK21:AK23"/>
    <mergeCell ref="AL21:AL23"/>
    <mergeCell ref="AM21:AM23"/>
    <mergeCell ref="AN21:AN23"/>
    <mergeCell ref="AR21:AR23"/>
    <mergeCell ref="AS21:AS23"/>
    <mergeCell ref="AT21:AT23"/>
    <mergeCell ref="AU21:AU23"/>
    <mergeCell ref="AV21:AV23"/>
    <mergeCell ref="AW21:AW23"/>
    <mergeCell ref="BA21:BA23"/>
    <mergeCell ref="BB21:BB23"/>
    <mergeCell ref="BA20:BC20"/>
    <mergeCell ref="BD20:BF20"/>
    <mergeCell ref="BJ20:BL20"/>
    <mergeCell ref="BM20:BO20"/>
    <mergeCell ref="CK20:CK22"/>
    <mergeCell ref="BC21:BC23"/>
    <mergeCell ref="BD21:BD23"/>
    <mergeCell ref="BK21:BK23"/>
    <mergeCell ref="BL21:BL23"/>
    <mergeCell ref="BM21:BM23"/>
    <mergeCell ref="BN21:BN23"/>
    <mergeCell ref="BO21:BO23"/>
    <mergeCell ref="AI20:AK20"/>
    <mergeCell ref="AL20:AN20"/>
    <mergeCell ref="AR20:AT20"/>
    <mergeCell ref="AU20:AW20"/>
    <mergeCell ref="CK19:CM19"/>
    <mergeCell ref="CN19:CP19"/>
    <mergeCell ref="CQ19:CS19"/>
    <mergeCell ref="HB2:HB4"/>
    <mergeCell ref="HC2:HC4"/>
    <mergeCell ref="CL20:CL22"/>
    <mergeCell ref="CM20:CM22"/>
    <mergeCell ref="CN20:CN22"/>
    <mergeCell ref="CO20:CO22"/>
    <mergeCell ref="CP20:CP22"/>
    <mergeCell ref="CQ20:CQ22"/>
    <mergeCell ref="GW2:GW4"/>
    <mergeCell ref="GX2:GX4"/>
    <mergeCell ref="GY2:GY4"/>
    <mergeCell ref="GZ2:GZ4"/>
    <mergeCell ref="HA2:HA4"/>
    <mergeCell ref="GR2:GR4"/>
    <mergeCell ref="GS2:GS4"/>
    <mergeCell ref="GT2:GT4"/>
    <mergeCell ref="GU2:GU4"/>
    <mergeCell ref="GV2:GV4"/>
    <mergeCell ref="GM2:GM4"/>
    <mergeCell ref="GN2:GN4"/>
    <mergeCell ref="GO2:GO4"/>
    <mergeCell ref="GP2:GP4"/>
    <mergeCell ref="GQ2:GQ4"/>
    <mergeCell ref="GH2:GH4"/>
    <mergeCell ref="GI2:GI4"/>
    <mergeCell ref="GJ2:GJ4"/>
    <mergeCell ref="GK2:GK4"/>
    <mergeCell ref="GL2:GL4"/>
    <mergeCell ref="GC2:GC4"/>
    <mergeCell ref="GD2:GD4"/>
    <mergeCell ref="GE2:GE4"/>
    <mergeCell ref="GF2:GF4"/>
    <mergeCell ref="GG2:GG4"/>
    <mergeCell ref="FX2:FX4"/>
    <mergeCell ref="FY2:FY4"/>
    <mergeCell ref="FZ2:FZ4"/>
    <mergeCell ref="GA2:GA4"/>
    <mergeCell ref="GB2:GB4"/>
    <mergeCell ref="FS2:FS4"/>
    <mergeCell ref="FT2:FT4"/>
    <mergeCell ref="FU2:FU4"/>
    <mergeCell ref="FV2:FV4"/>
    <mergeCell ref="FW2:FW4"/>
    <mergeCell ref="FN2:FN4"/>
    <mergeCell ref="FO2:FO4"/>
    <mergeCell ref="FP2:FP4"/>
    <mergeCell ref="FQ2:FQ4"/>
    <mergeCell ref="FR2:FR4"/>
    <mergeCell ref="FI2:FI4"/>
    <mergeCell ref="FJ2:FJ4"/>
    <mergeCell ref="FK2:FK4"/>
    <mergeCell ref="FL2:FL4"/>
    <mergeCell ref="FM2:FM4"/>
    <mergeCell ref="FD2:FD4"/>
    <mergeCell ref="FE2:FE4"/>
    <mergeCell ref="FF2:FF4"/>
    <mergeCell ref="FG2:FG4"/>
    <mergeCell ref="FH2:FH4"/>
    <mergeCell ref="EY2:EY4"/>
    <mergeCell ref="EZ2:EZ4"/>
    <mergeCell ref="FA2:FA4"/>
    <mergeCell ref="FB2:FB4"/>
    <mergeCell ref="FC2:FC4"/>
    <mergeCell ref="ET2:ET4"/>
    <mergeCell ref="EU2:EU4"/>
    <mergeCell ref="EV2:EV4"/>
    <mergeCell ref="EW2:EW4"/>
    <mergeCell ref="EX2:EX4"/>
    <mergeCell ref="EO2:EO4"/>
    <mergeCell ref="EP2:EP4"/>
    <mergeCell ref="EQ2:EQ4"/>
    <mergeCell ref="ER2:ER4"/>
    <mergeCell ref="ES2:ES4"/>
    <mergeCell ref="EJ2:EJ4"/>
    <mergeCell ref="EK2:EK4"/>
    <mergeCell ref="EL2:EL4"/>
    <mergeCell ref="EM2:EM4"/>
    <mergeCell ref="EN2:EN4"/>
    <mergeCell ref="EE2:EE4"/>
    <mergeCell ref="EF2:EF4"/>
    <mergeCell ref="EG2:EG4"/>
    <mergeCell ref="EH2:EH4"/>
    <mergeCell ref="EI2:EI4"/>
    <mergeCell ref="DZ2:DZ4"/>
    <mergeCell ref="EA2:EA4"/>
    <mergeCell ref="EB2:EB4"/>
    <mergeCell ref="EC2:EC4"/>
    <mergeCell ref="ED2:ED4"/>
    <mergeCell ref="DU2:DU4"/>
    <mergeCell ref="DV2:DV4"/>
    <mergeCell ref="DW2:DW4"/>
    <mergeCell ref="DX2:DX4"/>
    <mergeCell ref="DY2:DY4"/>
    <mergeCell ref="DP2:DP4"/>
    <mergeCell ref="DQ2:DQ4"/>
    <mergeCell ref="DR2:DR4"/>
    <mergeCell ref="DS2:DS4"/>
    <mergeCell ref="DT2:DT4"/>
    <mergeCell ref="DK2:DK4"/>
    <mergeCell ref="DL2:DL4"/>
    <mergeCell ref="DM2:DM4"/>
    <mergeCell ref="DN2:DN4"/>
    <mergeCell ref="DO2:DO4"/>
    <mergeCell ref="DF2:DF4"/>
    <mergeCell ref="DG2:DG4"/>
    <mergeCell ref="DH2:DH4"/>
    <mergeCell ref="DI2:DI4"/>
    <mergeCell ref="DJ2:DJ4"/>
    <mergeCell ref="DA2:DA4"/>
    <mergeCell ref="DB2:DB4"/>
    <mergeCell ref="DC2:DC4"/>
    <mergeCell ref="DD2:DD4"/>
    <mergeCell ref="DE2:DE4"/>
    <mergeCell ref="CS2:CS4"/>
    <mergeCell ref="CT2:CT4"/>
    <mergeCell ref="CU2:CU4"/>
    <mergeCell ref="CV2:CV4"/>
    <mergeCell ref="CZ2:CZ4"/>
    <mergeCell ref="CN2:CN4"/>
    <mergeCell ref="CO2:CO4"/>
    <mergeCell ref="CP2:CP4"/>
    <mergeCell ref="CQ2:CQ4"/>
    <mergeCell ref="CR2:CR4"/>
    <mergeCell ref="CI2:CI4"/>
    <mergeCell ref="CJ2:CJ4"/>
    <mergeCell ref="CK2:CK4"/>
    <mergeCell ref="CL2:CL4"/>
    <mergeCell ref="CM2:CM4"/>
    <mergeCell ref="CD2:CD4"/>
    <mergeCell ref="CE2:CE4"/>
    <mergeCell ref="CF2:CF4"/>
    <mergeCell ref="CG2:CG4"/>
    <mergeCell ref="CH2:CH4"/>
    <mergeCell ref="BZ2:BZ4"/>
    <mergeCell ref="CA2:CA4"/>
    <mergeCell ref="CB2:CB4"/>
    <mergeCell ref="CC2:CC4"/>
    <mergeCell ref="BQ2:BQ4"/>
    <mergeCell ref="BR2:BR4"/>
    <mergeCell ref="BV2:BV4"/>
    <mergeCell ref="BW2:BW4"/>
    <mergeCell ref="BX2:BX4"/>
    <mergeCell ref="BN2:BN4"/>
    <mergeCell ref="BO2:BO4"/>
    <mergeCell ref="BP2:BP4"/>
    <mergeCell ref="BG2:BG4"/>
    <mergeCell ref="BH2:BH4"/>
    <mergeCell ref="BI2:BI4"/>
    <mergeCell ref="BJ2:BJ4"/>
    <mergeCell ref="BK2:BK4"/>
    <mergeCell ref="BY2:BY4"/>
    <mergeCell ref="HA1:HC1"/>
    <mergeCell ref="HD1:HF1"/>
    <mergeCell ref="M2:M4"/>
    <mergeCell ref="N2:N4"/>
    <mergeCell ref="O2:O4"/>
    <mergeCell ref="P2:P4"/>
    <mergeCell ref="Q2:Q4"/>
    <mergeCell ref="R2:R4"/>
    <mergeCell ref="S2:S4"/>
    <mergeCell ref="T2:T4"/>
    <mergeCell ref="U2:U4"/>
    <mergeCell ref="AC2:AC4"/>
    <mergeCell ref="AD2:AD4"/>
    <mergeCell ref="AE2:AE4"/>
    <mergeCell ref="AF2:AF4"/>
    <mergeCell ref="AG2:AG4"/>
    <mergeCell ref="GL1:GN1"/>
    <mergeCell ref="GO1:GQ1"/>
    <mergeCell ref="GR1:GT1"/>
    <mergeCell ref="BB2:BB4"/>
    <mergeCell ref="BC2:BC4"/>
    <mergeCell ref="BD2:BD4"/>
    <mergeCell ref="BE2:BE4"/>
    <mergeCell ref="BF2:BF4"/>
    <mergeCell ref="GU1:GW1"/>
    <mergeCell ref="GX1:GZ1"/>
    <mergeCell ref="FW1:FX1"/>
    <mergeCell ref="FZ1:GB1"/>
    <mergeCell ref="GC1:GE1"/>
    <mergeCell ref="GF1:GH1"/>
    <mergeCell ref="GI1:GK1"/>
    <mergeCell ref="FH1:FJ1"/>
    <mergeCell ref="FK1:FM1"/>
    <mergeCell ref="FN1:FP1"/>
    <mergeCell ref="FQ1:FS1"/>
    <mergeCell ref="FT1:FV1"/>
    <mergeCell ref="ES1:EU1"/>
    <mergeCell ref="EV1:EX1"/>
    <mergeCell ref="EY1:FA1"/>
    <mergeCell ref="FB1:FD1"/>
    <mergeCell ref="FE1:FG1"/>
    <mergeCell ref="ED1:EF1"/>
    <mergeCell ref="EG1:EI1"/>
    <mergeCell ref="EJ1:EL1"/>
    <mergeCell ref="EM1:EO1"/>
    <mergeCell ref="EP1:ER1"/>
    <mergeCell ref="DO1:DQ1"/>
    <mergeCell ref="DR1:DT1"/>
    <mergeCell ref="DU1:DW1"/>
    <mergeCell ref="DX1:DZ1"/>
    <mergeCell ref="EA1:EC1"/>
    <mergeCell ref="CZ1:DB1"/>
    <mergeCell ref="DC1:DE1"/>
    <mergeCell ref="DF1:DH1"/>
    <mergeCell ref="DI1:DK1"/>
    <mergeCell ref="DL1:DN1"/>
    <mergeCell ref="CK1:CM1"/>
    <mergeCell ref="CN1:CP1"/>
    <mergeCell ref="CQ1:CS1"/>
    <mergeCell ref="CT1:CV1"/>
    <mergeCell ref="CW1:CY1"/>
    <mergeCell ref="BV1:BX1"/>
    <mergeCell ref="BY1:CA1"/>
    <mergeCell ref="CB1:CD1"/>
    <mergeCell ref="CE1:CG1"/>
    <mergeCell ref="CH1:CJ1"/>
    <mergeCell ref="AP2:AP4"/>
    <mergeCell ref="AQ2:AQ4"/>
    <mergeCell ref="BG1:BI1"/>
    <mergeCell ref="BJ1:BL1"/>
    <mergeCell ref="BM1:BO1"/>
    <mergeCell ref="BP1:BR1"/>
    <mergeCell ref="BS1:BU1"/>
    <mergeCell ref="AR1:AT1"/>
    <mergeCell ref="AU1:AW1"/>
    <mergeCell ref="AX1:AZ1"/>
    <mergeCell ref="BA1:BC1"/>
    <mergeCell ref="BD1:BF1"/>
    <mergeCell ref="AR2:AR4"/>
    <mergeCell ref="AS2:AS4"/>
    <mergeCell ref="AT2:AT4"/>
    <mergeCell ref="AU2:AU4"/>
    <mergeCell ref="AV2:AV4"/>
    <mergeCell ref="AW2:AW4"/>
    <mergeCell ref="AX2:AX4"/>
    <mergeCell ref="AY2:AY4"/>
    <mergeCell ref="AZ2:AZ4"/>
    <mergeCell ref="BA2:BA4"/>
    <mergeCell ref="BL2:BL4"/>
    <mergeCell ref="BM2:BM4"/>
    <mergeCell ref="A289:C289"/>
    <mergeCell ref="AE36:AG38"/>
    <mergeCell ref="A2:C4"/>
    <mergeCell ref="A1:C1"/>
    <mergeCell ref="A37:C37"/>
    <mergeCell ref="A81:C81"/>
    <mergeCell ref="A92:C92"/>
    <mergeCell ref="Y1:AA1"/>
    <mergeCell ref="AB1:AB4"/>
    <mergeCell ref="D43:D44"/>
    <mergeCell ref="E43:E44"/>
    <mergeCell ref="F43:F44"/>
    <mergeCell ref="L2:L4"/>
    <mergeCell ref="K2:K4"/>
    <mergeCell ref="J2:J4"/>
    <mergeCell ref="I2:I4"/>
    <mergeCell ref="H2:H4"/>
    <mergeCell ref="G2:G4"/>
    <mergeCell ref="D31:D32"/>
    <mergeCell ref="E31:E32"/>
    <mergeCell ref="F31:F32"/>
    <mergeCell ref="BK37:BO40"/>
    <mergeCell ref="A140:C140"/>
    <mergeCell ref="A229:C229"/>
    <mergeCell ref="A241:C241"/>
    <mergeCell ref="A253:C253"/>
    <mergeCell ref="A265:C265"/>
    <mergeCell ref="D1:F1"/>
    <mergeCell ref="G1:I1"/>
    <mergeCell ref="J1:L1"/>
    <mergeCell ref="M1:O1"/>
    <mergeCell ref="P1:R1"/>
    <mergeCell ref="S1:U1"/>
    <mergeCell ref="V1:X1"/>
    <mergeCell ref="AI1:AK1"/>
    <mergeCell ref="AL1:AN1"/>
    <mergeCell ref="AO1:AQ1"/>
    <mergeCell ref="AH2:AH4"/>
    <mergeCell ref="AI2:AI4"/>
    <mergeCell ref="AJ2:AJ4"/>
    <mergeCell ref="AK2:AK4"/>
    <mergeCell ref="AL2:AL4"/>
    <mergeCell ref="AM2:AM4"/>
    <mergeCell ref="AN2:AN4"/>
    <mergeCell ref="AO2:AO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301"/>
  <sheetViews>
    <sheetView zoomScale="80" zoomScaleNormal="80" workbookViewId="0">
      <pane xSplit="3" ySplit="4" topLeftCell="D5" activePane="bottomRight" state="frozen"/>
      <selection activeCell="E11" sqref="E11"/>
      <selection pane="topRight" activeCell="E11" sqref="E11"/>
      <selection pane="bottomLeft" activeCell="E11" sqref="E11"/>
      <selection pane="bottomRight" activeCell="DA2" sqref="DA2:DA4"/>
    </sheetView>
  </sheetViews>
  <sheetFormatPr defaultRowHeight="12.75" x14ac:dyDescent="0.2"/>
  <cols>
    <col min="1" max="1" width="15" style="52" bestFit="1" customWidth="1"/>
    <col min="2" max="2" width="10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85546875" style="52" bestFit="1" customWidth="1"/>
    <col min="79" max="79" width="18.85546875" style="52" bestFit="1" customWidth="1"/>
    <col min="80" max="80" width="11" style="52" bestFit="1" customWidth="1"/>
    <col min="81" max="81" width="10.85546875" style="52" bestFit="1" customWidth="1"/>
    <col min="82" max="82" width="20.28515625" style="52" bestFit="1" customWidth="1"/>
    <col min="83" max="83" width="12.42578125" style="52" bestFit="1" customWidth="1"/>
    <col min="84" max="84" width="9.85546875" style="52" bestFit="1" customWidth="1"/>
    <col min="85" max="85" width="20.28515625" style="52" bestFit="1" customWidth="1"/>
    <col min="86" max="86" width="13.5703125" style="52" bestFit="1" customWidth="1"/>
    <col min="87" max="87" width="9.8554687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4.57031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6.285156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8.85546875" style="52" bestFit="1" customWidth="1"/>
    <col min="142" max="142" width="6.28515625" style="52" bestFit="1" customWidth="1"/>
    <col min="143" max="143" width="12" style="52" bestFit="1" customWidth="1"/>
    <col min="144" max="144" width="9.28515625" style="52" bestFit="1" customWidth="1"/>
    <col min="145" max="145" width="6.28515625" style="52" bestFit="1" customWidth="1"/>
    <col min="146" max="146" width="12" style="52" bestFit="1" customWidth="1"/>
    <col min="147" max="147" width="9.28515625" style="52" bestFit="1" customWidth="1"/>
    <col min="148" max="148" width="6.28515625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6.28515625" style="52" bestFit="1" customWidth="1"/>
    <col min="158" max="158" width="12" style="52" bestFit="1" customWidth="1"/>
    <col min="159" max="159" width="9.28515625" style="52" bestFit="1" customWidth="1"/>
    <col min="160" max="160" width="6.28515625" style="52" bestFit="1" customWidth="1"/>
    <col min="161" max="161" width="12" style="52" bestFit="1" customWidth="1"/>
    <col min="162" max="162" width="9.28515625" style="52" bestFit="1" customWidth="1"/>
    <col min="163" max="163" width="6.28515625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6.285156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7.7109375" style="52" bestFit="1" customWidth="1"/>
    <col min="186" max="186" width="9.28515625" style="52" bestFit="1" customWidth="1"/>
    <col min="187" max="187" width="6.28515625" style="52" bestFit="1" customWidth="1"/>
    <col min="188" max="188" width="12" style="52" bestFit="1" customWidth="1"/>
    <col min="189" max="189" width="9.28515625" style="52" bestFit="1" customWidth="1"/>
    <col min="190" max="190" width="6.28515625" style="52" bestFit="1" customWidth="1"/>
    <col min="191" max="191" width="12" style="52" bestFit="1" customWidth="1"/>
    <col min="192" max="192" width="9.28515625" style="52" bestFit="1" customWidth="1"/>
    <col min="193" max="193" width="6.28515625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6.28515625" style="52" bestFit="1" customWidth="1"/>
    <col min="203" max="203" width="12" style="52" bestFit="1" customWidth="1"/>
    <col min="204" max="204" width="9.28515625" style="52" bestFit="1" customWidth="1"/>
    <col min="205" max="205" width="6.28515625" style="52" bestFit="1" customWidth="1"/>
    <col min="206" max="206" width="12" style="52" bestFit="1" customWidth="1"/>
    <col min="207" max="207" width="9.28515625" style="52" bestFit="1" customWidth="1"/>
    <col min="208" max="208" width="6.28515625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9.28515625" style="52" bestFit="1" customWidth="1"/>
    <col min="214" max="214" width="21.28515625" style="52" bestFit="1" customWidth="1"/>
    <col min="215" max="16384" width="9.140625" style="52"/>
  </cols>
  <sheetData>
    <row r="1" spans="1:214" ht="21.75" customHeight="1" thickTop="1" thickBot="1" x14ac:dyDescent="0.25">
      <c r="A1" s="652" t="s">
        <v>359</v>
      </c>
      <c r="B1" s="653"/>
      <c r="C1" s="654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565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296" t="s">
        <v>557</v>
      </c>
      <c r="AJ1" s="294"/>
      <c r="AK1" s="297"/>
      <c r="AL1" s="293" t="s">
        <v>546</v>
      </c>
      <c r="AM1" s="294"/>
      <c r="AN1" s="297"/>
      <c r="AO1" s="293" t="s">
        <v>547</v>
      </c>
      <c r="AP1" s="294"/>
      <c r="AQ1" s="295"/>
      <c r="AR1" s="296" t="s">
        <v>559</v>
      </c>
      <c r="AS1" s="294"/>
      <c r="AT1" s="297"/>
      <c r="AU1" s="293" t="s">
        <v>548</v>
      </c>
      <c r="AV1" s="294"/>
      <c r="AW1" s="297"/>
      <c r="AX1" s="293" t="s">
        <v>549</v>
      </c>
      <c r="AY1" s="294"/>
      <c r="AZ1" s="295"/>
      <c r="BA1" s="296" t="s">
        <v>561</v>
      </c>
      <c r="BB1" s="294"/>
      <c r="BC1" s="297"/>
      <c r="BD1" s="293" t="s">
        <v>551</v>
      </c>
      <c r="BE1" s="294"/>
      <c r="BF1" s="297"/>
      <c r="BG1" s="293" t="s">
        <v>552</v>
      </c>
      <c r="BH1" s="294"/>
      <c r="BI1" s="295"/>
      <c r="BJ1" s="296" t="s">
        <v>564</v>
      </c>
      <c r="BK1" s="294"/>
      <c r="BL1" s="297"/>
      <c r="BM1" s="293" t="s">
        <v>554</v>
      </c>
      <c r="BN1" s="294"/>
      <c r="BO1" s="297"/>
      <c r="BP1" s="293" t="s">
        <v>555</v>
      </c>
      <c r="BQ1" s="294"/>
      <c r="BR1" s="295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274" t="s">
        <v>569</v>
      </c>
      <c r="CC1" s="270"/>
      <c r="CD1" s="270"/>
      <c r="CE1" s="271" t="s">
        <v>570</v>
      </c>
      <c r="CF1" s="270"/>
      <c r="CG1" s="272"/>
      <c r="CH1" s="270" t="s">
        <v>571</v>
      </c>
      <c r="CI1" s="270"/>
      <c r="CJ1" s="273"/>
      <c r="CK1" s="270" t="s">
        <v>575</v>
      </c>
      <c r="CL1" s="270"/>
      <c r="CM1" s="270"/>
      <c r="CN1" s="271" t="s">
        <v>575</v>
      </c>
      <c r="CO1" s="270"/>
      <c r="CP1" s="272"/>
      <c r="CQ1" s="270" t="s">
        <v>575</v>
      </c>
      <c r="CR1" s="270"/>
      <c r="CS1" s="273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3.5" customHeight="1" thickTop="1" x14ac:dyDescent="0.2">
      <c r="A2" s="372" t="s">
        <v>233</v>
      </c>
      <c r="B2" s="373"/>
      <c r="C2" s="374"/>
      <c r="D2" s="193"/>
      <c r="E2" s="194"/>
      <c r="F2" s="194"/>
      <c r="G2" s="363" t="s">
        <v>531</v>
      </c>
      <c r="H2" s="360">
        <f>1/((1/H10)+(1/H12)+(1/H13)+(1/H11))</f>
        <v>8.2984104047692346E-3</v>
      </c>
      <c r="I2" s="625" t="s">
        <v>11</v>
      </c>
      <c r="J2" s="622" t="s">
        <v>531</v>
      </c>
      <c r="K2" s="360">
        <f>1/((1/K14)+(1/K15)+(1/K16)+(1/K17))</f>
        <v>6.9345170170456535E-2</v>
      </c>
      <c r="L2" s="345" t="s">
        <v>10</v>
      </c>
      <c r="M2" s="330" t="s">
        <v>537</v>
      </c>
      <c r="N2" s="333">
        <f>(N5*N6*N7)/((1-EXP(-N7*N6))*N15*N13*(N9/365)*(((N14/24)*N12)+((N16/24)*N11)))</f>
        <v>0.28872157581809466</v>
      </c>
      <c r="O2" s="336" t="s">
        <v>10</v>
      </c>
      <c r="P2" s="339" t="s">
        <v>537</v>
      </c>
      <c r="Q2" s="333">
        <f>(Q5*Q6*Q7)/((1-EXP(-Q7*Q6))*Q15*Q13*(Q9/365)*(((Q14/24)*Q12)+((Q16/24)*Q11)))</f>
        <v>1.5641421291892896</v>
      </c>
      <c r="R2" s="336" t="s">
        <v>10</v>
      </c>
      <c r="S2" s="339" t="s">
        <v>537</v>
      </c>
      <c r="T2" s="333">
        <f>(T5*T6*T7)/((1-EXP(-T7*T6))*T15*T13*(T9/365)*(((T14/24)*T12)+((T16/24)*T11)))</f>
        <v>0.3406060027621497</v>
      </c>
      <c r="U2" s="342" t="s">
        <v>10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0.41574858617776878</v>
      </c>
      <c r="AD2" s="315">
        <f>1/((1/AD29)+(1/AD30)+(1/AD31))</f>
        <v>1.0364914322676921</v>
      </c>
      <c r="AE2" s="315">
        <f>1/((1/AE29)+(1/AE30)+(1/AE31))</f>
        <v>0.46194287353085417</v>
      </c>
      <c r="AF2" s="315">
        <f>1/((1/AF29)+(1/AF30)+(1/AF31))</f>
        <v>1.7741569916485593</v>
      </c>
      <c r="AG2" s="320">
        <f>1/((1/AG29)+(1/AG31)+(1/AG30))</f>
        <v>3.1118913922506275</v>
      </c>
      <c r="AH2" s="318" t="s">
        <v>10</v>
      </c>
      <c r="AI2" s="306" t="s">
        <v>537</v>
      </c>
      <c r="AJ2" s="303">
        <f>(AJ5*AJ6*AJ7)/((1-EXP(-AJ7*AJ6))*AJ15*(AJ9/365)*AJ10*(AJ16/24)*AJ11*AJ13)</f>
        <v>1.050744430874792</v>
      </c>
      <c r="AK2" s="290" t="s">
        <v>10</v>
      </c>
      <c r="AL2" s="287" t="s">
        <v>537</v>
      </c>
      <c r="AM2" s="303">
        <f>(AM5*AM6*AM7)/((1-EXP(-AM7*AM6))*AM15*(AM9/365)*AM10*(AM16/24)*AM11*AM13)</f>
        <v>5.692382450758581</v>
      </c>
      <c r="AN2" s="290" t="s">
        <v>10</v>
      </c>
      <c r="AO2" s="287" t="s">
        <v>537</v>
      </c>
      <c r="AP2" s="303">
        <f>(AP5*AP6*AP7)/((1-EXP(-AP7*AP6))*AP15*(AP9/365)*AP10*(AP16/24)*AP11*AP13)</f>
        <v>1.2395674258522915</v>
      </c>
      <c r="AQ2" s="281" t="s">
        <v>10</v>
      </c>
      <c r="AR2" s="306" t="s">
        <v>537</v>
      </c>
      <c r="AS2" s="303">
        <f>(AS5*AS6*AS7)/((1-EXP(-AS7*AS6))*AS15*(AS9/365)*AS10*(AS14/24)*AS12*AS13)</f>
        <v>0.46699752483324081</v>
      </c>
      <c r="AT2" s="290" t="s">
        <v>10</v>
      </c>
      <c r="AU2" s="287" t="s">
        <v>537</v>
      </c>
      <c r="AV2" s="303">
        <f>(AV5*AV6*AV7)/((1-EXP(-AV7*AV6))*AV15*(AV9/365)*AV10*(AV14/24)*AV12*AV13)</f>
        <v>2.5299477558927026</v>
      </c>
      <c r="AW2" s="290" t="s">
        <v>10</v>
      </c>
      <c r="AX2" s="287" t="s">
        <v>537</v>
      </c>
      <c r="AY2" s="303">
        <f>(AY5*AY6*AY7)/((1-EXP(-AY7*AY6))*AY15*(AY9/365)*AY10*(AY14/24)*AY12*AY13)</f>
        <v>0.55091885593435175</v>
      </c>
      <c r="AZ2" s="281" t="s">
        <v>10</v>
      </c>
      <c r="BA2" s="306" t="s">
        <v>537</v>
      </c>
      <c r="BB2" s="303">
        <f>(BB5*BB6*BB7)/((1-EXP(-BB7*BB6))*BB15*(BB9/365)*(BB14/24)*BB12*BB13)</f>
        <v>0.42029777234991678</v>
      </c>
      <c r="BC2" s="290" t="s">
        <v>10</v>
      </c>
      <c r="BD2" s="287" t="s">
        <v>537</v>
      </c>
      <c r="BE2" s="303">
        <f>(BE5*BE6*BE7)/((1-EXP(-BE7*BE6))*BE15*(BE9/365)*(BE14/24)*BE12*BE13)</f>
        <v>2.2769529803034327</v>
      </c>
      <c r="BF2" s="290" t="s">
        <v>10</v>
      </c>
      <c r="BG2" s="287" t="s">
        <v>537</v>
      </c>
      <c r="BH2" s="303">
        <f>(BH5*BH6*BH7)/((1-EXP(-BH7*BH6))*BH15*(BH9/365)*(BH14/24)*BH12*BH13)</f>
        <v>0.49582697034091661</v>
      </c>
      <c r="BI2" s="281" t="s">
        <v>10</v>
      </c>
      <c r="BJ2" s="306" t="s">
        <v>537</v>
      </c>
      <c r="BK2" s="284">
        <f>(BK5*BK6*BK7)/((1-EXP(-BK7*BK6))*BK16*(BK9/365)*(BK15/24)*BK13*BK14)</f>
        <v>4.2888567182104333</v>
      </c>
      <c r="BL2" s="290" t="s">
        <v>10</v>
      </c>
      <c r="BM2" s="287" t="s">
        <v>537</v>
      </c>
      <c r="BN2" s="284">
        <f>(BN5*BN6*BN7)/((1-EXP(-BN7*BN6))*BN16*(BN9/365)*(BN15/24)*BN13*BN14)</f>
        <v>62.848141740624001</v>
      </c>
      <c r="BO2" s="290" t="s">
        <v>10</v>
      </c>
      <c r="BP2" s="287" t="s">
        <v>537</v>
      </c>
      <c r="BQ2" s="284">
        <f>(BQ5*BQ6*BQ7)/((1-EXP(-BQ7*BQ6))*BQ16*(BQ9/365)*(BQ15/24)*BQ13*BQ14)</f>
        <v>6.5424621403100574</v>
      </c>
      <c r="BR2" s="281" t="s">
        <v>10</v>
      </c>
      <c r="BS2" s="214"/>
      <c r="BT2" s="120"/>
      <c r="BU2" s="215"/>
      <c r="BV2" s="258" t="s">
        <v>531</v>
      </c>
      <c r="BW2" s="261">
        <f>1/((1/BW10)+(1/BW12))</f>
        <v>5.6965633432930201</v>
      </c>
      <c r="BX2" s="278" t="s">
        <v>11</v>
      </c>
      <c r="BY2" s="258" t="s">
        <v>531</v>
      </c>
      <c r="BZ2" s="261">
        <f>1/((1/BZ13)+(1/BZ14)+(1/BZ15))</f>
        <v>41.268471554982689</v>
      </c>
      <c r="CA2" s="264" t="s">
        <v>10</v>
      </c>
      <c r="CB2" s="267" t="s">
        <v>537</v>
      </c>
      <c r="CC2" s="261">
        <f>(CC5*CC6*CC7)/((1-EXP(-CC7*CC6))*CC14*(CC9/365)*CC12*(CC13/24)*CC11)</f>
        <v>114.36951248561159</v>
      </c>
      <c r="CD2" s="278" t="s">
        <v>10</v>
      </c>
      <c r="CE2" s="258" t="s">
        <v>537</v>
      </c>
      <c r="CF2" s="261">
        <f>(CF5*CF6*CF7)/((1-EXP(-CF7*CF6))*CF10*CF14*(CF9/365)*CF12*(CF13/24)*CF11)</f>
        <v>1675.9504464166403</v>
      </c>
      <c r="CG2" s="278" t="s">
        <v>10</v>
      </c>
      <c r="CH2" s="258" t="s">
        <v>537</v>
      </c>
      <c r="CI2" s="261">
        <f>(CI5*CI6*CI7)/((1-EXP(-CI7*CI6))*CI10*CI14*(CI9/365)*CI12*(CI13/24)*CI11)</f>
        <v>174.46565707493488</v>
      </c>
      <c r="CJ2" s="264" t="s">
        <v>10</v>
      </c>
      <c r="CK2" s="267" t="s">
        <v>530</v>
      </c>
      <c r="CL2" s="261">
        <f>CL5/(CL6*CL7*CL8)</f>
        <v>7.9407140406442052</v>
      </c>
      <c r="CM2" s="255" t="s">
        <v>10</v>
      </c>
      <c r="CN2" s="258" t="s">
        <v>7</v>
      </c>
      <c r="CO2" s="261" t="e">
        <f>(CL2/(CO5*((CO10*CO12*CO13*(CO6+CO7))+(CO11*CO12))))*CO17</f>
        <v>#DIV/0!</v>
      </c>
      <c r="CP2" s="278" t="s">
        <v>10</v>
      </c>
      <c r="CQ2" s="275" t="s">
        <v>6</v>
      </c>
      <c r="CR2" s="261" t="e">
        <f>CL2/(CR5*CR6*(1/CR7))</f>
        <v>#DIV/0!</v>
      </c>
      <c r="CS2" s="264" t="s">
        <v>10</v>
      </c>
      <c r="CT2" s="395" t="s">
        <v>531</v>
      </c>
      <c r="CU2" s="392">
        <f>1/((1/CU14)+(1/CU15)+(1/CU16)+(1/CU17)+(1/CU21)+(1/CU22)+(1/CU24))</f>
        <v>2.6730849917250966E-3</v>
      </c>
      <c r="CV2" s="389" t="s">
        <v>10</v>
      </c>
      <c r="CW2" s="218"/>
      <c r="CX2" s="219"/>
      <c r="CY2" s="219"/>
      <c r="CZ2" s="407" t="s">
        <v>531</v>
      </c>
      <c r="DA2" s="404">
        <f>1/((1/DA13)+(1/DA15)+(1/DA16)+(1/DA14))</f>
        <v>7.8397871808127337E-3</v>
      </c>
      <c r="DB2" s="401" t="s">
        <v>11</v>
      </c>
      <c r="DC2" s="442" t="s">
        <v>530</v>
      </c>
      <c r="DD2" s="439">
        <f>DD7</f>
        <v>6.2193445791701015E-3</v>
      </c>
      <c r="DE2" s="436" t="s">
        <v>10</v>
      </c>
      <c r="DF2" s="433" t="s">
        <v>530</v>
      </c>
      <c r="DG2" s="424">
        <f>DD7/((1/DG24)*(DG5+DG6+DG7))</f>
        <v>0.46395580393628905</v>
      </c>
      <c r="DH2" s="430" t="s">
        <v>11</v>
      </c>
      <c r="DI2" s="427" t="s">
        <v>530</v>
      </c>
      <c r="DJ2" s="424">
        <f>(DD7/(DJ5+DJ6))*DJ12</f>
        <v>2.2637159946172557E-2</v>
      </c>
      <c r="DK2" s="430" t="s">
        <v>10</v>
      </c>
      <c r="DL2" s="427" t="s">
        <v>581</v>
      </c>
      <c r="DM2" s="424">
        <f>((DD7)/(DM5+DM6))*DJ12</f>
        <v>2.2637159946172557E-2</v>
      </c>
      <c r="DN2" s="430" t="s">
        <v>10</v>
      </c>
      <c r="DO2" s="427" t="s">
        <v>582</v>
      </c>
      <c r="DP2" s="424">
        <f>-(DP5+DP6+DP7)/(DP23+DP24)</f>
        <v>-49.001215422593845</v>
      </c>
      <c r="DQ2" s="421" t="s">
        <v>18</v>
      </c>
      <c r="DR2" s="574" t="s">
        <v>530</v>
      </c>
      <c r="DS2" s="445">
        <f>DS7</f>
        <v>3.9462912210258801E-3</v>
      </c>
      <c r="DT2" s="484" t="s">
        <v>10</v>
      </c>
      <c r="DU2" s="481" t="s">
        <v>530</v>
      </c>
      <c r="DV2" s="463">
        <f>(DS7*DV8)/(DV5*DV6*(1/1000))</f>
        <v>116.26658917782198</v>
      </c>
      <c r="DW2" s="466" t="s">
        <v>11</v>
      </c>
      <c r="DX2" s="478" t="s">
        <v>530</v>
      </c>
      <c r="DY2" s="463">
        <f>(DS7*DY14)/(DY9*((DY10*DY12*DY13*(DY5+DY6))+(DY11*DY12)))*DY18</f>
        <v>1.8382575622473341</v>
      </c>
      <c r="DZ2" s="466" t="s">
        <v>10</v>
      </c>
      <c r="EA2" s="478" t="s">
        <v>581</v>
      </c>
      <c r="EB2" s="463">
        <f>(DS7*DY14)/(EB9*((EB10*EB12*EB13*(EB5+EB6))+(EB11*EB12)))*DY18</f>
        <v>1.8382575622473341</v>
      </c>
      <c r="EC2" s="466" t="s">
        <v>10</v>
      </c>
      <c r="ED2" s="478" t="s">
        <v>582</v>
      </c>
      <c r="EE2" s="463">
        <f>-EE15/((EE10*EE12*EE13*(EE5+EE6))+(EE11*EE12))</f>
        <v>-15.807288534561259</v>
      </c>
      <c r="EF2" s="460" t="s">
        <v>18</v>
      </c>
      <c r="EG2" s="475" t="s">
        <v>530</v>
      </c>
      <c r="EH2" s="469">
        <f>EH7</f>
        <v>1.0816397547201753E-2</v>
      </c>
      <c r="EI2" s="457" t="s">
        <v>10</v>
      </c>
      <c r="EJ2" s="472" t="s">
        <v>530</v>
      </c>
      <c r="EK2" s="454">
        <f>EH7/(EK5*EK6*(1/1000))</f>
        <v>120.04880740512488</v>
      </c>
      <c r="EL2" s="451" t="s">
        <v>11</v>
      </c>
      <c r="EM2" s="448" t="s">
        <v>530</v>
      </c>
      <c r="EN2" s="454">
        <f>(EH7/(EN9*((EN10*EN12*EN13*(EN5+EN6))+(EN11*EN12))))*EN17</f>
        <v>1.7470988471502078</v>
      </c>
      <c r="EO2" s="451" t="s">
        <v>10</v>
      </c>
      <c r="EP2" s="448" t="s">
        <v>581</v>
      </c>
      <c r="EQ2" s="454">
        <f>(EH7/(EQ9*((EQ10*EQ12*EQ13*(EQ5+EQ6))+(EQ11*EQ12))))*EN17</f>
        <v>1.7470988471502078</v>
      </c>
      <c r="ER2" s="451" t="s">
        <v>10</v>
      </c>
      <c r="ES2" s="448" t="s">
        <v>582</v>
      </c>
      <c r="ET2" s="454">
        <f>-ET15/((ET10*ET12*ET13*(ET5+ET6))+(ET11*ET12))</f>
        <v>-14.550086614194845</v>
      </c>
      <c r="EU2" s="499" t="s">
        <v>18</v>
      </c>
      <c r="EV2" s="496" t="s">
        <v>530</v>
      </c>
      <c r="EW2" s="493">
        <f>EW7</f>
        <v>3.6178846119981796E-2</v>
      </c>
      <c r="EX2" s="490" t="s">
        <v>10</v>
      </c>
      <c r="EY2" s="487" t="s">
        <v>530</v>
      </c>
      <c r="EZ2" s="586" t="e">
        <f>EW7/(EZ5*EZ6*(1/EZ7))</f>
        <v>#DIV/0!</v>
      </c>
      <c r="FA2" s="592" t="s">
        <v>11</v>
      </c>
      <c r="FB2" s="589" t="s">
        <v>530</v>
      </c>
      <c r="FC2" s="586" t="e">
        <f>(EW7/(FC9*((FC10*FC12*FC13*(FC5+FC6))+(FC11*FC12))))*FC17</f>
        <v>#DIV/0!</v>
      </c>
      <c r="FD2" s="595" t="s">
        <v>10</v>
      </c>
      <c r="FE2" s="589" t="s">
        <v>581</v>
      </c>
      <c r="FF2" s="586">
        <f>(EW7/(FF9*(FF10*FF12*FF13*(FF5*FF6))+(FF11*FF12)))*FC17</f>
        <v>1.6448491666787497</v>
      </c>
      <c r="FG2" s="592" t="s">
        <v>10</v>
      </c>
      <c r="FH2" s="589" t="s">
        <v>582</v>
      </c>
      <c r="FI2" s="586">
        <f>FI15/((FI10*FI12*FI13*(FI5+FI6))+(FI11*FI12))</f>
        <v>5.3050397877984095</v>
      </c>
      <c r="FJ2" s="583" t="s">
        <v>18</v>
      </c>
      <c r="FK2" s="580" t="s">
        <v>530</v>
      </c>
      <c r="FL2" s="577">
        <f>FL7</f>
        <v>1.2419396979330297E-2</v>
      </c>
      <c r="FM2" s="571" t="s">
        <v>10</v>
      </c>
      <c r="FN2" s="568" t="s">
        <v>530</v>
      </c>
      <c r="FO2" s="505">
        <f>FL7/(FO5*(1/FO6))</f>
        <v>3.104849244832574</v>
      </c>
      <c r="FP2" s="511" t="s">
        <v>11</v>
      </c>
      <c r="FQ2" s="508" t="s">
        <v>530</v>
      </c>
      <c r="FR2" s="505">
        <f>((FL7*FR6)/FR5)*FR10</f>
        <v>3.1055216872856038E-3</v>
      </c>
      <c r="FS2" s="511" t="s">
        <v>10</v>
      </c>
      <c r="FT2" s="508" t="s">
        <v>581</v>
      </c>
      <c r="FU2" s="505">
        <f>((FL7*FU6)/FU5)*FR10</f>
        <v>3.1055216872856038E-3</v>
      </c>
      <c r="FV2" s="511" t="s">
        <v>10</v>
      </c>
      <c r="FW2" s="508" t="s">
        <v>582</v>
      </c>
      <c r="FX2" s="505">
        <f>-FX5/FX6</f>
        <v>-1E-3</v>
      </c>
      <c r="FY2" s="502" t="s">
        <v>18</v>
      </c>
      <c r="FZ2" s="556" t="s">
        <v>530</v>
      </c>
      <c r="GA2" s="553">
        <f>GA7</f>
        <v>1.8073091663707318E-2</v>
      </c>
      <c r="GB2" s="550" t="s">
        <v>10</v>
      </c>
      <c r="GC2" s="559" t="s">
        <v>530</v>
      </c>
      <c r="GD2" s="538" t="e">
        <f>GA7/(GD5*GD6*(1/GD7))</f>
        <v>#DIV/0!</v>
      </c>
      <c r="GE2" s="544" t="s">
        <v>11</v>
      </c>
      <c r="GF2" s="541" t="s">
        <v>530</v>
      </c>
      <c r="GG2" s="538" t="e">
        <f>(GA7/((GG9)*((GG10*GG12*GG13*(GG5+GG6))+(GG11*GG12))))*GG17</f>
        <v>#DIV/0!</v>
      </c>
      <c r="GH2" s="544" t="s">
        <v>10</v>
      </c>
      <c r="GI2" s="541" t="s">
        <v>581</v>
      </c>
      <c r="GJ2" s="538" t="e">
        <f>(GA7/((GJ9)*((GJ10*GJ12*GJ13*(GJ5+GJ6))+(GJ11*GJ12))))*GG17</f>
        <v>#DIV/0!</v>
      </c>
      <c r="GK2" s="544" t="s">
        <v>10</v>
      </c>
      <c r="GL2" s="541" t="s">
        <v>582</v>
      </c>
      <c r="GM2" s="538">
        <f>GM15/((GM10*GM12*GM13*(GM5+GM6))+(GM11*GM12))</f>
        <v>5.3050397877984095</v>
      </c>
      <c r="GN2" s="535" t="s">
        <v>18</v>
      </c>
      <c r="GO2" s="532" t="s">
        <v>530</v>
      </c>
      <c r="GP2" s="529">
        <f>GP7</f>
        <v>1.9788133272915967E-2</v>
      </c>
      <c r="GQ2" s="526" t="s">
        <v>10</v>
      </c>
      <c r="GR2" s="523" t="s">
        <v>530</v>
      </c>
      <c r="GS2" s="517" t="e">
        <f>GP7/(GS5*GS6*(1/GS7))</f>
        <v>#DIV/0!</v>
      </c>
      <c r="GT2" s="514" t="s">
        <v>11</v>
      </c>
      <c r="GU2" s="520" t="s">
        <v>530</v>
      </c>
      <c r="GV2" s="517" t="e">
        <f>(GP7/((GV9)*((GV10*GV12*GV13*(GV5+GV6))+(GV11*GV12))))*GV17</f>
        <v>#DIV/0!</v>
      </c>
      <c r="GW2" s="514" t="s">
        <v>10</v>
      </c>
      <c r="GX2" s="520" t="s">
        <v>581</v>
      </c>
      <c r="GY2" s="517" t="e">
        <f>(GP7/((GY9*((GY10*GY12*GY13*(GY5+GY6))+(GY11*GY12)))))*GV17</f>
        <v>#DIV/0!</v>
      </c>
      <c r="GZ2" s="514" t="s">
        <v>10</v>
      </c>
      <c r="HA2" s="520" t="s">
        <v>582</v>
      </c>
      <c r="HB2" s="517">
        <f>GP7/((HB10*HB12*HB13*(HB5+HB6))+(HB11*HB12))</f>
        <v>1.2178062202545366E-2</v>
      </c>
      <c r="HC2" s="547" t="s">
        <v>18</v>
      </c>
      <c r="HD2" s="54"/>
      <c r="HE2" s="55"/>
      <c r="HF2" s="56"/>
    </row>
    <row r="3" spans="1:214" ht="12.75" customHeight="1" x14ac:dyDescent="0.2">
      <c r="A3" s="375"/>
      <c r="B3" s="376"/>
      <c r="C3" s="377"/>
      <c r="D3" s="189" t="s">
        <v>15</v>
      </c>
      <c r="E3" s="134">
        <f>1/((1/E19)+(1/E20))</f>
        <v>6.6527998540460219E-5</v>
      </c>
      <c r="F3" s="58" t="s">
        <v>9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2.9931552107058488E-4</v>
      </c>
      <c r="X3" s="62" t="s">
        <v>9</v>
      </c>
      <c r="Y3" s="202" t="s">
        <v>16</v>
      </c>
      <c r="Z3" s="187">
        <f>1/((1/Z18)+(1/Z19))</f>
        <v>2.6938396896352638E-4</v>
      </c>
      <c r="AA3" s="63" t="s">
        <v>9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307"/>
      <c r="AS3" s="304"/>
      <c r="AT3" s="291"/>
      <c r="AU3" s="288"/>
      <c r="AV3" s="304"/>
      <c r="AW3" s="291"/>
      <c r="AX3" s="288"/>
      <c r="AY3" s="304"/>
      <c r="AZ3" s="282"/>
      <c r="BA3" s="307"/>
      <c r="BB3" s="304"/>
      <c r="BC3" s="291"/>
      <c r="BD3" s="288"/>
      <c r="BE3" s="304"/>
      <c r="BF3" s="291"/>
      <c r="BG3" s="288"/>
      <c r="BH3" s="304"/>
      <c r="BI3" s="282"/>
      <c r="BJ3" s="307"/>
      <c r="BK3" s="285"/>
      <c r="BL3" s="291"/>
      <c r="BM3" s="288"/>
      <c r="BN3" s="285"/>
      <c r="BO3" s="291"/>
      <c r="BP3" s="288"/>
      <c r="BQ3" s="285"/>
      <c r="BR3" s="282"/>
      <c r="BS3" s="212" t="s">
        <v>15</v>
      </c>
      <c r="BT3" s="64">
        <f>1/((1/BT18)+(1/BT19))</f>
        <v>7.4511358365315465E-3</v>
      </c>
      <c r="BU3" s="53" t="s">
        <v>9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56"/>
      <c r="CN3" s="259"/>
      <c r="CO3" s="262"/>
      <c r="CP3" s="279"/>
      <c r="CQ3" s="276"/>
      <c r="CR3" s="262"/>
      <c r="CS3" s="265"/>
      <c r="CT3" s="396"/>
      <c r="CU3" s="393"/>
      <c r="CV3" s="390"/>
      <c r="CW3" s="216" t="s">
        <v>15</v>
      </c>
      <c r="CX3" s="65">
        <f>1/((1/CX19)+(1/CX20))</f>
        <v>6.6480885187038903E-5</v>
      </c>
      <c r="CY3" s="66" t="s">
        <v>9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126">
        <f>(HE5*HE14)*(10^-3)*(HE13+(HE10/HE11))*((HE12*HE7)/HE8)</f>
        <v>6.0012994687986525E-3</v>
      </c>
      <c r="HF3" s="220" t="s">
        <v>592</v>
      </c>
    </row>
    <row r="4" spans="1:214" ht="13.5" customHeight="1" thickBot="1" x14ac:dyDescent="0.25">
      <c r="A4" s="378"/>
      <c r="B4" s="379"/>
      <c r="C4" s="380"/>
      <c r="D4" s="190" t="s">
        <v>16</v>
      </c>
      <c r="E4" s="135">
        <f>1/((1/E21)+(1/E22))</f>
        <v>6.6542407050183586E-5</v>
      </c>
      <c r="F4" s="68" t="s">
        <v>9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2.9925070991050103E-4</v>
      </c>
      <c r="X4" s="76" t="s">
        <v>9</v>
      </c>
      <c r="Y4" s="203" t="s">
        <v>15</v>
      </c>
      <c r="Z4" s="186">
        <f>1/((1/Z16)+(1/Z17))</f>
        <v>2.6932563891945093E-4</v>
      </c>
      <c r="AA4" s="77" t="s">
        <v>9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308"/>
      <c r="AS4" s="305"/>
      <c r="AT4" s="292"/>
      <c r="AU4" s="289"/>
      <c r="AV4" s="305"/>
      <c r="AW4" s="292"/>
      <c r="AX4" s="289"/>
      <c r="AY4" s="305"/>
      <c r="AZ4" s="283"/>
      <c r="BA4" s="308"/>
      <c r="BB4" s="305"/>
      <c r="BC4" s="292"/>
      <c r="BD4" s="289"/>
      <c r="BE4" s="305"/>
      <c r="BF4" s="292"/>
      <c r="BG4" s="289"/>
      <c r="BH4" s="305"/>
      <c r="BI4" s="283"/>
      <c r="BJ4" s="308"/>
      <c r="BK4" s="286"/>
      <c r="BL4" s="292"/>
      <c r="BM4" s="289"/>
      <c r="BN4" s="286"/>
      <c r="BO4" s="292"/>
      <c r="BP4" s="289"/>
      <c r="BQ4" s="286"/>
      <c r="BR4" s="283"/>
      <c r="BS4" s="213" t="s">
        <v>16</v>
      </c>
      <c r="BT4" s="78">
        <f>1/((1/BT20)+(1/BT21))</f>
        <v>7.4527495896205605E-3</v>
      </c>
      <c r="BU4" s="79" t="s">
        <v>9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57"/>
      <c r="CN4" s="260"/>
      <c r="CO4" s="263"/>
      <c r="CP4" s="280"/>
      <c r="CQ4" s="277"/>
      <c r="CR4" s="263"/>
      <c r="CS4" s="266"/>
      <c r="CT4" s="397"/>
      <c r="CU4" s="394"/>
      <c r="CV4" s="391"/>
      <c r="CW4" s="217" t="s">
        <v>16</v>
      </c>
      <c r="CX4" s="80">
        <f>1/((1/CX21)+(1/CX22))</f>
        <v>6.6495283493040139E-5</v>
      </c>
      <c r="CY4" s="81" t="s">
        <v>9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127">
        <f>(HE6*HE14)*10^-3*(HE13+(HE10/HE11))*((HE12*HE7)/(HE8))</f>
        <v>9.9602491908029642E-6</v>
      </c>
      <c r="HF4" s="221" t="s">
        <v>593</v>
      </c>
    </row>
    <row r="5" spans="1:214" ht="13.5" thickTop="1" x14ac:dyDescent="0.2">
      <c r="A5" s="52" t="s">
        <v>267</v>
      </c>
      <c r="B5" s="129">
        <v>1</v>
      </c>
      <c r="C5" s="52" t="s">
        <v>344</v>
      </c>
      <c r="D5" s="52" t="s">
        <v>267</v>
      </c>
      <c r="E5" s="136">
        <f>B5</f>
        <v>1</v>
      </c>
      <c r="F5" s="52" t="s">
        <v>344</v>
      </c>
      <c r="G5" s="83" t="s">
        <v>267</v>
      </c>
      <c r="H5" s="136">
        <f>B5</f>
        <v>1</v>
      </c>
      <c r="I5" s="52" t="s">
        <v>344</v>
      </c>
      <c r="J5" s="83" t="s">
        <v>267</v>
      </c>
      <c r="K5" s="136">
        <f>B5</f>
        <v>1</v>
      </c>
      <c r="L5" s="52" t="s">
        <v>344</v>
      </c>
      <c r="M5" s="52" t="s">
        <v>267</v>
      </c>
      <c r="N5" s="136">
        <f>B5</f>
        <v>1</v>
      </c>
      <c r="O5" s="52" t="s">
        <v>344</v>
      </c>
      <c r="P5" s="52" t="s">
        <v>267</v>
      </c>
      <c r="Q5" s="136">
        <f>B5</f>
        <v>1</v>
      </c>
      <c r="R5" s="52" t="s">
        <v>344</v>
      </c>
      <c r="S5" s="52" t="s">
        <v>267</v>
      </c>
      <c r="T5" s="136">
        <f>B5</f>
        <v>1</v>
      </c>
      <c r="U5" s="52" t="s">
        <v>344</v>
      </c>
      <c r="V5" s="52" t="s">
        <v>267</v>
      </c>
      <c r="W5" s="136">
        <f>B5</f>
        <v>1</v>
      </c>
      <c r="X5" s="52" t="s">
        <v>344</v>
      </c>
      <c r="Y5" s="52" t="s">
        <v>267</v>
      </c>
      <c r="Z5" s="136">
        <f>B5</f>
        <v>1</v>
      </c>
      <c r="AA5" s="52" t="s">
        <v>344</v>
      </c>
      <c r="AB5" s="83" t="s">
        <v>267</v>
      </c>
      <c r="AC5" s="136">
        <f>B5</f>
        <v>1</v>
      </c>
      <c r="AD5" s="136">
        <f>B5</f>
        <v>1</v>
      </c>
      <c r="AE5" s="136">
        <f>B5</f>
        <v>1</v>
      </c>
      <c r="AF5" s="136">
        <f>B5</f>
        <v>1</v>
      </c>
      <c r="AG5" s="136">
        <f>B5</f>
        <v>1</v>
      </c>
      <c r="AH5" s="52" t="s">
        <v>344</v>
      </c>
      <c r="AI5" s="52" t="s">
        <v>267</v>
      </c>
      <c r="AJ5" s="136">
        <f>B5</f>
        <v>1</v>
      </c>
      <c r="AK5" s="52" t="s">
        <v>344</v>
      </c>
      <c r="AL5" s="52" t="s">
        <v>267</v>
      </c>
      <c r="AM5" s="136">
        <f>B5</f>
        <v>1</v>
      </c>
      <c r="AN5" s="52" t="s">
        <v>344</v>
      </c>
      <c r="AO5" s="52" t="s">
        <v>267</v>
      </c>
      <c r="AP5" s="136">
        <f>B5</f>
        <v>1</v>
      </c>
      <c r="AQ5" s="52" t="s">
        <v>344</v>
      </c>
      <c r="AR5" s="52" t="s">
        <v>267</v>
      </c>
      <c r="AS5" s="136">
        <f>B5</f>
        <v>1</v>
      </c>
      <c r="AT5" s="52" t="s">
        <v>344</v>
      </c>
      <c r="AU5" s="52" t="s">
        <v>267</v>
      </c>
      <c r="AV5" s="136">
        <f>B5</f>
        <v>1</v>
      </c>
      <c r="AW5" s="52" t="s">
        <v>344</v>
      </c>
      <c r="AX5" s="52" t="s">
        <v>267</v>
      </c>
      <c r="AY5" s="136">
        <f>B5</f>
        <v>1</v>
      </c>
      <c r="AZ5" s="52" t="s">
        <v>344</v>
      </c>
      <c r="BA5" s="52" t="s">
        <v>267</v>
      </c>
      <c r="BB5" s="136">
        <f>B5</f>
        <v>1</v>
      </c>
      <c r="BC5" s="52" t="s">
        <v>344</v>
      </c>
      <c r="BD5" s="52" t="s">
        <v>267</v>
      </c>
      <c r="BE5" s="136">
        <f>B5</f>
        <v>1</v>
      </c>
      <c r="BF5" s="52" t="s">
        <v>344</v>
      </c>
      <c r="BG5" s="52" t="s">
        <v>267</v>
      </c>
      <c r="BH5" s="136">
        <f>B5</f>
        <v>1</v>
      </c>
      <c r="BI5" s="52" t="s">
        <v>344</v>
      </c>
      <c r="BJ5" s="52" t="s">
        <v>267</v>
      </c>
      <c r="BK5" s="136">
        <f>B5</f>
        <v>1</v>
      </c>
      <c r="BL5" s="52" t="s">
        <v>344</v>
      </c>
      <c r="BM5" s="52" t="s">
        <v>267</v>
      </c>
      <c r="BN5" s="136">
        <f>B5</f>
        <v>1</v>
      </c>
      <c r="BO5" s="52" t="s">
        <v>344</v>
      </c>
      <c r="BP5" s="52" t="s">
        <v>267</v>
      </c>
      <c r="BQ5" s="136">
        <f>B5</f>
        <v>1</v>
      </c>
      <c r="BR5" s="52" t="s">
        <v>344</v>
      </c>
      <c r="BS5" s="52" t="s">
        <v>267</v>
      </c>
      <c r="BT5" s="136">
        <f>B5</f>
        <v>1</v>
      </c>
      <c r="BU5" s="52" t="s">
        <v>344</v>
      </c>
      <c r="BV5" s="83" t="s">
        <v>267</v>
      </c>
      <c r="BW5" s="136">
        <f>B5</f>
        <v>1</v>
      </c>
      <c r="BX5" s="52" t="s">
        <v>344</v>
      </c>
      <c r="BY5" s="83" t="s">
        <v>267</v>
      </c>
      <c r="BZ5" s="136">
        <f>B5</f>
        <v>1</v>
      </c>
      <c r="CA5" s="52" t="s">
        <v>344</v>
      </c>
      <c r="CB5" s="52" t="s">
        <v>267</v>
      </c>
      <c r="CC5" s="136">
        <f>B5</f>
        <v>1</v>
      </c>
      <c r="CD5" s="52" t="s">
        <v>344</v>
      </c>
      <c r="CE5" s="52" t="s">
        <v>267</v>
      </c>
      <c r="CF5" s="136">
        <f>B5</f>
        <v>1</v>
      </c>
      <c r="CG5" s="52" t="s">
        <v>344</v>
      </c>
      <c r="CH5" s="52" t="s">
        <v>267</v>
      </c>
      <c r="CI5" s="136">
        <f>B5</f>
        <v>1</v>
      </c>
      <c r="CJ5" s="52" t="s">
        <v>344</v>
      </c>
      <c r="CK5" s="52" t="s">
        <v>267</v>
      </c>
      <c r="CL5" s="136">
        <f>B5</f>
        <v>1</v>
      </c>
      <c r="CM5" s="52" t="s">
        <v>344</v>
      </c>
      <c r="CN5" s="83" t="s">
        <v>228</v>
      </c>
      <c r="CO5" s="136">
        <f>B30</f>
        <v>0</v>
      </c>
      <c r="CP5" s="52" t="s">
        <v>268</v>
      </c>
      <c r="CQ5" s="83" t="s">
        <v>228</v>
      </c>
      <c r="CR5" s="136">
        <f>CO5</f>
        <v>0</v>
      </c>
      <c r="CS5" s="52" t="s">
        <v>268</v>
      </c>
      <c r="CT5" s="83" t="s">
        <v>267</v>
      </c>
      <c r="CU5" s="136">
        <f>B5</f>
        <v>1</v>
      </c>
      <c r="CV5" s="52" t="s">
        <v>344</v>
      </c>
      <c r="CW5" s="52" t="s">
        <v>267</v>
      </c>
      <c r="CX5" s="136">
        <f>B5</f>
        <v>1</v>
      </c>
      <c r="CY5" s="52" t="s">
        <v>344</v>
      </c>
      <c r="CZ5" s="83" t="s">
        <v>267</v>
      </c>
      <c r="DA5" s="136">
        <f>B5</f>
        <v>1</v>
      </c>
      <c r="DB5" s="52" t="s">
        <v>344</v>
      </c>
      <c r="DC5" s="83" t="s">
        <v>267</v>
      </c>
      <c r="DD5" s="136">
        <f>B5</f>
        <v>1</v>
      </c>
      <c r="DE5" s="52" t="s">
        <v>344</v>
      </c>
      <c r="DF5" s="52" t="s">
        <v>17</v>
      </c>
      <c r="DG5" s="137">
        <f>(DG8*DG9*DG10*((1-EXP(-DG11*DG12))))/(DG13*DG11)</f>
        <v>0.52579260245651049</v>
      </c>
      <c r="DH5" s="52" t="s">
        <v>18</v>
      </c>
      <c r="DI5" s="83" t="s">
        <v>19</v>
      </c>
      <c r="DJ5" s="161">
        <f>DJ7</f>
        <v>1.4800000000000001E-2</v>
      </c>
      <c r="DK5" s="83"/>
      <c r="DL5" s="83" t="s">
        <v>19</v>
      </c>
      <c r="DM5" s="161">
        <f>DM7</f>
        <v>1.4800000000000001E-2</v>
      </c>
      <c r="DO5" s="52" t="s">
        <v>17</v>
      </c>
      <c r="DP5" s="137">
        <f>(DP8*DP9*DP10*((1-EXP(-DP11*DP12))))/(DP13*DP11)</f>
        <v>0.52904687928279526</v>
      </c>
      <c r="DQ5" s="52" t="s">
        <v>18</v>
      </c>
      <c r="DR5" s="83" t="s">
        <v>267</v>
      </c>
      <c r="DS5" s="136">
        <f>B5</f>
        <v>1</v>
      </c>
      <c r="DT5" s="52" t="s">
        <v>344</v>
      </c>
      <c r="DU5" s="83" t="s">
        <v>239</v>
      </c>
      <c r="DV5" s="169">
        <f>B24</f>
        <v>3.8000000000000002E-4</v>
      </c>
      <c r="DW5" s="52" t="s">
        <v>601</v>
      </c>
      <c r="DX5" s="83" t="s">
        <v>20</v>
      </c>
      <c r="DY5" s="161">
        <f>DY7</f>
        <v>1.7000000000000001E-2</v>
      </c>
      <c r="DZ5" s="83"/>
      <c r="EA5" s="83" t="s">
        <v>20</v>
      </c>
      <c r="EB5" s="161">
        <f>EB7</f>
        <v>1.7000000000000001E-2</v>
      </c>
      <c r="EC5" s="84"/>
      <c r="ED5" s="83" t="s">
        <v>20</v>
      </c>
      <c r="EE5" s="161">
        <f>EE7</f>
        <v>1.7000000000000001E-2</v>
      </c>
      <c r="EF5" s="84"/>
      <c r="EG5" s="83" t="s">
        <v>267</v>
      </c>
      <c r="EH5" s="136">
        <f>B5</f>
        <v>1</v>
      </c>
      <c r="EI5" s="52" t="s">
        <v>344</v>
      </c>
      <c r="EJ5" s="83" t="s">
        <v>236</v>
      </c>
      <c r="EK5" s="169">
        <f>B25</f>
        <v>1.6999999999999999E-3</v>
      </c>
      <c r="EL5" s="52" t="s">
        <v>388</v>
      </c>
      <c r="EM5" s="83" t="s">
        <v>20</v>
      </c>
      <c r="EN5" s="161">
        <f>EN7</f>
        <v>1.7000000000000001E-2</v>
      </c>
      <c r="EO5" s="83"/>
      <c r="EP5" s="83" t="s">
        <v>20</v>
      </c>
      <c r="EQ5" s="161">
        <f>EQ7</f>
        <v>1.7000000000000001E-2</v>
      </c>
      <c r="ER5" s="84"/>
      <c r="ES5" s="83" t="s">
        <v>20</v>
      </c>
      <c r="ET5" s="161">
        <f>ET7</f>
        <v>1.7000000000000001E-2</v>
      </c>
      <c r="EU5" s="84"/>
      <c r="EV5" s="83" t="s">
        <v>267</v>
      </c>
      <c r="EW5" s="136">
        <f>B5</f>
        <v>1</v>
      </c>
      <c r="EX5" s="52" t="s">
        <v>344</v>
      </c>
      <c r="EY5" s="83" t="s">
        <v>171</v>
      </c>
      <c r="EZ5" s="169">
        <f>B27</f>
        <v>0</v>
      </c>
      <c r="FA5" s="52" t="s">
        <v>388</v>
      </c>
      <c r="FB5" s="83" t="s">
        <v>20</v>
      </c>
      <c r="FC5" s="161">
        <f>FC7</f>
        <v>1.7000000000000001E-2</v>
      </c>
      <c r="FD5" s="83"/>
      <c r="FE5" s="83" t="s">
        <v>20</v>
      </c>
      <c r="FF5" s="161">
        <f>FF7</f>
        <v>1.7000000000000001E-2</v>
      </c>
      <c r="FG5" s="83"/>
      <c r="FH5" s="83" t="s">
        <v>20</v>
      </c>
      <c r="FI5" s="161">
        <f>FI7</f>
        <v>1.7000000000000001E-2</v>
      </c>
      <c r="FJ5" s="84"/>
      <c r="FK5" s="83" t="s">
        <v>267</v>
      </c>
      <c r="FL5" s="136">
        <f>B5</f>
        <v>1</v>
      </c>
      <c r="FM5" s="52" t="s">
        <v>344</v>
      </c>
      <c r="FN5" s="83" t="s">
        <v>105</v>
      </c>
      <c r="FO5" s="161">
        <f>B23</f>
        <v>4</v>
      </c>
      <c r="FP5" s="83" t="s">
        <v>18</v>
      </c>
      <c r="FQ5" s="83" t="s">
        <v>105</v>
      </c>
      <c r="FR5" s="161">
        <f>B23</f>
        <v>4</v>
      </c>
      <c r="FS5" s="83" t="s">
        <v>18</v>
      </c>
      <c r="FT5" s="83" t="s">
        <v>105</v>
      </c>
      <c r="FU5" s="161">
        <f>B23</f>
        <v>4</v>
      </c>
      <c r="FV5" s="83" t="s">
        <v>18</v>
      </c>
      <c r="FW5" s="83" t="s">
        <v>156</v>
      </c>
      <c r="FX5" s="161">
        <f>B33</f>
        <v>1</v>
      </c>
      <c r="FY5" s="88" t="s">
        <v>18</v>
      </c>
      <c r="FZ5" s="83" t="s">
        <v>267</v>
      </c>
      <c r="GA5" s="136">
        <f>B5</f>
        <v>1</v>
      </c>
      <c r="GB5" s="52" t="s">
        <v>344</v>
      </c>
      <c r="GC5" s="83" t="s">
        <v>237</v>
      </c>
      <c r="GD5" s="169">
        <f>B26</f>
        <v>0</v>
      </c>
      <c r="GE5" s="52" t="s">
        <v>388</v>
      </c>
      <c r="GF5" s="83" t="s">
        <v>20</v>
      </c>
      <c r="GG5" s="161">
        <f>GG7</f>
        <v>1.7000000000000001E-2</v>
      </c>
      <c r="GH5" s="83"/>
      <c r="GI5" s="83" t="s">
        <v>20</v>
      </c>
      <c r="GJ5" s="161">
        <f>GJ7</f>
        <v>1.7000000000000001E-2</v>
      </c>
      <c r="GK5" s="83"/>
      <c r="GL5" s="83" t="s">
        <v>20</v>
      </c>
      <c r="GM5" s="161">
        <f>GM7</f>
        <v>1.7000000000000001E-2</v>
      </c>
      <c r="GN5" s="84"/>
      <c r="GO5" s="83" t="s">
        <v>267</v>
      </c>
      <c r="GP5" s="136">
        <f>B5</f>
        <v>1</v>
      </c>
      <c r="GQ5" s="52" t="s">
        <v>344</v>
      </c>
      <c r="GR5" s="83" t="s">
        <v>238</v>
      </c>
      <c r="GS5" s="169">
        <f>B28</f>
        <v>0</v>
      </c>
      <c r="GT5" s="52" t="s">
        <v>388</v>
      </c>
      <c r="GU5" s="83" t="s">
        <v>20</v>
      </c>
      <c r="GV5" s="161">
        <f>GV7</f>
        <v>1.7000000000000001E-2</v>
      </c>
      <c r="GW5" s="83"/>
      <c r="GX5" s="83" t="s">
        <v>20</v>
      </c>
      <c r="GY5" s="161">
        <f>GY7</f>
        <v>1.7000000000000001E-2</v>
      </c>
      <c r="GZ5" s="83"/>
      <c r="HA5" s="83" t="s">
        <v>20</v>
      </c>
      <c r="HB5" s="161">
        <f>HB7</f>
        <v>1.7000000000000001E-2</v>
      </c>
      <c r="HC5" s="84"/>
      <c r="HD5" s="89" t="s">
        <v>21</v>
      </c>
      <c r="HE5" s="175">
        <f>B34</f>
        <v>5</v>
      </c>
      <c r="HF5" s="83" t="s">
        <v>11</v>
      </c>
    </row>
    <row r="6" spans="1:214" x14ac:dyDescent="0.2">
      <c r="A6" s="83" t="s">
        <v>247</v>
      </c>
      <c r="B6" s="184">
        <v>3.8043873993229303E-2</v>
      </c>
      <c r="C6" s="84" t="s">
        <v>259</v>
      </c>
      <c r="D6" s="83" t="s">
        <v>22</v>
      </c>
      <c r="E6" s="137">
        <f>0.693/E7</f>
        <v>4.3312499999999997E-4</v>
      </c>
      <c r="G6" s="83" t="s">
        <v>248</v>
      </c>
      <c r="H6" s="136">
        <f>B7</f>
        <v>1.67911012348351E-3</v>
      </c>
      <c r="I6" s="83" t="s">
        <v>259</v>
      </c>
      <c r="J6" s="83" t="s">
        <v>249</v>
      </c>
      <c r="K6" s="136">
        <f>B8</f>
        <v>1.67911012348351E-3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4.3312499999999997E-4</v>
      </c>
      <c r="BV6" s="83" t="s">
        <v>248</v>
      </c>
      <c r="BW6" s="136">
        <f>B7</f>
        <v>1.67911012348351E-3</v>
      </c>
      <c r="BX6" s="83" t="s">
        <v>259</v>
      </c>
      <c r="BY6" s="83" t="s">
        <v>249</v>
      </c>
      <c r="BZ6" s="136">
        <f>B8</f>
        <v>1.67911012348351E-3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B17</f>
        <v>1.67911012348351E-3</v>
      </c>
      <c r="CM6" s="91" t="s">
        <v>10</v>
      </c>
      <c r="CN6" s="84" t="s">
        <v>20</v>
      </c>
      <c r="CO6" s="139">
        <f>CO8</f>
        <v>1.7000000000000001E-2</v>
      </c>
      <c r="CQ6" s="84" t="s">
        <v>169</v>
      </c>
      <c r="CR6" s="162">
        <f>B133</f>
        <v>1</v>
      </c>
      <c r="CS6" s="52" t="s">
        <v>28</v>
      </c>
      <c r="CT6" s="83" t="s">
        <v>249</v>
      </c>
      <c r="CU6" s="136">
        <f>B8</f>
        <v>1.67911012348351E-3</v>
      </c>
      <c r="CV6" s="83" t="s">
        <v>259</v>
      </c>
      <c r="CW6" s="83" t="s">
        <v>22</v>
      </c>
      <c r="CX6" s="137">
        <f>0.693/CX7</f>
        <v>4.3312499999999997E-4</v>
      </c>
      <c r="CZ6" s="83" t="s">
        <v>248</v>
      </c>
      <c r="DA6" s="136">
        <f>B7</f>
        <v>1.67911012348351E-3</v>
      </c>
      <c r="DB6" s="83" t="s">
        <v>259</v>
      </c>
      <c r="DC6" s="83" t="s">
        <v>258</v>
      </c>
      <c r="DD6" s="136">
        <f>B17</f>
        <v>1.67911012348351E-3</v>
      </c>
      <c r="DE6" s="92" t="s">
        <v>259</v>
      </c>
      <c r="DF6" s="52" t="s">
        <v>25</v>
      </c>
      <c r="DG6" s="137">
        <f>(DG8*DG9*DG14*((1-EXP(-DG11*DG12))))/(DG13*DG11)</f>
        <v>9.2368970701819411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B17</f>
        <v>1.67911012348351E-3</v>
      </c>
      <c r="DT6" s="83" t="s">
        <v>259</v>
      </c>
      <c r="DU6" s="83" t="s">
        <v>27</v>
      </c>
      <c r="DV6" s="142">
        <f>B203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B17</f>
        <v>1.67911012348351E-3</v>
      </c>
      <c r="EI6" s="83" t="s">
        <v>259</v>
      </c>
      <c r="EJ6" s="83" t="s">
        <v>29</v>
      </c>
      <c r="EK6" s="142">
        <f>B209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B17</f>
        <v>1.67911012348351E-3</v>
      </c>
      <c r="EX6" s="83" t="s">
        <v>259</v>
      </c>
      <c r="EY6" s="83" t="s">
        <v>148</v>
      </c>
      <c r="EZ6" s="164">
        <f>B214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B17</f>
        <v>1.67911012348351E-3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B33</f>
        <v>1</v>
      </c>
      <c r="FS6" s="83" t="s">
        <v>18</v>
      </c>
      <c r="FT6" s="83" t="s">
        <v>156</v>
      </c>
      <c r="FU6" s="161">
        <f>B33</f>
        <v>1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B17</f>
        <v>1.67911012348351E-3</v>
      </c>
      <c r="GB6" s="83" t="s">
        <v>259</v>
      </c>
      <c r="GC6" s="83" t="s">
        <v>485</v>
      </c>
      <c r="GD6" s="164">
        <f>B219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B17</f>
        <v>1.67911012348351E-3</v>
      </c>
      <c r="GQ6" s="83" t="s">
        <v>259</v>
      </c>
      <c r="GR6" s="83" t="s">
        <v>150</v>
      </c>
      <c r="GS6" s="142">
        <f>B224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8.2984104047692346E-3</v>
      </c>
      <c r="HF6" s="83" t="s">
        <v>11</v>
      </c>
    </row>
    <row r="7" spans="1:214" x14ac:dyDescent="0.2">
      <c r="A7" s="83" t="s">
        <v>248</v>
      </c>
      <c r="B7" s="183">
        <v>1.67911012348351E-3</v>
      </c>
      <c r="C7" s="84" t="s">
        <v>259</v>
      </c>
      <c r="D7" s="91" t="s">
        <v>231</v>
      </c>
      <c r="E7" s="136">
        <f>B18</f>
        <v>1600</v>
      </c>
      <c r="F7" s="52" t="s">
        <v>60</v>
      </c>
      <c r="G7" s="83" t="s">
        <v>247</v>
      </c>
      <c r="H7" s="139">
        <f>B6</f>
        <v>3.8043873993229303E-2</v>
      </c>
      <c r="I7" s="84" t="s">
        <v>259</v>
      </c>
      <c r="J7" s="83" t="s">
        <v>247</v>
      </c>
      <c r="K7" s="136">
        <f>B6</f>
        <v>3.8043873993229303E-2</v>
      </c>
      <c r="L7" s="84" t="s">
        <v>259</v>
      </c>
      <c r="M7" s="83" t="s">
        <v>22</v>
      </c>
      <c r="N7" s="137">
        <f>0.693/N8</f>
        <v>4.3312499999999997E-4</v>
      </c>
      <c r="P7" s="83" t="s">
        <v>22</v>
      </c>
      <c r="Q7" s="137">
        <f>0.693/Q8</f>
        <v>4.3312499999999997E-4</v>
      </c>
      <c r="S7" s="83" t="s">
        <v>22</v>
      </c>
      <c r="T7" s="137">
        <f>0.693/T8</f>
        <v>4.3312499999999997E-4</v>
      </c>
      <c r="V7" s="83" t="s">
        <v>22</v>
      </c>
      <c r="W7" s="137">
        <f>0.693/W8</f>
        <v>4.3312499999999997E-4</v>
      </c>
      <c r="Y7" s="83" t="s">
        <v>22</v>
      </c>
      <c r="Z7" s="137">
        <f>0.693/Z8</f>
        <v>4.3312499999999997E-4</v>
      </c>
      <c r="AB7" s="83" t="s">
        <v>425</v>
      </c>
      <c r="AC7" s="150">
        <f>B231</f>
        <v>250</v>
      </c>
      <c r="AD7" s="150">
        <f>B243</f>
        <v>250</v>
      </c>
      <c r="AE7" s="150">
        <f>B255</f>
        <v>225</v>
      </c>
      <c r="AF7" s="150">
        <f>B267</f>
        <v>250</v>
      </c>
      <c r="AG7" s="150">
        <f>B291</f>
        <v>250</v>
      </c>
      <c r="AH7" s="83" t="s">
        <v>24</v>
      </c>
      <c r="AI7" s="83" t="s">
        <v>22</v>
      </c>
      <c r="AJ7" s="137">
        <f>0.693/AJ8</f>
        <v>4.3312499999999997E-4</v>
      </c>
      <c r="AL7" s="83" t="s">
        <v>22</v>
      </c>
      <c r="AM7" s="137">
        <f>0.693/AM8</f>
        <v>4.3312499999999997E-4</v>
      </c>
      <c r="AO7" s="83" t="s">
        <v>22</v>
      </c>
      <c r="AP7" s="137">
        <f>0.693/AP8</f>
        <v>4.3312499999999997E-4</v>
      </c>
      <c r="AR7" s="83" t="s">
        <v>22</v>
      </c>
      <c r="AS7" s="137">
        <f>0.693/AS8</f>
        <v>4.3312499999999997E-4</v>
      </c>
      <c r="AU7" s="83" t="s">
        <v>22</v>
      </c>
      <c r="AV7" s="137">
        <f>0.693/AV8</f>
        <v>4.3312499999999997E-4</v>
      </c>
      <c r="AX7" s="83" t="s">
        <v>22</v>
      </c>
      <c r="AY7" s="137">
        <f>0.693/AY8</f>
        <v>4.3312499999999997E-4</v>
      </c>
      <c r="BA7" s="83" t="s">
        <v>22</v>
      </c>
      <c r="BB7" s="137">
        <f>0.693/BB8</f>
        <v>4.3312499999999997E-4</v>
      </c>
      <c r="BD7" s="83" t="s">
        <v>22</v>
      </c>
      <c r="BE7" s="137">
        <f>0.693/BE8</f>
        <v>4.3312499999999997E-4</v>
      </c>
      <c r="BG7" s="83" t="s">
        <v>22</v>
      </c>
      <c r="BH7" s="137">
        <f>0.693/BH8</f>
        <v>4.3312499999999997E-4</v>
      </c>
      <c r="BJ7" s="83" t="s">
        <v>22</v>
      </c>
      <c r="BK7" s="137">
        <f>0.693/BK8</f>
        <v>4.3312499999999997E-4</v>
      </c>
      <c r="BM7" s="83" t="s">
        <v>22</v>
      </c>
      <c r="BN7" s="137">
        <f>0.693/BN8</f>
        <v>4.3312499999999997E-4</v>
      </c>
      <c r="BP7" s="83" t="s">
        <v>22</v>
      </c>
      <c r="BQ7" s="137">
        <f>0.693/BQ8</f>
        <v>4.3312499999999997E-4</v>
      </c>
      <c r="BS7" s="91" t="s">
        <v>231</v>
      </c>
      <c r="BT7" s="136">
        <f>B18</f>
        <v>1600</v>
      </c>
      <c r="BU7" s="52" t="s">
        <v>60</v>
      </c>
      <c r="BV7" s="83" t="s">
        <v>247</v>
      </c>
      <c r="BW7" s="139">
        <f>B6</f>
        <v>3.8043873993229303E-2</v>
      </c>
      <c r="BX7" s="84" t="s">
        <v>259</v>
      </c>
      <c r="BY7" s="83" t="s">
        <v>247</v>
      </c>
      <c r="BZ7" s="139">
        <f>B6</f>
        <v>3.8043873993229303E-2</v>
      </c>
      <c r="CA7" s="84" t="s">
        <v>259</v>
      </c>
      <c r="CB7" s="83" t="s">
        <v>22</v>
      </c>
      <c r="CC7" s="137">
        <f>0.693/CC8</f>
        <v>4.3312499999999997E-4</v>
      </c>
      <c r="CE7" s="83" t="s">
        <v>22</v>
      </c>
      <c r="CF7" s="137">
        <f>0.693/CF8</f>
        <v>4.3312499999999997E-4</v>
      </c>
      <c r="CH7" s="83" t="s">
        <v>22</v>
      </c>
      <c r="CI7" s="137">
        <f>0.693/CI8</f>
        <v>4.3312499999999997E-4</v>
      </c>
      <c r="CK7" s="52" t="s">
        <v>140</v>
      </c>
      <c r="CL7" s="138">
        <f>B103</f>
        <v>75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B6</f>
        <v>3.8043873993229303E-2</v>
      </c>
      <c r="CV7" s="84" t="s">
        <v>259</v>
      </c>
      <c r="CW7" s="91" t="s">
        <v>231</v>
      </c>
      <c r="CX7" s="136">
        <f>B18</f>
        <v>1600</v>
      </c>
      <c r="CY7" s="52" t="s">
        <v>60</v>
      </c>
      <c r="CZ7" s="84" t="s">
        <v>247</v>
      </c>
      <c r="DA7" s="139">
        <f>B6</f>
        <v>3.8043873993229303E-2</v>
      </c>
      <c r="DB7" s="84" t="s">
        <v>259</v>
      </c>
      <c r="DC7" s="83" t="s">
        <v>260</v>
      </c>
      <c r="DD7" s="166">
        <f>(DD5)/(DD6*(DD8+DD11)*DD19)</f>
        <v>6.2193445791701015E-3</v>
      </c>
      <c r="DE7" s="92" t="s">
        <v>10</v>
      </c>
      <c r="DF7" s="52" t="s">
        <v>31</v>
      </c>
      <c r="DG7" s="137">
        <f>(DG8*DG9*DG15*DG21*((1-EXP(-DG16*DG17))))/(DG18*DG16)</f>
        <v>3.6423470278489711</v>
      </c>
      <c r="DH7" s="52" t="s">
        <v>18</v>
      </c>
      <c r="DI7" s="83" t="s">
        <v>32</v>
      </c>
      <c r="DJ7" s="136">
        <f>B31</f>
        <v>1.4800000000000001E-2</v>
      </c>
      <c r="DL7" s="83" t="s">
        <v>32</v>
      </c>
      <c r="DM7" s="136">
        <f>B31</f>
        <v>1.4800000000000001E-2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DS5/(DS6*DS8*DS15)</f>
        <v>3.9462912210258801E-3</v>
      </c>
      <c r="DT7" s="52" t="s">
        <v>10</v>
      </c>
      <c r="DV7" s="138"/>
      <c r="DX7" s="83" t="s">
        <v>33</v>
      </c>
      <c r="DY7" s="136">
        <f>B32</f>
        <v>1.7000000000000001E-2</v>
      </c>
      <c r="EA7" s="83" t="s">
        <v>33</v>
      </c>
      <c r="EB7" s="136">
        <f>B32</f>
        <v>1.7000000000000001E-2</v>
      </c>
      <c r="EC7" s="84"/>
      <c r="ED7" s="83" t="s">
        <v>33</v>
      </c>
      <c r="EE7" s="136">
        <f>B32</f>
        <v>1.7000000000000001E-2</v>
      </c>
      <c r="EF7" s="84"/>
      <c r="EG7" s="83" t="s">
        <v>260</v>
      </c>
      <c r="EH7" s="168">
        <f>EH5/(EH6*EH8*EH15)</f>
        <v>1.0816397547201753E-2</v>
      </c>
      <c r="EI7" s="52" t="s">
        <v>10</v>
      </c>
      <c r="EM7" s="83" t="s">
        <v>33</v>
      </c>
      <c r="EN7" s="136">
        <f>B32</f>
        <v>1.7000000000000001E-2</v>
      </c>
      <c r="EP7" s="83" t="s">
        <v>33</v>
      </c>
      <c r="EQ7" s="136">
        <f>B32</f>
        <v>1.7000000000000001E-2</v>
      </c>
      <c r="ER7" s="84"/>
      <c r="ES7" s="83" t="s">
        <v>33</v>
      </c>
      <c r="ET7" s="136">
        <f>B32</f>
        <v>1.7000000000000001E-2</v>
      </c>
      <c r="EU7" s="84"/>
      <c r="EV7" s="83" t="s">
        <v>260</v>
      </c>
      <c r="EW7" s="168">
        <f>EW5/(EW6*EW8*EW15)</f>
        <v>3.6178846119981796E-2</v>
      </c>
      <c r="EX7" s="52" t="s">
        <v>10</v>
      </c>
      <c r="EY7" s="83"/>
      <c r="EZ7" s="142">
        <v>1000</v>
      </c>
      <c r="FA7" s="83" t="s">
        <v>132</v>
      </c>
      <c r="FB7" s="83" t="s">
        <v>33</v>
      </c>
      <c r="FC7" s="161">
        <f>B32</f>
        <v>1.7000000000000001E-2</v>
      </c>
      <c r="FD7" s="83"/>
      <c r="FE7" s="83" t="s">
        <v>33</v>
      </c>
      <c r="FF7" s="161">
        <f>B32</f>
        <v>1.7000000000000001E-2</v>
      </c>
      <c r="FG7" s="83"/>
      <c r="FH7" s="83" t="s">
        <v>33</v>
      </c>
      <c r="FI7" s="161">
        <f>B32</f>
        <v>1.7000000000000001E-2</v>
      </c>
      <c r="FJ7" s="84"/>
      <c r="FK7" s="83" t="s">
        <v>260</v>
      </c>
      <c r="FL7" s="168">
        <f>FL5/(FL6*FL8*FL15)</f>
        <v>1.2419396979330297E-2</v>
      </c>
      <c r="FM7" s="52" t="s">
        <v>10</v>
      </c>
      <c r="FN7" s="83"/>
      <c r="FQ7" s="52" t="s">
        <v>350</v>
      </c>
      <c r="FR7" s="164">
        <f>B170</f>
        <v>1</v>
      </c>
      <c r="FT7" s="83"/>
      <c r="FU7" s="83"/>
      <c r="FV7" s="83"/>
      <c r="FZ7" s="83" t="s">
        <v>260</v>
      </c>
      <c r="GA7" s="168">
        <f>GA5/(GA6*GA8*GA15)</f>
        <v>1.8073091663707318E-2</v>
      </c>
      <c r="GB7" s="52" t="s">
        <v>10</v>
      </c>
      <c r="GC7" s="83"/>
      <c r="GD7" s="142">
        <v>1000</v>
      </c>
      <c r="GE7" s="83" t="s">
        <v>132</v>
      </c>
      <c r="GF7" s="83" t="s">
        <v>33</v>
      </c>
      <c r="GG7" s="161">
        <f>B32</f>
        <v>1.7000000000000001E-2</v>
      </c>
      <c r="GH7" s="83"/>
      <c r="GI7" s="83" t="s">
        <v>33</v>
      </c>
      <c r="GJ7" s="161">
        <f>B32</f>
        <v>1.7000000000000001E-2</v>
      </c>
      <c r="GK7" s="83"/>
      <c r="GL7" s="83" t="s">
        <v>33</v>
      </c>
      <c r="GM7" s="161">
        <f>B32</f>
        <v>1.7000000000000001E-2</v>
      </c>
      <c r="GN7" s="84"/>
      <c r="GO7" s="83" t="s">
        <v>260</v>
      </c>
      <c r="GP7" s="168">
        <f>GP5/(GP6*GP8*GP14)</f>
        <v>1.9788133272915967E-2</v>
      </c>
      <c r="GQ7" s="52" t="s">
        <v>10</v>
      </c>
      <c r="GR7" s="88"/>
      <c r="GS7" s="142">
        <v>1000</v>
      </c>
      <c r="GT7" s="83" t="s">
        <v>132</v>
      </c>
      <c r="GU7" s="83" t="s">
        <v>33</v>
      </c>
      <c r="GV7" s="161">
        <f>B32</f>
        <v>1.7000000000000001E-2</v>
      </c>
      <c r="GW7" s="83"/>
      <c r="GX7" s="83" t="s">
        <v>33</v>
      </c>
      <c r="GY7" s="161">
        <f>B32</f>
        <v>1.7000000000000001E-2</v>
      </c>
      <c r="GZ7" s="83"/>
      <c r="HA7" s="83" t="s">
        <v>33</v>
      </c>
      <c r="HB7" s="161">
        <f>B32</f>
        <v>1.7000000000000001E-2</v>
      </c>
      <c r="HC7" s="84"/>
      <c r="HD7" s="83" t="s">
        <v>22</v>
      </c>
      <c r="HE7" s="137">
        <f>0.693/HE9</f>
        <v>4.3312499999999997E-4</v>
      </c>
    </row>
    <row r="8" spans="1:214" x14ac:dyDescent="0.2">
      <c r="A8" s="83" t="s">
        <v>249</v>
      </c>
      <c r="B8" s="183">
        <v>1.67911012348351E-3</v>
      </c>
      <c r="C8" s="83" t="s">
        <v>259</v>
      </c>
      <c r="D8" s="52" t="s">
        <v>382</v>
      </c>
      <c r="E8" s="138">
        <f>B56</f>
        <v>350</v>
      </c>
      <c r="F8" s="52" t="s">
        <v>24</v>
      </c>
      <c r="G8" s="91" t="s">
        <v>257</v>
      </c>
      <c r="H8" s="136">
        <f>B16</f>
        <v>33.437199999999997</v>
      </c>
      <c r="I8" s="84" t="s">
        <v>259</v>
      </c>
      <c r="J8" s="83" t="s">
        <v>269</v>
      </c>
      <c r="K8" s="136">
        <f>B10</f>
        <v>10.423439999999999</v>
      </c>
      <c r="L8" s="83" t="s">
        <v>351</v>
      </c>
      <c r="M8" s="91" t="s">
        <v>231</v>
      </c>
      <c r="N8" s="136">
        <f>B18</f>
        <v>1600</v>
      </c>
      <c r="O8" s="52" t="s">
        <v>60</v>
      </c>
      <c r="P8" s="91" t="s">
        <v>231</v>
      </c>
      <c r="Q8" s="136">
        <f>B18</f>
        <v>1600</v>
      </c>
      <c r="R8" s="52" t="s">
        <v>60</v>
      </c>
      <c r="S8" s="91" t="s">
        <v>231</v>
      </c>
      <c r="T8" s="136">
        <f>B18</f>
        <v>1600</v>
      </c>
      <c r="U8" s="52" t="s">
        <v>60</v>
      </c>
      <c r="V8" s="91" t="s">
        <v>231</v>
      </c>
      <c r="W8" s="136">
        <f>B18</f>
        <v>1600</v>
      </c>
      <c r="X8" s="52" t="s">
        <v>60</v>
      </c>
      <c r="Y8" s="91" t="s">
        <v>231</v>
      </c>
      <c r="Z8" s="136">
        <f>B18</f>
        <v>1600</v>
      </c>
      <c r="AA8" s="52" t="s">
        <v>60</v>
      </c>
      <c r="AB8" s="83" t="s">
        <v>249</v>
      </c>
      <c r="AC8" s="136">
        <f>B9</f>
        <v>1.036E-3</v>
      </c>
      <c r="AD8" s="136">
        <f>B9</f>
        <v>1.036E-3</v>
      </c>
      <c r="AE8" s="136">
        <f>B9</f>
        <v>1.036E-3</v>
      </c>
      <c r="AF8" s="136">
        <f>B9</f>
        <v>1.036E-3</v>
      </c>
      <c r="AG8" s="136">
        <f>B9</f>
        <v>1.036E-3</v>
      </c>
      <c r="AH8" s="83" t="s">
        <v>259</v>
      </c>
      <c r="AI8" s="91" t="s">
        <v>231</v>
      </c>
      <c r="AJ8" s="136">
        <f>B18</f>
        <v>1600</v>
      </c>
      <c r="AK8" s="52" t="s">
        <v>60</v>
      </c>
      <c r="AL8" s="91" t="s">
        <v>231</v>
      </c>
      <c r="AM8" s="136">
        <f>B18</f>
        <v>1600</v>
      </c>
      <c r="AN8" s="52" t="s">
        <v>60</v>
      </c>
      <c r="AO8" s="91" t="s">
        <v>231</v>
      </c>
      <c r="AP8" s="136">
        <f>B18</f>
        <v>1600</v>
      </c>
      <c r="AQ8" s="52" t="s">
        <v>60</v>
      </c>
      <c r="AR8" s="91" t="s">
        <v>231</v>
      </c>
      <c r="AS8" s="136">
        <f>B18</f>
        <v>1600</v>
      </c>
      <c r="AT8" s="52" t="s">
        <v>60</v>
      </c>
      <c r="AU8" s="91" t="s">
        <v>231</v>
      </c>
      <c r="AV8" s="136">
        <f>B18</f>
        <v>1600</v>
      </c>
      <c r="AW8" s="52" t="s">
        <v>60</v>
      </c>
      <c r="AX8" s="91" t="s">
        <v>231</v>
      </c>
      <c r="AY8" s="136">
        <f>B18</f>
        <v>1600</v>
      </c>
      <c r="AZ8" s="52" t="s">
        <v>60</v>
      </c>
      <c r="BA8" s="91" t="s">
        <v>231</v>
      </c>
      <c r="BB8" s="136">
        <f>B18</f>
        <v>1600</v>
      </c>
      <c r="BC8" s="52" t="s">
        <v>60</v>
      </c>
      <c r="BD8" s="91" t="s">
        <v>231</v>
      </c>
      <c r="BE8" s="136">
        <f>B18</f>
        <v>1600</v>
      </c>
      <c r="BF8" s="52" t="s">
        <v>60</v>
      </c>
      <c r="BG8" s="91" t="s">
        <v>231</v>
      </c>
      <c r="BH8" s="136">
        <f>B18</f>
        <v>1600</v>
      </c>
      <c r="BI8" s="52" t="s">
        <v>60</v>
      </c>
      <c r="BJ8" s="91" t="s">
        <v>231</v>
      </c>
      <c r="BK8" s="136">
        <f>B18</f>
        <v>1600</v>
      </c>
      <c r="BL8" s="52" t="s">
        <v>60</v>
      </c>
      <c r="BM8" s="91" t="s">
        <v>231</v>
      </c>
      <c r="BN8" s="136">
        <f>B18</f>
        <v>1600</v>
      </c>
      <c r="BO8" s="52" t="s">
        <v>60</v>
      </c>
      <c r="BP8" s="91" t="s">
        <v>231</v>
      </c>
      <c r="BQ8" s="136">
        <f>B18</f>
        <v>1600</v>
      </c>
      <c r="BR8" s="52" t="s">
        <v>60</v>
      </c>
      <c r="BS8" s="52" t="s">
        <v>140</v>
      </c>
      <c r="BT8" s="138">
        <f>B103</f>
        <v>75</v>
      </c>
      <c r="BU8" s="52" t="s">
        <v>24</v>
      </c>
      <c r="BV8" s="91" t="s">
        <v>257</v>
      </c>
      <c r="BW8" s="136">
        <f>B16</f>
        <v>33.437199999999997</v>
      </c>
      <c r="BX8" s="84" t="s">
        <v>259</v>
      </c>
      <c r="BY8" s="83" t="s">
        <v>269</v>
      </c>
      <c r="BZ8" s="136">
        <f>B10</f>
        <v>10.423439999999999</v>
      </c>
      <c r="CA8" s="83" t="s">
        <v>351</v>
      </c>
      <c r="CB8" s="91" t="s">
        <v>231</v>
      </c>
      <c r="CC8" s="136">
        <f>B18</f>
        <v>1600</v>
      </c>
      <c r="CD8" s="52" t="s">
        <v>60</v>
      </c>
      <c r="CE8" s="91" t="s">
        <v>231</v>
      </c>
      <c r="CF8" s="136">
        <f>B18</f>
        <v>1600</v>
      </c>
      <c r="CG8" s="52" t="s">
        <v>60</v>
      </c>
      <c r="CH8" s="91" t="s">
        <v>231</v>
      </c>
      <c r="CI8" s="136">
        <f>B18</f>
        <v>1600</v>
      </c>
      <c r="CJ8" s="52" t="s">
        <v>60</v>
      </c>
      <c r="CK8" s="52" t="s">
        <v>159</v>
      </c>
      <c r="CL8" s="162">
        <f>B128</f>
        <v>1</v>
      </c>
      <c r="CM8" s="52" t="s">
        <v>221</v>
      </c>
      <c r="CN8" s="84" t="s">
        <v>33</v>
      </c>
      <c r="CO8" s="136">
        <f>B32</f>
        <v>1.7000000000000001E-2</v>
      </c>
      <c r="CT8" s="83" t="s">
        <v>269</v>
      </c>
      <c r="CU8" s="136">
        <f>B10</f>
        <v>10.423439999999999</v>
      </c>
      <c r="CV8" s="83" t="s">
        <v>351</v>
      </c>
      <c r="CW8" s="52" t="s">
        <v>362</v>
      </c>
      <c r="CX8" s="138">
        <f>B169</f>
        <v>350</v>
      </c>
      <c r="CY8" s="52" t="s">
        <v>24</v>
      </c>
      <c r="CZ8" s="83" t="s">
        <v>270</v>
      </c>
      <c r="DA8" s="165">
        <f>B16</f>
        <v>33.437199999999997</v>
      </c>
      <c r="DB8" s="83" t="s">
        <v>259</v>
      </c>
      <c r="DC8" s="83" t="s">
        <v>516</v>
      </c>
      <c r="DD8" s="149">
        <f>(DD9*DD15*DD20)+(DD10*DD14*DD21)</f>
        <v>39585</v>
      </c>
      <c r="DE8" s="92" t="s">
        <v>347</v>
      </c>
      <c r="DF8" s="83" t="s">
        <v>36</v>
      </c>
      <c r="DG8" s="138">
        <f>B193</f>
        <v>3.62</v>
      </c>
      <c r="DH8" s="52" t="s">
        <v>37</v>
      </c>
      <c r="DI8" s="83" t="s">
        <v>393</v>
      </c>
      <c r="DJ8" s="138">
        <f>B35</f>
        <v>0.26</v>
      </c>
      <c r="DL8" s="83" t="s">
        <v>393</v>
      </c>
      <c r="DM8" s="138">
        <f>B35</f>
        <v>0.26</v>
      </c>
      <c r="DO8" s="83" t="s">
        <v>36</v>
      </c>
      <c r="DP8" s="138">
        <f>B193</f>
        <v>3.62</v>
      </c>
      <c r="DQ8" s="52" t="s">
        <v>37</v>
      </c>
      <c r="DR8" s="83" t="s">
        <v>147</v>
      </c>
      <c r="DS8" s="149">
        <f>(DS11*DS9*DS17)+(DS12*DS10*DS18)</f>
        <v>150914.75</v>
      </c>
      <c r="DT8" s="92" t="s">
        <v>347</v>
      </c>
      <c r="DU8" s="52" t="s">
        <v>518</v>
      </c>
      <c r="DV8" s="146">
        <f>B204</f>
        <v>1.03</v>
      </c>
      <c r="DW8" s="52" t="s">
        <v>286</v>
      </c>
      <c r="DX8" s="83" t="s">
        <v>392</v>
      </c>
      <c r="DY8" s="138">
        <f>B36</f>
        <v>0.25</v>
      </c>
      <c r="EA8" s="83" t="s">
        <v>392</v>
      </c>
      <c r="EB8" s="138">
        <f>B36</f>
        <v>0.25</v>
      </c>
      <c r="EC8" s="84"/>
      <c r="ED8" s="83" t="s">
        <v>392</v>
      </c>
      <c r="EE8" s="138">
        <f>B36</f>
        <v>0.25</v>
      </c>
      <c r="EF8" s="84"/>
      <c r="EG8" s="83" t="s">
        <v>519</v>
      </c>
      <c r="EH8" s="149">
        <f>(EH11*EH9*EH17)+(EH12*EH10*EH18)</f>
        <v>55060.25</v>
      </c>
      <c r="EI8" s="92" t="s">
        <v>347</v>
      </c>
      <c r="EJ8" s="83"/>
      <c r="EM8" s="83" t="s">
        <v>392</v>
      </c>
      <c r="EN8" s="138">
        <f>B36</f>
        <v>0.25</v>
      </c>
      <c r="EP8" s="83" t="s">
        <v>392</v>
      </c>
      <c r="EQ8" s="138">
        <f>B36</f>
        <v>0.25</v>
      </c>
      <c r="ER8" s="84"/>
      <c r="ES8" s="83" t="s">
        <v>392</v>
      </c>
      <c r="ET8" s="138">
        <f>B36</f>
        <v>0.25</v>
      </c>
      <c r="EU8" s="84"/>
      <c r="EV8" s="83" t="s">
        <v>520</v>
      </c>
      <c r="EW8" s="149">
        <f>(EW11*EW9*EW17)+(EW12*EW10*EW18)</f>
        <v>16461.375</v>
      </c>
      <c r="EX8" s="92" t="s">
        <v>347</v>
      </c>
      <c r="EY8" s="83"/>
      <c r="EZ8" s="83"/>
      <c r="FA8" s="83"/>
      <c r="FB8" s="83" t="s">
        <v>392</v>
      </c>
      <c r="FC8" s="142">
        <f>B36</f>
        <v>0.25</v>
      </c>
      <c r="FD8" s="83"/>
      <c r="FE8" s="83" t="s">
        <v>392</v>
      </c>
      <c r="FF8" s="142">
        <f>B36</f>
        <v>0.25</v>
      </c>
      <c r="FG8" s="83"/>
      <c r="FH8" s="83" t="s">
        <v>392</v>
      </c>
      <c r="FI8" s="142">
        <f>B36</f>
        <v>0.25</v>
      </c>
      <c r="FJ8" s="84"/>
      <c r="FK8" s="83" t="s">
        <v>521</v>
      </c>
      <c r="FL8" s="173">
        <f>(FL9*FL11*FL17)+(FL10*FL12*FL18)</f>
        <v>47953.5</v>
      </c>
      <c r="FM8" s="92" t="s">
        <v>347</v>
      </c>
      <c r="FN8" s="83"/>
      <c r="FO8" s="83"/>
      <c r="FP8" s="83"/>
      <c r="FQ8" s="83" t="s">
        <v>22</v>
      </c>
      <c r="FR8" s="137">
        <f>0.693/FR9</f>
        <v>4.3312499999999997E-4</v>
      </c>
      <c r="FT8" s="83"/>
      <c r="FU8" s="83"/>
      <c r="FV8" s="83"/>
      <c r="FZ8" s="83" t="s">
        <v>522</v>
      </c>
      <c r="GA8" s="173">
        <f>(GA11*GA9*GA17)+(GA10*GA12*GA18)</f>
        <v>32952.5</v>
      </c>
      <c r="GB8" s="92" t="s">
        <v>347</v>
      </c>
      <c r="GC8" s="83"/>
      <c r="GD8" s="83"/>
      <c r="GE8" s="83"/>
      <c r="GF8" s="83" t="s">
        <v>392</v>
      </c>
      <c r="GG8" s="142">
        <f>B36</f>
        <v>0.25</v>
      </c>
      <c r="GH8" s="83"/>
      <c r="GI8" s="83" t="s">
        <v>392</v>
      </c>
      <c r="GJ8" s="142">
        <f>B36</f>
        <v>0.25</v>
      </c>
      <c r="GK8" s="83"/>
      <c r="GL8" s="83" t="s">
        <v>392</v>
      </c>
      <c r="GM8" s="142">
        <f>B36</f>
        <v>0.25</v>
      </c>
      <c r="GN8" s="84"/>
      <c r="GO8" s="83" t="s">
        <v>523</v>
      </c>
      <c r="GP8" s="149">
        <f>(GP9*GP11*GP16)+(GP10*GP12*GP17)</f>
        <v>30096.5</v>
      </c>
      <c r="GQ8" s="92" t="s">
        <v>347</v>
      </c>
      <c r="GR8" s="83"/>
      <c r="GS8" s="83"/>
      <c r="GT8" s="83"/>
      <c r="GU8" s="83" t="s">
        <v>392</v>
      </c>
      <c r="GV8" s="142">
        <f>B36</f>
        <v>0.25</v>
      </c>
      <c r="GW8" s="83"/>
      <c r="GX8" s="83" t="s">
        <v>392</v>
      </c>
      <c r="GY8" s="142">
        <f>B36</f>
        <v>0.25</v>
      </c>
      <c r="GZ8" s="83"/>
      <c r="HA8" s="83" t="s">
        <v>392</v>
      </c>
      <c r="HB8" s="142">
        <f>B36</f>
        <v>0.25</v>
      </c>
      <c r="HC8" s="84"/>
      <c r="HD8" s="52" t="s">
        <v>16</v>
      </c>
      <c r="HE8" s="137">
        <f>1-EXP(-HE7*HE12)</f>
        <v>4.3303121490789742E-4</v>
      </c>
    </row>
    <row r="9" spans="1:214" x14ac:dyDescent="0.2">
      <c r="A9" s="83" t="s">
        <v>250</v>
      </c>
      <c r="B9" s="183">
        <v>1.036E-3</v>
      </c>
      <c r="C9" s="83" t="s">
        <v>259</v>
      </c>
      <c r="D9" s="52" t="s">
        <v>379</v>
      </c>
      <c r="E9" s="138">
        <f>B53</f>
        <v>1</v>
      </c>
      <c r="F9" s="52" t="s">
        <v>146</v>
      </c>
      <c r="G9" s="83" t="s">
        <v>258</v>
      </c>
      <c r="H9" s="136">
        <f>B17</f>
        <v>1.67911012348351E-3</v>
      </c>
      <c r="I9" s="92" t="s">
        <v>259</v>
      </c>
      <c r="J9" s="83" t="s">
        <v>258</v>
      </c>
      <c r="K9" s="136">
        <f>B17</f>
        <v>1.67911012348351E-3</v>
      </c>
      <c r="L9" s="92" t="s">
        <v>259</v>
      </c>
      <c r="M9" s="52" t="s">
        <v>382</v>
      </c>
      <c r="N9" s="138">
        <f>B56</f>
        <v>350</v>
      </c>
      <c r="O9" s="52" t="s">
        <v>24</v>
      </c>
      <c r="P9" s="52" t="s">
        <v>382</v>
      </c>
      <c r="Q9" s="138">
        <f>B56</f>
        <v>350</v>
      </c>
      <c r="R9" s="52" t="s">
        <v>24</v>
      </c>
      <c r="S9" s="52" t="s">
        <v>382</v>
      </c>
      <c r="T9" s="138">
        <f>B56</f>
        <v>350</v>
      </c>
      <c r="U9" s="52" t="s">
        <v>24</v>
      </c>
      <c r="V9" s="52" t="s">
        <v>423</v>
      </c>
      <c r="W9" s="138">
        <f>B255</f>
        <v>225</v>
      </c>
      <c r="X9" s="52" t="s">
        <v>24</v>
      </c>
      <c r="Y9" s="52" t="s">
        <v>316</v>
      </c>
      <c r="Z9" s="138">
        <f>B231</f>
        <v>250</v>
      </c>
      <c r="AA9" s="52" t="s">
        <v>24</v>
      </c>
      <c r="AB9" s="83" t="s">
        <v>34</v>
      </c>
      <c r="AC9" s="146">
        <f>B232</f>
        <v>1</v>
      </c>
      <c r="AD9" s="146">
        <f>B244</f>
        <v>1</v>
      </c>
      <c r="AE9" s="146">
        <f>B256</f>
        <v>1</v>
      </c>
      <c r="AF9" s="146">
        <f>B268</f>
        <v>1</v>
      </c>
      <c r="AG9" s="146">
        <f>B292</f>
        <v>1</v>
      </c>
      <c r="AH9" s="83" t="s">
        <v>60</v>
      </c>
      <c r="AI9" s="52" t="s">
        <v>35</v>
      </c>
      <c r="AJ9" s="138">
        <f>B243</f>
        <v>250</v>
      </c>
      <c r="AK9" s="52" t="s">
        <v>24</v>
      </c>
      <c r="AL9" s="52" t="s">
        <v>35</v>
      </c>
      <c r="AM9" s="138">
        <f>B243</f>
        <v>250</v>
      </c>
      <c r="AN9" s="52" t="s">
        <v>24</v>
      </c>
      <c r="AO9" s="52" t="s">
        <v>35</v>
      </c>
      <c r="AP9" s="138">
        <f>B243</f>
        <v>250</v>
      </c>
      <c r="AQ9" s="52" t="s">
        <v>24</v>
      </c>
      <c r="AR9" s="52" t="s">
        <v>423</v>
      </c>
      <c r="AS9" s="138">
        <f>B255</f>
        <v>225</v>
      </c>
      <c r="AT9" s="52" t="s">
        <v>24</v>
      </c>
      <c r="AU9" s="52" t="s">
        <v>423</v>
      </c>
      <c r="AV9" s="138">
        <f>B255</f>
        <v>225</v>
      </c>
      <c r="AW9" s="52" t="s">
        <v>24</v>
      </c>
      <c r="AX9" s="52" t="s">
        <v>423</v>
      </c>
      <c r="AY9" s="138">
        <f>B255</f>
        <v>225</v>
      </c>
      <c r="AZ9" s="52" t="s">
        <v>24</v>
      </c>
      <c r="BA9" s="52" t="s">
        <v>316</v>
      </c>
      <c r="BB9" s="138">
        <f>B231</f>
        <v>250</v>
      </c>
      <c r="BC9" s="52" t="s">
        <v>24</v>
      </c>
      <c r="BD9" s="52" t="s">
        <v>316</v>
      </c>
      <c r="BE9" s="138">
        <f>B231</f>
        <v>250</v>
      </c>
      <c r="BF9" s="52" t="s">
        <v>24</v>
      </c>
      <c r="BG9" s="52" t="s">
        <v>316</v>
      </c>
      <c r="BH9" s="138">
        <f>B231</f>
        <v>250</v>
      </c>
      <c r="BI9" s="52" t="s">
        <v>24</v>
      </c>
      <c r="BJ9" s="52" t="s">
        <v>191</v>
      </c>
      <c r="BK9" s="138">
        <f>BK10*BK11</f>
        <v>250</v>
      </c>
      <c r="BL9" s="52" t="s">
        <v>24</v>
      </c>
      <c r="BM9" s="52" t="s">
        <v>191</v>
      </c>
      <c r="BN9" s="138">
        <f>BN10*BN11</f>
        <v>250</v>
      </c>
      <c r="BO9" s="52" t="s">
        <v>24</v>
      </c>
      <c r="BP9" s="52" t="s">
        <v>191</v>
      </c>
      <c r="BQ9" s="138">
        <f>BQ10*BQ11</f>
        <v>250</v>
      </c>
      <c r="BR9" s="52" t="s">
        <v>24</v>
      </c>
      <c r="BS9" s="52" t="s">
        <v>247</v>
      </c>
      <c r="BT9" s="139">
        <f>E11</f>
        <v>3.8043873993229303E-2</v>
      </c>
      <c r="BU9" s="84" t="s">
        <v>259</v>
      </c>
      <c r="BV9" s="83" t="s">
        <v>258</v>
      </c>
      <c r="BW9" s="136">
        <f>B17</f>
        <v>1.67911012348351E-3</v>
      </c>
      <c r="BX9" s="92" t="s">
        <v>259</v>
      </c>
      <c r="BY9" s="83" t="s">
        <v>77</v>
      </c>
      <c r="BZ9" s="136">
        <f>B19</f>
        <v>1359344473.5814338</v>
      </c>
      <c r="CA9" s="83" t="s">
        <v>78</v>
      </c>
      <c r="CB9" s="52" t="s">
        <v>140</v>
      </c>
      <c r="CC9" s="138">
        <f>B103</f>
        <v>75</v>
      </c>
      <c r="CD9" s="52" t="s">
        <v>24</v>
      </c>
      <c r="CE9" s="52" t="s">
        <v>140</v>
      </c>
      <c r="CF9" s="138">
        <f>B103</f>
        <v>75</v>
      </c>
      <c r="CG9" s="52" t="s">
        <v>24</v>
      </c>
      <c r="CH9" s="52" t="s">
        <v>140</v>
      </c>
      <c r="CI9" s="138">
        <f>B103</f>
        <v>75</v>
      </c>
      <c r="CJ9" s="52" t="s">
        <v>24</v>
      </c>
      <c r="CN9" s="84" t="s">
        <v>392</v>
      </c>
      <c r="CO9" s="162">
        <f>B36</f>
        <v>0.25</v>
      </c>
      <c r="CT9" s="83" t="s">
        <v>258</v>
      </c>
      <c r="CU9" s="136">
        <f>B17</f>
        <v>1.67911012348351E-3</v>
      </c>
      <c r="CV9" s="92" t="s">
        <v>259</v>
      </c>
      <c r="CW9" s="52" t="s">
        <v>363</v>
      </c>
      <c r="CX9" s="138">
        <f>B170</f>
        <v>1</v>
      </c>
      <c r="CY9" s="52" t="s">
        <v>146</v>
      </c>
      <c r="CZ9" s="83" t="s">
        <v>258</v>
      </c>
      <c r="DA9" s="136">
        <f>B17</f>
        <v>1.67911012348351E-3</v>
      </c>
      <c r="DB9" s="84" t="s">
        <v>259</v>
      </c>
      <c r="DC9" s="83" t="s">
        <v>513</v>
      </c>
      <c r="DD9" s="146">
        <f>B151</f>
        <v>41.7</v>
      </c>
      <c r="DE9" s="92" t="s">
        <v>221</v>
      </c>
      <c r="DF9" s="83" t="s">
        <v>40</v>
      </c>
      <c r="DG9" s="138">
        <f>B194</f>
        <v>0.25</v>
      </c>
      <c r="DH9" s="52" t="s">
        <v>41</v>
      </c>
      <c r="DI9" s="52" t="s">
        <v>350</v>
      </c>
      <c r="DJ9" s="164">
        <f>B170</f>
        <v>1</v>
      </c>
      <c r="DL9" s="83"/>
      <c r="DO9" s="83" t="s">
        <v>40</v>
      </c>
      <c r="DP9" s="138">
        <f>B194</f>
        <v>0.25</v>
      </c>
      <c r="DQ9" s="52" t="s">
        <v>41</v>
      </c>
      <c r="DR9" s="83" t="s">
        <v>452</v>
      </c>
      <c r="DS9" s="146">
        <f>B153</f>
        <v>349.5</v>
      </c>
      <c r="DT9" s="92" t="s">
        <v>221</v>
      </c>
      <c r="DU9" s="83"/>
      <c r="DX9" s="83" t="s">
        <v>517</v>
      </c>
      <c r="DY9" s="136">
        <f>B24</f>
        <v>3.8000000000000002E-4</v>
      </c>
      <c r="DZ9" s="52" t="s">
        <v>601</v>
      </c>
      <c r="EA9" s="83" t="s">
        <v>517</v>
      </c>
      <c r="EB9" s="136">
        <f>B24</f>
        <v>3.8000000000000002E-4</v>
      </c>
      <c r="EC9" s="52" t="s">
        <v>601</v>
      </c>
      <c r="ED9" s="83" t="s">
        <v>517</v>
      </c>
      <c r="EE9" s="136">
        <f>B24</f>
        <v>3.8000000000000002E-4</v>
      </c>
      <c r="EF9" s="52" t="s">
        <v>601</v>
      </c>
      <c r="EG9" s="83" t="s">
        <v>453</v>
      </c>
      <c r="EH9" s="170">
        <f>B155</f>
        <v>40.1</v>
      </c>
      <c r="EI9" s="92" t="s">
        <v>221</v>
      </c>
      <c r="EJ9" s="83"/>
      <c r="EM9" s="83" t="s">
        <v>236</v>
      </c>
      <c r="EN9" s="136">
        <f>B25</f>
        <v>1.6999999999999999E-3</v>
      </c>
      <c r="EO9" s="52" t="s">
        <v>388</v>
      </c>
      <c r="EP9" s="83" t="s">
        <v>236</v>
      </c>
      <c r="EQ9" s="169">
        <f>B25</f>
        <v>1.6999999999999999E-3</v>
      </c>
      <c r="ER9" s="52" t="s">
        <v>388</v>
      </c>
      <c r="ES9" s="83" t="s">
        <v>236</v>
      </c>
      <c r="ET9" s="169">
        <f>B25</f>
        <v>1.6999999999999999E-3</v>
      </c>
      <c r="EU9" s="52" t="s">
        <v>388</v>
      </c>
      <c r="EV9" s="83" t="s">
        <v>454</v>
      </c>
      <c r="EW9" s="171">
        <f>B157</f>
        <v>10.95</v>
      </c>
      <c r="EX9" s="92" t="s">
        <v>221</v>
      </c>
      <c r="EY9" s="83"/>
      <c r="EZ9" s="83"/>
      <c r="FA9" s="83"/>
      <c r="FB9" s="83" t="s">
        <v>171</v>
      </c>
      <c r="FC9" s="169">
        <f>B27</f>
        <v>0</v>
      </c>
      <c r="FD9" s="52" t="s">
        <v>388</v>
      </c>
      <c r="FE9" s="83" t="s">
        <v>171</v>
      </c>
      <c r="FF9" s="169">
        <f>B27</f>
        <v>0</v>
      </c>
      <c r="FG9" s="52" t="s">
        <v>388</v>
      </c>
      <c r="FH9" s="83" t="s">
        <v>171</v>
      </c>
      <c r="FI9" s="169">
        <f>B27</f>
        <v>0</v>
      </c>
      <c r="FJ9" s="52" t="s">
        <v>388</v>
      </c>
      <c r="FK9" s="83" t="s">
        <v>471</v>
      </c>
      <c r="FL9" s="150">
        <f>B159</f>
        <v>32.799999999999997</v>
      </c>
      <c r="FM9" s="92" t="s">
        <v>221</v>
      </c>
      <c r="FN9" s="83"/>
      <c r="FO9" s="83"/>
      <c r="FP9" s="83"/>
      <c r="FQ9" s="91" t="s">
        <v>231</v>
      </c>
      <c r="FR9" s="136">
        <f>B18</f>
        <v>1600</v>
      </c>
      <c r="FS9" s="52" t="s">
        <v>60</v>
      </c>
      <c r="FT9" s="83"/>
      <c r="FU9" s="93"/>
      <c r="FV9" s="83"/>
      <c r="FW9" s="83"/>
      <c r="FX9" s="93"/>
      <c r="FY9" s="83"/>
      <c r="FZ9" s="83" t="s">
        <v>473</v>
      </c>
      <c r="GA9" s="174">
        <f>B161</f>
        <v>23.6</v>
      </c>
      <c r="GB9" s="92" t="s">
        <v>221</v>
      </c>
      <c r="GC9" s="83"/>
      <c r="GD9" s="83"/>
      <c r="GE9" s="83"/>
      <c r="GF9" s="83" t="s">
        <v>237</v>
      </c>
      <c r="GG9" s="169">
        <f>B26</f>
        <v>0</v>
      </c>
      <c r="GH9" s="52" t="s">
        <v>388</v>
      </c>
      <c r="GI9" s="83" t="s">
        <v>237</v>
      </c>
      <c r="GJ9" s="169">
        <f>B26</f>
        <v>0</v>
      </c>
      <c r="GK9" s="52" t="s">
        <v>388</v>
      </c>
      <c r="GL9" s="83" t="s">
        <v>237</v>
      </c>
      <c r="GM9" s="169">
        <f>B26</f>
        <v>0</v>
      </c>
      <c r="GN9" s="52" t="s">
        <v>388</v>
      </c>
      <c r="GO9" s="83" t="s">
        <v>455</v>
      </c>
      <c r="GP9" s="150">
        <f>B163</f>
        <v>18.5</v>
      </c>
      <c r="GQ9" s="92" t="s">
        <v>221</v>
      </c>
      <c r="GR9" s="83"/>
      <c r="GS9" s="83"/>
      <c r="GT9" s="83"/>
      <c r="GU9" s="83" t="s">
        <v>238</v>
      </c>
      <c r="GV9" s="169">
        <f>B28</f>
        <v>0</v>
      </c>
      <c r="GW9" s="52" t="s">
        <v>388</v>
      </c>
      <c r="GX9" s="83" t="s">
        <v>238</v>
      </c>
      <c r="GY9" s="169">
        <f>B28</f>
        <v>0</v>
      </c>
      <c r="GZ9" s="52" t="s">
        <v>388</v>
      </c>
      <c r="HA9" s="83" t="s">
        <v>238</v>
      </c>
      <c r="HB9" s="169">
        <f>B28</f>
        <v>0</v>
      </c>
      <c r="HC9" s="52" t="s">
        <v>388</v>
      </c>
      <c r="HD9" s="91" t="s">
        <v>231</v>
      </c>
      <c r="HE9" s="136">
        <f>B18</f>
        <v>1600</v>
      </c>
      <c r="HF9" s="52" t="s">
        <v>60</v>
      </c>
    </row>
    <row r="10" spans="1:214" x14ac:dyDescent="0.2">
      <c r="A10" s="83" t="s">
        <v>251</v>
      </c>
      <c r="B10" s="183">
        <v>10.423439999999999</v>
      </c>
      <c r="C10" s="83" t="s">
        <v>351</v>
      </c>
      <c r="D10" s="52" t="s">
        <v>92</v>
      </c>
      <c r="E10" s="138">
        <f>E9</f>
        <v>1</v>
      </c>
      <c r="G10" s="83" t="s">
        <v>260</v>
      </c>
      <c r="H10" s="143">
        <f>H5/(H6*H15)</f>
        <v>0.80858276950106633</v>
      </c>
      <c r="I10" s="92" t="s">
        <v>11</v>
      </c>
      <c r="J10" s="83" t="s">
        <v>77</v>
      </c>
      <c r="K10" s="136">
        <f>B19</f>
        <v>1359344473.5814338</v>
      </c>
      <c r="L10" s="83" t="s">
        <v>78</v>
      </c>
      <c r="M10" s="52" t="s">
        <v>379</v>
      </c>
      <c r="N10" s="138">
        <f>B53</f>
        <v>1</v>
      </c>
      <c r="O10" s="52" t="s">
        <v>146</v>
      </c>
      <c r="P10" s="52" t="s">
        <v>379</v>
      </c>
      <c r="Q10" s="138">
        <f>B53</f>
        <v>1</v>
      </c>
      <c r="R10" s="52" t="s">
        <v>146</v>
      </c>
      <c r="S10" s="52" t="s">
        <v>379</v>
      </c>
      <c r="T10" s="138">
        <f>B53</f>
        <v>1</v>
      </c>
      <c r="U10" s="52" t="s">
        <v>146</v>
      </c>
      <c r="V10" s="52" t="s">
        <v>424</v>
      </c>
      <c r="W10" s="138">
        <f>B256</f>
        <v>1</v>
      </c>
      <c r="X10" s="52" t="s">
        <v>146</v>
      </c>
      <c r="Y10" s="52" t="s">
        <v>422</v>
      </c>
      <c r="Z10" s="138">
        <f>B232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B277</f>
        <v>5</v>
      </c>
      <c r="AG10" s="146">
        <f>B300</f>
        <v>5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B244</f>
        <v>1</v>
      </c>
      <c r="AN10" s="52" t="s">
        <v>146</v>
      </c>
      <c r="AO10" s="52" t="s">
        <v>420</v>
      </c>
      <c r="AP10" s="138">
        <f>B244</f>
        <v>1</v>
      </c>
      <c r="AQ10" s="52" t="s">
        <v>146</v>
      </c>
      <c r="AR10" s="52" t="s">
        <v>424</v>
      </c>
      <c r="AS10" s="138">
        <f>B256</f>
        <v>1</v>
      </c>
      <c r="AT10" s="52" t="s">
        <v>146</v>
      </c>
      <c r="AU10" s="52" t="s">
        <v>424</v>
      </c>
      <c r="AV10" s="138">
        <f>B256</f>
        <v>1</v>
      </c>
      <c r="AW10" s="52" t="s">
        <v>146</v>
      </c>
      <c r="AX10" s="52" t="s">
        <v>424</v>
      </c>
      <c r="AY10" s="138">
        <f>B256</f>
        <v>1</v>
      </c>
      <c r="AZ10" s="52" t="s">
        <v>146</v>
      </c>
      <c r="BA10" s="52" t="s">
        <v>422</v>
      </c>
      <c r="BB10" s="138">
        <f>B232</f>
        <v>1</v>
      </c>
      <c r="BC10" s="52" t="s">
        <v>146</v>
      </c>
      <c r="BD10" s="52" t="s">
        <v>422</v>
      </c>
      <c r="BE10" s="138">
        <f>B232</f>
        <v>1</v>
      </c>
      <c r="BF10" s="52" t="s">
        <v>146</v>
      </c>
      <c r="BG10" s="52" t="s">
        <v>422</v>
      </c>
      <c r="BH10" s="138">
        <f>B232</f>
        <v>1</v>
      </c>
      <c r="BI10" s="52" t="s">
        <v>146</v>
      </c>
      <c r="BJ10" s="52" t="s">
        <v>220</v>
      </c>
      <c r="BK10" s="138">
        <f>B278</f>
        <v>50</v>
      </c>
      <c r="BL10" s="52" t="s">
        <v>113</v>
      </c>
      <c r="BM10" s="52" t="s">
        <v>220</v>
      </c>
      <c r="BN10" s="138">
        <f>B278</f>
        <v>50</v>
      </c>
      <c r="BO10" s="52" t="s">
        <v>113</v>
      </c>
      <c r="BP10" s="52" t="s">
        <v>220</v>
      </c>
      <c r="BQ10" s="138">
        <f>B278</f>
        <v>50</v>
      </c>
      <c r="BR10" s="52" t="s">
        <v>113</v>
      </c>
      <c r="BS10" s="83" t="s">
        <v>428</v>
      </c>
      <c r="BT10" s="149">
        <f>(BT22*BT13*(1/24)*BT11*BT25)+(BT23*BT14*(1/24)*BT12*BT26)</f>
        <v>55.3125</v>
      </c>
      <c r="BU10" s="52" t="s">
        <v>426</v>
      </c>
      <c r="BV10" s="83" t="s">
        <v>260</v>
      </c>
      <c r="BW10" s="143">
        <f>BW5/(BW6*BW13)</f>
        <v>264.69046802147352</v>
      </c>
      <c r="BX10" s="92" t="s">
        <v>11</v>
      </c>
      <c r="BY10" s="84" t="s">
        <v>16</v>
      </c>
      <c r="BZ10" s="137">
        <f>(BZ30*BZ11)/(1-EXP(-BZ11*BZ30))</f>
        <v>1.0002165781331087</v>
      </c>
      <c r="CB10" s="52" t="s">
        <v>51</v>
      </c>
      <c r="CC10" s="138">
        <f>B117</f>
        <v>1</v>
      </c>
      <c r="CD10" s="52" t="s">
        <v>146</v>
      </c>
      <c r="CE10" s="52" t="s">
        <v>51</v>
      </c>
      <c r="CF10" s="138">
        <f>B117</f>
        <v>1</v>
      </c>
      <c r="CG10" s="52" t="s">
        <v>146</v>
      </c>
      <c r="CH10" s="52" t="s">
        <v>51</v>
      </c>
      <c r="CI10" s="138">
        <f>B117</f>
        <v>1</v>
      </c>
      <c r="CJ10" s="52" t="s">
        <v>146</v>
      </c>
      <c r="CN10" s="84" t="s">
        <v>164</v>
      </c>
      <c r="CO10" s="162">
        <f>B129</f>
        <v>1</v>
      </c>
      <c r="CP10" s="52" t="s">
        <v>246</v>
      </c>
      <c r="CT10" s="83" t="s">
        <v>77</v>
      </c>
      <c r="CU10" s="136">
        <f>B19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1.0002165781331087</v>
      </c>
      <c r="DC10" s="83" t="s">
        <v>514</v>
      </c>
      <c r="DD10" s="146">
        <f>B152</f>
        <v>125.7</v>
      </c>
      <c r="DE10" s="92" t="s">
        <v>221</v>
      </c>
      <c r="DF10" s="92" t="s">
        <v>32</v>
      </c>
      <c r="DG10" s="136">
        <f>B31</f>
        <v>1.4800000000000001E-2</v>
      </c>
      <c r="DI10" s="83" t="s">
        <v>22</v>
      </c>
      <c r="DJ10" s="137">
        <f>0.693/DJ11</f>
        <v>4.3312499999999997E-4</v>
      </c>
      <c r="DL10" s="92"/>
      <c r="DO10" s="92" t="s">
        <v>32</v>
      </c>
      <c r="DP10" s="136">
        <f>B31</f>
        <v>1.4800000000000001E-2</v>
      </c>
      <c r="DR10" s="83" t="s">
        <v>461</v>
      </c>
      <c r="DS10" s="146">
        <f>B154</f>
        <v>445.6</v>
      </c>
      <c r="DT10" s="92" t="s">
        <v>221</v>
      </c>
      <c r="DU10" s="92"/>
      <c r="DX10" s="83" t="s">
        <v>498</v>
      </c>
      <c r="DY10" s="138">
        <f>B205</f>
        <v>20.3</v>
      </c>
      <c r="DZ10" s="52" t="s">
        <v>246</v>
      </c>
      <c r="EA10" s="83" t="s">
        <v>498</v>
      </c>
      <c r="EB10" s="138">
        <f>B205</f>
        <v>20.3</v>
      </c>
      <c r="EC10" s="52" t="s">
        <v>246</v>
      </c>
      <c r="ED10" s="83" t="s">
        <v>498</v>
      </c>
      <c r="EE10" s="138">
        <f>B205</f>
        <v>20.3</v>
      </c>
      <c r="EF10" s="52" t="s">
        <v>246</v>
      </c>
      <c r="EG10" s="83" t="s">
        <v>462</v>
      </c>
      <c r="EH10" s="170">
        <f>B156</f>
        <v>178</v>
      </c>
      <c r="EI10" s="92" t="s">
        <v>221</v>
      </c>
      <c r="EJ10" s="92"/>
      <c r="EM10" s="83" t="s">
        <v>494</v>
      </c>
      <c r="EN10" s="138">
        <f>B210</f>
        <v>11.77</v>
      </c>
      <c r="EO10" s="52" t="s">
        <v>246</v>
      </c>
      <c r="EP10" s="83" t="s">
        <v>494</v>
      </c>
      <c r="EQ10" s="138">
        <f>B210</f>
        <v>11.77</v>
      </c>
      <c r="ER10" s="52" t="s">
        <v>246</v>
      </c>
      <c r="ES10" s="83" t="s">
        <v>494</v>
      </c>
      <c r="ET10" s="138">
        <f>B210</f>
        <v>11.77</v>
      </c>
      <c r="EU10" s="52" t="s">
        <v>246</v>
      </c>
      <c r="EV10" s="83" t="s">
        <v>463</v>
      </c>
      <c r="EW10" s="170">
        <f>B158</f>
        <v>53.4</v>
      </c>
      <c r="EX10" s="92" t="s">
        <v>221</v>
      </c>
      <c r="EY10" s="83"/>
      <c r="EZ10" s="83"/>
      <c r="FA10" s="83"/>
      <c r="FB10" s="83" t="s">
        <v>152</v>
      </c>
      <c r="FC10" s="142">
        <f>B215</f>
        <v>0.2</v>
      </c>
      <c r="FD10" s="52" t="s">
        <v>246</v>
      </c>
      <c r="FE10" s="83" t="s">
        <v>152</v>
      </c>
      <c r="FF10" s="142">
        <f>B215</f>
        <v>0.2</v>
      </c>
      <c r="FG10" s="52" t="s">
        <v>246</v>
      </c>
      <c r="FH10" s="83" t="s">
        <v>152</v>
      </c>
      <c r="FI10" s="142">
        <f>B215</f>
        <v>0.2</v>
      </c>
      <c r="FJ10" s="52" t="s">
        <v>246</v>
      </c>
      <c r="FK10" s="83" t="s">
        <v>472</v>
      </c>
      <c r="FL10" s="150">
        <f>B160</f>
        <v>155.4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1.0002165781331087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B162</f>
        <v>106.6</v>
      </c>
      <c r="GB10" s="92" t="s">
        <v>221</v>
      </c>
      <c r="GC10" s="83"/>
      <c r="GD10" s="83"/>
      <c r="GE10" s="83"/>
      <c r="GF10" s="83" t="s">
        <v>486</v>
      </c>
      <c r="GG10" s="142">
        <f>B220</f>
        <v>0.2</v>
      </c>
      <c r="GH10" s="52" t="s">
        <v>246</v>
      </c>
      <c r="GI10" s="83" t="s">
        <v>486</v>
      </c>
      <c r="GJ10" s="142">
        <f>B220</f>
        <v>0.2</v>
      </c>
      <c r="GK10" s="52" t="s">
        <v>246</v>
      </c>
      <c r="GL10" s="83" t="s">
        <v>486</v>
      </c>
      <c r="GM10" s="142">
        <f>B220</f>
        <v>0.2</v>
      </c>
      <c r="GN10" s="52" t="s">
        <v>246</v>
      </c>
      <c r="GO10" s="83" t="s">
        <v>464</v>
      </c>
      <c r="GP10" s="150">
        <f>B164</f>
        <v>97.9</v>
      </c>
      <c r="GQ10" s="92" t="s">
        <v>221</v>
      </c>
      <c r="GR10" s="83"/>
      <c r="GS10" s="83"/>
      <c r="GT10" s="83"/>
      <c r="GU10" s="83" t="s">
        <v>490</v>
      </c>
      <c r="GV10" s="142">
        <f>B225</f>
        <v>4.7</v>
      </c>
      <c r="GW10" s="52" t="s">
        <v>246</v>
      </c>
      <c r="GX10" s="83" t="s">
        <v>490</v>
      </c>
      <c r="GY10" s="142">
        <f>B225</f>
        <v>4.7</v>
      </c>
      <c r="GZ10" s="52" t="s">
        <v>246</v>
      </c>
      <c r="HA10" s="83" t="s">
        <v>490</v>
      </c>
      <c r="HB10" s="142">
        <f>B225</f>
        <v>4.7</v>
      </c>
      <c r="HC10" s="52" t="s">
        <v>246</v>
      </c>
      <c r="HD10" s="84" t="s">
        <v>38</v>
      </c>
      <c r="HE10" s="163">
        <f>B83</f>
        <v>0.3</v>
      </c>
    </row>
    <row r="11" spans="1:214" x14ac:dyDescent="0.2">
      <c r="A11" s="83" t="s">
        <v>252</v>
      </c>
      <c r="B11" s="183">
        <v>1.9522299999999999</v>
      </c>
      <c r="C11" s="83" t="s">
        <v>352</v>
      </c>
      <c r="D11" s="52" t="s">
        <v>247</v>
      </c>
      <c r="E11" s="139">
        <f>B6</f>
        <v>3.8043873993229303E-2</v>
      </c>
      <c r="F11" s="84" t="s">
        <v>259</v>
      </c>
      <c r="G11" s="83" t="s">
        <v>261</v>
      </c>
      <c r="H11" s="144">
        <f>H5/(H7*H16*H28)</f>
        <v>8.4860180344556585E-3</v>
      </c>
      <c r="I11" s="92" t="s">
        <v>11</v>
      </c>
      <c r="J11" s="84" t="s">
        <v>16</v>
      </c>
      <c r="K11" s="137">
        <f>(K43*K12)/(1-EXP(-K12*K43))</f>
        <v>1.0002165781331087</v>
      </c>
      <c r="M11" s="52" t="s">
        <v>299</v>
      </c>
      <c r="N11" s="138">
        <f>B61</f>
        <v>0.4</v>
      </c>
      <c r="P11" s="52" t="s">
        <v>299</v>
      </c>
      <c r="Q11" s="138">
        <f>B61</f>
        <v>0.4</v>
      </c>
      <c r="S11" s="52" t="s">
        <v>299</v>
      </c>
      <c r="T11" s="138">
        <f>B61</f>
        <v>0.4</v>
      </c>
      <c r="V11" s="52" t="s">
        <v>247</v>
      </c>
      <c r="W11" s="139">
        <f>B6</f>
        <v>3.8043873993229303E-2</v>
      </c>
      <c r="X11" s="84" t="s">
        <v>39</v>
      </c>
      <c r="Y11" s="52" t="s">
        <v>247</v>
      </c>
      <c r="Z11" s="139">
        <f>B6</f>
        <v>3.8043873993229303E-2</v>
      </c>
      <c r="AA11" s="84" t="s">
        <v>39</v>
      </c>
      <c r="AB11" s="83" t="s">
        <v>220</v>
      </c>
      <c r="AC11" s="146"/>
      <c r="AD11" s="146"/>
      <c r="AE11" s="146"/>
      <c r="AF11" s="146">
        <f>B278</f>
        <v>50</v>
      </c>
      <c r="AG11" s="146">
        <f>B301</f>
        <v>50</v>
      </c>
      <c r="AH11" s="83" t="s">
        <v>113</v>
      </c>
      <c r="AI11" s="52" t="s">
        <v>299</v>
      </c>
      <c r="AJ11" s="138">
        <f>B248</f>
        <v>0.4</v>
      </c>
      <c r="AL11" s="52" t="s">
        <v>299</v>
      </c>
      <c r="AM11" s="138">
        <f>B248</f>
        <v>0.4</v>
      </c>
      <c r="AO11" s="52" t="s">
        <v>299</v>
      </c>
      <c r="AP11" s="138">
        <f>B248</f>
        <v>0.4</v>
      </c>
      <c r="AR11" s="52" t="s">
        <v>299</v>
      </c>
      <c r="AS11" s="138">
        <f>B260</f>
        <v>0.4</v>
      </c>
      <c r="AU11" s="52" t="s">
        <v>299</v>
      </c>
      <c r="AV11" s="138">
        <f>B260</f>
        <v>0.4</v>
      </c>
      <c r="AX11" s="52" t="s">
        <v>299</v>
      </c>
      <c r="AY11" s="138">
        <f>B260</f>
        <v>0.4</v>
      </c>
      <c r="BA11" s="52" t="s">
        <v>299</v>
      </c>
      <c r="BB11" s="138">
        <f>B236</f>
        <v>0.4</v>
      </c>
      <c r="BD11" s="52" t="s">
        <v>299</v>
      </c>
      <c r="BE11" s="138">
        <f>B236</f>
        <v>0.4</v>
      </c>
      <c r="BG11" s="52" t="s">
        <v>299</v>
      </c>
      <c r="BH11" s="138">
        <f>B236</f>
        <v>0.4</v>
      </c>
      <c r="BJ11" s="52" t="s">
        <v>219</v>
      </c>
      <c r="BK11" s="138">
        <f>B277</f>
        <v>5</v>
      </c>
      <c r="BL11" s="52" t="s">
        <v>112</v>
      </c>
      <c r="BM11" s="52" t="s">
        <v>219</v>
      </c>
      <c r="BN11" s="138">
        <f>B277</f>
        <v>5</v>
      </c>
      <c r="BO11" s="52" t="s">
        <v>112</v>
      </c>
      <c r="BP11" s="52" t="s">
        <v>219</v>
      </c>
      <c r="BQ11" s="138">
        <f>B277</f>
        <v>5</v>
      </c>
      <c r="BR11" s="52" t="s">
        <v>112</v>
      </c>
      <c r="BS11" s="83" t="s">
        <v>429</v>
      </c>
      <c r="BT11" s="141">
        <f>B93</f>
        <v>10</v>
      </c>
      <c r="BU11" s="92" t="s">
        <v>407</v>
      </c>
      <c r="BV11" s="83" t="s">
        <v>261</v>
      </c>
      <c r="BW11" s="159"/>
      <c r="BX11" s="92" t="s">
        <v>11</v>
      </c>
      <c r="BY11" s="83" t="s">
        <v>22</v>
      </c>
      <c r="BZ11" s="137">
        <f>0.693/BZ12</f>
        <v>4.3312499999999997E-4</v>
      </c>
      <c r="CB11" s="52" t="s">
        <v>300</v>
      </c>
      <c r="CC11" s="138">
        <f>B118</f>
        <v>0.12375</v>
      </c>
      <c r="CE11" s="52" t="s">
        <v>300</v>
      </c>
      <c r="CF11" s="138">
        <f>B120</f>
        <v>5.806E-2</v>
      </c>
      <c r="CH11" s="52" t="s">
        <v>300</v>
      </c>
      <c r="CI11" s="138">
        <f>B124</f>
        <v>0.1009</v>
      </c>
      <c r="CN11" s="84" t="s">
        <v>161</v>
      </c>
      <c r="CO11" s="162">
        <f>B130</f>
        <v>1</v>
      </c>
      <c r="CP11" s="52" t="s">
        <v>246</v>
      </c>
      <c r="CT11" s="84" t="s">
        <v>16</v>
      </c>
      <c r="CU11" s="137">
        <f>(CU43*CU12)/(1-EXP(-CU12*CU43))</f>
        <v>1.0002165781331087</v>
      </c>
      <c r="CW11" s="52" t="s">
        <v>247</v>
      </c>
      <c r="CX11" s="139">
        <f>B6</f>
        <v>3.8043873993229303E-2</v>
      </c>
      <c r="CY11" s="84" t="s">
        <v>259</v>
      </c>
      <c r="CZ11" s="83" t="s">
        <v>22</v>
      </c>
      <c r="DA11" s="137">
        <f>0.693/DA12</f>
        <v>4.3312499999999997E-4</v>
      </c>
      <c r="DC11" s="83" t="s">
        <v>515</v>
      </c>
      <c r="DD11" s="149">
        <f>(DD12*DD15*DD20)+(DD13*DD14*DD21)</f>
        <v>56173.250000000007</v>
      </c>
      <c r="DE11" s="92" t="s">
        <v>347</v>
      </c>
      <c r="DF11" s="92" t="s">
        <v>49</v>
      </c>
      <c r="DG11" s="137">
        <f>DG19+DG20</f>
        <v>2.8186643835616437E-5</v>
      </c>
      <c r="DI11" s="91" t="s">
        <v>231</v>
      </c>
      <c r="DJ11" s="136">
        <f>B18</f>
        <v>1600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B168</f>
        <v>350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B168</f>
        <v>350</v>
      </c>
      <c r="EI11" s="83" t="s">
        <v>24</v>
      </c>
      <c r="EJ11" s="92"/>
      <c r="EM11" s="83" t="s">
        <v>495</v>
      </c>
      <c r="EN11" s="138">
        <f>B211</f>
        <v>0.5</v>
      </c>
      <c r="EP11" s="83" t="s">
        <v>495</v>
      </c>
      <c r="EQ11" s="138">
        <f>B211</f>
        <v>0.5</v>
      </c>
      <c r="ER11" s="84"/>
      <c r="ES11" s="83" t="s">
        <v>495</v>
      </c>
      <c r="ET11" s="138">
        <f>B211</f>
        <v>0.5</v>
      </c>
      <c r="EU11" s="84"/>
      <c r="EV11" s="83" t="s">
        <v>456</v>
      </c>
      <c r="EW11" s="150">
        <f>B168</f>
        <v>350</v>
      </c>
      <c r="EX11" s="83" t="s">
        <v>24</v>
      </c>
      <c r="EY11" s="83"/>
      <c r="EZ11" s="83"/>
      <c r="FA11" s="83"/>
      <c r="FB11" s="83" t="s">
        <v>151</v>
      </c>
      <c r="FC11" s="142">
        <f>B216</f>
        <v>2.1999999999999999E-2</v>
      </c>
      <c r="FD11" s="52" t="s">
        <v>246</v>
      </c>
      <c r="FE11" s="83" t="s">
        <v>151</v>
      </c>
      <c r="FF11" s="142">
        <f>B216</f>
        <v>2.1999999999999999E-2</v>
      </c>
      <c r="FG11" s="52" t="s">
        <v>246</v>
      </c>
      <c r="FH11" s="83" t="s">
        <v>151</v>
      </c>
      <c r="FI11" s="142">
        <f>B216</f>
        <v>2.1999999999999999E-2</v>
      </c>
      <c r="FJ11" s="52" t="s">
        <v>246</v>
      </c>
      <c r="FK11" s="83" t="s">
        <v>456</v>
      </c>
      <c r="FL11" s="150">
        <f>B168</f>
        <v>350</v>
      </c>
      <c r="FM11" s="83" t="s">
        <v>24</v>
      </c>
      <c r="FN11" s="83"/>
      <c r="FO11" s="83"/>
      <c r="FP11" s="83"/>
      <c r="FQ11" s="88"/>
      <c r="FR11" s="86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B168</f>
        <v>350</v>
      </c>
      <c r="GB11" s="83" t="s">
        <v>24</v>
      </c>
      <c r="GC11" s="83"/>
      <c r="GD11" s="83"/>
      <c r="GE11" s="83"/>
      <c r="GF11" s="83" t="s">
        <v>487</v>
      </c>
      <c r="GG11" s="142">
        <f>B221</f>
        <v>2.1999999999999999E-2</v>
      </c>
      <c r="GH11" s="52" t="s">
        <v>246</v>
      </c>
      <c r="GI11" s="83" t="s">
        <v>487</v>
      </c>
      <c r="GJ11" s="142">
        <f>B221</f>
        <v>2.1999999999999999E-2</v>
      </c>
      <c r="GK11" s="52" t="s">
        <v>246</v>
      </c>
      <c r="GL11" s="83" t="s">
        <v>487</v>
      </c>
      <c r="GM11" s="142">
        <f>B221</f>
        <v>2.1999999999999999E-2</v>
      </c>
      <c r="GN11" s="52" t="s">
        <v>246</v>
      </c>
      <c r="GO11" s="83" t="s">
        <v>456</v>
      </c>
      <c r="GP11" s="150">
        <f>B168</f>
        <v>350</v>
      </c>
      <c r="GQ11" s="83" t="s">
        <v>24</v>
      </c>
      <c r="GR11" s="83"/>
      <c r="GS11" s="83"/>
      <c r="GT11" s="83"/>
      <c r="GU11" s="83" t="s">
        <v>491</v>
      </c>
      <c r="GV11" s="142">
        <f>B226</f>
        <v>0.37</v>
      </c>
      <c r="GW11" s="52" t="s">
        <v>246</v>
      </c>
      <c r="GX11" s="83" t="s">
        <v>491</v>
      </c>
      <c r="GY11" s="142">
        <f>B226</f>
        <v>0.37</v>
      </c>
      <c r="GZ11" s="52" t="s">
        <v>246</v>
      </c>
      <c r="HA11" s="83" t="s">
        <v>491</v>
      </c>
      <c r="HB11" s="142">
        <f>B226</f>
        <v>0.37</v>
      </c>
      <c r="HC11" s="52" t="s">
        <v>246</v>
      </c>
      <c r="HD11" s="84" t="s">
        <v>42</v>
      </c>
      <c r="HE11" s="150">
        <f>B84</f>
        <v>1.5</v>
      </c>
    </row>
    <row r="12" spans="1:214" x14ac:dyDescent="0.2">
      <c r="A12" s="83" t="s">
        <v>253</v>
      </c>
      <c r="B12" s="183">
        <v>1.92404</v>
      </c>
      <c r="C12" s="83" t="s">
        <v>351</v>
      </c>
      <c r="D12" s="83" t="s">
        <v>43</v>
      </c>
      <c r="E12" s="140">
        <f>((E15/E16)*E23*E13*E25)+((E15/E16)*E24*E14*E26)</f>
        <v>6195</v>
      </c>
      <c r="F12" s="52" t="s">
        <v>426</v>
      </c>
      <c r="G12" s="83" t="s">
        <v>266</v>
      </c>
      <c r="H12" s="144">
        <f>H5/(H8*(1/H43)*H21)</f>
        <v>1.1157023994157487</v>
      </c>
      <c r="I12" s="92" t="s">
        <v>11</v>
      </c>
      <c r="J12" s="83" t="s">
        <v>22</v>
      </c>
      <c r="K12" s="137">
        <f>0.693/K13</f>
        <v>4.3312499999999997E-4</v>
      </c>
      <c r="M12" s="52" t="s">
        <v>300</v>
      </c>
      <c r="N12" s="138">
        <f>B62</f>
        <v>1</v>
      </c>
      <c r="P12" s="52" t="s">
        <v>300</v>
      </c>
      <c r="Q12" s="138">
        <f>B62</f>
        <v>1</v>
      </c>
      <c r="S12" s="52" t="s">
        <v>300</v>
      </c>
      <c r="T12" s="138">
        <f>B62</f>
        <v>1</v>
      </c>
      <c r="V12" s="52" t="s">
        <v>44</v>
      </c>
      <c r="W12" s="150">
        <f>B262</f>
        <v>8</v>
      </c>
      <c r="X12" s="84" t="s">
        <v>194</v>
      </c>
      <c r="Y12" s="52" t="s">
        <v>44</v>
      </c>
      <c r="Z12" s="150">
        <f>B239</f>
        <v>8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B274</f>
        <v>8</v>
      </c>
      <c r="AG12" s="150">
        <f>B297</f>
        <v>8</v>
      </c>
      <c r="AH12" s="83" t="s">
        <v>194</v>
      </c>
      <c r="AI12" s="52" t="s">
        <v>300</v>
      </c>
      <c r="AJ12" s="138">
        <f>B235</f>
        <v>1</v>
      </c>
      <c r="AL12" s="52" t="s">
        <v>300</v>
      </c>
      <c r="AM12" s="138">
        <f>B235</f>
        <v>1</v>
      </c>
      <c r="AO12" s="52" t="s">
        <v>300</v>
      </c>
      <c r="AP12" s="138">
        <f>B247</f>
        <v>1</v>
      </c>
      <c r="AR12" s="52" t="s">
        <v>300</v>
      </c>
      <c r="AS12" s="138">
        <f>B259</f>
        <v>1</v>
      </c>
      <c r="AU12" s="52" t="s">
        <v>300</v>
      </c>
      <c r="AV12" s="138">
        <f>B259</f>
        <v>1</v>
      </c>
      <c r="AX12" s="52" t="s">
        <v>300</v>
      </c>
      <c r="AY12" s="138">
        <f>B259</f>
        <v>1</v>
      </c>
      <c r="BA12" s="52" t="s">
        <v>300</v>
      </c>
      <c r="BB12" s="138">
        <f>B235</f>
        <v>1</v>
      </c>
      <c r="BD12" s="52" t="s">
        <v>300</v>
      </c>
      <c r="BE12" s="138">
        <f>B235</f>
        <v>1</v>
      </c>
      <c r="BG12" s="52" t="s">
        <v>300</v>
      </c>
      <c r="BH12" s="138">
        <f>B235</f>
        <v>1</v>
      </c>
      <c r="BJ12" s="52" t="s">
        <v>158</v>
      </c>
      <c r="BK12" s="138">
        <f>B268</f>
        <v>1</v>
      </c>
      <c r="BL12" s="52" t="s">
        <v>146</v>
      </c>
      <c r="BM12" s="52" t="s">
        <v>158</v>
      </c>
      <c r="BN12" s="138">
        <f>B268</f>
        <v>1</v>
      </c>
      <c r="BO12" s="52" t="s">
        <v>146</v>
      </c>
      <c r="BP12" s="52" t="s">
        <v>158</v>
      </c>
      <c r="BQ12" s="138">
        <f>B268</f>
        <v>1</v>
      </c>
      <c r="BR12" s="52" t="s">
        <v>146</v>
      </c>
      <c r="BS12" s="83" t="s">
        <v>430</v>
      </c>
      <c r="BT12" s="141">
        <f>B94</f>
        <v>20</v>
      </c>
      <c r="BU12" s="92" t="s">
        <v>407</v>
      </c>
      <c r="BV12" s="83" t="s">
        <v>266</v>
      </c>
      <c r="BW12" s="145">
        <f>BW5/(BW8*(1/BW29)*BW16)</f>
        <v>5.8218590870846452</v>
      </c>
      <c r="BX12" s="92" t="s">
        <v>11</v>
      </c>
      <c r="BY12" s="91" t="s">
        <v>231</v>
      </c>
      <c r="BZ12" s="136">
        <f>B18</f>
        <v>1600</v>
      </c>
      <c r="CA12" s="52" t="s">
        <v>60</v>
      </c>
      <c r="CB12" s="52" t="s">
        <v>413</v>
      </c>
      <c r="CC12" s="138">
        <f>B119</f>
        <v>0.79190000000000005</v>
      </c>
      <c r="CE12" s="52" t="s">
        <v>414</v>
      </c>
      <c r="CF12" s="138">
        <f>B121</f>
        <v>0.624</v>
      </c>
      <c r="CH12" s="52" t="s">
        <v>416</v>
      </c>
      <c r="CI12" s="138">
        <f>B125</f>
        <v>0.75109999999999999</v>
      </c>
      <c r="CN12" s="84" t="s">
        <v>162</v>
      </c>
      <c r="CO12" s="162">
        <f>B131</f>
        <v>1</v>
      </c>
      <c r="CP12" s="52" t="s">
        <v>41</v>
      </c>
      <c r="CT12" s="83" t="s">
        <v>22</v>
      </c>
      <c r="CU12" s="137">
        <f>0.693/CU13</f>
        <v>4.3312499999999997E-4</v>
      </c>
      <c r="CW12" s="83" t="s">
        <v>506</v>
      </c>
      <c r="CX12" s="140">
        <f>((CX16/24)*CX23*CX13*CX25)+((CX15/24)*CX24*CX14*CX26)</f>
        <v>6475</v>
      </c>
      <c r="CY12" s="52" t="s">
        <v>426</v>
      </c>
      <c r="CZ12" s="91" t="s">
        <v>231</v>
      </c>
      <c r="DA12" s="136">
        <f>B18</f>
        <v>1600</v>
      </c>
      <c r="DB12" s="52" t="s">
        <v>60</v>
      </c>
      <c r="DC12" s="83" t="s">
        <v>467</v>
      </c>
      <c r="DD12" s="146">
        <f>B149</f>
        <v>68.099999999999994</v>
      </c>
      <c r="DE12" s="92" t="s">
        <v>221</v>
      </c>
      <c r="DF12" s="92" t="s">
        <v>52</v>
      </c>
      <c r="DG12" s="138">
        <f>B195</f>
        <v>10950</v>
      </c>
      <c r="DH12" s="52" t="s">
        <v>53</v>
      </c>
      <c r="DI12" s="84" t="s">
        <v>16</v>
      </c>
      <c r="DJ12" s="137">
        <f>(DJ9*DJ10)/(1-EXP(-DJ10*DJ9))</f>
        <v>1.0002165781331087</v>
      </c>
      <c r="DL12" s="92"/>
      <c r="DO12" s="92" t="s">
        <v>52</v>
      </c>
      <c r="DP12" s="138">
        <f>B195</f>
        <v>10950</v>
      </c>
      <c r="DQ12" s="52" t="s">
        <v>53</v>
      </c>
      <c r="DR12" s="83" t="s">
        <v>465</v>
      </c>
      <c r="DS12" s="150">
        <f>B168</f>
        <v>350</v>
      </c>
      <c r="DT12" s="83" t="s">
        <v>24</v>
      </c>
      <c r="DU12" s="92"/>
      <c r="DX12" s="83" t="s">
        <v>500</v>
      </c>
      <c r="DY12" s="138">
        <f>B207</f>
        <v>1</v>
      </c>
      <c r="EA12" s="83" t="s">
        <v>500</v>
      </c>
      <c r="EB12" s="138">
        <f>B207</f>
        <v>1</v>
      </c>
      <c r="EC12" s="84"/>
      <c r="ED12" s="83" t="s">
        <v>500</v>
      </c>
      <c r="EE12" s="138">
        <f>B207</f>
        <v>1</v>
      </c>
      <c r="EF12" s="84"/>
      <c r="EG12" s="83" t="s">
        <v>465</v>
      </c>
      <c r="EH12" s="150">
        <f>B168</f>
        <v>350</v>
      </c>
      <c r="EI12" s="83" t="s">
        <v>24</v>
      </c>
      <c r="EJ12" s="92"/>
      <c r="EM12" s="83" t="s">
        <v>496</v>
      </c>
      <c r="EN12" s="138">
        <f>B212</f>
        <v>1</v>
      </c>
      <c r="EP12" s="83" t="s">
        <v>496</v>
      </c>
      <c r="EQ12" s="138">
        <f>B212</f>
        <v>1</v>
      </c>
      <c r="ER12" s="84"/>
      <c r="ES12" s="83" t="s">
        <v>496</v>
      </c>
      <c r="ET12" s="138">
        <f>B212</f>
        <v>1</v>
      </c>
      <c r="EU12" s="84"/>
      <c r="EV12" s="83" t="s">
        <v>465</v>
      </c>
      <c r="EW12" s="150">
        <f>B168</f>
        <v>350</v>
      </c>
      <c r="EX12" s="83" t="s">
        <v>24</v>
      </c>
      <c r="EY12" s="83"/>
      <c r="EZ12" s="83"/>
      <c r="FA12" s="83"/>
      <c r="FB12" s="83" t="s">
        <v>153</v>
      </c>
      <c r="FC12" s="164">
        <f>B217</f>
        <v>1</v>
      </c>
      <c r="FD12" s="83"/>
      <c r="FE12" s="83" t="s">
        <v>153</v>
      </c>
      <c r="FF12" s="164">
        <f>B217</f>
        <v>1</v>
      </c>
      <c r="FG12" s="83"/>
      <c r="FH12" s="83" t="s">
        <v>153</v>
      </c>
      <c r="FI12" s="164">
        <f>B217</f>
        <v>1</v>
      </c>
      <c r="FJ12" s="84"/>
      <c r="FK12" s="83" t="s">
        <v>465</v>
      </c>
      <c r="FL12" s="150">
        <f>B168</f>
        <v>350</v>
      </c>
      <c r="FM12" s="83" t="s">
        <v>24</v>
      </c>
      <c r="FN12" s="83"/>
      <c r="FO12" s="83"/>
      <c r="FP12" s="83"/>
      <c r="FQ12" s="88"/>
      <c r="FR12" s="88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B168</f>
        <v>350</v>
      </c>
      <c r="GB12" s="83" t="s">
        <v>24</v>
      </c>
      <c r="GC12" s="83"/>
      <c r="GD12" s="83"/>
      <c r="GE12" s="83"/>
      <c r="GF12" s="83" t="s">
        <v>488</v>
      </c>
      <c r="GG12" s="142">
        <f>B222</f>
        <v>1</v>
      </c>
      <c r="GH12" s="83"/>
      <c r="GI12" s="83" t="s">
        <v>488</v>
      </c>
      <c r="GJ12" s="142">
        <f>B222</f>
        <v>1</v>
      </c>
      <c r="GK12" s="83"/>
      <c r="GL12" s="83" t="s">
        <v>488</v>
      </c>
      <c r="GM12" s="142">
        <f>B222</f>
        <v>1</v>
      </c>
      <c r="GN12" s="84"/>
      <c r="GO12" s="83" t="s">
        <v>465</v>
      </c>
      <c r="GP12" s="150">
        <f>B168</f>
        <v>350</v>
      </c>
      <c r="GQ12" s="83" t="s">
        <v>24</v>
      </c>
      <c r="GR12" s="83"/>
      <c r="GS12" s="83"/>
      <c r="GT12" s="83"/>
      <c r="GU12" s="83" t="s">
        <v>492</v>
      </c>
      <c r="GV12" s="142">
        <f>B227</f>
        <v>1</v>
      </c>
      <c r="GW12" s="83"/>
      <c r="GX12" s="83" t="s">
        <v>492</v>
      </c>
      <c r="GY12" s="142">
        <f>B227</f>
        <v>1</v>
      </c>
      <c r="GZ12" s="83"/>
      <c r="HA12" s="83" t="s">
        <v>492</v>
      </c>
      <c r="HB12" s="142">
        <f>B227</f>
        <v>1</v>
      </c>
      <c r="HC12" s="84"/>
      <c r="HD12" s="84" t="s">
        <v>47</v>
      </c>
      <c r="HE12" s="163">
        <v>1</v>
      </c>
    </row>
    <row r="13" spans="1:214" x14ac:dyDescent="0.2">
      <c r="A13" s="83" t="s">
        <v>254</v>
      </c>
      <c r="B13" s="183">
        <v>5.52928</v>
      </c>
      <c r="C13" s="83" t="s">
        <v>351</v>
      </c>
      <c r="D13" s="83" t="s">
        <v>366</v>
      </c>
      <c r="E13" s="141">
        <f>B38</f>
        <v>10</v>
      </c>
      <c r="F13" s="92" t="s">
        <v>407</v>
      </c>
      <c r="G13" s="83" t="s">
        <v>263</v>
      </c>
      <c r="H13" s="144">
        <f>H14/((1/H40)*(H48+H49+H50))</f>
        <v>1.8829600845230001</v>
      </c>
      <c r="I13" s="92" t="s">
        <v>11</v>
      </c>
      <c r="J13" s="91" t="s">
        <v>231</v>
      </c>
      <c r="K13" s="136">
        <f>B18</f>
        <v>1600</v>
      </c>
      <c r="L13" s="52" t="s">
        <v>60</v>
      </c>
      <c r="M13" s="52" t="s">
        <v>54</v>
      </c>
      <c r="N13" s="138">
        <f>B63</f>
        <v>1</v>
      </c>
      <c r="P13" s="52" t="s">
        <v>54</v>
      </c>
      <c r="Q13" s="138">
        <f>B63</f>
        <v>1</v>
      </c>
      <c r="S13" s="52" t="s">
        <v>54</v>
      </c>
      <c r="T13" s="138">
        <f>B63</f>
        <v>1</v>
      </c>
      <c r="V13" s="52" t="s">
        <v>50</v>
      </c>
      <c r="W13" s="146">
        <f>B254</f>
        <v>60</v>
      </c>
      <c r="X13" s="84" t="s">
        <v>407</v>
      </c>
      <c r="Y13" s="52" t="s">
        <v>50</v>
      </c>
      <c r="Z13" s="146">
        <f>B230</f>
        <v>60</v>
      </c>
      <c r="AA13" s="84" t="s">
        <v>407</v>
      </c>
      <c r="AB13" s="83" t="s">
        <v>349</v>
      </c>
      <c r="AC13" s="146">
        <f>B233</f>
        <v>100</v>
      </c>
      <c r="AD13" s="146">
        <f>B245</f>
        <v>50</v>
      </c>
      <c r="AE13" s="146">
        <f>B257</f>
        <v>100</v>
      </c>
      <c r="AF13" s="146">
        <f>B269</f>
        <v>330</v>
      </c>
      <c r="AG13" s="146">
        <f>B293</f>
        <v>330</v>
      </c>
      <c r="AH13" s="52" t="s">
        <v>48</v>
      </c>
      <c r="AI13" s="52" t="s">
        <v>54</v>
      </c>
      <c r="AJ13" s="138">
        <f>B249</f>
        <v>1</v>
      </c>
      <c r="AL13" s="52" t="s">
        <v>54</v>
      </c>
      <c r="AM13" s="138">
        <f>B249</f>
        <v>1</v>
      </c>
      <c r="AO13" s="52" t="s">
        <v>54</v>
      </c>
      <c r="AP13" s="138">
        <f>B249</f>
        <v>1</v>
      </c>
      <c r="AR13" s="52" t="s">
        <v>54</v>
      </c>
      <c r="AS13" s="138">
        <f>B261</f>
        <v>1</v>
      </c>
      <c r="AU13" s="52" t="s">
        <v>54</v>
      </c>
      <c r="AV13" s="138">
        <f>B261</f>
        <v>1</v>
      </c>
      <c r="AX13" s="52" t="s">
        <v>54</v>
      </c>
      <c r="AY13" s="138">
        <f>B261</f>
        <v>1</v>
      </c>
      <c r="BA13" s="52" t="s">
        <v>54</v>
      </c>
      <c r="BB13" s="138">
        <f>B237</f>
        <v>1</v>
      </c>
      <c r="BD13" s="52" t="s">
        <v>54</v>
      </c>
      <c r="BE13" s="138">
        <f>B237</f>
        <v>1</v>
      </c>
      <c r="BG13" s="52" t="s">
        <v>54</v>
      </c>
      <c r="BH13" s="138">
        <f>B237</f>
        <v>1</v>
      </c>
      <c r="BJ13" s="52" t="s">
        <v>300</v>
      </c>
      <c r="BK13" s="136">
        <f>B279</f>
        <v>0.12375</v>
      </c>
      <c r="BM13" s="52" t="s">
        <v>300</v>
      </c>
      <c r="BN13" s="136">
        <f>B283</f>
        <v>5.806E-2</v>
      </c>
      <c r="BP13" s="52" t="s">
        <v>300</v>
      </c>
      <c r="BQ13" s="136">
        <f>B287</f>
        <v>0.1009</v>
      </c>
      <c r="BS13" s="52" t="s">
        <v>431</v>
      </c>
      <c r="BT13" s="141">
        <f>B106</f>
        <v>1</v>
      </c>
      <c r="BU13" s="52" t="s">
        <v>194</v>
      </c>
      <c r="BV13" s="83" t="s">
        <v>440</v>
      </c>
      <c r="BW13" s="160">
        <f>((BW18*BW20*BW23*BW14*BW30)+(BW19*BW21*BW24*BW15*BW31))</f>
        <v>2.25</v>
      </c>
      <c r="BX13" s="83" t="s">
        <v>345</v>
      </c>
      <c r="BY13" s="83" t="s">
        <v>260</v>
      </c>
      <c r="BZ13" s="143">
        <f>(BZ5/(BZ6*BZ16*(1/BZ33)))*BZ10</f>
        <v>64.572632728997377</v>
      </c>
      <c r="CA13" s="92" t="s">
        <v>10</v>
      </c>
      <c r="CB13" s="52" t="s">
        <v>90</v>
      </c>
      <c r="CC13" s="138">
        <f>B108</f>
        <v>1</v>
      </c>
      <c r="CD13" s="52" t="s">
        <v>194</v>
      </c>
      <c r="CE13" s="52" t="s">
        <v>90</v>
      </c>
      <c r="CF13" s="138">
        <f>B108</f>
        <v>1</v>
      </c>
      <c r="CG13" s="52" t="s">
        <v>194</v>
      </c>
      <c r="CH13" s="52" t="s">
        <v>90</v>
      </c>
      <c r="CI13" s="138">
        <f>B108</f>
        <v>1</v>
      </c>
      <c r="CJ13" s="52" t="s">
        <v>194</v>
      </c>
      <c r="CN13" s="84" t="s">
        <v>163</v>
      </c>
      <c r="CO13" s="162">
        <f>B132</f>
        <v>1</v>
      </c>
      <c r="CP13" s="52" t="s">
        <v>41</v>
      </c>
      <c r="CT13" s="91" t="s">
        <v>231</v>
      </c>
      <c r="CU13" s="136">
        <f>B18</f>
        <v>1600</v>
      </c>
      <c r="CV13" s="52" t="s">
        <v>60</v>
      </c>
      <c r="CW13" s="83" t="s">
        <v>450</v>
      </c>
      <c r="CX13" s="141">
        <f>B147</f>
        <v>10</v>
      </c>
      <c r="CY13" s="92" t="s">
        <v>407</v>
      </c>
      <c r="CZ13" s="83" t="s">
        <v>260</v>
      </c>
      <c r="DA13" s="143">
        <f>DA5/(DA6*DA24)</f>
        <v>0.75895699381714721</v>
      </c>
      <c r="DB13" s="83" t="s">
        <v>11</v>
      </c>
      <c r="DC13" s="83" t="s">
        <v>468</v>
      </c>
      <c r="DD13" s="146">
        <f>B150</f>
        <v>176.8</v>
      </c>
      <c r="DE13" s="92" t="s">
        <v>221</v>
      </c>
      <c r="DF13" s="92" t="s">
        <v>55</v>
      </c>
      <c r="DG13" s="138">
        <f>B196</f>
        <v>240</v>
      </c>
      <c r="DH13" s="52" t="s">
        <v>56</v>
      </c>
      <c r="DL13" s="92"/>
      <c r="DO13" s="92" t="s">
        <v>55</v>
      </c>
      <c r="DP13" s="138">
        <f>B196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B208</f>
        <v>1</v>
      </c>
      <c r="EA13" s="83" t="s">
        <v>501</v>
      </c>
      <c r="EB13" s="138">
        <f>B208</f>
        <v>1</v>
      </c>
      <c r="EC13" s="84"/>
      <c r="ED13" s="83" t="s">
        <v>501</v>
      </c>
      <c r="EE13" s="138">
        <f>B208</f>
        <v>1</v>
      </c>
      <c r="EF13" s="84"/>
      <c r="EG13" s="83" t="s">
        <v>363</v>
      </c>
      <c r="EH13" s="150">
        <f>B170</f>
        <v>1</v>
      </c>
      <c r="EI13" s="84" t="s">
        <v>60</v>
      </c>
      <c r="EJ13" s="92"/>
      <c r="EM13" s="83" t="s">
        <v>497</v>
      </c>
      <c r="EN13" s="138">
        <f>B213</f>
        <v>1</v>
      </c>
      <c r="EP13" s="83" t="s">
        <v>497</v>
      </c>
      <c r="EQ13" s="138">
        <f>B213</f>
        <v>1</v>
      </c>
      <c r="ER13" s="84"/>
      <c r="ES13" s="83" t="s">
        <v>497</v>
      </c>
      <c r="ET13" s="138">
        <f>B213</f>
        <v>1</v>
      </c>
      <c r="EU13" s="84"/>
      <c r="EV13" s="83" t="s">
        <v>363</v>
      </c>
      <c r="EW13" s="150">
        <f>B170</f>
        <v>1</v>
      </c>
      <c r="EX13" s="84" t="s">
        <v>60</v>
      </c>
      <c r="EY13" s="83"/>
      <c r="EZ13" s="83"/>
      <c r="FA13" s="83"/>
      <c r="FB13" s="83" t="s">
        <v>154</v>
      </c>
      <c r="FC13" s="164">
        <f>B218</f>
        <v>1</v>
      </c>
      <c r="FD13" s="83"/>
      <c r="FE13" s="83" t="s">
        <v>154</v>
      </c>
      <c r="FF13" s="164">
        <f>B218</f>
        <v>1</v>
      </c>
      <c r="FG13" s="83"/>
      <c r="FH13" s="83" t="s">
        <v>154</v>
      </c>
      <c r="FI13" s="164">
        <f>B218</f>
        <v>1</v>
      </c>
      <c r="FJ13" s="84"/>
      <c r="FK13" s="83" t="s">
        <v>363</v>
      </c>
      <c r="FL13" s="141">
        <f>B170</f>
        <v>1</v>
      </c>
      <c r="FM13" s="92" t="s">
        <v>60</v>
      </c>
      <c r="FN13" s="83"/>
      <c r="FO13" s="83"/>
      <c r="FP13" s="83"/>
      <c r="FQ13" s="88"/>
      <c r="FR13" s="88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B170</f>
        <v>1</v>
      </c>
      <c r="GB13" s="92" t="s">
        <v>60</v>
      </c>
      <c r="GC13" s="83"/>
      <c r="GD13" s="83"/>
      <c r="GE13" s="83"/>
      <c r="GF13" s="83" t="s">
        <v>489</v>
      </c>
      <c r="GG13" s="142">
        <f>B223</f>
        <v>1</v>
      </c>
      <c r="GH13" s="83"/>
      <c r="GI13" s="83" t="s">
        <v>489</v>
      </c>
      <c r="GJ13" s="142">
        <f>B223</f>
        <v>1</v>
      </c>
      <c r="GK13" s="83"/>
      <c r="GL13" s="83" t="s">
        <v>489</v>
      </c>
      <c r="GM13" s="142">
        <f>B223</f>
        <v>1</v>
      </c>
      <c r="GN13" s="84"/>
      <c r="GO13" s="83" t="s">
        <v>363</v>
      </c>
      <c r="GP13" s="141">
        <f>B170</f>
        <v>1</v>
      </c>
      <c r="GQ13" s="92" t="s">
        <v>60</v>
      </c>
      <c r="GR13" s="83"/>
      <c r="GS13" s="83"/>
      <c r="GT13" s="83"/>
      <c r="GU13" s="83" t="s">
        <v>493</v>
      </c>
      <c r="GV13" s="142">
        <f>B228</f>
        <v>1</v>
      </c>
      <c r="GW13" s="83"/>
      <c r="GX13" s="83" t="s">
        <v>493</v>
      </c>
      <c r="GY13" s="142">
        <f>B228</f>
        <v>1</v>
      </c>
      <c r="GZ13" s="83"/>
      <c r="HA13" s="83" t="s">
        <v>493</v>
      </c>
      <c r="HB13" s="142">
        <f>B228</f>
        <v>1</v>
      </c>
      <c r="HC13" s="84"/>
      <c r="HD13" s="84" t="s">
        <v>59</v>
      </c>
      <c r="HE13" s="150">
        <f>B33</f>
        <v>1</v>
      </c>
    </row>
    <row r="14" spans="1:214" x14ac:dyDescent="0.2">
      <c r="A14" s="83" t="s">
        <v>255</v>
      </c>
      <c r="B14" s="183">
        <v>8.8356399999999997</v>
      </c>
      <c r="C14" s="83" t="s">
        <v>351</v>
      </c>
      <c r="D14" s="83" t="s">
        <v>367</v>
      </c>
      <c r="E14" s="141">
        <f>B39</f>
        <v>20</v>
      </c>
      <c r="F14" s="92" t="s">
        <v>407</v>
      </c>
      <c r="G14" s="83" t="s">
        <v>264</v>
      </c>
      <c r="H14" s="145">
        <f>H5/(H9*(H22+H25)*H41)</f>
        <v>2.5241149038583714E-2</v>
      </c>
      <c r="I14" s="92" t="s">
        <v>10</v>
      </c>
      <c r="J14" s="83" t="s">
        <v>260</v>
      </c>
      <c r="K14" s="143">
        <f>(K5/(K6*K19*(1/K46)))*K11</f>
        <v>13.836992727642293</v>
      </c>
      <c r="L14" s="92" t="s">
        <v>10</v>
      </c>
      <c r="M14" s="52" t="s">
        <v>408</v>
      </c>
      <c r="N14" s="150">
        <f>B78</f>
        <v>1.752</v>
      </c>
      <c r="O14" s="52" t="s">
        <v>194</v>
      </c>
      <c r="P14" s="52" t="s">
        <v>408</v>
      </c>
      <c r="Q14" s="150">
        <f>B78</f>
        <v>1.752</v>
      </c>
      <c r="R14" s="52" t="s">
        <v>194</v>
      </c>
      <c r="S14" s="52" t="s">
        <v>408</v>
      </c>
      <c r="T14" s="150">
        <f>B78</f>
        <v>1.752</v>
      </c>
      <c r="U14" s="52" t="s">
        <v>194</v>
      </c>
      <c r="V14" s="83" t="s">
        <v>256</v>
      </c>
      <c r="W14" s="136">
        <f>B15</f>
        <v>15429.68</v>
      </c>
      <c r="X14" s="83" t="s">
        <v>343</v>
      </c>
      <c r="Y14" s="83" t="s">
        <v>256</v>
      </c>
      <c r="Z14" s="136">
        <f>B15</f>
        <v>15429.68</v>
      </c>
      <c r="AA14" s="83" t="s">
        <v>343</v>
      </c>
      <c r="AB14" s="83" t="s">
        <v>300</v>
      </c>
      <c r="AC14" s="141">
        <f>B235</f>
        <v>1</v>
      </c>
      <c r="AD14" s="141">
        <f>B247</f>
        <v>1</v>
      </c>
      <c r="AE14" s="141">
        <f>B259</f>
        <v>1</v>
      </c>
      <c r="AF14" s="141">
        <f>B279</f>
        <v>0.12375</v>
      </c>
      <c r="AG14" s="141">
        <f>B279</f>
        <v>0.12375</v>
      </c>
      <c r="AH14" s="92"/>
      <c r="AI14" s="52" t="s">
        <v>57</v>
      </c>
      <c r="AJ14" s="136">
        <f>B250</f>
        <v>0</v>
      </c>
      <c r="AK14" s="52" t="s">
        <v>194</v>
      </c>
      <c r="AL14" s="52" t="s">
        <v>57</v>
      </c>
      <c r="AM14" s="136">
        <f>B250</f>
        <v>0</v>
      </c>
      <c r="AN14" s="52" t="s">
        <v>194</v>
      </c>
      <c r="AO14" s="52" t="s">
        <v>57</v>
      </c>
      <c r="AP14" s="136">
        <f>B250</f>
        <v>0</v>
      </c>
      <c r="AQ14" s="52" t="s">
        <v>194</v>
      </c>
      <c r="AR14" s="52" t="s">
        <v>57</v>
      </c>
      <c r="AS14" s="136">
        <f>B262</f>
        <v>8</v>
      </c>
      <c r="AT14" s="52" t="s">
        <v>194</v>
      </c>
      <c r="AU14" s="52" t="s">
        <v>57</v>
      </c>
      <c r="AV14" s="136">
        <f>B262</f>
        <v>8</v>
      </c>
      <c r="AW14" s="52" t="s">
        <v>194</v>
      </c>
      <c r="AX14" s="52" t="s">
        <v>57</v>
      </c>
      <c r="AY14" s="136">
        <f>B262</f>
        <v>8</v>
      </c>
      <c r="AZ14" s="52" t="s">
        <v>194</v>
      </c>
      <c r="BA14" s="52" t="s">
        <v>57</v>
      </c>
      <c r="BB14" s="136">
        <f>B238</f>
        <v>8</v>
      </c>
      <c r="BC14" s="52" t="s">
        <v>194</v>
      </c>
      <c r="BD14" s="52" t="s">
        <v>57</v>
      </c>
      <c r="BE14" s="136">
        <f>B238</f>
        <v>8</v>
      </c>
      <c r="BF14" s="52" t="s">
        <v>194</v>
      </c>
      <c r="BG14" s="52" t="s">
        <v>58</v>
      </c>
      <c r="BH14" s="136">
        <f>B238</f>
        <v>8</v>
      </c>
      <c r="BI14" s="52" t="s">
        <v>194</v>
      </c>
      <c r="BJ14" s="52" t="s">
        <v>413</v>
      </c>
      <c r="BK14" s="136">
        <f>B280</f>
        <v>0.79190000000000005</v>
      </c>
      <c r="BM14" s="52" t="s">
        <v>414</v>
      </c>
      <c r="BN14" s="136">
        <f>B284</f>
        <v>0.624</v>
      </c>
      <c r="BP14" s="52" t="s">
        <v>416</v>
      </c>
      <c r="BQ14" s="136">
        <f>B288</f>
        <v>0.75109999999999999</v>
      </c>
      <c r="BS14" s="52" t="s">
        <v>432</v>
      </c>
      <c r="BT14" s="141">
        <f>B107</f>
        <v>1</v>
      </c>
      <c r="BU14" s="52" t="s">
        <v>194</v>
      </c>
      <c r="BV14" s="83" t="s">
        <v>439</v>
      </c>
      <c r="BW14" s="146">
        <f>B95</f>
        <v>0.05</v>
      </c>
      <c r="BX14" s="83" t="s">
        <v>357</v>
      </c>
      <c r="BY14" s="83" t="s">
        <v>261</v>
      </c>
      <c r="BZ14" s="144">
        <f>(BZ5/(BZ7*BZ17*(1/BZ9)*BZ32))*BZ10</f>
        <v>646123.52212519757</v>
      </c>
      <c r="CA14" s="92" t="s">
        <v>10</v>
      </c>
      <c r="CB14" s="52" t="s">
        <v>412</v>
      </c>
      <c r="CC14" s="139">
        <f>B10</f>
        <v>10.423439999999999</v>
      </c>
      <c r="CD14" s="84" t="s">
        <v>353</v>
      </c>
      <c r="CE14" s="52" t="s">
        <v>415</v>
      </c>
      <c r="CF14" s="139">
        <f>B12</f>
        <v>1.92404</v>
      </c>
      <c r="CG14" s="84" t="s">
        <v>353</v>
      </c>
      <c r="CH14" s="52" t="s">
        <v>417</v>
      </c>
      <c r="CI14" s="139">
        <f>B14</f>
        <v>8.8356399999999997</v>
      </c>
      <c r="CJ14" s="84" t="s">
        <v>353</v>
      </c>
      <c r="CK14" s="84"/>
      <c r="CL14" s="84"/>
      <c r="CM14" s="84"/>
      <c r="CN14" s="52" t="s">
        <v>95</v>
      </c>
      <c r="CO14" s="164">
        <f>B117</f>
        <v>1</v>
      </c>
      <c r="CQ14" s="84"/>
      <c r="CR14" s="84"/>
      <c r="CS14" s="84"/>
      <c r="CT14" s="83" t="s">
        <v>260</v>
      </c>
      <c r="CU14" s="143">
        <f>(CU5/(CU6*CU25*(1/CU46)))*CU11</f>
        <v>14.79956613478263</v>
      </c>
      <c r="CV14" s="92" t="s">
        <v>10</v>
      </c>
      <c r="CW14" s="83" t="s">
        <v>459</v>
      </c>
      <c r="CX14" s="141">
        <f>B148</f>
        <v>20</v>
      </c>
      <c r="CY14" s="92" t="s">
        <v>407</v>
      </c>
      <c r="CZ14" s="83" t="s">
        <v>261</v>
      </c>
      <c r="DA14" s="144">
        <f>DA5/(DA7*DA25*DA45)</f>
        <v>8.1190550924251439E-3</v>
      </c>
      <c r="DB14" s="83" t="s">
        <v>11</v>
      </c>
      <c r="DC14" s="83" t="s">
        <v>465</v>
      </c>
      <c r="DD14" s="146">
        <f>B168</f>
        <v>350</v>
      </c>
      <c r="DE14" s="83" t="s">
        <v>24</v>
      </c>
      <c r="DF14" s="92" t="s">
        <v>393</v>
      </c>
      <c r="DG14" s="138">
        <f>B35</f>
        <v>0.26</v>
      </c>
      <c r="DL14" s="92"/>
      <c r="DO14" s="92" t="s">
        <v>393</v>
      </c>
      <c r="DP14" s="138">
        <f>B35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B204</f>
        <v>1.03</v>
      </c>
      <c r="DZ14" s="52" t="s">
        <v>286</v>
      </c>
      <c r="EA14" s="52" t="s">
        <v>518</v>
      </c>
      <c r="EB14" s="146">
        <f>B204</f>
        <v>1.03</v>
      </c>
      <c r="EC14" s="52" t="s">
        <v>286</v>
      </c>
      <c r="ED14" s="92" t="s">
        <v>392</v>
      </c>
      <c r="EE14" s="163">
        <f>B36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B170</f>
        <v>1</v>
      </c>
      <c r="EP14" s="92"/>
      <c r="EQ14" s="84"/>
      <c r="ER14" s="84"/>
      <c r="ES14" s="92" t="s">
        <v>392</v>
      </c>
      <c r="ET14" s="163">
        <f>B36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B170</f>
        <v>1</v>
      </c>
      <c r="FE14" s="83"/>
      <c r="FF14" s="83"/>
      <c r="FG14" s="83"/>
      <c r="FH14" s="83" t="s">
        <v>392</v>
      </c>
      <c r="FI14" s="142">
        <f>B36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88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B170</f>
        <v>1</v>
      </c>
      <c r="GI14" s="83"/>
      <c r="GJ14" s="83"/>
      <c r="GK14" s="83"/>
      <c r="GL14" s="83" t="s">
        <v>392</v>
      </c>
      <c r="GM14" s="142">
        <f>B36</f>
        <v>0.25</v>
      </c>
      <c r="GN14" s="84"/>
      <c r="GO14" s="92" t="s">
        <v>484</v>
      </c>
      <c r="GP14" s="146">
        <f>B192</f>
        <v>1</v>
      </c>
      <c r="GR14" s="83"/>
      <c r="GS14" s="83"/>
      <c r="GT14" s="83"/>
      <c r="GU14" s="52" t="s">
        <v>350</v>
      </c>
      <c r="GV14" s="164">
        <f>B170</f>
        <v>1</v>
      </c>
      <c r="GX14" s="83"/>
      <c r="GY14" s="83"/>
      <c r="GZ14" s="83"/>
      <c r="HA14" s="83" t="s">
        <v>392</v>
      </c>
      <c r="HB14" s="142">
        <f>B36</f>
        <v>0.25</v>
      </c>
      <c r="HC14" s="84"/>
      <c r="HD14" s="52" t="s">
        <v>225</v>
      </c>
      <c r="HE14" s="138">
        <v>1</v>
      </c>
    </row>
    <row r="15" spans="1:214" x14ac:dyDescent="0.2">
      <c r="A15" s="83" t="s">
        <v>256</v>
      </c>
      <c r="B15" s="183">
        <v>15429.68</v>
      </c>
      <c r="C15" s="83" t="s">
        <v>351</v>
      </c>
      <c r="D15" s="52" t="s">
        <v>384</v>
      </c>
      <c r="E15" s="138">
        <f>B59</f>
        <v>24</v>
      </c>
      <c r="F15" s="52" t="s">
        <v>194</v>
      </c>
      <c r="G15" s="83" t="s">
        <v>395</v>
      </c>
      <c r="H15" s="147">
        <f>(H29*H17*H68)+(H30*H18*H69)</f>
        <v>736.54</v>
      </c>
      <c r="I15" s="83" t="s">
        <v>345</v>
      </c>
      <c r="J15" s="83" t="s">
        <v>261</v>
      </c>
      <c r="K15" s="144">
        <f>(K5/(K7*K20*(1/K10)*K45))*K11</f>
        <v>5768.9600189749781</v>
      </c>
      <c r="L15" s="92" t="s">
        <v>10</v>
      </c>
      <c r="M15" s="52" t="s">
        <v>412</v>
      </c>
      <c r="N15" s="139">
        <f>B10</f>
        <v>10.423439999999999</v>
      </c>
      <c r="O15" s="84" t="s">
        <v>353</v>
      </c>
      <c r="P15" s="52" t="s">
        <v>415</v>
      </c>
      <c r="Q15" s="139">
        <f>B12</f>
        <v>1.92404</v>
      </c>
      <c r="R15" s="84" t="s">
        <v>353</v>
      </c>
      <c r="S15" s="52" t="s">
        <v>417</v>
      </c>
      <c r="T15" s="139">
        <f>B14</f>
        <v>8.8356399999999997</v>
      </c>
      <c r="U15" s="84" t="s">
        <v>353</v>
      </c>
      <c r="V15" s="83" t="s">
        <v>301</v>
      </c>
      <c r="W15" s="142">
        <f>B258</f>
        <v>1</v>
      </c>
      <c r="Y15" s="83" t="s">
        <v>301</v>
      </c>
      <c r="Z15" s="142">
        <f>B234</f>
        <v>1</v>
      </c>
      <c r="AB15" s="83" t="s">
        <v>232</v>
      </c>
      <c r="AC15" s="141">
        <f>B230</f>
        <v>60</v>
      </c>
      <c r="AD15" s="141">
        <f>B242</f>
        <v>60</v>
      </c>
      <c r="AE15" s="141">
        <f>B254</f>
        <v>60</v>
      </c>
      <c r="AF15" s="141">
        <f>B266</f>
        <v>60</v>
      </c>
      <c r="AG15" s="141">
        <f>B290</f>
        <v>60</v>
      </c>
      <c r="AH15" s="92" t="s">
        <v>407</v>
      </c>
      <c r="AI15" s="52" t="s">
        <v>412</v>
      </c>
      <c r="AJ15" s="139">
        <f>B10</f>
        <v>10.423439999999999</v>
      </c>
      <c r="AK15" s="84" t="s">
        <v>353</v>
      </c>
      <c r="AL15" s="52" t="s">
        <v>415</v>
      </c>
      <c r="AM15" s="139">
        <f>B12</f>
        <v>1.92404</v>
      </c>
      <c r="AN15" s="84" t="s">
        <v>353</v>
      </c>
      <c r="AO15" s="52" t="s">
        <v>417</v>
      </c>
      <c r="AP15" s="139">
        <f>B14</f>
        <v>8.8356399999999997</v>
      </c>
      <c r="AQ15" s="84" t="s">
        <v>353</v>
      </c>
      <c r="AR15" s="52" t="s">
        <v>412</v>
      </c>
      <c r="AS15" s="139">
        <f>B10</f>
        <v>10.423439999999999</v>
      </c>
      <c r="AT15" s="84" t="s">
        <v>353</v>
      </c>
      <c r="AU15" s="52" t="s">
        <v>415</v>
      </c>
      <c r="AV15" s="139">
        <f>B12</f>
        <v>1.92404</v>
      </c>
      <c r="AW15" s="84" t="s">
        <v>353</v>
      </c>
      <c r="AX15" s="52" t="s">
        <v>417</v>
      </c>
      <c r="AY15" s="139">
        <f>B14</f>
        <v>8.8356399999999997</v>
      </c>
      <c r="AZ15" s="84" t="s">
        <v>353</v>
      </c>
      <c r="BA15" s="52" t="s">
        <v>412</v>
      </c>
      <c r="BB15" s="139">
        <f>B10</f>
        <v>10.423439999999999</v>
      </c>
      <c r="BC15" s="84" t="s">
        <v>353</v>
      </c>
      <c r="BD15" s="52" t="s">
        <v>415</v>
      </c>
      <c r="BE15" s="139">
        <f>B12</f>
        <v>1.92404</v>
      </c>
      <c r="BF15" s="84" t="s">
        <v>353</v>
      </c>
      <c r="BG15" s="52" t="s">
        <v>417</v>
      </c>
      <c r="BH15" s="139">
        <f>B14</f>
        <v>8.8356399999999997</v>
      </c>
      <c r="BI15" s="84" t="s">
        <v>353</v>
      </c>
      <c r="BJ15" s="52" t="s">
        <v>57</v>
      </c>
      <c r="BK15" s="136">
        <f>B274</f>
        <v>8</v>
      </c>
      <c r="BL15" s="52" t="s">
        <v>194</v>
      </c>
      <c r="BM15" s="52" t="s">
        <v>57</v>
      </c>
      <c r="BN15" s="136">
        <f>B274</f>
        <v>8</v>
      </c>
      <c r="BO15" s="52" t="s">
        <v>194</v>
      </c>
      <c r="BP15" s="52" t="s">
        <v>57</v>
      </c>
      <c r="BQ15" s="136">
        <f>B274</f>
        <v>8</v>
      </c>
      <c r="BR15" s="52" t="s">
        <v>194</v>
      </c>
      <c r="BS15" s="52" t="s">
        <v>90</v>
      </c>
      <c r="BT15" s="138">
        <f>B108</f>
        <v>1</v>
      </c>
      <c r="BU15" s="52" t="s">
        <v>194</v>
      </c>
      <c r="BV15" s="83" t="s">
        <v>438</v>
      </c>
      <c r="BW15" s="146">
        <f>B96</f>
        <v>0.05</v>
      </c>
      <c r="BX15" s="83" t="s">
        <v>357</v>
      </c>
      <c r="BY15" s="83" t="s">
        <v>262</v>
      </c>
      <c r="BZ15" s="145">
        <f>((BZ5)/(BZ8*BZ22*(1/BZ31)*BZ25*(1/24)*BZ28*BZ29))*BZ10</f>
        <v>114.36951248561155</v>
      </c>
      <c r="CA15" s="92" t="s">
        <v>10</v>
      </c>
      <c r="CN15" s="83" t="s">
        <v>22</v>
      </c>
      <c r="CO15" s="137">
        <f>0.693/CO16</f>
        <v>4.3312499999999997E-4</v>
      </c>
      <c r="CT15" s="83" t="s">
        <v>261</v>
      </c>
      <c r="CU15" s="144">
        <f>(CU5/(CU7*CU26*(1/CU10)*CU45))*CU11</f>
        <v>5519.4914776138976</v>
      </c>
      <c r="CV15" s="92" t="s">
        <v>10</v>
      </c>
      <c r="CW15" s="52" t="s">
        <v>365</v>
      </c>
      <c r="CX15" s="138">
        <f>B172</f>
        <v>24</v>
      </c>
      <c r="CY15" s="52" t="s">
        <v>194</v>
      </c>
      <c r="CZ15" s="83" t="s">
        <v>266</v>
      </c>
      <c r="DA15" s="153">
        <f>DA5/(DA8*DA26*(DA46/DA47))</f>
        <v>1.0935350471410163</v>
      </c>
      <c r="DB15" s="83" t="s">
        <v>11</v>
      </c>
      <c r="DC15" s="83" t="s">
        <v>456</v>
      </c>
      <c r="DD15" s="146">
        <f>B167</f>
        <v>350</v>
      </c>
      <c r="DE15" s="83" t="s">
        <v>24</v>
      </c>
      <c r="DF15" s="92" t="s">
        <v>61</v>
      </c>
      <c r="DG15" s="138">
        <f>B197</f>
        <v>0.42</v>
      </c>
      <c r="DH15" s="52" t="s">
        <v>41</v>
      </c>
      <c r="DL15" s="92"/>
      <c r="DO15" s="92" t="s">
        <v>61</v>
      </c>
      <c r="DP15" s="138">
        <f>B197</f>
        <v>0.42</v>
      </c>
      <c r="DQ15" s="52" t="s">
        <v>41</v>
      </c>
      <c r="DR15" s="92" t="s">
        <v>479</v>
      </c>
      <c r="DS15" s="146">
        <f>B187</f>
        <v>1</v>
      </c>
      <c r="DU15" s="92"/>
      <c r="DX15" s="52" t="s">
        <v>350</v>
      </c>
      <c r="DY15" s="164">
        <f>B170</f>
        <v>1</v>
      </c>
      <c r="EA15" s="92"/>
      <c r="EB15" s="84"/>
      <c r="EC15" s="84"/>
      <c r="ED15" s="83" t="s">
        <v>27</v>
      </c>
      <c r="EE15" s="142">
        <f>B203</f>
        <v>92</v>
      </c>
      <c r="EF15" s="83" t="s">
        <v>28</v>
      </c>
      <c r="EG15" s="92" t="s">
        <v>480</v>
      </c>
      <c r="EH15" s="146">
        <f>B188</f>
        <v>1</v>
      </c>
      <c r="EJ15" s="92"/>
      <c r="EM15" s="83" t="s">
        <v>22</v>
      </c>
      <c r="EN15" s="137">
        <f>0.693/EN16</f>
        <v>4.3312499999999997E-4</v>
      </c>
      <c r="EP15" s="92"/>
      <c r="EQ15" s="84"/>
      <c r="ER15" s="84"/>
      <c r="ES15" s="83" t="s">
        <v>29</v>
      </c>
      <c r="ET15" s="142">
        <f>B209</f>
        <v>53</v>
      </c>
      <c r="EU15" s="83" t="s">
        <v>28</v>
      </c>
      <c r="EV15" s="92" t="s">
        <v>481</v>
      </c>
      <c r="EW15" s="146">
        <f>B189</f>
        <v>1</v>
      </c>
      <c r="EY15" s="83"/>
      <c r="EZ15" s="83"/>
      <c r="FA15" s="83"/>
      <c r="FB15" s="83" t="s">
        <v>22</v>
      </c>
      <c r="FC15" s="137">
        <f>0.693/FC16</f>
        <v>4.3312499999999997E-4</v>
      </c>
      <c r="FE15" s="83"/>
      <c r="FF15" s="83"/>
      <c r="FG15" s="83"/>
      <c r="FH15" s="83" t="s">
        <v>148</v>
      </c>
      <c r="FI15" s="164">
        <f>B214</f>
        <v>0.4</v>
      </c>
      <c r="FJ15" s="83" t="s">
        <v>28</v>
      </c>
      <c r="FK15" s="92" t="s">
        <v>482</v>
      </c>
      <c r="FL15" s="146">
        <f>B190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B191</f>
        <v>1</v>
      </c>
      <c r="GC15" s="83"/>
      <c r="GD15" s="83"/>
      <c r="GE15" s="83"/>
      <c r="GF15" s="83" t="s">
        <v>22</v>
      </c>
      <c r="GG15" s="137">
        <f>0.693/GG16</f>
        <v>4.3312499999999997E-4</v>
      </c>
      <c r="GI15" s="83"/>
      <c r="GJ15" s="83"/>
      <c r="GK15" s="83"/>
      <c r="GL15" s="83" t="s">
        <v>149</v>
      </c>
      <c r="GM15" s="164">
        <f>B219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4.3312499999999997E-4</v>
      </c>
      <c r="GX15" s="83"/>
      <c r="GY15" s="83"/>
      <c r="GZ15" s="83"/>
      <c r="HA15" s="83" t="s">
        <v>150</v>
      </c>
      <c r="HB15" s="142">
        <f>B224</f>
        <v>11.4</v>
      </c>
      <c r="HC15" s="83" t="s">
        <v>28</v>
      </c>
      <c r="HD15" s="84"/>
    </row>
    <row r="16" spans="1:214" s="83" customFormat="1" x14ac:dyDescent="0.2">
      <c r="A16" s="91" t="s">
        <v>257</v>
      </c>
      <c r="B16" s="183">
        <v>33.437199999999997</v>
      </c>
      <c r="C16" s="84" t="s">
        <v>259</v>
      </c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6195</v>
      </c>
      <c r="I16" s="83" t="s">
        <v>426</v>
      </c>
      <c r="J16" s="83" t="s">
        <v>262</v>
      </c>
      <c r="K16" s="144">
        <f>(K5/(K8*K42*((K37*K41*(1/K35))+(K38*K40*(1/K35)))*K32*(1/K44)*K33))*K11</f>
        <v>0.28872157581809466</v>
      </c>
      <c r="L16" s="92" t="s">
        <v>10</v>
      </c>
      <c r="M16" s="52" t="s">
        <v>409</v>
      </c>
      <c r="N16" s="150">
        <f>B79</f>
        <v>16.416</v>
      </c>
      <c r="O16" s="52" t="s">
        <v>194</v>
      </c>
      <c r="P16" s="52" t="s">
        <v>409</v>
      </c>
      <c r="Q16" s="150">
        <f>B79</f>
        <v>16.416</v>
      </c>
      <c r="R16" s="52" t="s">
        <v>194</v>
      </c>
      <c r="S16" s="52" t="s">
        <v>409</v>
      </c>
      <c r="T16" s="150">
        <f>B79</f>
        <v>16.416</v>
      </c>
      <c r="U16" s="52" t="s">
        <v>194</v>
      </c>
      <c r="V16" s="52" t="s">
        <v>261</v>
      </c>
      <c r="W16" s="143">
        <f>(W5)/((W12/24)*W9*W10*W11*W13)</f>
        <v>5.8412090803836459E-3</v>
      </c>
      <c r="X16" s="52" t="s">
        <v>15</v>
      </c>
      <c r="Y16" s="52" t="s">
        <v>261</v>
      </c>
      <c r="Z16" s="143">
        <f>(Z5)/((Z12/24)*Z9*Z10*Z11*Z13)</f>
        <v>5.2570881723452813E-3</v>
      </c>
      <c r="AA16" s="52" t="s">
        <v>15</v>
      </c>
      <c r="AB16" s="83" t="s">
        <v>299</v>
      </c>
      <c r="AC16" s="141">
        <f>B236</f>
        <v>0.4</v>
      </c>
      <c r="AD16" s="141">
        <f>B248</f>
        <v>0.4</v>
      </c>
      <c r="AE16" s="141">
        <f>B260</f>
        <v>0.4</v>
      </c>
      <c r="AF16" s="141">
        <f>B272</f>
        <v>0.4</v>
      </c>
      <c r="AG16" s="141">
        <f>B295</f>
        <v>0.4</v>
      </c>
      <c r="AH16" s="92"/>
      <c r="AI16" s="52" t="s">
        <v>69</v>
      </c>
      <c r="AJ16" s="136">
        <f>B251</f>
        <v>8</v>
      </c>
      <c r="AK16" s="52" t="s">
        <v>194</v>
      </c>
      <c r="AL16" s="52" t="s">
        <v>69</v>
      </c>
      <c r="AM16" s="136">
        <f>B251</f>
        <v>8</v>
      </c>
      <c r="AN16" s="52" t="s">
        <v>194</v>
      </c>
      <c r="AO16" s="52" t="s">
        <v>69</v>
      </c>
      <c r="AP16" s="136">
        <f>B251</f>
        <v>8</v>
      </c>
      <c r="AQ16" s="52" t="s">
        <v>194</v>
      </c>
      <c r="AR16" s="52" t="s">
        <v>69</v>
      </c>
      <c r="AS16" s="136">
        <f>B263</f>
        <v>0</v>
      </c>
      <c r="AT16" s="52" t="s">
        <v>194</v>
      </c>
      <c r="AU16" s="52" t="s">
        <v>69</v>
      </c>
      <c r="AV16" s="136">
        <f>B263</f>
        <v>0</v>
      </c>
      <c r="AW16" s="52" t="s">
        <v>194</v>
      </c>
      <c r="AX16" s="52" t="s">
        <v>69</v>
      </c>
      <c r="AY16" s="136">
        <f>B263</f>
        <v>0</v>
      </c>
      <c r="AZ16" s="52" t="s">
        <v>194</v>
      </c>
      <c r="BA16" s="52" t="s">
        <v>69</v>
      </c>
      <c r="BB16" s="136">
        <f>B239</f>
        <v>8</v>
      </c>
      <c r="BC16" s="52" t="s">
        <v>194</v>
      </c>
      <c r="BD16" s="52" t="s">
        <v>69</v>
      </c>
      <c r="BE16" s="136">
        <f>B239</f>
        <v>8</v>
      </c>
      <c r="BF16" s="52" t="s">
        <v>194</v>
      </c>
      <c r="BG16" s="52" t="s">
        <v>69</v>
      </c>
      <c r="BH16" s="136">
        <f>B239</f>
        <v>8</v>
      </c>
      <c r="BI16" s="52" t="s">
        <v>194</v>
      </c>
      <c r="BJ16" s="52" t="s">
        <v>412</v>
      </c>
      <c r="BK16" s="139">
        <f>B10</f>
        <v>10.423439999999999</v>
      </c>
      <c r="BL16" s="84" t="s">
        <v>353</v>
      </c>
      <c r="BM16" s="52" t="s">
        <v>415</v>
      </c>
      <c r="BN16" s="139">
        <f>B12</f>
        <v>1.92404</v>
      </c>
      <c r="BO16" s="84" t="s">
        <v>353</v>
      </c>
      <c r="BP16" s="52" t="s">
        <v>417</v>
      </c>
      <c r="BQ16" s="139">
        <f>B14</f>
        <v>8.8356399999999997</v>
      </c>
      <c r="BR16" s="84" t="s">
        <v>353</v>
      </c>
      <c r="BS16" s="83" t="s">
        <v>256</v>
      </c>
      <c r="BT16" s="136">
        <f>E17</f>
        <v>15429.68</v>
      </c>
      <c r="BU16" s="83" t="s">
        <v>343</v>
      </c>
      <c r="BV16" s="83" t="s">
        <v>437</v>
      </c>
      <c r="BW16" s="140">
        <f>((BW18*BW20*BW23*BW30)+(BW19*BW21*BW24*BW31))</f>
        <v>45</v>
      </c>
      <c r="BX16" s="83" t="s">
        <v>356</v>
      </c>
      <c r="BY16" s="83" t="s">
        <v>46</v>
      </c>
      <c r="BZ16" s="149">
        <f>(BZ18*BZ22*BZ34)+(BZ19*BZ23*BZ35)</f>
        <v>9225</v>
      </c>
      <c r="CA16" s="83" t="s">
        <v>346</v>
      </c>
      <c r="CN16" s="91" t="s">
        <v>231</v>
      </c>
      <c r="CO16" s="136">
        <f>B18</f>
        <v>1600</v>
      </c>
      <c r="CP16" s="52" t="s">
        <v>60</v>
      </c>
      <c r="CT16" s="83" t="s">
        <v>262</v>
      </c>
      <c r="CU16" s="144">
        <f>(CU5/(CU8*CU42*((CU37*CU41*(1/24))+(CU38*CU40*(1/24)))*CU32*(1/CU44)))*CU11</f>
        <v>0.14851721308778809</v>
      </c>
      <c r="CV16" s="92" t="s">
        <v>10</v>
      </c>
      <c r="CW16" s="52" t="s">
        <v>364</v>
      </c>
      <c r="CX16" s="138">
        <f>B171</f>
        <v>24</v>
      </c>
      <c r="CY16" s="52" t="s">
        <v>194</v>
      </c>
      <c r="CZ16" s="83" t="s">
        <v>512</v>
      </c>
      <c r="DA16" s="153">
        <f>DG2</f>
        <v>0.46395580393628905</v>
      </c>
      <c r="DB16" s="83" t="s">
        <v>11</v>
      </c>
      <c r="DC16" s="83" t="s">
        <v>363</v>
      </c>
      <c r="DD16" s="146">
        <f>B170</f>
        <v>1</v>
      </c>
      <c r="DE16" s="83" t="s">
        <v>60</v>
      </c>
      <c r="DF16" s="92" t="s">
        <v>63</v>
      </c>
      <c r="DG16" s="151">
        <f>DG20+(0.693/DG22)</f>
        <v>4.9501186643835612E-2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4.3312499999999997E-4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B18</f>
        <v>1600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B18</f>
        <v>1600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B18</f>
        <v>1600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B165</f>
        <v>0.15</v>
      </c>
      <c r="GQ16" s="52"/>
      <c r="GU16" s="91" t="s">
        <v>231</v>
      </c>
      <c r="GV16" s="136">
        <f>B18</f>
        <v>1600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</row>
    <row r="17" spans="1:214" ht="13.5" thickBot="1" x14ac:dyDescent="0.25">
      <c r="A17" s="83" t="s">
        <v>258</v>
      </c>
      <c r="B17" s="183">
        <v>1.67911012348351E-3</v>
      </c>
      <c r="C17" s="92" t="s">
        <v>259</v>
      </c>
      <c r="D17" s="83" t="s">
        <v>256</v>
      </c>
      <c r="E17" s="136">
        <f>B15</f>
        <v>15429.68</v>
      </c>
      <c r="F17" s="83" t="s">
        <v>343</v>
      </c>
      <c r="G17" s="83" t="s">
        <v>370</v>
      </c>
      <c r="H17" s="146">
        <f>B42</f>
        <v>0.78</v>
      </c>
      <c r="I17" s="52" t="s">
        <v>28</v>
      </c>
      <c r="J17" s="83" t="s">
        <v>263</v>
      </c>
      <c r="K17" s="153">
        <f>(K18/(K47+K48))*K11</f>
        <v>9.1872691846870497E-2</v>
      </c>
      <c r="L17" s="92" t="s">
        <v>10</v>
      </c>
      <c r="M17" s="83"/>
      <c r="N17" s="83"/>
      <c r="O17" s="83"/>
      <c r="P17" s="83"/>
      <c r="Q17" s="83"/>
      <c r="R17" s="83"/>
      <c r="S17" s="83"/>
      <c r="T17" s="83"/>
      <c r="U17" s="83"/>
      <c r="V17" s="52" t="s">
        <v>271</v>
      </c>
      <c r="W17" s="144">
        <f>(W5)/((W12/24)*W9*W14*(1/365))</f>
        <v>3.15409436013363E-4</v>
      </c>
      <c r="X17" s="52" t="s">
        <v>15</v>
      </c>
      <c r="Y17" s="52" t="s">
        <v>271</v>
      </c>
      <c r="Z17" s="144">
        <f>(Z5)/((Z12/24)*Z9*Z14*(1/365))</f>
        <v>2.8386849241202674E-4</v>
      </c>
      <c r="AA17" s="52" t="s">
        <v>15</v>
      </c>
      <c r="AB17" s="83" t="s">
        <v>413</v>
      </c>
      <c r="AC17" s="141">
        <f>B237</f>
        <v>1</v>
      </c>
      <c r="AD17" s="141">
        <f>B249</f>
        <v>1</v>
      </c>
      <c r="AE17" s="141">
        <f>B261</f>
        <v>1</v>
      </c>
      <c r="AF17" s="141">
        <f>B280</f>
        <v>0.79190000000000005</v>
      </c>
      <c r="AG17" s="141">
        <f>B280</f>
        <v>0.79190000000000005</v>
      </c>
      <c r="AH17" s="92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K17" s="83"/>
      <c r="BL17" s="83"/>
      <c r="BM17" s="83"/>
      <c r="BN17" s="83"/>
      <c r="BO17" s="83"/>
      <c r="BP17" s="83"/>
      <c r="BQ17" s="83"/>
      <c r="BR17" s="83"/>
      <c r="BS17" s="83" t="s">
        <v>301</v>
      </c>
      <c r="BT17" s="142">
        <f>B111</f>
        <v>1</v>
      </c>
      <c r="BV17" s="83" t="s">
        <v>65</v>
      </c>
      <c r="BW17" s="141">
        <f>B116</f>
        <v>0.5</v>
      </c>
      <c r="BX17" s="52" t="s">
        <v>66</v>
      </c>
      <c r="BY17" s="83" t="s">
        <v>43</v>
      </c>
      <c r="BZ17" s="149">
        <f>(BZ24*BZ20*(BZ26/24)*BZ34)+(BZ23*BZ21*(BZ27/24)*BZ35)</f>
        <v>55.3125</v>
      </c>
      <c r="CA17" s="52" t="s">
        <v>426</v>
      </c>
      <c r="CN17" s="84" t="s">
        <v>16</v>
      </c>
      <c r="CO17" s="137">
        <f>(CO14*CO15)/(1-EXP(-CO15*CO14))</f>
        <v>1.0002165781331087</v>
      </c>
      <c r="CT17" s="83" t="s">
        <v>263</v>
      </c>
      <c r="CU17" s="153">
        <f>DJ2</f>
        <v>2.2637159946172557E-2</v>
      </c>
      <c r="CV17" s="92" t="s">
        <v>10</v>
      </c>
      <c r="CW17" s="83" t="s">
        <v>256</v>
      </c>
      <c r="CX17" s="136">
        <f>B15</f>
        <v>15429.68</v>
      </c>
      <c r="CY17" s="83" t="s">
        <v>343</v>
      </c>
      <c r="CZ17" s="83" t="s">
        <v>511</v>
      </c>
      <c r="DA17" s="153">
        <f>DD2</f>
        <v>6.2193445791701015E-3</v>
      </c>
      <c r="DB17" s="83" t="s">
        <v>10</v>
      </c>
      <c r="DC17" s="93"/>
      <c r="DD17" s="136">
        <v>9.9999999999999995E-7</v>
      </c>
      <c r="DE17" s="88"/>
      <c r="DF17" s="92" t="s">
        <v>67</v>
      </c>
      <c r="DG17" s="142">
        <f>B198</f>
        <v>60</v>
      </c>
      <c r="DH17" s="83" t="s">
        <v>53</v>
      </c>
      <c r="DL17" s="92"/>
      <c r="DM17" s="83"/>
      <c r="DN17" s="83"/>
      <c r="DO17" s="92" t="s">
        <v>67</v>
      </c>
      <c r="DP17" s="142">
        <f>B198</f>
        <v>60</v>
      </c>
      <c r="DQ17" s="83" t="s">
        <v>53</v>
      </c>
      <c r="DR17" s="83" t="s">
        <v>475</v>
      </c>
      <c r="DS17" s="146">
        <f>B165</f>
        <v>0.15</v>
      </c>
      <c r="DU17" s="92"/>
      <c r="DV17" s="87"/>
      <c r="DW17" s="83"/>
      <c r="DX17" s="91" t="s">
        <v>231</v>
      </c>
      <c r="DY17" s="136">
        <f>B18</f>
        <v>1600</v>
      </c>
      <c r="DZ17" s="52" t="s">
        <v>60</v>
      </c>
      <c r="EA17" s="92"/>
      <c r="EB17" s="83"/>
      <c r="EC17" s="83"/>
      <c r="ED17" s="92" t="s">
        <v>67</v>
      </c>
      <c r="EE17" s="142">
        <f>B198</f>
        <v>60</v>
      </c>
      <c r="EF17" s="83" t="s">
        <v>53</v>
      </c>
      <c r="EG17" s="83" t="s">
        <v>475</v>
      </c>
      <c r="EH17" s="146">
        <f>B165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1.0002165781331087</v>
      </c>
      <c r="EP17" s="92"/>
      <c r="EQ17" s="83"/>
      <c r="ER17" s="83"/>
      <c r="ES17" s="92" t="s">
        <v>67</v>
      </c>
      <c r="ET17" s="142">
        <f>B198</f>
        <v>60</v>
      </c>
      <c r="EU17" s="83" t="s">
        <v>53</v>
      </c>
      <c r="EV17" s="83" t="s">
        <v>475</v>
      </c>
      <c r="EW17" s="141">
        <f>B165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1.0002165781331087</v>
      </c>
      <c r="FE17" s="83"/>
      <c r="FF17" s="83"/>
      <c r="FG17" s="83"/>
      <c r="FH17" s="83" t="s">
        <v>67</v>
      </c>
      <c r="FI17" s="142">
        <f>B198</f>
        <v>60</v>
      </c>
      <c r="FJ17" s="83" t="s">
        <v>53</v>
      </c>
      <c r="FK17" s="83" t="s">
        <v>475</v>
      </c>
      <c r="FL17" s="141">
        <f>B165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B165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1.0002165781331087</v>
      </c>
      <c r="GI17" s="83"/>
      <c r="GJ17" s="83"/>
      <c r="GK17" s="83"/>
      <c r="GL17" s="83" t="s">
        <v>67</v>
      </c>
      <c r="GM17" s="142">
        <f>B198</f>
        <v>60</v>
      </c>
      <c r="GN17" s="83" t="s">
        <v>53</v>
      </c>
      <c r="GO17" s="83" t="s">
        <v>476</v>
      </c>
      <c r="GP17" s="141">
        <f>B166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1.0002165781331087</v>
      </c>
      <c r="GX17" s="83"/>
      <c r="GY17" s="83"/>
      <c r="GZ17" s="83"/>
      <c r="HA17" s="83" t="s">
        <v>67</v>
      </c>
      <c r="HB17" s="142">
        <f>B198</f>
        <v>60</v>
      </c>
      <c r="HC17" s="83" t="s">
        <v>53</v>
      </c>
      <c r="HD17" s="84"/>
      <c r="HE17" s="84"/>
    </row>
    <row r="18" spans="1:214" ht="19.5" thickTop="1" thickBot="1" x14ac:dyDescent="0.25">
      <c r="A18" s="91" t="s">
        <v>231</v>
      </c>
      <c r="B18" s="183">
        <v>1600</v>
      </c>
      <c r="C18" s="52" t="s">
        <v>235</v>
      </c>
      <c r="D18" s="83" t="s">
        <v>301</v>
      </c>
      <c r="E18" s="142">
        <f>B60</f>
        <v>1</v>
      </c>
      <c r="G18" s="83" t="s">
        <v>371</v>
      </c>
      <c r="H18" s="146">
        <f>B43</f>
        <v>2.5</v>
      </c>
      <c r="I18" s="52" t="s">
        <v>28</v>
      </c>
      <c r="J18" s="83" t="s">
        <v>264</v>
      </c>
      <c r="K18" s="154">
        <f>K5/(K9*(K25+K28)*K36)</f>
        <v>2.5241149038583714E-2</v>
      </c>
      <c r="L18" s="92" t="s">
        <v>10</v>
      </c>
      <c r="V18" s="52" t="s">
        <v>261</v>
      </c>
      <c r="W18" s="144">
        <f>(W5*W7*W6)/((W12/24)*(1-EXP(-W7*W10))*W11*W13*W9*W10)</f>
        <v>5.842474158541373E-3</v>
      </c>
      <c r="X18" s="52" t="s">
        <v>16</v>
      </c>
      <c r="Y18" s="52" t="s">
        <v>261</v>
      </c>
      <c r="Z18" s="144">
        <f>(Z5*Z7*Z6)/((Z12/24)*(1-EXP(-Z7*Z10))*Z11*Z13*Z9*Z10)</f>
        <v>5.258226742687235E-3</v>
      </c>
      <c r="AA18" s="52" t="s">
        <v>16</v>
      </c>
      <c r="AB18" s="83" t="s">
        <v>412</v>
      </c>
      <c r="AC18" s="136">
        <f>B10</f>
        <v>10.423439999999999</v>
      </c>
      <c r="AD18" s="136">
        <f>B10</f>
        <v>10.423439999999999</v>
      </c>
      <c r="AE18" s="136">
        <f>B10</f>
        <v>10.423439999999999</v>
      </c>
      <c r="AF18" s="136">
        <f>B10</f>
        <v>10.423439999999999</v>
      </c>
      <c r="AG18" s="136">
        <f>B10</f>
        <v>10.423439999999999</v>
      </c>
      <c r="AH18" s="83" t="s">
        <v>351</v>
      </c>
      <c r="BS18" s="52" t="s">
        <v>261</v>
      </c>
      <c r="BT18" s="143">
        <f>(BT5)/(BT9*BT10)</f>
        <v>0.47521700992951693</v>
      </c>
      <c r="BU18" s="52" t="s">
        <v>15</v>
      </c>
      <c r="BV18" s="83" t="s">
        <v>433</v>
      </c>
      <c r="BW18" s="150">
        <f>B112</f>
        <v>45</v>
      </c>
      <c r="BX18" s="83" t="s">
        <v>24</v>
      </c>
      <c r="BY18" s="83" t="s">
        <v>441</v>
      </c>
      <c r="BZ18" s="146">
        <f>B97</f>
        <v>200</v>
      </c>
      <c r="CA18" s="84" t="s">
        <v>48</v>
      </c>
      <c r="CB18" s="274" t="s">
        <v>572</v>
      </c>
      <c r="CC18" s="270"/>
      <c r="CD18" s="270"/>
      <c r="CE18" s="271" t="s">
        <v>573</v>
      </c>
      <c r="CF18" s="270"/>
      <c r="CG18" s="273"/>
      <c r="CJ18" s="83"/>
      <c r="CT18" s="83" t="s">
        <v>264</v>
      </c>
      <c r="CU18" s="153">
        <f>DD2</f>
        <v>6.2193445791701015E-3</v>
      </c>
      <c r="CV18" s="92" t="s">
        <v>10</v>
      </c>
      <c r="CW18" s="83" t="s">
        <v>301</v>
      </c>
      <c r="CX18" s="142">
        <f>B180</f>
        <v>1</v>
      </c>
      <c r="CZ18" s="91" t="s">
        <v>272</v>
      </c>
      <c r="DA18" s="144" t="e">
        <f>EZ2</f>
        <v>#DIV/0!</v>
      </c>
      <c r="DB18" s="83" t="s">
        <v>10</v>
      </c>
      <c r="DC18" s="88"/>
      <c r="DD18" s="136">
        <v>1000</v>
      </c>
      <c r="DE18" s="92" t="s">
        <v>99</v>
      </c>
      <c r="DF18" s="92" t="s">
        <v>68</v>
      </c>
      <c r="DG18" s="142">
        <f>B199</f>
        <v>2</v>
      </c>
      <c r="DH18" s="83" t="s">
        <v>56</v>
      </c>
      <c r="DL18" s="92"/>
      <c r="DM18" s="83"/>
      <c r="DN18" s="83"/>
      <c r="DO18" s="92" t="s">
        <v>68</v>
      </c>
      <c r="DP18" s="142">
        <f>B199</f>
        <v>2</v>
      </c>
      <c r="DQ18" s="83" t="s">
        <v>56</v>
      </c>
      <c r="DR18" s="83" t="s">
        <v>476</v>
      </c>
      <c r="DS18" s="146">
        <f>B166</f>
        <v>0.85</v>
      </c>
      <c r="DU18" s="92"/>
      <c r="DV18" s="83"/>
      <c r="DW18" s="83"/>
      <c r="DX18" s="84" t="s">
        <v>16</v>
      </c>
      <c r="DY18" s="137">
        <f>(DY15*DY16)/(1-EXP(-DY16*DY15))</f>
        <v>1.0002165781331087</v>
      </c>
      <c r="EA18" s="92"/>
      <c r="EB18" s="83"/>
      <c r="EC18" s="83"/>
      <c r="ED18" s="92" t="s">
        <v>68</v>
      </c>
      <c r="EE18" s="142">
        <f>B199</f>
        <v>2</v>
      </c>
      <c r="EF18" s="83" t="s">
        <v>56</v>
      </c>
      <c r="EG18" s="83" t="s">
        <v>476</v>
      </c>
      <c r="EH18" s="146">
        <f>B166</f>
        <v>0.85</v>
      </c>
      <c r="EJ18" s="92"/>
      <c r="EK18" s="83"/>
      <c r="EL18" s="83"/>
      <c r="EP18" s="92"/>
      <c r="EQ18" s="83"/>
      <c r="ER18" s="83"/>
      <c r="ES18" s="92" t="s">
        <v>68</v>
      </c>
      <c r="ET18" s="142">
        <f>B199</f>
        <v>2</v>
      </c>
      <c r="EU18" s="83" t="s">
        <v>56</v>
      </c>
      <c r="EV18" s="83" t="s">
        <v>476</v>
      </c>
      <c r="EW18" s="141">
        <f>B166</f>
        <v>0.85</v>
      </c>
      <c r="EX18" s="92"/>
      <c r="EY18" s="83"/>
      <c r="EZ18" s="83"/>
      <c r="FA18" s="83"/>
      <c r="FB18" s="83"/>
      <c r="FC18" s="83"/>
      <c r="FD18" s="83"/>
      <c r="FE18" s="83"/>
      <c r="FF18" s="83"/>
      <c r="FG18" s="83"/>
      <c r="FH18" s="83" t="s">
        <v>68</v>
      </c>
      <c r="FI18" s="142">
        <f>B199</f>
        <v>2</v>
      </c>
      <c r="FJ18" s="83" t="s">
        <v>56</v>
      </c>
      <c r="FK18" s="83" t="s">
        <v>476</v>
      </c>
      <c r="FL18" s="141">
        <f>B166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B166</f>
        <v>0.85</v>
      </c>
      <c r="GB18" s="92"/>
      <c r="GC18" s="83"/>
      <c r="GD18" s="83"/>
      <c r="GE18" s="83"/>
      <c r="GF18" s="83"/>
      <c r="GG18" s="83"/>
      <c r="GH18" s="83"/>
      <c r="GI18" s="83"/>
      <c r="GJ18" s="83"/>
      <c r="GK18" s="83"/>
      <c r="GL18" s="83" t="s">
        <v>68</v>
      </c>
      <c r="GM18" s="142">
        <f>B199</f>
        <v>2</v>
      </c>
      <c r="GN18" s="83" t="s">
        <v>56</v>
      </c>
      <c r="GR18" s="83"/>
      <c r="GS18" s="83"/>
      <c r="GT18" s="83"/>
      <c r="GU18" s="83"/>
      <c r="GV18" s="83"/>
      <c r="GW18" s="83"/>
      <c r="GX18" s="83"/>
      <c r="GY18" s="83"/>
      <c r="GZ18" s="83"/>
      <c r="HA18" s="83" t="s">
        <v>68</v>
      </c>
      <c r="HB18" s="142">
        <f>B199</f>
        <v>2</v>
      </c>
      <c r="HC18" s="83" t="s">
        <v>56</v>
      </c>
    </row>
    <row r="19" spans="1:214" ht="19.5" thickTop="1" thickBot="1" x14ac:dyDescent="0.25">
      <c r="A19" s="91" t="s">
        <v>77</v>
      </c>
      <c r="B19" s="183">
        <f>PEF!D3</f>
        <v>1359344473.5814338</v>
      </c>
      <c r="C19" s="52" t="s">
        <v>524</v>
      </c>
      <c r="D19" s="52" t="s">
        <v>261</v>
      </c>
      <c r="E19" s="143">
        <f>(E5)/((E15/E16)*E11*E12)</f>
        <v>4.2430090172278292E-3</v>
      </c>
      <c r="F19" s="52" t="s">
        <v>15</v>
      </c>
      <c r="G19" s="83" t="s">
        <v>366</v>
      </c>
      <c r="H19" s="146">
        <f>B38</f>
        <v>10</v>
      </c>
      <c r="I19" s="52" t="s">
        <v>407</v>
      </c>
      <c r="J19" s="83" t="s">
        <v>445</v>
      </c>
      <c r="K19" s="155">
        <f>K21*K31*K51+K22*K32*K52</f>
        <v>43050</v>
      </c>
      <c r="L19" s="83" t="s">
        <v>346</v>
      </c>
      <c r="V19" s="52" t="s">
        <v>271</v>
      </c>
      <c r="W19" s="145">
        <f>(W5*W7*W6)/((W12/24)*(1-EXP(-W7*W6))*W14*W9*(1/365))</f>
        <v>3.1547774680017963E-4</v>
      </c>
      <c r="X19" s="52" t="s">
        <v>16</v>
      </c>
      <c r="Y19" s="52" t="s">
        <v>271</v>
      </c>
      <c r="Z19" s="145">
        <f>(Z5*Z7*Z6)/((Z12/24)*(1-EXP(-Z7*Z6))*Z14*Z9*(1/365))</f>
        <v>2.8392997212016164E-4</v>
      </c>
      <c r="AA19" s="52" t="s">
        <v>16</v>
      </c>
      <c r="AB19" s="83" t="s">
        <v>247</v>
      </c>
      <c r="AC19" s="139">
        <f>B6</f>
        <v>3.8043873993229303E-2</v>
      </c>
      <c r="AD19" s="139">
        <f>B6</f>
        <v>3.8043873993229303E-2</v>
      </c>
      <c r="AE19" s="139">
        <f>B6</f>
        <v>3.8043873993229303E-2</v>
      </c>
      <c r="AF19" s="139">
        <f>B6</f>
        <v>3.8043873993229303E-2</v>
      </c>
      <c r="AG19" s="139">
        <f>B6</f>
        <v>3.8043873993229303E-2</v>
      </c>
      <c r="AH19" s="84" t="s">
        <v>259</v>
      </c>
      <c r="BS19" s="52" t="s">
        <v>271</v>
      </c>
      <c r="BT19" s="144">
        <f>(BT5)/(BT16*BT8*(1/365)*BT15*(1/24)*BT17)</f>
        <v>7.5698264643207129E-3</v>
      </c>
      <c r="BU19" s="52" t="s">
        <v>15</v>
      </c>
      <c r="BV19" s="83" t="s">
        <v>434</v>
      </c>
      <c r="BW19" s="150">
        <f>B113</f>
        <v>45</v>
      </c>
      <c r="BX19" s="83" t="s">
        <v>24</v>
      </c>
      <c r="BY19" s="83" t="s">
        <v>442</v>
      </c>
      <c r="BZ19" s="146">
        <f>B98</f>
        <v>100</v>
      </c>
      <c r="CA19" s="84" t="s">
        <v>48</v>
      </c>
      <c r="CB19" s="267" t="s">
        <v>537</v>
      </c>
      <c r="CC19" s="261">
        <f>(CC22*CC23*CC24)/((1-EXP(-CC24*CC23))*CC27*CC31*(CC26/365)*CC29*(CC30/24)*CC28)</f>
        <v>3820.7387959869693</v>
      </c>
      <c r="CD19" s="278" t="s">
        <v>10</v>
      </c>
      <c r="CE19" s="258" t="s">
        <v>537</v>
      </c>
      <c r="CF19" s="261">
        <f>(CF22*CF23*CF24)/((1-EXP(-CF24*CF23))*CF27*CF31*(CF26/365)*CF29*(CF30/24)*CF28)</f>
        <v>418.13110687475989</v>
      </c>
      <c r="CG19" s="264" t="s">
        <v>10</v>
      </c>
      <c r="CH19" s="83"/>
      <c r="CI19" s="83"/>
      <c r="CK19" s="274" t="s">
        <v>576</v>
      </c>
      <c r="CL19" s="270"/>
      <c r="CM19" s="270"/>
      <c r="CN19" s="271" t="s">
        <v>576</v>
      </c>
      <c r="CO19" s="270"/>
      <c r="CP19" s="270"/>
      <c r="CQ19" s="271" t="s">
        <v>576</v>
      </c>
      <c r="CR19" s="270"/>
      <c r="CS19" s="273"/>
      <c r="CT19" s="91" t="s">
        <v>272</v>
      </c>
      <c r="CU19" s="144" t="e">
        <f>FC2</f>
        <v>#DIV/0!</v>
      </c>
      <c r="CV19" s="92" t="s">
        <v>10</v>
      </c>
      <c r="CW19" s="52" t="s">
        <v>261</v>
      </c>
      <c r="CX19" s="143">
        <f>(CX5)/((CX15/CX16)*CX11*CX12)</f>
        <v>4.059527546212572E-3</v>
      </c>
      <c r="CY19" s="52" t="s">
        <v>15</v>
      </c>
      <c r="CZ19" s="91" t="s">
        <v>273</v>
      </c>
      <c r="DA19" s="144" t="e">
        <f>GS2</f>
        <v>#DIV/0!</v>
      </c>
      <c r="DB19" s="83" t="s">
        <v>10</v>
      </c>
      <c r="DC19" s="92" t="s">
        <v>361</v>
      </c>
      <c r="DD19" s="146">
        <f>B186</f>
        <v>1</v>
      </c>
      <c r="DE19" s="93"/>
      <c r="DF19" s="92" t="s">
        <v>70</v>
      </c>
      <c r="DG19" s="138">
        <f>B200</f>
        <v>2.6999999999999999E-5</v>
      </c>
      <c r="DH19" s="52" t="s">
        <v>64</v>
      </c>
      <c r="DL19" s="92"/>
      <c r="DO19" s="92" t="s">
        <v>70</v>
      </c>
      <c r="DP19" s="138">
        <f>B200</f>
        <v>2.6999999999999999E-5</v>
      </c>
      <c r="DQ19" s="52" t="s">
        <v>64</v>
      </c>
      <c r="DU19" s="92"/>
      <c r="EA19" s="92"/>
      <c r="EB19" s="84"/>
      <c r="EC19" s="84"/>
      <c r="ED19" s="92" t="s">
        <v>70</v>
      </c>
      <c r="EE19" s="163">
        <f>B200</f>
        <v>2.6999999999999999E-5</v>
      </c>
      <c r="EF19" s="84" t="s">
        <v>64</v>
      </c>
      <c r="EJ19" s="92"/>
      <c r="EP19" s="92"/>
      <c r="EQ19" s="84"/>
      <c r="ER19" s="84"/>
      <c r="ES19" s="92" t="s">
        <v>70</v>
      </c>
      <c r="ET19" s="163">
        <f>B200</f>
        <v>2.6999999999999999E-5</v>
      </c>
      <c r="EU19" s="84" t="s">
        <v>64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B200</f>
        <v>2.6999999999999999E-5</v>
      </c>
      <c r="FJ19" s="84" t="s">
        <v>64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B200</f>
        <v>2.6999999999999999E-5</v>
      </c>
      <c r="GN19" s="84" t="s">
        <v>64</v>
      </c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B200</f>
        <v>2.6999999999999999E-5</v>
      </c>
      <c r="HC19" s="84" t="s">
        <v>64</v>
      </c>
    </row>
    <row r="20" spans="1:214" ht="19.5" thickTop="1" thickBot="1" x14ac:dyDescent="0.25">
      <c r="A20" s="91" t="s">
        <v>103</v>
      </c>
      <c r="B20" s="183">
        <f>PEF!G3</f>
        <v>776129.4078035407</v>
      </c>
      <c r="C20" s="52" t="s">
        <v>524</v>
      </c>
      <c r="D20" s="52" t="s">
        <v>271</v>
      </c>
      <c r="E20" s="144">
        <f>(E5)/((E15/E16)*E8*E17*(1/365)*E18)</f>
        <v>6.7587736288577784E-5</v>
      </c>
      <c r="F20" s="52" t="s">
        <v>15</v>
      </c>
      <c r="G20" s="83" t="s">
        <v>367</v>
      </c>
      <c r="H20" s="146">
        <f>B39</f>
        <v>20</v>
      </c>
      <c r="I20" s="52" t="s">
        <v>407</v>
      </c>
      <c r="J20" s="83" t="s">
        <v>396</v>
      </c>
      <c r="K20" s="155">
        <f>(K31*K23*(K34/24)*K51)+(K32*K24*(K35/24)*K52)</f>
        <v>6195</v>
      </c>
      <c r="L20" s="52" t="s">
        <v>407</v>
      </c>
      <c r="M20" s="325" t="s">
        <v>566</v>
      </c>
      <c r="N20" s="326"/>
      <c r="O20" s="326"/>
      <c r="P20" s="327" t="s">
        <v>536</v>
      </c>
      <c r="Q20" s="326"/>
      <c r="R20" s="329"/>
      <c r="AB20" s="83" t="s">
        <v>83</v>
      </c>
      <c r="AC20" s="139">
        <f>B238</f>
        <v>8</v>
      </c>
      <c r="AD20" s="139">
        <f>B250</f>
        <v>0</v>
      </c>
      <c r="AE20" s="139">
        <f>B262</f>
        <v>8</v>
      </c>
      <c r="AF20" s="139">
        <f>B274</f>
        <v>8</v>
      </c>
      <c r="AG20" s="139">
        <f>B297</f>
        <v>8</v>
      </c>
      <c r="AH20" s="84" t="s">
        <v>194</v>
      </c>
      <c r="AI20" s="296" t="s">
        <v>558</v>
      </c>
      <c r="AJ20" s="294"/>
      <c r="AK20" s="297"/>
      <c r="AL20" s="293" t="s">
        <v>545</v>
      </c>
      <c r="AM20" s="294"/>
      <c r="AN20" s="295"/>
      <c r="AR20" s="296" t="s">
        <v>560</v>
      </c>
      <c r="AS20" s="294"/>
      <c r="AT20" s="297"/>
      <c r="AU20" s="293" t="s">
        <v>550</v>
      </c>
      <c r="AV20" s="294"/>
      <c r="AW20" s="295"/>
      <c r="BA20" s="296" t="s">
        <v>562</v>
      </c>
      <c r="BB20" s="294"/>
      <c r="BC20" s="297"/>
      <c r="BD20" s="293" t="s">
        <v>553</v>
      </c>
      <c r="BE20" s="294"/>
      <c r="BF20" s="295"/>
      <c r="BJ20" s="296" t="s">
        <v>563</v>
      </c>
      <c r="BK20" s="294"/>
      <c r="BL20" s="297"/>
      <c r="BM20" s="293" t="s">
        <v>556</v>
      </c>
      <c r="BN20" s="294"/>
      <c r="BO20" s="295"/>
      <c r="BS20" s="52" t="s">
        <v>261</v>
      </c>
      <c r="BT20" s="144">
        <f>(BT5*BT24*BT6)/((1-EXP(-BT6*BT24))*BT9*BT10)</f>
        <v>0.47531993154234892</v>
      </c>
      <c r="BU20" s="52" t="s">
        <v>16</v>
      </c>
      <c r="BV20" s="52" t="s">
        <v>443</v>
      </c>
      <c r="BW20" s="138">
        <f>B109</f>
        <v>1</v>
      </c>
      <c r="BX20" s="52" t="s">
        <v>89</v>
      </c>
      <c r="BY20" s="83" t="s">
        <v>429</v>
      </c>
      <c r="BZ20" s="141">
        <f>B93</f>
        <v>10</v>
      </c>
      <c r="CA20" s="92" t="s">
        <v>407</v>
      </c>
      <c r="CB20" s="268"/>
      <c r="CC20" s="262"/>
      <c r="CD20" s="279"/>
      <c r="CE20" s="259"/>
      <c r="CF20" s="262"/>
      <c r="CG20" s="265"/>
      <c r="CK20" s="267" t="s">
        <v>530</v>
      </c>
      <c r="CL20" s="261">
        <f>CL23/(CL24*CL25*CL26)</f>
        <v>7.9407140406442052</v>
      </c>
      <c r="CM20" s="255" t="s">
        <v>10</v>
      </c>
      <c r="CN20" s="258" t="s">
        <v>7</v>
      </c>
      <c r="CO20" s="261">
        <f>(CL20/(CO23*((CO28*CO30*CO31*(CO24+CO25))+(CO29*CO30))))*CO34</f>
        <v>3687.4663752572906</v>
      </c>
      <c r="CP20" s="255" t="s">
        <v>10</v>
      </c>
      <c r="CQ20" s="258" t="s">
        <v>6</v>
      </c>
      <c r="CR20" s="261">
        <f>CL20/(CR23*CR24*(1/CR25))</f>
        <v>4671008.2592024738</v>
      </c>
      <c r="CS20" s="264" t="s">
        <v>10</v>
      </c>
      <c r="CT20" s="91" t="s">
        <v>273</v>
      </c>
      <c r="CU20" s="144" t="e">
        <f>GV2</f>
        <v>#DIV/0!</v>
      </c>
      <c r="CV20" s="92" t="s">
        <v>10</v>
      </c>
      <c r="CW20" s="52" t="s">
        <v>271</v>
      </c>
      <c r="CX20" s="144">
        <f>(CX5)/((CX15/CX16)*CX8*CX17*(1/365)*CX18)</f>
        <v>6.7587736288577784E-5</v>
      </c>
      <c r="CY20" s="52" t="s">
        <v>15</v>
      </c>
      <c r="CZ20" s="91" t="s">
        <v>274</v>
      </c>
      <c r="DA20" s="144">
        <f>EK2</f>
        <v>120.04880740512488</v>
      </c>
      <c r="DB20" s="83" t="s">
        <v>10</v>
      </c>
      <c r="DC20" s="83" t="s">
        <v>475</v>
      </c>
      <c r="DD20" s="146">
        <f>B165</f>
        <v>0.15</v>
      </c>
      <c r="DF20" s="92" t="s">
        <v>71</v>
      </c>
      <c r="DG20" s="137">
        <f>0.693/DG23</f>
        <v>1.1866438356164383E-6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91" t="s">
        <v>104</v>
      </c>
      <c r="B21" s="183">
        <f>PEF!J3</f>
        <v>69557565.807898715</v>
      </c>
      <c r="C21" s="52" t="s">
        <v>524</v>
      </c>
      <c r="D21" s="52" t="s">
        <v>261</v>
      </c>
      <c r="E21" s="144">
        <f>(E5*E10*E6)/((1-EXP(-E6*E10))*E11*E12)</f>
        <v>4.2439279601995438E-3</v>
      </c>
      <c r="F21" s="52" t="s">
        <v>16</v>
      </c>
      <c r="G21" s="83" t="s">
        <v>397</v>
      </c>
      <c r="H21" s="148">
        <f>(H29*H36*H32*H68)+(H30*H37*H33*H69)</f>
        <v>234.815</v>
      </c>
      <c r="I21" s="83" t="s">
        <v>356</v>
      </c>
      <c r="J21" s="83" t="s">
        <v>368</v>
      </c>
      <c r="K21" s="146">
        <f>B40</f>
        <v>200</v>
      </c>
      <c r="L21" s="84" t="s">
        <v>48</v>
      </c>
      <c r="M21" s="330" t="s">
        <v>537</v>
      </c>
      <c r="N21" s="333">
        <f>(N24*N25*N26)/((1-EXP(-N26*N25))*N34*N32*(N28/365)*(((N33/24)*N31)+((N35/24)*N30)))</f>
        <v>1.5415560780468287</v>
      </c>
      <c r="O21" s="336" t="s">
        <v>76</v>
      </c>
      <c r="P21" s="339" t="s">
        <v>537</v>
      </c>
      <c r="Q21" s="333">
        <f>(Q24*Q25*Q26)/((1-EXP(-Q26*Q25))*Q34*Q32*(Q28/365)*(((Q33/24)*Q31)+((Q35/24)*Q30)))</f>
        <v>0.54427918684627297</v>
      </c>
      <c r="R21" s="342" t="s">
        <v>10</v>
      </c>
      <c r="AB21" s="83" t="s">
        <v>85</v>
      </c>
      <c r="AC21" s="139">
        <f>B239</f>
        <v>8</v>
      </c>
      <c r="AD21" s="139">
        <f>B251</f>
        <v>8</v>
      </c>
      <c r="AE21" s="139">
        <f>B263</f>
        <v>0</v>
      </c>
      <c r="AF21" s="139">
        <f>B275</f>
        <v>8</v>
      </c>
      <c r="AG21" s="139">
        <f>B298</f>
        <v>8</v>
      </c>
      <c r="AH21" s="84" t="s">
        <v>194</v>
      </c>
      <c r="AI21" s="306" t="s">
        <v>537</v>
      </c>
      <c r="AJ21" s="303">
        <f>(AJ24*AJ25*AJ26)/((1-EXP(-AJ26*AJ25))*AJ34*(AJ28/365)*AJ29*(AJ35/24)*AJ30*AJ32)</f>
        <v>5.6101850348358235</v>
      </c>
      <c r="AK21" s="290" t="s">
        <v>76</v>
      </c>
      <c r="AL21" s="287" t="s">
        <v>537</v>
      </c>
      <c r="AM21" s="303">
        <f>(AM24*AM25*AM26)/((1-EXP(-AM26*AM25))*AM34*(AM28/365)*AM29*(AM35/24)*AM30*AM32)</f>
        <v>1.9807952446896413</v>
      </c>
      <c r="AN21" s="281" t="s">
        <v>10</v>
      </c>
      <c r="AR21" s="306" t="s">
        <v>537</v>
      </c>
      <c r="AS21" s="303">
        <f>(AS24*AS25*AS26)/((1-EXP(-AS26*AS25))*AS34*(AS28/365)*AS29*(AS33/24)*AS31*AS32)</f>
        <v>2.493415571038144</v>
      </c>
      <c r="AT21" s="290" t="s">
        <v>76</v>
      </c>
      <c r="AU21" s="287" t="s">
        <v>537</v>
      </c>
      <c r="AV21" s="303">
        <f>(AV24*AV25*AV26)/((1-EXP(-AV26*AV25))*AV34*(AV28/365)*AV29*(AV33/24)*AV31*AV32)</f>
        <v>0.88035344208428501</v>
      </c>
      <c r="AW21" s="281" t="s">
        <v>10</v>
      </c>
      <c r="BA21" s="306" t="s">
        <v>537</v>
      </c>
      <c r="BB21" s="303">
        <f>(BB24*BB25*BB26)/((1-EXP(-BB26*BB25))*BB34*(BB28/365)*(BB33/24)*BB31*BB32)</f>
        <v>2.2440740139343296</v>
      </c>
      <c r="BC21" s="290" t="s">
        <v>76</v>
      </c>
      <c r="BD21" s="287" t="s">
        <v>537</v>
      </c>
      <c r="BE21" s="303">
        <f>(BE24*BE25*BE26)/((1-EXP(-BE26*BE25))*BE34*(BE28/365)*(BE33/24)*BE31*BE32)</f>
        <v>0.79231809787585661</v>
      </c>
      <c r="BF21" s="281" t="s">
        <v>10</v>
      </c>
      <c r="BJ21" s="306" t="s">
        <v>537</v>
      </c>
      <c r="BK21" s="284">
        <f>(BK24*BK25*BK26)/((1-EXP(-BK26*BK25))*BK35*(BK28/365)*(BK34/24)*BK32*BK33)</f>
        <v>143.27770484951134</v>
      </c>
      <c r="BL21" s="290" t="s">
        <v>76</v>
      </c>
      <c r="BM21" s="287" t="s">
        <v>537</v>
      </c>
      <c r="BN21" s="284">
        <f>(BN24*BN25*BN26)/((1-EXP(-BN26*BN25))*BN35*(BN28/365)*(BN34/24)*BN32*BN33)</f>
        <v>15.679916507803497</v>
      </c>
      <c r="BO21" s="281" t="s">
        <v>10</v>
      </c>
      <c r="BS21" s="52" t="s">
        <v>271</v>
      </c>
      <c r="BT21" s="145">
        <f>(BT5*BT24*BT6)/((1-EXP(-BT6*BT24))*BT16*BT8*(1/365)*BT15*(1/24)*BT17)</f>
        <v>7.5714659232043111E-3</v>
      </c>
      <c r="BU21" s="52" t="s">
        <v>16</v>
      </c>
      <c r="BV21" s="52" t="s">
        <v>444</v>
      </c>
      <c r="BW21" s="138">
        <f>B110</f>
        <v>1</v>
      </c>
      <c r="BX21" s="52" t="s">
        <v>89</v>
      </c>
      <c r="BY21" s="83" t="s">
        <v>430</v>
      </c>
      <c r="BZ21" s="141">
        <f>B94</f>
        <v>20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56"/>
      <c r="CN21" s="259"/>
      <c r="CO21" s="262"/>
      <c r="CP21" s="256"/>
      <c r="CQ21" s="259"/>
      <c r="CR21" s="262"/>
      <c r="CS21" s="265"/>
      <c r="CT21" s="91" t="s">
        <v>274</v>
      </c>
      <c r="CU21" s="144">
        <f>EN2</f>
        <v>1.7470988471502078</v>
      </c>
      <c r="CV21" s="92" t="s">
        <v>10</v>
      </c>
      <c r="CW21" s="52" t="s">
        <v>261</v>
      </c>
      <c r="CX21" s="144">
        <f>(CX5*CX10*CX6)/((CX15/CX16)*(1-EXP(-CX6*CX9))*CX11*CX12)</f>
        <v>4.060406751109834E-3</v>
      </c>
      <c r="CY21" s="52" t="s">
        <v>16</v>
      </c>
      <c r="CZ21" s="91" t="s">
        <v>509</v>
      </c>
      <c r="DA21" s="144">
        <f>DV2</f>
        <v>116.26658917782198</v>
      </c>
      <c r="DB21" s="83" t="s">
        <v>10</v>
      </c>
      <c r="DC21" s="83" t="s">
        <v>476</v>
      </c>
      <c r="DD21" s="146">
        <f>B166</f>
        <v>0.85</v>
      </c>
      <c r="DF21" s="92" t="s">
        <v>73</v>
      </c>
      <c r="DG21" s="138">
        <f>B201</f>
        <v>1</v>
      </c>
      <c r="DH21" s="52" t="s">
        <v>41</v>
      </c>
      <c r="DL21" s="92"/>
      <c r="DO21" s="92" t="s">
        <v>73</v>
      </c>
      <c r="DP21" s="138">
        <f>B201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B201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B201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B201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B201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B201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91" t="s">
        <v>231</v>
      </c>
      <c r="B22" s="183">
        <f>B18*365</f>
        <v>584000</v>
      </c>
      <c r="C22" s="52" t="s">
        <v>222</v>
      </c>
      <c r="D22" s="52" t="s">
        <v>271</v>
      </c>
      <c r="E22" s="145">
        <f>(E5*E10*E6)/((E15/E16)*E8*(1-EXP(-E6*E10))*E17*(1/365)*E18)</f>
        <v>6.7602374314324214E-5</v>
      </c>
      <c r="F22" s="52" t="s">
        <v>16</v>
      </c>
      <c r="G22" s="83" t="s">
        <v>398</v>
      </c>
      <c r="H22" s="149">
        <f>(H29*H23*H68)+(H30*H24*H69)</f>
        <v>56282.8</v>
      </c>
      <c r="I22" s="92" t="s">
        <v>347</v>
      </c>
      <c r="J22" s="83" t="s">
        <v>369</v>
      </c>
      <c r="K22" s="146">
        <f>B41</f>
        <v>100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B240</f>
        <v>0.4</v>
      </c>
      <c r="AD22" s="150">
        <f>B252</f>
        <v>0.4</v>
      </c>
      <c r="AE22" s="150">
        <f>B264</f>
        <v>0.4</v>
      </c>
      <c r="AF22" s="150">
        <f>B276</f>
        <v>0.4</v>
      </c>
      <c r="AG22" s="150">
        <f>B299</f>
        <v>0.4</v>
      </c>
      <c r="AI22" s="307"/>
      <c r="AJ22" s="304"/>
      <c r="AK22" s="291"/>
      <c r="AL22" s="288"/>
      <c r="AM22" s="304"/>
      <c r="AN22" s="282"/>
      <c r="AR22" s="307"/>
      <c r="AS22" s="304"/>
      <c r="AT22" s="291"/>
      <c r="AU22" s="288"/>
      <c r="AV22" s="304"/>
      <c r="AW22" s="282"/>
      <c r="BA22" s="307"/>
      <c r="BB22" s="304"/>
      <c r="BC22" s="291"/>
      <c r="BD22" s="288"/>
      <c r="BE22" s="304"/>
      <c r="BF22" s="282"/>
      <c r="BJ22" s="307"/>
      <c r="BK22" s="285"/>
      <c r="BL22" s="291"/>
      <c r="BM22" s="288"/>
      <c r="BN22" s="285"/>
      <c r="BO22" s="282"/>
      <c r="BS22" s="52" t="s">
        <v>433</v>
      </c>
      <c r="BT22" s="138">
        <f>B104</f>
        <v>75</v>
      </c>
      <c r="BU22" s="52" t="s">
        <v>24</v>
      </c>
      <c r="BV22" s="83" t="s">
        <v>90</v>
      </c>
      <c r="BW22" s="150">
        <f>B108</f>
        <v>1</v>
      </c>
      <c r="BX22" s="52" t="s">
        <v>194</v>
      </c>
      <c r="BY22" s="83" t="s">
        <v>140</v>
      </c>
      <c r="BZ22" s="150">
        <f>B103</f>
        <v>75</v>
      </c>
      <c r="CA22" s="83" t="s">
        <v>24</v>
      </c>
      <c r="CB22" s="52" t="s">
        <v>267</v>
      </c>
      <c r="CC22" s="136">
        <f>B5</f>
        <v>1</v>
      </c>
      <c r="CD22" s="52" t="s">
        <v>344</v>
      </c>
      <c r="CE22" s="52" t="s">
        <v>267</v>
      </c>
      <c r="CF22" s="136">
        <f>B5</f>
        <v>1</v>
      </c>
      <c r="CG22" s="52" t="s">
        <v>344</v>
      </c>
      <c r="CK22" s="269"/>
      <c r="CL22" s="263"/>
      <c r="CM22" s="257"/>
      <c r="CN22" s="260"/>
      <c r="CO22" s="263"/>
      <c r="CP22" s="257"/>
      <c r="CQ22" s="260"/>
      <c r="CR22" s="263"/>
      <c r="CS22" s="266"/>
      <c r="CT22" s="91" t="s">
        <v>275</v>
      </c>
      <c r="CU22" s="144">
        <f>DY2</f>
        <v>1.8382575622473341</v>
      </c>
      <c r="CV22" s="92" t="s">
        <v>10</v>
      </c>
      <c r="CW22" s="52" t="s">
        <v>271</v>
      </c>
      <c r="CX22" s="145">
        <f>(CX5*CX10*CX6)/((CX15/CX16)*CX8*(1-EXP(-CX6*CX10))*CX17*(1/365)*CX18)</f>
        <v>6.7602374314324214E-5</v>
      </c>
      <c r="CY22" s="52" t="s">
        <v>16</v>
      </c>
      <c r="CZ22" s="91" t="s">
        <v>510</v>
      </c>
      <c r="DA22" s="144" t="e">
        <f>GD2</f>
        <v>#DIV/0!</v>
      </c>
      <c r="DB22" s="83" t="s">
        <v>10</v>
      </c>
      <c r="DF22" s="92" t="s">
        <v>74</v>
      </c>
      <c r="DG22" s="138">
        <f>B202</f>
        <v>14</v>
      </c>
      <c r="DH22" s="52" t="s">
        <v>75</v>
      </c>
      <c r="DL22" s="92"/>
      <c r="DO22" s="92" t="s">
        <v>74</v>
      </c>
      <c r="DP22" s="138">
        <f>B202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B202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B202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B202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B202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B202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105</v>
      </c>
      <c r="B23" s="182">
        <v>4</v>
      </c>
      <c r="C23" s="84" t="s">
        <v>18</v>
      </c>
      <c r="D23" s="52" t="s">
        <v>380</v>
      </c>
      <c r="E23" s="138">
        <f>B54</f>
        <v>350</v>
      </c>
      <c r="F23" s="52" t="s">
        <v>24</v>
      </c>
      <c r="G23" s="83" t="s">
        <v>399</v>
      </c>
      <c r="H23" s="146">
        <f>B149</f>
        <v>68.099999999999994</v>
      </c>
      <c r="I23" s="92" t="s">
        <v>221</v>
      </c>
      <c r="J23" s="83" t="s">
        <v>366</v>
      </c>
      <c r="K23" s="141">
        <f>B38</f>
        <v>10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308"/>
      <c r="AS23" s="305"/>
      <c r="AT23" s="292"/>
      <c r="AU23" s="289"/>
      <c r="AV23" s="305"/>
      <c r="AW23" s="283"/>
      <c r="BA23" s="308"/>
      <c r="BB23" s="305"/>
      <c r="BC23" s="292"/>
      <c r="BD23" s="289"/>
      <c r="BE23" s="305"/>
      <c r="BF23" s="283"/>
      <c r="BJ23" s="308"/>
      <c r="BK23" s="286"/>
      <c r="BL23" s="292"/>
      <c r="BM23" s="289"/>
      <c r="BN23" s="286"/>
      <c r="BO23" s="283"/>
      <c r="BS23" s="52" t="s">
        <v>434</v>
      </c>
      <c r="BT23" s="138">
        <f>B105</f>
        <v>75</v>
      </c>
      <c r="BU23" s="52" t="s">
        <v>24</v>
      </c>
      <c r="BV23" s="83" t="s">
        <v>435</v>
      </c>
      <c r="BW23" s="138">
        <f>B114</f>
        <v>1</v>
      </c>
      <c r="BX23" s="52" t="s">
        <v>80</v>
      </c>
      <c r="BY23" s="83" t="s">
        <v>434</v>
      </c>
      <c r="BZ23" s="150">
        <f>B105</f>
        <v>75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B5</f>
        <v>1</v>
      </c>
      <c r="CM23" s="52" t="s">
        <v>344</v>
      </c>
      <c r="CN23" s="52" t="s">
        <v>229</v>
      </c>
      <c r="CO23" s="136">
        <f>B29</f>
        <v>1.6999999999999999E-3</v>
      </c>
      <c r="CP23" s="52" t="s">
        <v>268</v>
      </c>
      <c r="CQ23" s="83" t="s">
        <v>229</v>
      </c>
      <c r="CR23" s="136">
        <f>CO23</f>
        <v>1.6999999999999999E-3</v>
      </c>
      <c r="CS23" s="52" t="s">
        <v>268</v>
      </c>
      <c r="CT23" s="91" t="s">
        <v>276</v>
      </c>
      <c r="CU23" s="144" t="e">
        <f>GG2</f>
        <v>#DIV/0!</v>
      </c>
      <c r="CV23" s="92" t="s">
        <v>10</v>
      </c>
      <c r="CW23" s="52" t="s">
        <v>456</v>
      </c>
      <c r="CX23" s="138">
        <f>B167</f>
        <v>350</v>
      </c>
      <c r="CY23" s="52" t="s">
        <v>24</v>
      </c>
      <c r="CZ23" s="91" t="s">
        <v>277</v>
      </c>
      <c r="DA23" s="145">
        <f>FO2</f>
        <v>3.104849244832574</v>
      </c>
      <c r="DB23" s="83" t="s">
        <v>10</v>
      </c>
      <c r="DF23" s="83" t="s">
        <v>267</v>
      </c>
      <c r="DG23" s="136">
        <f>B22</f>
        <v>584000</v>
      </c>
      <c r="DH23" s="52" t="s">
        <v>222</v>
      </c>
      <c r="DO23" s="83" t="s">
        <v>19</v>
      </c>
      <c r="DP23" s="161">
        <f>DP25</f>
        <v>1.4800000000000001E-2</v>
      </c>
      <c r="EA23" s="83"/>
      <c r="EB23" s="83"/>
      <c r="EC23" s="84"/>
      <c r="ED23" s="83" t="s">
        <v>19</v>
      </c>
      <c r="EE23" s="161">
        <f>EE25</f>
        <v>1.7000000000000001E-2</v>
      </c>
      <c r="EF23" s="84"/>
      <c r="EP23" s="83"/>
      <c r="EQ23" s="83"/>
      <c r="ER23" s="84"/>
      <c r="ES23" s="83" t="s">
        <v>19</v>
      </c>
      <c r="ET23" s="161">
        <f>ET25</f>
        <v>1.7000000000000001E-2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1.7000000000000001E-2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1.7000000000000001E-2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1.7000000000000001E-2</v>
      </c>
      <c r="HC23" s="84"/>
      <c r="HD23" s="67" t="s">
        <v>14</v>
      </c>
      <c r="HE23" s="126">
        <f>((HE25*HE42)*HE38*HE33*10^-3*HE32*HE27)/(HE31*HE41*(1-EXP(-HE27*HE32)))</f>
        <v>2.6554761978862779E-2</v>
      </c>
      <c r="HF23" s="220" t="s">
        <v>592</v>
      </c>
    </row>
    <row r="24" spans="1:214" ht="14.25" thickTop="1" thickBot="1" x14ac:dyDescent="0.25">
      <c r="A24" s="83" t="s">
        <v>239</v>
      </c>
      <c r="B24" s="183">
        <v>3.8000000000000002E-4</v>
      </c>
      <c r="C24" s="52" t="s">
        <v>601</v>
      </c>
      <c r="D24" s="52" t="s">
        <v>381</v>
      </c>
      <c r="E24" s="138">
        <f>B55</f>
        <v>350</v>
      </c>
      <c r="F24" s="52" t="s">
        <v>24</v>
      </c>
      <c r="G24" s="83" t="s">
        <v>310</v>
      </c>
      <c r="H24" s="146">
        <f>B46</f>
        <v>188.5</v>
      </c>
      <c r="I24" s="92" t="s">
        <v>221</v>
      </c>
      <c r="J24" s="83" t="s">
        <v>367</v>
      </c>
      <c r="K24" s="141">
        <f>B39</f>
        <v>20</v>
      </c>
      <c r="L24" s="52" t="s">
        <v>407</v>
      </c>
      <c r="M24" s="52" t="s">
        <v>267</v>
      </c>
      <c r="N24" s="136">
        <f>B5</f>
        <v>1</v>
      </c>
      <c r="O24" s="52" t="s">
        <v>344</v>
      </c>
      <c r="P24" s="52" t="s">
        <v>267</v>
      </c>
      <c r="Q24" s="136">
        <f>B5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4.3312499999999997E-4</v>
      </c>
      <c r="AD24" s="137">
        <f>0.693/AD25</f>
        <v>4.3312499999999997E-4</v>
      </c>
      <c r="AE24" s="137">
        <f>0.693/AE25</f>
        <v>4.3312499999999997E-4</v>
      </c>
      <c r="AF24" s="137">
        <f>0.693/AF25</f>
        <v>4.3312499999999997E-4</v>
      </c>
      <c r="AG24" s="137">
        <f>0.693/AG25</f>
        <v>4.3312499999999997E-4</v>
      </c>
      <c r="AI24" s="52" t="s">
        <v>267</v>
      </c>
      <c r="AJ24" s="136">
        <f>B5</f>
        <v>1</v>
      </c>
      <c r="AK24" s="52" t="s">
        <v>344</v>
      </c>
      <c r="AL24" s="52" t="s">
        <v>267</v>
      </c>
      <c r="AM24" s="136">
        <f>B5</f>
        <v>1</v>
      </c>
      <c r="AN24" s="52" t="s">
        <v>344</v>
      </c>
      <c r="AR24" s="52" t="s">
        <v>267</v>
      </c>
      <c r="AS24" s="136">
        <f>B5</f>
        <v>1</v>
      </c>
      <c r="AT24" s="52" t="s">
        <v>344</v>
      </c>
      <c r="AU24" s="52" t="s">
        <v>267</v>
      </c>
      <c r="AV24" s="136">
        <f>B5</f>
        <v>1</v>
      </c>
      <c r="AW24" s="52" t="s">
        <v>344</v>
      </c>
      <c r="BA24" s="52" t="s">
        <v>267</v>
      </c>
      <c r="BB24" s="136">
        <f>B5</f>
        <v>1</v>
      </c>
      <c r="BC24" s="52" t="s">
        <v>344</v>
      </c>
      <c r="BD24" s="52" t="s">
        <v>267</v>
      </c>
      <c r="BE24" s="136">
        <f>B5</f>
        <v>1</v>
      </c>
      <c r="BF24" s="52" t="s">
        <v>344</v>
      </c>
      <c r="BJ24" s="52" t="s">
        <v>267</v>
      </c>
      <c r="BK24" s="136">
        <f>B5</f>
        <v>1</v>
      </c>
      <c r="BL24" s="52" t="s">
        <v>344</v>
      </c>
      <c r="BM24" s="52" t="s">
        <v>267</v>
      </c>
      <c r="BN24" s="136">
        <f>B5</f>
        <v>1</v>
      </c>
      <c r="BO24" s="52" t="s">
        <v>344</v>
      </c>
      <c r="BS24" s="91" t="s">
        <v>95</v>
      </c>
      <c r="BT24" s="158">
        <f>B117</f>
        <v>1</v>
      </c>
      <c r="BU24" s="91" t="s">
        <v>60</v>
      </c>
      <c r="BV24" s="83" t="s">
        <v>436</v>
      </c>
      <c r="BW24" s="138">
        <f>B115</f>
        <v>1</v>
      </c>
      <c r="BX24" s="52" t="s">
        <v>80</v>
      </c>
      <c r="BY24" s="83" t="s">
        <v>433</v>
      </c>
      <c r="BZ24" s="150">
        <f>B104</f>
        <v>75</v>
      </c>
      <c r="CA24" s="83" t="s">
        <v>24</v>
      </c>
      <c r="CB24" s="83" t="s">
        <v>22</v>
      </c>
      <c r="CC24" s="137">
        <f>0.693/CC25</f>
        <v>4.3312499999999997E-4</v>
      </c>
      <c r="CE24" s="83" t="s">
        <v>22</v>
      </c>
      <c r="CF24" s="137">
        <f>0.693/CF25</f>
        <v>4.3312499999999997E-4</v>
      </c>
      <c r="CK24" s="52" t="s">
        <v>258</v>
      </c>
      <c r="CL24" s="136">
        <f>B17</f>
        <v>1.67911012348351E-3</v>
      </c>
      <c r="CM24" s="91" t="s">
        <v>10</v>
      </c>
      <c r="CN24" s="52" t="s">
        <v>20</v>
      </c>
      <c r="CO24" s="139">
        <f>CO26</f>
        <v>1.7000000000000001E-2</v>
      </c>
      <c r="CQ24" s="84" t="s">
        <v>170</v>
      </c>
      <c r="CR24" s="162">
        <f>B139</f>
        <v>1</v>
      </c>
      <c r="CS24" s="52" t="s">
        <v>28</v>
      </c>
      <c r="CT24" s="91" t="s">
        <v>277</v>
      </c>
      <c r="CU24" s="145">
        <f>FR2</f>
        <v>3.1055216872856038E-3</v>
      </c>
      <c r="CV24" s="92" t="s">
        <v>10</v>
      </c>
      <c r="CW24" s="52" t="s">
        <v>465</v>
      </c>
      <c r="CX24" s="138">
        <f>B168</f>
        <v>350</v>
      </c>
      <c r="CY24" s="52" t="s">
        <v>24</v>
      </c>
      <c r="CZ24" s="83" t="s">
        <v>45</v>
      </c>
      <c r="DA24" s="149">
        <f>(DA35*DA27*DA49)+(DA36*DA28*DA50)</f>
        <v>784.7</v>
      </c>
      <c r="DB24" s="52" t="s">
        <v>345</v>
      </c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128">
        <f>((HE26*HE42)*HE38*HE33*10^-3*HE32*HE27)/(HE31*HE41*(1-EXP(-HE27*HE32)))</f>
        <v>4.4072462620313071E-5</v>
      </c>
      <c r="HF24" s="221" t="s">
        <v>593</v>
      </c>
    </row>
    <row r="25" spans="1:214" ht="15" thickTop="1" x14ac:dyDescent="0.2">
      <c r="A25" s="83" t="s">
        <v>236</v>
      </c>
      <c r="B25" s="183">
        <v>1.6999999999999999E-3</v>
      </c>
      <c r="C25" s="52" t="s">
        <v>388</v>
      </c>
      <c r="D25" s="83" t="s">
        <v>376</v>
      </c>
      <c r="E25" s="146">
        <f>B49</f>
        <v>0.23</v>
      </c>
      <c r="G25" s="83" t="s">
        <v>400</v>
      </c>
      <c r="H25" s="149">
        <f>(H29*H26*H68)+(H30*H27*H69)</f>
        <v>38095.4</v>
      </c>
      <c r="I25" s="92" t="s">
        <v>347</v>
      </c>
      <c r="J25" s="83" t="s">
        <v>446</v>
      </c>
      <c r="K25" s="149">
        <f>(K31*K26*K51)+(K32*K27*K52)</f>
        <v>56282.8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2.6938396896352638E-4</v>
      </c>
      <c r="X25" s="62" t="s">
        <v>9</v>
      </c>
      <c r="Y25" s="202" t="s">
        <v>16</v>
      </c>
      <c r="Z25" s="187">
        <f>1/((1/Z41)+(1/Z40))</f>
        <v>2.6938396896352638E-4</v>
      </c>
      <c r="AA25" s="63" t="s">
        <v>9</v>
      </c>
      <c r="AB25" s="91" t="s">
        <v>231</v>
      </c>
      <c r="AC25" s="136">
        <f>B18</f>
        <v>1600</v>
      </c>
      <c r="AD25" s="136">
        <f>B18</f>
        <v>1600</v>
      </c>
      <c r="AE25" s="136">
        <f>B18</f>
        <v>1600</v>
      </c>
      <c r="AF25" s="136">
        <f>B18</f>
        <v>1600</v>
      </c>
      <c r="AG25" s="136">
        <f>B18</f>
        <v>1600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B101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B108</f>
        <v>1</v>
      </c>
      <c r="CA25" s="94" t="s">
        <v>194</v>
      </c>
      <c r="CB25" s="91" t="s">
        <v>231</v>
      </c>
      <c r="CC25" s="136">
        <f>B18</f>
        <v>1600</v>
      </c>
      <c r="CD25" s="52" t="s">
        <v>60</v>
      </c>
      <c r="CE25" s="91" t="s">
        <v>231</v>
      </c>
      <c r="CF25" s="136">
        <f>B18</f>
        <v>1600</v>
      </c>
      <c r="CG25" s="52" t="s">
        <v>60</v>
      </c>
      <c r="CK25" s="52" t="s">
        <v>140</v>
      </c>
      <c r="CL25" s="138">
        <f>B103</f>
        <v>75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40250</v>
      </c>
      <c r="CV25" s="83" t="s">
        <v>346</v>
      </c>
      <c r="CW25" s="83" t="s">
        <v>475</v>
      </c>
      <c r="CX25" s="146">
        <f>B165</f>
        <v>0.15</v>
      </c>
      <c r="CZ25" s="83" t="s">
        <v>43</v>
      </c>
      <c r="DA25" s="140">
        <f>(DA35*DA29*(DA38/24)*DA49)+(DA36*DA30*(DA39/24)*DA50)</f>
        <v>6475</v>
      </c>
      <c r="DB25" s="83" t="s">
        <v>426</v>
      </c>
      <c r="DF25" s="52" t="s">
        <v>33</v>
      </c>
      <c r="DG25" s="136">
        <f>B32</f>
        <v>1.7000000000000001E-2</v>
      </c>
      <c r="DO25" s="83" t="s">
        <v>32</v>
      </c>
      <c r="DP25" s="136">
        <f>B31</f>
        <v>1.4800000000000001E-2</v>
      </c>
      <c r="EA25" s="83"/>
      <c r="EC25" s="84"/>
      <c r="ED25" s="83" t="s">
        <v>33</v>
      </c>
      <c r="EE25" s="136">
        <f>B32</f>
        <v>1.7000000000000001E-2</v>
      </c>
      <c r="EF25" s="84"/>
      <c r="EP25" s="83"/>
      <c r="ER25" s="84"/>
      <c r="ES25" s="83" t="s">
        <v>33</v>
      </c>
      <c r="ET25" s="136">
        <f>B32</f>
        <v>1.7000000000000001E-2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B32</f>
        <v>1.7000000000000001E-2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B32</f>
        <v>1.7000000000000001E-2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B32</f>
        <v>1.7000000000000001E-2</v>
      </c>
      <c r="HC25" s="84"/>
      <c r="HD25" s="89" t="s">
        <v>21</v>
      </c>
      <c r="HE25" s="150">
        <f>B34</f>
        <v>5</v>
      </c>
      <c r="HF25" s="83" t="s">
        <v>11</v>
      </c>
    </row>
    <row r="26" spans="1:214" ht="13.5" thickBot="1" x14ac:dyDescent="0.25">
      <c r="A26" s="83" t="s">
        <v>237</v>
      </c>
      <c r="B26" s="183">
        <v>0</v>
      </c>
      <c r="C26" s="52" t="s">
        <v>388</v>
      </c>
      <c r="D26" s="83" t="s">
        <v>377</v>
      </c>
      <c r="E26" s="146">
        <f>B50</f>
        <v>0.77</v>
      </c>
      <c r="G26" s="83" t="s">
        <v>401</v>
      </c>
      <c r="H26" s="146">
        <f>B151</f>
        <v>41.7</v>
      </c>
      <c r="I26" s="92" t="s">
        <v>221</v>
      </c>
      <c r="J26" s="83" t="s">
        <v>399</v>
      </c>
      <c r="K26" s="146">
        <f>B45</f>
        <v>68.099999999999994</v>
      </c>
      <c r="L26" s="92" t="s">
        <v>221</v>
      </c>
      <c r="M26" s="83" t="s">
        <v>22</v>
      </c>
      <c r="N26" s="137">
        <f>0.693/N27</f>
        <v>4.3312499999999997E-4</v>
      </c>
      <c r="P26" s="83" t="s">
        <v>22</v>
      </c>
      <c r="Q26" s="137">
        <f>0.693/Q27</f>
        <v>4.3312499999999997E-4</v>
      </c>
      <c r="V26" s="201" t="s">
        <v>15</v>
      </c>
      <c r="W26" s="75">
        <f>1/((1/W38)+(1/W39))</f>
        <v>2.6932563891945093E-4</v>
      </c>
      <c r="X26" s="76" t="s">
        <v>9</v>
      </c>
      <c r="Y26" s="203" t="s">
        <v>15</v>
      </c>
      <c r="Z26" s="185">
        <f>1/((1/Z38)+(1/Z39))</f>
        <v>2.6932563891945093E-4</v>
      </c>
      <c r="AA26" s="77" t="s">
        <v>9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4.3312499999999997E-4</v>
      </c>
      <c r="AL26" s="83" t="s">
        <v>22</v>
      </c>
      <c r="AM26" s="137">
        <f>0.693/AM27</f>
        <v>4.3312499999999997E-4</v>
      </c>
      <c r="AR26" s="83" t="s">
        <v>22</v>
      </c>
      <c r="AS26" s="137">
        <f>0.693/AS27</f>
        <v>4.3312499999999997E-4</v>
      </c>
      <c r="AU26" s="83" t="s">
        <v>22</v>
      </c>
      <c r="AV26" s="137">
        <f>0.693/AV27</f>
        <v>4.3312499999999997E-4</v>
      </c>
      <c r="BA26" s="83" t="s">
        <v>22</v>
      </c>
      <c r="BB26" s="137">
        <f>0.693/BB27</f>
        <v>4.3312499999999997E-4</v>
      </c>
      <c r="BD26" s="83" t="s">
        <v>22</v>
      </c>
      <c r="BE26" s="137">
        <f>0.693/BE27</f>
        <v>4.3312499999999997E-4</v>
      </c>
      <c r="BJ26" s="83" t="s">
        <v>22</v>
      </c>
      <c r="BK26" s="137">
        <f>0.693/BK27</f>
        <v>4.3312499999999997E-4</v>
      </c>
      <c r="BM26" s="83" t="s">
        <v>22</v>
      </c>
      <c r="BN26" s="137">
        <f>0.693/BN27</f>
        <v>4.3312499999999997E-4</v>
      </c>
      <c r="BS26" s="91" t="s">
        <v>309</v>
      </c>
      <c r="BT26" s="177">
        <f>B102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B106</f>
        <v>1</v>
      </c>
      <c r="CA26" s="94" t="s">
        <v>194</v>
      </c>
      <c r="CB26" s="52" t="s">
        <v>140</v>
      </c>
      <c r="CC26" s="138">
        <f>B103</f>
        <v>75</v>
      </c>
      <c r="CD26" s="52" t="s">
        <v>24</v>
      </c>
      <c r="CE26" s="52" t="s">
        <v>140</v>
      </c>
      <c r="CF26" s="138">
        <f>B103</f>
        <v>75</v>
      </c>
      <c r="CG26" s="52" t="s">
        <v>24</v>
      </c>
      <c r="CK26" s="52" t="s">
        <v>160</v>
      </c>
      <c r="CL26" s="162">
        <f>B134</f>
        <v>1</v>
      </c>
      <c r="CM26" s="52" t="s">
        <v>221</v>
      </c>
      <c r="CN26" s="52" t="s">
        <v>33</v>
      </c>
      <c r="CO26" s="136">
        <f>B32</f>
        <v>1.7000000000000001E-2</v>
      </c>
      <c r="CT26" s="83" t="s">
        <v>506</v>
      </c>
      <c r="CU26" s="155">
        <f>((CU31*CU29*CU47)+(CU32*CU30*CU48))</f>
        <v>6475</v>
      </c>
      <c r="CV26" s="52" t="s">
        <v>426</v>
      </c>
      <c r="CW26" s="83" t="s">
        <v>476</v>
      </c>
      <c r="CX26" s="141">
        <f>B166</f>
        <v>0.85</v>
      </c>
      <c r="CY26" s="83"/>
      <c r="CZ26" s="83" t="s">
        <v>142</v>
      </c>
      <c r="DA26" s="149">
        <f>(DA35*DA40*DA42*DA49)+(DA36*DA41*DA43*DA50)</f>
        <v>239.57499999999999</v>
      </c>
      <c r="DB26" s="52" t="s">
        <v>356</v>
      </c>
      <c r="DO26" s="83" t="s">
        <v>393</v>
      </c>
      <c r="DP26" s="138">
        <f>B35</f>
        <v>0.26</v>
      </c>
      <c r="EA26" s="83"/>
      <c r="EB26" s="84"/>
      <c r="EC26" s="84"/>
      <c r="ED26" s="83" t="s">
        <v>392</v>
      </c>
      <c r="EE26" s="163">
        <f>B36</f>
        <v>0.25</v>
      </c>
      <c r="EF26" s="84"/>
      <c r="EP26" s="83"/>
      <c r="EQ26" s="84"/>
      <c r="ER26" s="84"/>
      <c r="ES26" s="83" t="s">
        <v>392</v>
      </c>
      <c r="ET26" s="163">
        <f>B36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B36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B36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B36</f>
        <v>0.25</v>
      </c>
      <c r="HC26" s="84"/>
      <c r="HD26" s="84" t="s">
        <v>265</v>
      </c>
      <c r="HE26" s="139">
        <f>H2</f>
        <v>8.2984104047692346E-3</v>
      </c>
      <c r="HF26" s="83" t="s">
        <v>11</v>
      </c>
    </row>
    <row r="27" spans="1:214" ht="12.75" customHeight="1" thickTop="1" x14ac:dyDescent="0.2">
      <c r="A27" s="83" t="s">
        <v>171</v>
      </c>
      <c r="B27" s="183">
        <v>0</v>
      </c>
      <c r="C27" s="52" t="s">
        <v>388</v>
      </c>
      <c r="G27" s="83" t="s">
        <v>402</v>
      </c>
      <c r="H27" s="146">
        <f>B48</f>
        <v>128.9</v>
      </c>
      <c r="I27" s="92" t="s">
        <v>221</v>
      </c>
      <c r="J27" s="83" t="s">
        <v>310</v>
      </c>
      <c r="K27" s="146">
        <f>B46</f>
        <v>188.5</v>
      </c>
      <c r="L27" s="92" t="s">
        <v>221</v>
      </c>
      <c r="M27" s="91" t="s">
        <v>231</v>
      </c>
      <c r="N27" s="136">
        <f>B18</f>
        <v>1600</v>
      </c>
      <c r="O27" s="52" t="s">
        <v>60</v>
      </c>
      <c r="P27" s="91" t="s">
        <v>231</v>
      </c>
      <c r="Q27" s="136">
        <f>B18</f>
        <v>1600</v>
      </c>
      <c r="R27" s="52" t="s">
        <v>60</v>
      </c>
      <c r="V27" s="52" t="s">
        <v>267</v>
      </c>
      <c r="W27" s="136">
        <f>B5</f>
        <v>1</v>
      </c>
      <c r="X27" s="52" t="s">
        <v>344</v>
      </c>
      <c r="Y27" s="52" t="s">
        <v>267</v>
      </c>
      <c r="Z27" s="136">
        <f>B5</f>
        <v>1</v>
      </c>
      <c r="AA27" s="52" t="s">
        <v>344</v>
      </c>
      <c r="AB27" s="84" t="s">
        <v>16</v>
      </c>
      <c r="AC27" s="156">
        <f>(AC23*AC24)/(1-EXP(-AC24*AC23))</f>
        <v>1.0002165781331087</v>
      </c>
      <c r="AD27" s="156">
        <f>(AD23*AD24)/(1-EXP(-AD24*AD23))</f>
        <v>1.0002165781331087</v>
      </c>
      <c r="AE27" s="156">
        <f>(AE23*AE24)/(1-EXP(-AE24*AE23))</f>
        <v>1.0002165781331087</v>
      </c>
      <c r="AF27" s="156">
        <f>(AF23*AF24)/(1-EXP(-AF24*AF23))</f>
        <v>1.0002165781331087</v>
      </c>
      <c r="AG27" s="156">
        <f>(AG23*AG24)/(1-EXP(-AG24*AG23))</f>
        <v>1.0002165781331087</v>
      </c>
      <c r="AI27" s="91" t="s">
        <v>231</v>
      </c>
      <c r="AJ27" s="136">
        <f>B18</f>
        <v>1600</v>
      </c>
      <c r="AK27" s="52" t="s">
        <v>60</v>
      </c>
      <c r="AL27" s="91" t="s">
        <v>231</v>
      </c>
      <c r="AM27" s="136">
        <f>B18</f>
        <v>1600</v>
      </c>
      <c r="AN27" s="52" t="s">
        <v>60</v>
      </c>
      <c r="AR27" s="91" t="s">
        <v>231</v>
      </c>
      <c r="AS27" s="136">
        <f>B18</f>
        <v>1600</v>
      </c>
      <c r="AT27" s="52" t="s">
        <v>60</v>
      </c>
      <c r="AU27" s="91" t="s">
        <v>231</v>
      </c>
      <c r="AV27" s="136">
        <f>B18</f>
        <v>1600</v>
      </c>
      <c r="AW27" s="52" t="s">
        <v>60</v>
      </c>
      <c r="BA27" s="91" t="s">
        <v>231</v>
      </c>
      <c r="BB27" s="136">
        <f>B18</f>
        <v>1600</v>
      </c>
      <c r="BC27" s="52" t="s">
        <v>60</v>
      </c>
      <c r="BD27" s="91" t="s">
        <v>231</v>
      </c>
      <c r="BE27" s="136">
        <f>B18</f>
        <v>1600</v>
      </c>
      <c r="BF27" s="52" t="s">
        <v>60</v>
      </c>
      <c r="BJ27" s="91" t="s">
        <v>231</v>
      </c>
      <c r="BK27" s="136">
        <f>B18</f>
        <v>1600</v>
      </c>
      <c r="BL27" s="52" t="s">
        <v>60</v>
      </c>
      <c r="BM27" s="91" t="s">
        <v>231</v>
      </c>
      <c r="BN27" s="136">
        <f>B18</f>
        <v>1600</v>
      </c>
      <c r="BO27" s="52" t="s">
        <v>60</v>
      </c>
      <c r="BT27" s="90"/>
      <c r="BW27" s="138">
        <v>1000</v>
      </c>
      <c r="BX27" s="52" t="s">
        <v>218</v>
      </c>
      <c r="BY27" s="83" t="s">
        <v>90</v>
      </c>
      <c r="BZ27" s="150">
        <f>B107</f>
        <v>1</v>
      </c>
      <c r="CA27" s="52" t="s">
        <v>194</v>
      </c>
      <c r="CB27" s="52" t="s">
        <v>51</v>
      </c>
      <c r="CC27" s="138">
        <f>B117</f>
        <v>1</v>
      </c>
      <c r="CD27" s="52" t="s">
        <v>146</v>
      </c>
      <c r="CE27" s="52" t="s">
        <v>51</v>
      </c>
      <c r="CF27" s="138">
        <f>B117</f>
        <v>1</v>
      </c>
      <c r="CG27" s="52" t="s">
        <v>146</v>
      </c>
      <c r="CN27" s="52" t="s">
        <v>392</v>
      </c>
      <c r="CO27" s="162">
        <f>B36</f>
        <v>0.25</v>
      </c>
      <c r="CT27" s="83" t="s">
        <v>449</v>
      </c>
      <c r="CU27" s="146">
        <f>B141</f>
        <v>200</v>
      </c>
      <c r="CV27" s="84" t="s">
        <v>48</v>
      </c>
      <c r="CZ27" s="92" t="s">
        <v>451</v>
      </c>
      <c r="DA27" s="142">
        <f t="shared" ref="DA27:DA34" si="0">B145</f>
        <v>0.78</v>
      </c>
      <c r="DB27" s="83" t="s">
        <v>28</v>
      </c>
      <c r="DW27" s="88"/>
      <c r="DX27" s="88"/>
      <c r="DY27" s="88"/>
      <c r="DZ27" s="88"/>
      <c r="EA27" s="83"/>
      <c r="EB27" s="85"/>
      <c r="ED27" s="83" t="s">
        <v>517</v>
      </c>
      <c r="EE27" s="136">
        <f>B24</f>
        <v>3.8000000000000002E-4</v>
      </c>
      <c r="EF27" s="52" t="s">
        <v>601</v>
      </c>
      <c r="EP27" s="83"/>
      <c r="EQ27" s="86"/>
      <c r="ES27" s="83" t="s">
        <v>236</v>
      </c>
      <c r="ET27" s="169">
        <f>B25</f>
        <v>1.6999999999999999E-3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B27</f>
        <v>0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B26</f>
        <v>0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B28</f>
        <v>0</v>
      </c>
      <c r="HC27" s="52" t="s">
        <v>388</v>
      </c>
      <c r="HD27" s="83" t="s">
        <v>22</v>
      </c>
      <c r="HE27" s="137">
        <f>0.693/HE29</f>
        <v>4.3312499999999997E-4</v>
      </c>
    </row>
    <row r="28" spans="1:214" x14ac:dyDescent="0.2">
      <c r="A28" s="83" t="s">
        <v>238</v>
      </c>
      <c r="B28" s="183">
        <v>0</v>
      </c>
      <c r="C28" s="52" t="s">
        <v>388</v>
      </c>
      <c r="G28" s="83" t="s">
        <v>65</v>
      </c>
      <c r="H28" s="141">
        <f>B65</f>
        <v>0.5</v>
      </c>
      <c r="I28" s="52" t="s">
        <v>66</v>
      </c>
      <c r="J28" s="83" t="s">
        <v>447</v>
      </c>
      <c r="K28" s="149">
        <f>(K31*K29*K51)+(K32*K30*K52)</f>
        <v>38095.4</v>
      </c>
      <c r="L28" s="92" t="s">
        <v>347</v>
      </c>
      <c r="M28" s="52" t="s">
        <v>382</v>
      </c>
      <c r="N28" s="138">
        <f>B56</f>
        <v>350</v>
      </c>
      <c r="O28" s="52" t="s">
        <v>24</v>
      </c>
      <c r="P28" s="52" t="s">
        <v>382</v>
      </c>
      <c r="Q28" s="138">
        <f>B56</f>
        <v>350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B243</f>
        <v>250</v>
      </c>
      <c r="AK28" s="52" t="s">
        <v>24</v>
      </c>
      <c r="AL28" s="52" t="s">
        <v>35</v>
      </c>
      <c r="AM28" s="138">
        <f>B243</f>
        <v>250</v>
      </c>
      <c r="AN28" s="52" t="s">
        <v>24</v>
      </c>
      <c r="AR28" s="52" t="s">
        <v>423</v>
      </c>
      <c r="AS28" s="138">
        <f>B255</f>
        <v>225</v>
      </c>
      <c r="AT28" s="52" t="s">
        <v>24</v>
      </c>
      <c r="AU28" s="52" t="s">
        <v>423</v>
      </c>
      <c r="AV28" s="138">
        <f>B255</f>
        <v>225</v>
      </c>
      <c r="AW28" s="52" t="s">
        <v>24</v>
      </c>
      <c r="BA28" s="52" t="s">
        <v>316</v>
      </c>
      <c r="BB28" s="138">
        <f>B231</f>
        <v>250</v>
      </c>
      <c r="BC28" s="52" t="s">
        <v>24</v>
      </c>
      <c r="BD28" s="52" t="s">
        <v>316</v>
      </c>
      <c r="BE28" s="138">
        <f>B231</f>
        <v>250</v>
      </c>
      <c r="BF28" s="52" t="s">
        <v>24</v>
      </c>
      <c r="BJ28" s="52" t="s">
        <v>191</v>
      </c>
      <c r="BK28" s="138">
        <f>BK29*BK30</f>
        <v>250</v>
      </c>
      <c r="BL28" s="52" t="s">
        <v>24</v>
      </c>
      <c r="BM28" s="52" t="s">
        <v>191</v>
      </c>
      <c r="BN28" s="138">
        <f>BN29*BN30</f>
        <v>250</v>
      </c>
      <c r="BO28" s="52" t="s">
        <v>24</v>
      </c>
      <c r="BS28" s="96"/>
      <c r="BV28" s="83"/>
      <c r="BW28" s="146">
        <v>365</v>
      </c>
      <c r="BX28" s="84" t="s">
        <v>24</v>
      </c>
      <c r="BY28" s="83" t="s">
        <v>302</v>
      </c>
      <c r="BZ28" s="141">
        <f>B118</f>
        <v>0.12375</v>
      </c>
      <c r="CB28" s="52" t="s">
        <v>300</v>
      </c>
      <c r="CC28" s="138">
        <f>B126</f>
        <v>3.4369999999999998E-2</v>
      </c>
      <c r="CE28" s="52" t="s">
        <v>300</v>
      </c>
      <c r="CF28" s="138">
        <f>B122</f>
        <v>6.8599999999999994E-2</v>
      </c>
      <c r="CN28" s="52" t="s">
        <v>165</v>
      </c>
      <c r="CO28" s="162">
        <f>B135</f>
        <v>1</v>
      </c>
      <c r="CP28" s="52" t="s">
        <v>246</v>
      </c>
      <c r="CT28" s="83" t="s">
        <v>458</v>
      </c>
      <c r="CU28" s="146">
        <f>B142</f>
        <v>100</v>
      </c>
      <c r="CV28" s="84" t="s">
        <v>48</v>
      </c>
      <c r="CZ28" s="92" t="s">
        <v>460</v>
      </c>
      <c r="DA28" s="142">
        <f t="shared" si="0"/>
        <v>2.5</v>
      </c>
      <c r="DB28" s="83" t="s">
        <v>28</v>
      </c>
      <c r="DW28" s="88"/>
      <c r="DX28" s="88"/>
      <c r="DY28" s="88"/>
      <c r="DZ28" s="88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D28" s="52" t="s">
        <v>16</v>
      </c>
      <c r="HE28" s="137">
        <f>1-EXP(-HE27*HE32)</f>
        <v>4.3303121490789742E-4</v>
      </c>
    </row>
    <row r="29" spans="1:214" ht="15.75" thickBot="1" x14ac:dyDescent="0.25">
      <c r="A29" s="52" t="s">
        <v>229</v>
      </c>
      <c r="B29" s="183">
        <f>B25</f>
        <v>1.6999999999999999E-3</v>
      </c>
      <c r="C29" s="52" t="s">
        <v>388</v>
      </c>
      <c r="G29" s="83" t="s">
        <v>380</v>
      </c>
      <c r="H29" s="150">
        <f>B54</f>
        <v>350</v>
      </c>
      <c r="I29" s="83" t="s">
        <v>24</v>
      </c>
      <c r="J29" s="83" t="s">
        <v>401</v>
      </c>
      <c r="K29" s="146">
        <f>B47</f>
        <v>41.7</v>
      </c>
      <c r="L29" s="92" t="s">
        <v>221</v>
      </c>
      <c r="M29" s="52" t="s">
        <v>379</v>
      </c>
      <c r="N29" s="138">
        <f>B53</f>
        <v>1</v>
      </c>
      <c r="O29" s="52" t="s">
        <v>146</v>
      </c>
      <c r="P29" s="52" t="s">
        <v>379</v>
      </c>
      <c r="Q29" s="138">
        <f>B53</f>
        <v>1</v>
      </c>
      <c r="R29" s="52" t="s">
        <v>146</v>
      </c>
      <c r="V29" s="83" t="s">
        <v>22</v>
      </c>
      <c r="W29" s="137">
        <f>0.693/W30</f>
        <v>4.3312499999999997E-4</v>
      </c>
      <c r="Y29" s="83" t="s">
        <v>22</v>
      </c>
      <c r="Z29" s="137">
        <f>0.693/Z30</f>
        <v>4.3312499999999997E-4</v>
      </c>
      <c r="AB29" s="83" t="s">
        <v>260</v>
      </c>
      <c r="AC29" s="143">
        <f>(AC5/(AC8*AC13*AC7*AC9*(1/AC6)))*AC27</f>
        <v>38.618400700120027</v>
      </c>
      <c r="AD29" s="143">
        <f>(AD5/(AD8*AD13*AD7*AD9*(1/AD6)))*AD27</f>
        <v>77.236801400240054</v>
      </c>
      <c r="AE29" s="143">
        <f>(AE5/(AE8*AE13*AE7*AE9*(1/AE6)))*AE27</f>
        <v>42.909334111244476</v>
      </c>
      <c r="AF29" s="143">
        <f>(AF5*AF23*AF24)/((1-EXP(-AF24*AF23))*AF8*AF7*AF9*AF13*(1/AF28))</f>
        <v>11.702545666703037</v>
      </c>
      <c r="AG29" s="143">
        <f>(AG5*AG23*AG24)/((1-EXP(-AG24*AG23))*AG8*AG7*AG9*AG13*(1/AG28))</f>
        <v>11.702545666703037</v>
      </c>
      <c r="AH29" s="83" t="s">
        <v>10</v>
      </c>
      <c r="AI29" s="52" t="s">
        <v>420</v>
      </c>
      <c r="AJ29" s="138">
        <f>B244</f>
        <v>1</v>
      </c>
      <c r="AK29" s="52" t="s">
        <v>146</v>
      </c>
      <c r="AL29" s="52" t="s">
        <v>420</v>
      </c>
      <c r="AM29" s="138">
        <f>B244</f>
        <v>1</v>
      </c>
      <c r="AN29" s="52" t="s">
        <v>146</v>
      </c>
      <c r="AR29" s="52" t="s">
        <v>424</v>
      </c>
      <c r="AS29" s="138">
        <f>B256</f>
        <v>1</v>
      </c>
      <c r="AT29" s="52" t="s">
        <v>146</v>
      </c>
      <c r="AU29" s="52" t="s">
        <v>424</v>
      </c>
      <c r="AV29" s="138">
        <f>B256</f>
        <v>1</v>
      </c>
      <c r="AW29" s="52" t="s">
        <v>146</v>
      </c>
      <c r="BA29" s="52" t="s">
        <v>422</v>
      </c>
      <c r="BB29" s="138">
        <f>B232</f>
        <v>1</v>
      </c>
      <c r="BC29" s="52" t="s">
        <v>146</v>
      </c>
      <c r="BD29" s="52" t="s">
        <v>422</v>
      </c>
      <c r="BE29" s="138">
        <f>B232</f>
        <v>1</v>
      </c>
      <c r="BF29" s="52" t="s">
        <v>146</v>
      </c>
      <c r="BJ29" s="52" t="s">
        <v>220</v>
      </c>
      <c r="BK29" s="138">
        <f>B278</f>
        <v>50</v>
      </c>
      <c r="BL29" s="52" t="s">
        <v>113</v>
      </c>
      <c r="BM29" s="52" t="s">
        <v>220</v>
      </c>
      <c r="BN29" s="138">
        <f>B278</f>
        <v>50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41">
        <f>B119</f>
        <v>0.79190000000000005</v>
      </c>
      <c r="CB29" s="52" t="s">
        <v>411</v>
      </c>
      <c r="CC29" s="138">
        <f>B127</f>
        <v>0.45569999999999999</v>
      </c>
      <c r="CE29" s="52" t="s">
        <v>418</v>
      </c>
      <c r="CF29" s="138">
        <f>B123</f>
        <v>0.73660000000000003</v>
      </c>
      <c r="CN29" s="52" t="s">
        <v>166</v>
      </c>
      <c r="CO29" s="162">
        <f>B136</f>
        <v>1</v>
      </c>
      <c r="CP29" s="52" t="s">
        <v>246</v>
      </c>
      <c r="CT29" s="83" t="s">
        <v>450</v>
      </c>
      <c r="CU29" s="141">
        <f>B147</f>
        <v>10</v>
      </c>
      <c r="CV29" s="92" t="s">
        <v>407</v>
      </c>
      <c r="CZ29" s="92" t="s">
        <v>450</v>
      </c>
      <c r="DA29" s="142">
        <f t="shared" si="0"/>
        <v>10</v>
      </c>
      <c r="DB29" s="83" t="s">
        <v>143</v>
      </c>
      <c r="DW29" s="88"/>
      <c r="DX29" s="88"/>
      <c r="DY29" s="88"/>
      <c r="DZ29" s="8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B18</f>
        <v>1600</v>
      </c>
      <c r="HF29" s="52" t="s">
        <v>60</v>
      </c>
    </row>
    <row r="30" spans="1:214" ht="19.5" thickTop="1" thickBot="1" x14ac:dyDescent="0.25">
      <c r="A30" s="83" t="s">
        <v>228</v>
      </c>
      <c r="B30" s="183">
        <f>B26</f>
        <v>0</v>
      </c>
      <c r="C30" s="52" t="s">
        <v>388</v>
      </c>
      <c r="D30" s="353" t="s">
        <v>528</v>
      </c>
      <c r="E30" s="354"/>
      <c r="F30" s="355"/>
      <c r="G30" s="83" t="s">
        <v>381</v>
      </c>
      <c r="H30" s="150">
        <f>B55</f>
        <v>350</v>
      </c>
      <c r="I30" s="83" t="s">
        <v>24</v>
      </c>
      <c r="J30" s="83" t="s">
        <v>402</v>
      </c>
      <c r="K30" s="146">
        <f>B48</f>
        <v>128.9</v>
      </c>
      <c r="L30" s="92" t="s">
        <v>221</v>
      </c>
      <c r="M30" s="52" t="s">
        <v>299</v>
      </c>
      <c r="N30" s="138">
        <f>B61</f>
        <v>0.4</v>
      </c>
      <c r="P30" s="52" t="s">
        <v>299</v>
      </c>
      <c r="Q30" s="138">
        <f>B61</f>
        <v>0.4</v>
      </c>
      <c r="V30" s="91" t="s">
        <v>231</v>
      </c>
      <c r="W30" s="136">
        <f>B18</f>
        <v>1600</v>
      </c>
      <c r="X30" s="52" t="s">
        <v>60</v>
      </c>
      <c r="Y30" s="91" t="s">
        <v>231</v>
      </c>
      <c r="Z30" s="136">
        <f>B18</f>
        <v>1600</v>
      </c>
      <c r="AA30" s="52" t="s">
        <v>60</v>
      </c>
      <c r="AB30" s="83" t="s">
        <v>261</v>
      </c>
      <c r="AC30" s="144">
        <f>(AC5/(AC19*AC15*AC7*AC9*(1/AC32)*((8/1)/(24/1))*AC28))*AC27</f>
        <v>7147.7414635099976</v>
      </c>
      <c r="AD30" s="144">
        <f>(AD5/(AD19*AD15*AD7*((8/1)/(24/1))*AD9*(1/AD32)*AD28))*AD27</f>
        <v>7147.7414635099976</v>
      </c>
      <c r="AE30" s="144">
        <f>(AE5/(AE19*AE15*AE7*((8/1)/(24/1))*AE9*(1/AE32)*AE28))*AE27</f>
        <v>7941.9349594555524</v>
      </c>
      <c r="AF30" s="144">
        <f>(AF5*AF23*AF24)/((1-EXP(-AF24*AF23))*AF19*AF7*AF9*(AF12/24)*AF15*(1/AF33)*AF28)</f>
        <v>4.0810644078985847</v>
      </c>
      <c r="AG30" s="144">
        <f>(AG5*AG23*AG24)/((1-EXP(-AG24*AG23))*AG19*AG7*AG9*(AG12/24)*AG15*(1/AG34)*AG28)</f>
        <v>365.74945268732023</v>
      </c>
      <c r="AH30" s="83" t="s">
        <v>10</v>
      </c>
      <c r="AI30" s="52" t="s">
        <v>299</v>
      </c>
      <c r="AJ30" s="138">
        <f>B248</f>
        <v>0.4</v>
      </c>
      <c r="AL30" s="52" t="s">
        <v>299</v>
      </c>
      <c r="AM30" s="138">
        <f>B248</f>
        <v>0.4</v>
      </c>
      <c r="AR30" s="52" t="s">
        <v>299</v>
      </c>
      <c r="AS30" s="138">
        <f>B260</f>
        <v>0.4</v>
      </c>
      <c r="AV30" s="138"/>
      <c r="BA30" s="52" t="s">
        <v>299</v>
      </c>
      <c r="BB30" s="138">
        <f>B236</f>
        <v>0.4</v>
      </c>
      <c r="BD30" s="52" t="s">
        <v>299</v>
      </c>
      <c r="BE30" s="138">
        <f>B236</f>
        <v>0.4</v>
      </c>
      <c r="BJ30" s="52" t="s">
        <v>219</v>
      </c>
      <c r="BK30" s="138">
        <f>B277</f>
        <v>5</v>
      </c>
      <c r="BL30" s="52" t="s">
        <v>112</v>
      </c>
      <c r="BM30" s="52" t="s">
        <v>219</v>
      </c>
      <c r="BN30" s="138">
        <f>B277</f>
        <v>5</v>
      </c>
      <c r="BO30" s="52" t="s">
        <v>112</v>
      </c>
      <c r="BS30" s="91"/>
      <c r="BT30" s="97"/>
      <c r="BU30" s="91"/>
      <c r="BV30" s="91" t="s">
        <v>308</v>
      </c>
      <c r="BW30" s="146">
        <f>B101</f>
        <v>0.23</v>
      </c>
      <c r="BY30" s="94" t="s">
        <v>95</v>
      </c>
      <c r="BZ30" s="150">
        <f>B117</f>
        <v>1</v>
      </c>
      <c r="CA30" s="94" t="s">
        <v>60</v>
      </c>
      <c r="CB30" s="52" t="s">
        <v>90</v>
      </c>
      <c r="CC30" s="138">
        <f>B108</f>
        <v>1</v>
      </c>
      <c r="CD30" s="52" t="s">
        <v>194</v>
      </c>
      <c r="CE30" s="52" t="s">
        <v>90</v>
      </c>
      <c r="CF30" s="138">
        <f>B108</f>
        <v>1</v>
      </c>
      <c r="CG30" s="52" t="s">
        <v>194</v>
      </c>
      <c r="CM30" s="83"/>
      <c r="CN30" s="93" t="s">
        <v>167</v>
      </c>
      <c r="CO30" s="162">
        <f>B137</f>
        <v>1</v>
      </c>
      <c r="CP30" s="52" t="s">
        <v>41</v>
      </c>
      <c r="CQ30" s="88"/>
      <c r="CR30" s="83"/>
      <c r="CS30" s="83"/>
      <c r="CT30" s="83" t="s">
        <v>459</v>
      </c>
      <c r="CU30" s="141">
        <f>B148</f>
        <v>20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20</v>
      </c>
      <c r="DB30" s="83" t="s">
        <v>143</v>
      </c>
      <c r="DW30" s="88"/>
      <c r="DX30" s="88"/>
      <c r="DY30" s="88"/>
      <c r="DZ30" s="8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B83</f>
        <v>0.3</v>
      </c>
    </row>
    <row r="31" spans="1:214" x14ac:dyDescent="0.2">
      <c r="A31" s="84" t="s">
        <v>32</v>
      </c>
      <c r="B31" s="183">
        <f>0.0148</f>
        <v>1.4800000000000001E-2</v>
      </c>
      <c r="D31" s="323" t="s">
        <v>530</v>
      </c>
      <c r="E31" s="347">
        <f>E38</f>
        <v>3.1510770002556372E-2</v>
      </c>
      <c r="F31" s="345" t="s">
        <v>10</v>
      </c>
      <c r="G31" s="83" t="s">
        <v>379</v>
      </c>
      <c r="H31" s="150">
        <f>B53</f>
        <v>1</v>
      </c>
      <c r="I31" s="84" t="s">
        <v>60</v>
      </c>
      <c r="J31" s="83" t="s">
        <v>380</v>
      </c>
      <c r="K31" s="150">
        <f>B54</f>
        <v>350</v>
      </c>
      <c r="L31" s="83" t="s">
        <v>24</v>
      </c>
      <c r="M31" s="52" t="s">
        <v>300</v>
      </c>
      <c r="N31" s="138">
        <f>B62</f>
        <v>1</v>
      </c>
      <c r="P31" s="52" t="s">
        <v>300</v>
      </c>
      <c r="Q31" s="138">
        <f>B62</f>
        <v>1</v>
      </c>
      <c r="V31" s="52" t="s">
        <v>35</v>
      </c>
      <c r="W31" s="138">
        <f>B243</f>
        <v>250</v>
      </c>
      <c r="X31" s="52" t="s">
        <v>24</v>
      </c>
      <c r="Y31" s="52" t="s">
        <v>191</v>
      </c>
      <c r="Z31" s="138">
        <f>B267</f>
        <v>250</v>
      </c>
      <c r="AA31" s="52" t="s">
        <v>24</v>
      </c>
      <c r="AB31" s="83" t="s">
        <v>262</v>
      </c>
      <c r="AC31" s="145">
        <f>(AC5*AC23*AC24)/((1-EXP(-AC24*AC23))*AC18*AC7*(1/365)*AC12*(1/24)*AC14*AC17)</f>
        <v>0.42029777234991678</v>
      </c>
      <c r="AD31" s="145">
        <f>(AD5*AD23*AD24)/((1-EXP(-AD24*AD23))*AD18*AD7*(1/365)*AD12*(1/24)*AD16*AD17)</f>
        <v>1.050744430874792</v>
      </c>
      <c r="AE31" s="145">
        <f>(AE5*AE23*AE24)/((1-EXP(-AE24*AE23))*AE18*AE7*(1/365)*AE12*(1/24)*AE14*AE17)</f>
        <v>0.46699752483324081</v>
      </c>
      <c r="AF31" s="145">
        <f>(AF5*AF23*AF24)/((1-EXP(-AF24*AF23))*AF18*(AF11*AF10)*(1/365)*AF12*(1/24)*AF14*AF17)</f>
        <v>4.2888567182104333</v>
      </c>
      <c r="AG31" s="145">
        <f>(AG5*AG23*AG24)/((1-EXP(-AG24*AG23))*AG18*AG7*(1/365)*AG9*(AG12/24)*AG14*AG17)</f>
        <v>4.2888567182104333</v>
      </c>
      <c r="AH31" s="83" t="s">
        <v>10</v>
      </c>
      <c r="AI31" s="52" t="s">
        <v>300</v>
      </c>
      <c r="AJ31" s="138">
        <f>B235</f>
        <v>1</v>
      </c>
      <c r="AL31" s="52" t="s">
        <v>300</v>
      </c>
      <c r="AM31" s="138">
        <f>B235</f>
        <v>1</v>
      </c>
      <c r="AR31" s="52" t="s">
        <v>300</v>
      </c>
      <c r="AS31" s="138">
        <f>B259</f>
        <v>1</v>
      </c>
      <c r="AU31" s="52" t="s">
        <v>300</v>
      </c>
      <c r="AV31" s="138">
        <f>B259</f>
        <v>1</v>
      </c>
      <c r="BA31" s="52" t="s">
        <v>300</v>
      </c>
      <c r="BB31" s="138">
        <f>B235</f>
        <v>1</v>
      </c>
      <c r="BD31" s="52" t="s">
        <v>300</v>
      </c>
      <c r="BE31" s="138">
        <f>B235</f>
        <v>1</v>
      </c>
      <c r="BJ31" s="52" t="s">
        <v>158</v>
      </c>
      <c r="BK31" s="138">
        <f>B268</f>
        <v>1</v>
      </c>
      <c r="BL31" s="52" t="s">
        <v>146</v>
      </c>
      <c r="BM31" s="52" t="s">
        <v>158</v>
      </c>
      <c r="BN31" s="138">
        <f>B268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B102</f>
        <v>0.77</v>
      </c>
      <c r="BZ31" s="150">
        <v>365</v>
      </c>
      <c r="CA31" s="52" t="s">
        <v>24</v>
      </c>
      <c r="CB31" s="52" t="s">
        <v>410</v>
      </c>
      <c r="CC31" s="139">
        <f>B11</f>
        <v>1.9522299999999999</v>
      </c>
      <c r="CD31" s="84" t="s">
        <v>353</v>
      </c>
      <c r="CE31" s="52" t="s">
        <v>419</v>
      </c>
      <c r="CF31" s="139">
        <f>B13</f>
        <v>5.52928</v>
      </c>
      <c r="CG31" s="84" t="s">
        <v>353</v>
      </c>
      <c r="CM31" s="83"/>
      <c r="CN31" s="83" t="s">
        <v>168</v>
      </c>
      <c r="CO31" s="162">
        <f>B138</f>
        <v>1</v>
      </c>
      <c r="CP31" s="52" t="s">
        <v>41</v>
      </c>
      <c r="CQ31" s="83"/>
      <c r="CR31" s="83"/>
      <c r="CS31" s="83"/>
      <c r="CT31" s="83" t="s">
        <v>456</v>
      </c>
      <c r="CU31" s="150">
        <f>B167</f>
        <v>350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68.099999999999994</v>
      </c>
      <c r="DB31" s="83" t="s">
        <v>221</v>
      </c>
      <c r="DW31" s="88"/>
      <c r="DX31" s="88"/>
      <c r="DY31" s="88"/>
      <c r="DZ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B84</f>
        <v>1.5</v>
      </c>
    </row>
    <row r="32" spans="1:214" ht="13.5" thickBot="1" x14ac:dyDescent="0.25">
      <c r="A32" s="52" t="s">
        <v>33</v>
      </c>
      <c r="B32" s="183">
        <v>1.7000000000000001E-2</v>
      </c>
      <c r="D32" s="324"/>
      <c r="E32" s="348"/>
      <c r="F32" s="346"/>
      <c r="G32" s="52" t="s">
        <v>403</v>
      </c>
      <c r="H32" s="138">
        <f>B57</f>
        <v>0.54</v>
      </c>
      <c r="I32" s="52" t="s">
        <v>89</v>
      </c>
      <c r="J32" s="83" t="s">
        <v>381</v>
      </c>
      <c r="K32" s="150">
        <f>B55</f>
        <v>350</v>
      </c>
      <c r="L32" s="83" t="s">
        <v>24</v>
      </c>
      <c r="M32" s="52" t="s">
        <v>54</v>
      </c>
      <c r="N32" s="138">
        <f>B63</f>
        <v>1</v>
      </c>
      <c r="P32" s="52" t="s">
        <v>54</v>
      </c>
      <c r="Q32" s="138">
        <f>B63</f>
        <v>1</v>
      </c>
      <c r="V32" s="52" t="s">
        <v>420</v>
      </c>
      <c r="W32" s="138">
        <f>B244</f>
        <v>1</v>
      </c>
      <c r="X32" s="52" t="s">
        <v>146</v>
      </c>
      <c r="Y32" s="52" t="s">
        <v>158</v>
      </c>
      <c r="Z32" s="138">
        <f>B268</f>
        <v>1</v>
      </c>
      <c r="AA32" s="52" t="s">
        <v>146</v>
      </c>
      <c r="AB32" s="83" t="s">
        <v>77</v>
      </c>
      <c r="AC32" s="136">
        <f>B19</f>
        <v>1359344473.5814338</v>
      </c>
      <c r="AD32" s="136">
        <f>B19</f>
        <v>1359344473.5814338</v>
      </c>
      <c r="AE32" s="136">
        <f>B19</f>
        <v>1359344473.5814338</v>
      </c>
      <c r="AF32" s="136"/>
      <c r="AG32" s="136"/>
      <c r="AH32" s="104" t="s">
        <v>78</v>
      </c>
      <c r="AI32" s="52" t="s">
        <v>54</v>
      </c>
      <c r="AJ32" s="138">
        <f>B249</f>
        <v>1</v>
      </c>
      <c r="AL32" s="52" t="s">
        <v>54</v>
      </c>
      <c r="AM32" s="138">
        <f>B249</f>
        <v>1</v>
      </c>
      <c r="AR32" s="52" t="s">
        <v>54</v>
      </c>
      <c r="AS32" s="138">
        <f>B261</f>
        <v>1</v>
      </c>
      <c r="AU32" s="52" t="s">
        <v>54</v>
      </c>
      <c r="AV32" s="138">
        <f>B261</f>
        <v>1</v>
      </c>
      <c r="BA32" s="52" t="s">
        <v>54</v>
      </c>
      <c r="BB32" s="138">
        <f>B237</f>
        <v>1</v>
      </c>
      <c r="BD32" s="52" t="s">
        <v>54</v>
      </c>
      <c r="BE32" s="138">
        <f>B237</f>
        <v>1</v>
      </c>
      <c r="BJ32" s="52" t="s">
        <v>300</v>
      </c>
      <c r="BK32" s="136">
        <f>B281</f>
        <v>3.4369999999999998E-2</v>
      </c>
      <c r="BM32" s="52" t="s">
        <v>300</v>
      </c>
      <c r="BN32" s="136">
        <f>B285</f>
        <v>6.8599999999999994E-2</v>
      </c>
      <c r="BS32" s="91"/>
      <c r="BT32" s="99"/>
      <c r="BU32" s="100"/>
      <c r="BW32" s="90"/>
      <c r="BZ32" s="138">
        <v>1000</v>
      </c>
      <c r="CA32" s="52" t="s">
        <v>99</v>
      </c>
      <c r="CM32" s="83"/>
      <c r="CN32" s="83" t="s">
        <v>22</v>
      </c>
      <c r="CO32" s="137">
        <f>0.693/CO33</f>
        <v>4.3312499999999997E-4</v>
      </c>
      <c r="CR32" s="83"/>
      <c r="CS32" s="83"/>
      <c r="CT32" s="83" t="s">
        <v>465</v>
      </c>
      <c r="CU32" s="150">
        <f>B168</f>
        <v>350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176.8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15" customHeight="1" thickTop="1" x14ac:dyDescent="0.2">
      <c r="A33" s="83" t="s">
        <v>156</v>
      </c>
      <c r="B33" s="182">
        <v>1</v>
      </c>
      <c r="C33" s="83" t="s">
        <v>18</v>
      </c>
      <c r="D33" s="83" t="s">
        <v>267</v>
      </c>
      <c r="E33" s="136">
        <f>B5</f>
        <v>1</v>
      </c>
      <c r="F33" s="52" t="s">
        <v>344</v>
      </c>
      <c r="G33" s="52" t="s">
        <v>404</v>
      </c>
      <c r="H33" s="138">
        <f>B58</f>
        <v>0.71</v>
      </c>
      <c r="I33" s="52" t="s">
        <v>89</v>
      </c>
      <c r="J33" s="83" t="s">
        <v>379</v>
      </c>
      <c r="K33" s="141">
        <f>B53</f>
        <v>1</v>
      </c>
      <c r="L33" s="92" t="s">
        <v>60</v>
      </c>
      <c r="M33" s="52" t="s">
        <v>408</v>
      </c>
      <c r="N33" s="150">
        <f>B78</f>
        <v>1.752</v>
      </c>
      <c r="O33" s="52" t="s">
        <v>194</v>
      </c>
      <c r="P33" s="52" t="s">
        <v>408</v>
      </c>
      <c r="Q33" s="150">
        <f>B78</f>
        <v>1.752</v>
      </c>
      <c r="R33" s="52" t="s">
        <v>194</v>
      </c>
      <c r="V33" s="52" t="s">
        <v>247</v>
      </c>
      <c r="W33" s="139">
        <f>B6</f>
        <v>3.8043873993229303E-2</v>
      </c>
      <c r="X33" s="84" t="s">
        <v>39</v>
      </c>
      <c r="Y33" s="52" t="s">
        <v>247</v>
      </c>
      <c r="Z33" s="139">
        <f>B6</f>
        <v>3.8043873993229303E-2</v>
      </c>
      <c r="AA33" s="84" t="s">
        <v>39</v>
      </c>
      <c r="AB33" s="104" t="s">
        <v>103</v>
      </c>
      <c r="AC33" s="136"/>
      <c r="AD33" s="136"/>
      <c r="AE33" s="136"/>
      <c r="AF33" s="157">
        <f>B20</f>
        <v>776129.4078035407</v>
      </c>
      <c r="AG33" s="136"/>
      <c r="AH33" s="104" t="s">
        <v>78</v>
      </c>
      <c r="AI33" s="52" t="s">
        <v>57</v>
      </c>
      <c r="AJ33" s="136">
        <f>B250</f>
        <v>0</v>
      </c>
      <c r="AK33" s="52" t="s">
        <v>194</v>
      </c>
      <c r="AL33" s="52" t="s">
        <v>57</v>
      </c>
      <c r="AM33" s="136">
        <f>B250</f>
        <v>0</v>
      </c>
      <c r="AN33" s="52" t="s">
        <v>194</v>
      </c>
      <c r="AR33" s="52" t="s">
        <v>57</v>
      </c>
      <c r="AS33" s="136">
        <f>B262</f>
        <v>8</v>
      </c>
      <c r="AT33" s="52" t="s">
        <v>194</v>
      </c>
      <c r="AU33" s="52" t="s">
        <v>57</v>
      </c>
      <c r="AV33" s="136">
        <f>B262</f>
        <v>8</v>
      </c>
      <c r="AW33" s="52" t="s">
        <v>194</v>
      </c>
      <c r="BA33" s="52" t="s">
        <v>58</v>
      </c>
      <c r="BB33" s="136">
        <f>B238</f>
        <v>8</v>
      </c>
      <c r="BC33" s="52" t="s">
        <v>194</v>
      </c>
      <c r="BD33" s="52" t="s">
        <v>57</v>
      </c>
      <c r="BE33" s="136">
        <f>B238</f>
        <v>8</v>
      </c>
      <c r="BF33" s="52" t="s">
        <v>194</v>
      </c>
      <c r="BJ33" s="52" t="s">
        <v>411</v>
      </c>
      <c r="BK33" s="136">
        <f>B282</f>
        <v>0.45569999999999999</v>
      </c>
      <c r="BM33" s="52" t="s">
        <v>418</v>
      </c>
      <c r="BN33" s="136">
        <f>B286</f>
        <v>0.73660000000000003</v>
      </c>
      <c r="BS33" s="91"/>
      <c r="BT33" s="99"/>
      <c r="BU33" s="100"/>
      <c r="BW33" s="90"/>
      <c r="BZ33" s="146">
        <v>1000</v>
      </c>
      <c r="CA33" s="52" t="s">
        <v>23</v>
      </c>
      <c r="CM33" s="83"/>
      <c r="CN33" s="91" t="s">
        <v>231</v>
      </c>
      <c r="CO33" s="136">
        <f>B18</f>
        <v>1600</v>
      </c>
      <c r="CP33" s="52" t="s">
        <v>60</v>
      </c>
      <c r="CR33" s="83"/>
      <c r="CS33" s="83"/>
      <c r="CT33" s="83" t="s">
        <v>363</v>
      </c>
      <c r="CU33" s="141">
        <f t="shared" ref="CU33:CU42" si="1">B170</f>
        <v>1</v>
      </c>
      <c r="CV33" s="92" t="s">
        <v>60</v>
      </c>
      <c r="CZ33" s="92" t="s">
        <v>513</v>
      </c>
      <c r="DA33" s="141">
        <f t="shared" si="0"/>
        <v>41.7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B82</f>
        <v>70</v>
      </c>
    </row>
    <row r="34" spans="1:214" ht="12.75" customHeight="1" x14ac:dyDescent="0.2">
      <c r="A34" s="84" t="s">
        <v>21</v>
      </c>
      <c r="B34" s="181">
        <v>5</v>
      </c>
      <c r="C34" s="52" t="s">
        <v>11</v>
      </c>
      <c r="D34" s="83" t="s">
        <v>382</v>
      </c>
      <c r="E34" s="150">
        <f>B56</f>
        <v>350</v>
      </c>
      <c r="F34" s="83" t="s">
        <v>24</v>
      </c>
      <c r="G34" s="83" t="s">
        <v>383</v>
      </c>
      <c r="H34" s="150">
        <f>B59</f>
        <v>24</v>
      </c>
      <c r="I34" s="94" t="s">
        <v>194</v>
      </c>
      <c r="J34" s="83" t="s">
        <v>383</v>
      </c>
      <c r="K34" s="150">
        <f>B59</f>
        <v>24</v>
      </c>
      <c r="L34" s="94" t="s">
        <v>194</v>
      </c>
      <c r="M34" s="52" t="s">
        <v>410</v>
      </c>
      <c r="N34" s="139">
        <f>B11</f>
        <v>1.9522299999999999</v>
      </c>
      <c r="O34" s="84" t="s">
        <v>354</v>
      </c>
      <c r="P34" s="52" t="s">
        <v>419</v>
      </c>
      <c r="Q34" s="139">
        <f>B13</f>
        <v>5.52928</v>
      </c>
      <c r="R34" s="84" t="s">
        <v>353</v>
      </c>
      <c r="V34" s="52" t="s">
        <v>421</v>
      </c>
      <c r="W34" s="150">
        <f>B251</f>
        <v>8</v>
      </c>
      <c r="X34" s="84" t="s">
        <v>194</v>
      </c>
      <c r="Y34" s="52" t="s">
        <v>192</v>
      </c>
      <c r="Z34" s="150">
        <f>B274</f>
        <v>8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B21</f>
        <v>69557565.807898715</v>
      </c>
      <c r="AH34" s="104" t="s">
        <v>78</v>
      </c>
      <c r="AI34" s="52" t="s">
        <v>410</v>
      </c>
      <c r="AJ34" s="139">
        <f>B11</f>
        <v>1.9522299999999999</v>
      </c>
      <c r="AK34" s="84" t="s">
        <v>353</v>
      </c>
      <c r="AL34" s="52" t="s">
        <v>419</v>
      </c>
      <c r="AM34" s="139">
        <f>B13</f>
        <v>5.52928</v>
      </c>
      <c r="AN34" s="84" t="s">
        <v>353</v>
      </c>
      <c r="AR34" s="52" t="s">
        <v>410</v>
      </c>
      <c r="AS34" s="139">
        <f>B11</f>
        <v>1.9522299999999999</v>
      </c>
      <c r="AT34" s="84" t="s">
        <v>353</v>
      </c>
      <c r="AU34" s="52" t="s">
        <v>419</v>
      </c>
      <c r="AV34" s="139">
        <f>B13</f>
        <v>5.52928</v>
      </c>
      <c r="AW34" s="84" t="s">
        <v>353</v>
      </c>
      <c r="BA34" s="52" t="s">
        <v>410</v>
      </c>
      <c r="BB34" s="139">
        <f>B11</f>
        <v>1.9522299999999999</v>
      </c>
      <c r="BC34" s="84" t="s">
        <v>353</v>
      </c>
      <c r="BD34" s="52" t="s">
        <v>419</v>
      </c>
      <c r="BE34" s="139">
        <f>B13</f>
        <v>5.52928</v>
      </c>
      <c r="BF34" s="84" t="s">
        <v>353</v>
      </c>
      <c r="BJ34" s="52" t="s">
        <v>57</v>
      </c>
      <c r="BK34" s="136">
        <f>B274</f>
        <v>8</v>
      </c>
      <c r="BL34" s="52" t="s">
        <v>194</v>
      </c>
      <c r="BM34" s="52" t="s">
        <v>57</v>
      </c>
      <c r="BN34" s="136">
        <f>B274</f>
        <v>8</v>
      </c>
      <c r="BO34" s="52" t="s">
        <v>194</v>
      </c>
      <c r="BT34" s="102"/>
      <c r="BU34" s="91"/>
      <c r="BY34" s="91" t="s">
        <v>308</v>
      </c>
      <c r="BZ34" s="146">
        <f>B101</f>
        <v>0.23</v>
      </c>
      <c r="CM34" s="83"/>
      <c r="CN34" s="84" t="s">
        <v>16</v>
      </c>
      <c r="CO34" s="137">
        <f>(CO31*CO32)/(1-EXP(-CO32*CO31))</f>
        <v>1.0002165781331087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125.7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B33</f>
        <v>1</v>
      </c>
    </row>
    <row r="35" spans="1:214" ht="13.15" customHeight="1" x14ac:dyDescent="0.2">
      <c r="A35" s="52" t="s">
        <v>393</v>
      </c>
      <c r="B35" s="131">
        <v>0.26</v>
      </c>
      <c r="D35" s="83" t="s">
        <v>258</v>
      </c>
      <c r="E35" s="136">
        <f>B17</f>
        <v>1.67911012348351E-3</v>
      </c>
      <c r="F35" s="83" t="s">
        <v>87</v>
      </c>
      <c r="G35" s="83" t="s">
        <v>384</v>
      </c>
      <c r="H35" s="150">
        <f>B59</f>
        <v>24</v>
      </c>
      <c r="I35" s="52" t="s">
        <v>194</v>
      </c>
      <c r="J35" s="83" t="s">
        <v>384</v>
      </c>
      <c r="K35" s="150">
        <f>B59</f>
        <v>24</v>
      </c>
      <c r="L35" s="52" t="s">
        <v>194</v>
      </c>
      <c r="M35" s="52" t="s">
        <v>409</v>
      </c>
      <c r="N35" s="150">
        <f>B79</f>
        <v>16.416</v>
      </c>
      <c r="O35" s="52" t="s">
        <v>194</v>
      </c>
      <c r="P35" s="52" t="s">
        <v>409</v>
      </c>
      <c r="Q35" s="150">
        <f>B79</f>
        <v>16.416</v>
      </c>
      <c r="R35" s="52" t="s">
        <v>194</v>
      </c>
      <c r="V35" s="52" t="s">
        <v>304</v>
      </c>
      <c r="W35" s="146">
        <f>B242</f>
        <v>60</v>
      </c>
      <c r="X35" s="84" t="s">
        <v>407</v>
      </c>
      <c r="Y35" s="52" t="s">
        <v>348</v>
      </c>
      <c r="Z35" s="146">
        <f>B266</f>
        <v>60</v>
      </c>
      <c r="AA35" s="84" t="s">
        <v>407</v>
      </c>
      <c r="AI35" s="52" t="s">
        <v>69</v>
      </c>
      <c r="AJ35" s="136">
        <f>B251</f>
        <v>8</v>
      </c>
      <c r="AK35" s="52" t="s">
        <v>194</v>
      </c>
      <c r="AL35" s="52" t="s">
        <v>69</v>
      </c>
      <c r="AM35" s="136">
        <f>B251</f>
        <v>8</v>
      </c>
      <c r="AN35" s="52" t="s">
        <v>194</v>
      </c>
      <c r="AR35" s="52" t="s">
        <v>69</v>
      </c>
      <c r="AS35" s="136">
        <f>B263</f>
        <v>0</v>
      </c>
      <c r="AT35" s="52" t="s">
        <v>194</v>
      </c>
      <c r="AU35" s="52" t="s">
        <v>69</v>
      </c>
      <c r="AV35" s="136">
        <f>B263</f>
        <v>0</v>
      </c>
      <c r="AW35" s="52" t="s">
        <v>194</v>
      </c>
      <c r="BA35" s="52" t="s">
        <v>69</v>
      </c>
      <c r="BB35" s="136">
        <f>B239</f>
        <v>8</v>
      </c>
      <c r="BC35" s="52" t="s">
        <v>194</v>
      </c>
      <c r="BD35" s="52" t="s">
        <v>69</v>
      </c>
      <c r="BE35" s="136">
        <f>B239</f>
        <v>8</v>
      </c>
      <c r="BF35" s="52" t="s">
        <v>194</v>
      </c>
      <c r="BJ35" s="52" t="s">
        <v>410</v>
      </c>
      <c r="BK35" s="139">
        <f>B11</f>
        <v>1.9522299999999999</v>
      </c>
      <c r="BL35" s="84" t="s">
        <v>353</v>
      </c>
      <c r="BM35" s="52" t="s">
        <v>419</v>
      </c>
      <c r="BN35" s="139">
        <f>B13</f>
        <v>5.52928</v>
      </c>
      <c r="BO35" s="84" t="s">
        <v>353</v>
      </c>
      <c r="BY35" s="91" t="s">
        <v>309</v>
      </c>
      <c r="BZ35" s="146">
        <f>B102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B167</f>
        <v>350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B65</f>
        <v>0.5</v>
      </c>
      <c r="HF35" s="52" t="s">
        <v>355</v>
      </c>
    </row>
    <row r="36" spans="1:214" ht="12.75" customHeight="1" x14ac:dyDescent="0.2">
      <c r="A36" s="52" t="s">
        <v>392</v>
      </c>
      <c r="B36" s="131">
        <v>0.25</v>
      </c>
      <c r="D36" s="83" t="s">
        <v>389</v>
      </c>
      <c r="E36" s="146">
        <f>B80</f>
        <v>1</v>
      </c>
      <c r="G36" s="83" t="s">
        <v>405</v>
      </c>
      <c r="H36" s="138">
        <f>B66</f>
        <v>1</v>
      </c>
      <c r="I36" s="52" t="s">
        <v>80</v>
      </c>
      <c r="J36" s="83" t="s">
        <v>390</v>
      </c>
      <c r="K36" s="141">
        <f>B68</f>
        <v>0.25</v>
      </c>
      <c r="M36" s="121"/>
      <c r="N36" s="121"/>
      <c r="O36" s="121"/>
      <c r="P36" s="121"/>
      <c r="Q36" s="121"/>
      <c r="R36" s="121"/>
      <c r="V36" s="83" t="s">
        <v>256</v>
      </c>
      <c r="W36" s="136">
        <f>B15</f>
        <v>15429.68</v>
      </c>
      <c r="X36" s="83" t="s">
        <v>343</v>
      </c>
      <c r="Y36" s="83" t="s">
        <v>256</v>
      </c>
      <c r="Z36" s="136">
        <f>B15</f>
        <v>15429.68</v>
      </c>
      <c r="AA36" s="83" t="s">
        <v>343</v>
      </c>
      <c r="AE36" s="352" t="s">
        <v>226</v>
      </c>
      <c r="AF36" s="352"/>
      <c r="AG36" s="352"/>
      <c r="AI36" s="83"/>
      <c r="AJ36" s="83"/>
      <c r="AK36" s="83"/>
      <c r="AL36" s="83"/>
      <c r="AM36" s="83"/>
      <c r="AN36" s="83"/>
      <c r="AR36" s="83"/>
      <c r="AS36" s="83"/>
      <c r="AT36" s="83"/>
      <c r="AU36" s="83"/>
      <c r="AV36" s="83"/>
      <c r="AW36" s="83"/>
      <c r="BA36" s="83"/>
      <c r="BB36" s="83"/>
      <c r="BC36" s="83"/>
      <c r="BD36" s="83"/>
      <c r="BE36" s="83"/>
      <c r="BF36" s="83"/>
      <c r="BS36" s="100"/>
      <c r="BT36" s="100"/>
      <c r="BU36" s="91"/>
      <c r="BZ36" s="90"/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B168</f>
        <v>350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B87</f>
        <v>5</v>
      </c>
      <c r="HF36" s="52" t="s">
        <v>94</v>
      </c>
    </row>
    <row r="37" spans="1:214" ht="12.75" customHeight="1" x14ac:dyDescent="0.2">
      <c r="A37" s="381" t="s">
        <v>2</v>
      </c>
      <c r="B37" s="382"/>
      <c r="C37" s="383"/>
      <c r="D37" s="83" t="s">
        <v>394</v>
      </c>
      <c r="E37" s="146">
        <f>B44</f>
        <v>54</v>
      </c>
      <c r="F37" s="52" t="s">
        <v>48</v>
      </c>
      <c r="G37" s="83" t="s">
        <v>406</v>
      </c>
      <c r="H37" s="138">
        <f>B67</f>
        <v>1</v>
      </c>
      <c r="I37" s="52" t="s">
        <v>80</v>
      </c>
      <c r="J37" s="83" t="s">
        <v>408</v>
      </c>
      <c r="K37" s="150">
        <f>B78</f>
        <v>1.752</v>
      </c>
      <c r="L37" s="84" t="s">
        <v>194</v>
      </c>
      <c r="V37" s="83" t="s">
        <v>301</v>
      </c>
      <c r="W37" s="142">
        <f>B246</f>
        <v>1</v>
      </c>
      <c r="Y37" s="83" t="s">
        <v>301</v>
      </c>
      <c r="Z37" s="142">
        <f>B270</f>
        <v>1</v>
      </c>
      <c r="AE37" s="352"/>
      <c r="AF37" s="352"/>
      <c r="AG37" s="352"/>
      <c r="BK37" s="352" t="s">
        <v>230</v>
      </c>
      <c r="BL37" s="352"/>
      <c r="BM37" s="352"/>
      <c r="BN37" s="352"/>
      <c r="BO37" s="352"/>
      <c r="BS37" s="91"/>
      <c r="BT37" s="91"/>
      <c r="BU37" s="91"/>
      <c r="BZ37" s="90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12.167999999999999</v>
      </c>
      <c r="CV37" s="84" t="s">
        <v>194</v>
      </c>
      <c r="CZ37" s="92" t="s">
        <v>363</v>
      </c>
      <c r="DA37" s="141">
        <f>B170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4.25" x14ac:dyDescent="0.2">
      <c r="A38" s="83" t="s">
        <v>366</v>
      </c>
      <c r="B38" s="130">
        <v>10</v>
      </c>
      <c r="C38" s="92" t="s">
        <v>407</v>
      </c>
      <c r="D38" s="83" t="s">
        <v>260</v>
      </c>
      <c r="E38" s="152">
        <f>E33/(E35*E34*E37*E36)</f>
        <v>3.1510770002556372E-2</v>
      </c>
      <c r="F38" s="84" t="s">
        <v>10</v>
      </c>
      <c r="H38" s="138">
        <f>1/1000</f>
        <v>1E-3</v>
      </c>
      <c r="I38" s="52" t="s">
        <v>82</v>
      </c>
      <c r="J38" s="83" t="s">
        <v>409</v>
      </c>
      <c r="K38" s="150">
        <f>B79</f>
        <v>16.416</v>
      </c>
      <c r="L38" s="84" t="s">
        <v>194</v>
      </c>
      <c r="V38" s="52" t="s">
        <v>261</v>
      </c>
      <c r="W38" s="143">
        <f>(W27)/((W34/24)*W31*W32*W33*W35)</f>
        <v>5.2570881723452813E-3</v>
      </c>
      <c r="X38" s="52" t="s">
        <v>15</v>
      </c>
      <c r="Y38" s="52" t="s">
        <v>261</v>
      </c>
      <c r="Z38" s="143">
        <f>(Z27)/((Z34/24)*Z31*Z32*Z33*Z35)</f>
        <v>5.2570881723452813E-3</v>
      </c>
      <c r="AA38" s="52" t="s">
        <v>15</v>
      </c>
      <c r="AE38" s="352"/>
      <c r="AF38" s="352"/>
      <c r="AG38" s="352"/>
      <c r="BK38" s="352"/>
      <c r="BL38" s="352"/>
      <c r="BM38" s="352"/>
      <c r="BN38" s="352"/>
      <c r="BO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10.007999999999999</v>
      </c>
      <c r="CV38" s="84" t="s">
        <v>194</v>
      </c>
      <c r="CZ38" s="92" t="s">
        <v>364</v>
      </c>
      <c r="DA38" s="141">
        <f>B171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B88</f>
        <v>0.18</v>
      </c>
      <c r="HF38" s="52" t="s">
        <v>355</v>
      </c>
    </row>
    <row r="39" spans="1:214" x14ac:dyDescent="0.2">
      <c r="A39" s="83" t="s">
        <v>367</v>
      </c>
      <c r="B39" s="130">
        <v>20</v>
      </c>
      <c r="C39" s="92" t="s">
        <v>407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(W27)/((W34/24)*W31*W36*(1/365))</f>
        <v>2.8386849241202674E-4</v>
      </c>
      <c r="X39" s="52" t="s">
        <v>15</v>
      </c>
      <c r="Y39" s="52" t="s">
        <v>271</v>
      </c>
      <c r="Z39" s="144">
        <f>(Z27)/((Z34/24)*Z31*Z36*(1/365))</f>
        <v>2.8386849241202674E-4</v>
      </c>
      <c r="AA39" s="52" t="s">
        <v>15</v>
      </c>
      <c r="BK39" s="352"/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B172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B89</f>
        <v>55</v>
      </c>
      <c r="HF39" s="52" t="s">
        <v>97</v>
      </c>
    </row>
    <row r="40" spans="1:214" ht="15" customHeight="1" x14ac:dyDescent="0.2">
      <c r="A40" s="83" t="s">
        <v>368</v>
      </c>
      <c r="B40" s="130">
        <v>200</v>
      </c>
      <c r="C40" s="84" t="s">
        <v>48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(W27*W29*W28)/((W34/24)*(1-EXP(-W29*W32))*W33*W35*W31*W32)</f>
        <v>5.258226742687235E-3</v>
      </c>
      <c r="X40" s="52" t="s">
        <v>16</v>
      </c>
      <c r="Y40" s="52" t="s">
        <v>261</v>
      </c>
      <c r="Z40" s="144">
        <f>(Z27*Z29*Z28)/((Z34/24)*(1-EXP(-Z29*Z32))*Z33*Z35*Z31*Z32)</f>
        <v>5.258226742687235E-3</v>
      </c>
      <c r="AA40" s="52" t="s">
        <v>16</v>
      </c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0.4</v>
      </c>
      <c r="CZ40" s="92" t="s">
        <v>457</v>
      </c>
      <c r="DA40" s="141">
        <f>B181</f>
        <v>1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B90</f>
        <v>5</v>
      </c>
      <c r="HF40" s="52" t="s">
        <v>97</v>
      </c>
    </row>
    <row r="41" spans="1:214" ht="13.5" thickBot="1" x14ac:dyDescent="0.25">
      <c r="A41" s="83" t="s">
        <v>369</v>
      </c>
      <c r="B41" s="130">
        <v>100</v>
      </c>
      <c r="C41" s="84" t="s">
        <v>48</v>
      </c>
      <c r="G41" s="83" t="s">
        <v>390</v>
      </c>
      <c r="H41" s="141">
        <f>B68</f>
        <v>0.25</v>
      </c>
      <c r="I41" s="84"/>
      <c r="J41" s="83" t="s">
        <v>302</v>
      </c>
      <c r="K41" s="141">
        <v>1</v>
      </c>
      <c r="V41" s="52" t="s">
        <v>271</v>
      </c>
      <c r="W41" s="145">
        <f>(W27*W29*W28)/((W34/24)*(1-EXP(-W29*W28))*W36*W31*(1/365))</f>
        <v>2.8392997212016164E-4</v>
      </c>
      <c r="X41" s="52" t="s">
        <v>16</v>
      </c>
      <c r="Y41" s="52" t="s">
        <v>271</v>
      </c>
      <c r="Z41" s="145">
        <f>(Z27*Z29*Z28)/((Z34/24)*(1-EXP(-Z29*Z28))*Z36*Z31*(1/365))</f>
        <v>2.8392997212016164E-4</v>
      </c>
      <c r="AA41" s="52" t="s">
        <v>16</v>
      </c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41">
        <f t="shared" si="1"/>
        <v>1</v>
      </c>
      <c r="CZ41" s="92" t="s">
        <v>466</v>
      </c>
      <c r="DA41" s="141">
        <f>B182</f>
        <v>1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B91</f>
        <v>5</v>
      </c>
      <c r="HF41" s="52" t="s">
        <v>97</v>
      </c>
    </row>
    <row r="42" spans="1:214" ht="13.9" customHeight="1" thickTop="1" thickBot="1" x14ac:dyDescent="0.25">
      <c r="A42" s="83" t="s">
        <v>370</v>
      </c>
      <c r="B42" s="130">
        <v>0.78</v>
      </c>
      <c r="C42" s="83" t="s">
        <v>28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41">
        <v>1</v>
      </c>
      <c r="Y42" s="52" t="s">
        <v>220</v>
      </c>
      <c r="Z42" s="138">
        <f>B278</f>
        <v>50</v>
      </c>
      <c r="AA42" s="52" t="s">
        <v>113</v>
      </c>
      <c r="AI42" s="104"/>
      <c r="AJ42" s="104"/>
      <c r="AK42" s="104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41">
        <f t="shared" si="1"/>
        <v>1</v>
      </c>
      <c r="CW42" s="84"/>
      <c r="CX42" s="84"/>
      <c r="CY42" s="84"/>
      <c r="CZ42" s="52" t="s">
        <v>477</v>
      </c>
      <c r="DA42" s="141">
        <f>B183</f>
        <v>0.54</v>
      </c>
      <c r="DB42" s="92" t="s">
        <v>358</v>
      </c>
      <c r="DW42" s="88"/>
      <c r="DX42" s="88"/>
      <c r="DY42" s="88"/>
      <c r="DZ42" s="88"/>
      <c r="HD42" s="52" t="s">
        <v>225</v>
      </c>
      <c r="HE42" s="138">
        <f>1+((HE35*HE36*HE37)/(HE38*HE39))</f>
        <v>3.1605966718331597</v>
      </c>
    </row>
    <row r="43" spans="1:214" ht="13.15" customHeight="1" x14ac:dyDescent="0.2">
      <c r="A43" s="83" t="s">
        <v>371</v>
      </c>
      <c r="B43" s="130">
        <v>2.5</v>
      </c>
      <c r="C43" s="52" t="s">
        <v>28</v>
      </c>
      <c r="D43" s="323" t="s">
        <v>530</v>
      </c>
      <c r="E43" s="347">
        <f>E53</f>
        <v>7.8776925006390925</v>
      </c>
      <c r="F43" s="345" t="s">
        <v>11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Y43" s="52" t="s">
        <v>219</v>
      </c>
      <c r="Z43" s="138">
        <f>B277</f>
        <v>5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B184</f>
        <v>0.71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83" t="s">
        <v>310</v>
      </c>
      <c r="B44" s="130">
        <v>54</v>
      </c>
      <c r="C44" s="52" t="s">
        <v>48</v>
      </c>
      <c r="D44" s="324"/>
      <c r="E44" s="348"/>
      <c r="F44" s="346"/>
      <c r="G44" s="52" t="s">
        <v>19</v>
      </c>
      <c r="H44" s="136">
        <f>H46</f>
        <v>1.4800000000000001E-2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2.75" customHeight="1" thickTop="1" x14ac:dyDescent="0.2">
      <c r="A45" s="83" t="s">
        <v>372</v>
      </c>
      <c r="B45" s="130">
        <v>68.099999999999994</v>
      </c>
      <c r="C45" s="92" t="s">
        <v>221</v>
      </c>
      <c r="D45" s="83" t="s">
        <v>267</v>
      </c>
      <c r="E45" s="136">
        <f>B5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B185</f>
        <v>0.5</v>
      </c>
      <c r="DB45" s="92" t="s">
        <v>145</v>
      </c>
      <c r="DW45" s="88"/>
      <c r="DX45" s="88"/>
      <c r="DY45" s="88"/>
      <c r="DZ45" s="88"/>
    </row>
    <row r="46" spans="1:214" x14ac:dyDescent="0.2">
      <c r="A46" s="83" t="s">
        <v>373</v>
      </c>
      <c r="B46" s="130">
        <v>188.5</v>
      </c>
      <c r="C46" s="92" t="s">
        <v>221</v>
      </c>
      <c r="D46" s="83" t="s">
        <v>382</v>
      </c>
      <c r="E46" s="150">
        <f>B56</f>
        <v>350</v>
      </c>
      <c r="F46" s="83" t="s">
        <v>24</v>
      </c>
      <c r="G46" s="84" t="s">
        <v>32</v>
      </c>
      <c r="H46" s="139">
        <f>B31</f>
        <v>1.4800000000000001E-2</v>
      </c>
      <c r="K46" s="146">
        <v>1000</v>
      </c>
      <c r="L46" s="52" t="s">
        <v>23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83" t="s">
        <v>374</v>
      </c>
      <c r="B47" s="130">
        <v>41.7</v>
      </c>
      <c r="C47" s="92" t="s">
        <v>221</v>
      </c>
      <c r="D47" s="83" t="s">
        <v>258</v>
      </c>
      <c r="E47" s="136">
        <f>B17</f>
        <v>1.67911012348351E-3</v>
      </c>
      <c r="F47" s="83" t="s">
        <v>87</v>
      </c>
      <c r="G47" s="83" t="s">
        <v>393</v>
      </c>
      <c r="H47" s="142">
        <f>B35</f>
        <v>0.26</v>
      </c>
      <c r="J47" s="52" t="s">
        <v>19</v>
      </c>
      <c r="K47" s="136">
        <f>K49</f>
        <v>1.4800000000000001E-2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B165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83" t="s">
        <v>375</v>
      </c>
      <c r="B48" s="130">
        <v>128.9</v>
      </c>
      <c r="C48" s="92" t="s">
        <v>221</v>
      </c>
      <c r="D48" s="83" t="s">
        <v>379</v>
      </c>
      <c r="E48" s="146">
        <f>B53</f>
        <v>1</v>
      </c>
      <c r="F48" s="52" t="s">
        <v>60</v>
      </c>
      <c r="G48" s="52" t="s">
        <v>17</v>
      </c>
      <c r="H48" s="137">
        <f>((H51*H52*H53)*((1-EXP(-H54*H55))))/(H56*H54)</f>
        <v>0.52579260245651049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B166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83" t="s">
        <v>376</v>
      </c>
      <c r="B49" s="130">
        <v>0.23</v>
      </c>
      <c r="D49" s="83" t="s">
        <v>394</v>
      </c>
      <c r="E49" s="146">
        <f>B44</f>
        <v>54</v>
      </c>
      <c r="F49" s="52" t="s">
        <v>48</v>
      </c>
      <c r="G49" s="52" t="s">
        <v>25</v>
      </c>
      <c r="H49" s="137">
        <f>(H51*H52*H57*((1-EXP(-H54*H55))))/(H56*H54)</f>
        <v>9.2368970701819411</v>
      </c>
      <c r="I49" s="52" t="s">
        <v>18</v>
      </c>
      <c r="J49" s="84" t="s">
        <v>32</v>
      </c>
      <c r="K49" s="139">
        <f>B31</f>
        <v>1.4800000000000001E-2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Z49" s="83" t="s">
        <v>475</v>
      </c>
      <c r="DA49" s="146">
        <f>B165</f>
        <v>0.15</v>
      </c>
      <c r="DW49" s="88"/>
      <c r="DX49" s="88"/>
      <c r="DY49" s="88"/>
      <c r="DZ49" s="88"/>
    </row>
    <row r="50" spans="1:130" x14ac:dyDescent="0.2">
      <c r="A50" s="83" t="s">
        <v>377</v>
      </c>
      <c r="B50" s="130">
        <v>0.77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3.6423470278489711</v>
      </c>
      <c r="I50" s="52" t="s">
        <v>18</v>
      </c>
      <c r="J50" s="83" t="s">
        <v>393</v>
      </c>
      <c r="K50" s="142">
        <f>B35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Z50" s="83" t="s">
        <v>476</v>
      </c>
      <c r="DA50" s="146">
        <f>B166</f>
        <v>0.85</v>
      </c>
      <c r="DW50" s="88"/>
      <c r="DX50" s="88"/>
      <c r="DY50" s="88"/>
      <c r="DZ50" s="88"/>
    </row>
    <row r="51" spans="1:130" x14ac:dyDescent="0.2">
      <c r="A51" s="52" t="s">
        <v>378</v>
      </c>
      <c r="B51" s="131">
        <v>1</v>
      </c>
      <c r="C51" s="52" t="s">
        <v>60</v>
      </c>
      <c r="D51" s="83" t="s">
        <v>105</v>
      </c>
      <c r="E51" s="150">
        <f>B23</f>
        <v>4</v>
      </c>
      <c r="F51" s="84" t="s">
        <v>18</v>
      </c>
      <c r="G51" s="83" t="s">
        <v>36</v>
      </c>
      <c r="H51" s="138">
        <f>B69</f>
        <v>3.62</v>
      </c>
      <c r="I51" s="52" t="s">
        <v>37</v>
      </c>
      <c r="J51" s="83" t="s">
        <v>376</v>
      </c>
      <c r="K51" s="146">
        <f>B49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DW51" s="88"/>
      <c r="DX51" s="88"/>
      <c r="DY51" s="88"/>
      <c r="DZ51" s="88"/>
    </row>
    <row r="52" spans="1:130" x14ac:dyDescent="0.2">
      <c r="A52" s="52" t="s">
        <v>448</v>
      </c>
      <c r="B52" s="131">
        <v>1</v>
      </c>
      <c r="C52" s="52" t="s">
        <v>60</v>
      </c>
      <c r="D52" s="83" t="s">
        <v>107</v>
      </c>
      <c r="E52" s="138">
        <f>B64</f>
        <v>1</v>
      </c>
      <c r="F52" s="84" t="s">
        <v>108</v>
      </c>
      <c r="G52" s="83" t="s">
        <v>40</v>
      </c>
      <c r="H52" s="138">
        <f>B70</f>
        <v>0.25</v>
      </c>
      <c r="I52" s="52" t="s">
        <v>41</v>
      </c>
      <c r="J52" s="83" t="s">
        <v>377</v>
      </c>
      <c r="K52" s="146">
        <f>B50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DW52" s="88"/>
      <c r="DX52" s="88"/>
      <c r="DY52" s="88"/>
      <c r="DZ52" s="88"/>
    </row>
    <row r="53" spans="1:130" x14ac:dyDescent="0.2">
      <c r="A53" s="52" t="s">
        <v>379</v>
      </c>
      <c r="B53" s="131">
        <v>1</v>
      </c>
      <c r="C53" s="52" t="s">
        <v>60</v>
      </c>
      <c r="D53" s="83" t="s">
        <v>260</v>
      </c>
      <c r="E53" s="152">
        <f>E45/(E47*E46*E48*E49*E51*E52*(1/E50))</f>
        <v>7.8776925006390925</v>
      </c>
      <c r="F53" s="52" t="s">
        <v>11</v>
      </c>
      <c r="G53" s="92" t="s">
        <v>32</v>
      </c>
      <c r="H53" s="136">
        <f>B31</f>
        <v>1.4800000000000001E-2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52" t="s">
        <v>380</v>
      </c>
      <c r="B54" s="131">
        <v>350</v>
      </c>
      <c r="C54" s="83" t="s">
        <v>24</v>
      </c>
      <c r="D54" s="95" t="s">
        <v>287</v>
      </c>
      <c r="E54" s="176">
        <v>27.027027027027</v>
      </c>
      <c r="G54" s="92" t="s">
        <v>49</v>
      </c>
      <c r="H54" s="137">
        <f>H62+H63</f>
        <v>2.8186643835616437E-5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52" t="s">
        <v>381</v>
      </c>
      <c r="B55" s="131">
        <v>350</v>
      </c>
      <c r="C55" s="83" t="s">
        <v>24</v>
      </c>
      <c r="G55" s="92" t="s">
        <v>52</v>
      </c>
      <c r="H55" s="138">
        <f>B71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52" t="s">
        <v>382</v>
      </c>
      <c r="B56" s="131">
        <v>350</v>
      </c>
      <c r="C56" s="83" t="s">
        <v>24</v>
      </c>
      <c r="G56" s="92" t="s">
        <v>55</v>
      </c>
      <c r="H56" s="138">
        <f>B72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52" t="s">
        <v>403</v>
      </c>
      <c r="B57" s="131">
        <v>0.54</v>
      </c>
      <c r="C57" s="52" t="s">
        <v>89</v>
      </c>
      <c r="G57" s="92" t="s">
        <v>393</v>
      </c>
      <c r="H57" s="138">
        <f>B35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52" t="s">
        <v>404</v>
      </c>
      <c r="B58" s="131">
        <v>0.71</v>
      </c>
      <c r="C58" s="52" t="s">
        <v>89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52" t="s">
        <v>385</v>
      </c>
      <c r="B59" s="131">
        <v>24</v>
      </c>
      <c r="C59" s="52" t="s">
        <v>194</v>
      </c>
      <c r="G59" s="92" t="s">
        <v>63</v>
      </c>
      <c r="H59" s="151">
        <f>H63+(0.693/H65)</f>
        <v>4.9501186643835612E-2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52" t="s">
        <v>318</v>
      </c>
      <c r="B60" s="131">
        <v>1</v>
      </c>
      <c r="G60" s="92" t="s">
        <v>67</v>
      </c>
      <c r="H60" s="142">
        <f>B73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52" t="s">
        <v>303</v>
      </c>
      <c r="B61" s="131">
        <v>0.4</v>
      </c>
      <c r="G61" s="92" t="s">
        <v>68</v>
      </c>
      <c r="H61" s="142">
        <f>B74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52" t="s">
        <v>302</v>
      </c>
      <c r="B62" s="131">
        <v>1</v>
      </c>
      <c r="G62" s="92" t="s">
        <v>70</v>
      </c>
      <c r="H62" s="138">
        <f>B75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386</v>
      </c>
      <c r="B63" s="131">
        <v>1</v>
      </c>
      <c r="G63" s="92" t="s">
        <v>71</v>
      </c>
      <c r="H63" s="137">
        <f>0.693/H67</f>
        <v>1.1866438356164383E-6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83" t="s">
        <v>107</v>
      </c>
      <c r="B64" s="131">
        <v>1</v>
      </c>
      <c r="C64" s="84" t="s">
        <v>108</v>
      </c>
      <c r="G64" s="92" t="s">
        <v>73</v>
      </c>
      <c r="H64" s="138">
        <f>B76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65</v>
      </c>
      <c r="B65" s="131">
        <v>0.5</v>
      </c>
      <c r="C65" s="52" t="s">
        <v>66</v>
      </c>
      <c r="G65" s="92" t="s">
        <v>74</v>
      </c>
      <c r="H65" s="138">
        <f>B77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79</v>
      </c>
      <c r="B66" s="131">
        <v>1</v>
      </c>
      <c r="C66" s="52" t="s">
        <v>80</v>
      </c>
      <c r="G66" s="52" t="s">
        <v>33</v>
      </c>
      <c r="H66" s="136">
        <f>B32</f>
        <v>1.7000000000000001E-2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81</v>
      </c>
      <c r="B67" s="131">
        <v>1</v>
      </c>
      <c r="C67" s="52" t="s">
        <v>80</v>
      </c>
      <c r="G67" s="83" t="s">
        <v>234</v>
      </c>
      <c r="H67" s="136">
        <f>B22</f>
        <v>584000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390</v>
      </c>
      <c r="B68" s="131">
        <v>0.25</v>
      </c>
      <c r="G68" s="83" t="s">
        <v>376</v>
      </c>
      <c r="H68" s="146">
        <f>B49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83" t="s">
        <v>36</v>
      </c>
      <c r="B69" s="131">
        <v>3.62</v>
      </c>
      <c r="C69" s="52" t="s">
        <v>37</v>
      </c>
      <c r="G69" s="83" t="s">
        <v>377</v>
      </c>
      <c r="H69" s="146">
        <f>B50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83" t="s">
        <v>40</v>
      </c>
      <c r="B70" s="131">
        <v>0.25</v>
      </c>
      <c r="C70" s="52" t="s">
        <v>41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92" t="s">
        <v>52</v>
      </c>
      <c r="B71" s="131">
        <v>10950</v>
      </c>
      <c r="C71" s="52" t="s">
        <v>53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92" t="s">
        <v>55</v>
      </c>
      <c r="B72" s="131">
        <v>240</v>
      </c>
      <c r="C72" s="52" t="s">
        <v>56</v>
      </c>
      <c r="AF72" s="109"/>
      <c r="AG72" s="106"/>
      <c r="AH72" s="106"/>
      <c r="AI72" s="106"/>
      <c r="AJ72" s="106"/>
      <c r="AK72" s="106"/>
    </row>
    <row r="73" spans="1:105" x14ac:dyDescent="0.2">
      <c r="A73" s="92" t="s">
        <v>67</v>
      </c>
      <c r="B73" s="131">
        <v>60</v>
      </c>
      <c r="C73" s="83" t="s">
        <v>53</v>
      </c>
      <c r="AF73" s="109"/>
      <c r="AG73" s="106"/>
      <c r="AH73" s="106"/>
      <c r="AI73" s="106"/>
      <c r="AJ73" s="106"/>
      <c r="AK73" s="106"/>
    </row>
    <row r="74" spans="1:105" x14ac:dyDescent="0.2">
      <c r="A74" s="92" t="s">
        <v>68</v>
      </c>
      <c r="B74" s="131">
        <v>2</v>
      </c>
      <c r="C74" s="83" t="s">
        <v>56</v>
      </c>
      <c r="AF74" s="109"/>
      <c r="AG74" s="106"/>
      <c r="AH74" s="106"/>
      <c r="AI74" s="106"/>
      <c r="AJ74" s="106"/>
      <c r="AK74" s="106"/>
    </row>
    <row r="75" spans="1:105" x14ac:dyDescent="0.2">
      <c r="A75" s="92" t="s">
        <v>70</v>
      </c>
      <c r="B75" s="131">
        <v>2.6999999999999999E-5</v>
      </c>
      <c r="C75" s="52" t="s">
        <v>64</v>
      </c>
      <c r="AF75" s="108"/>
      <c r="AG75" s="106"/>
      <c r="AH75" s="106"/>
      <c r="AI75" s="106"/>
      <c r="AJ75" s="106"/>
      <c r="AK75" s="106"/>
    </row>
    <row r="76" spans="1:105" x14ac:dyDescent="0.2">
      <c r="A76" s="92" t="s">
        <v>73</v>
      </c>
      <c r="B76" s="131">
        <v>1</v>
      </c>
      <c r="C76" s="52" t="s">
        <v>41</v>
      </c>
      <c r="AF76" s="109"/>
      <c r="AG76" s="106"/>
      <c r="AH76" s="106"/>
      <c r="AI76" s="106"/>
      <c r="AJ76" s="106"/>
      <c r="AK76" s="106"/>
    </row>
    <row r="77" spans="1:105" x14ac:dyDescent="0.2">
      <c r="A77" s="92" t="s">
        <v>74</v>
      </c>
      <c r="B77" s="131">
        <v>14</v>
      </c>
      <c r="C77" s="52" t="s">
        <v>75</v>
      </c>
      <c r="AF77" s="109"/>
      <c r="AG77" s="106"/>
      <c r="AH77" s="106"/>
      <c r="AI77" s="106"/>
      <c r="AJ77" s="106"/>
      <c r="AK77" s="106"/>
    </row>
    <row r="78" spans="1:105" x14ac:dyDescent="0.2">
      <c r="A78" s="83" t="s">
        <v>408</v>
      </c>
      <c r="B78" s="130">
        <v>1.752</v>
      </c>
      <c r="C78" s="84" t="s">
        <v>194</v>
      </c>
      <c r="AF78" s="109"/>
      <c r="AG78" s="106"/>
      <c r="AH78" s="106"/>
      <c r="AI78" s="106"/>
      <c r="AJ78" s="106"/>
      <c r="AK78" s="106"/>
    </row>
    <row r="79" spans="1:105" ht="12.75" customHeight="1" x14ac:dyDescent="0.2">
      <c r="A79" s="83" t="s">
        <v>409</v>
      </c>
      <c r="B79" s="130">
        <v>16.416</v>
      </c>
      <c r="C79" s="84" t="s">
        <v>194</v>
      </c>
      <c r="AF79" s="109"/>
      <c r="AG79" s="106"/>
    </row>
    <row r="80" spans="1:105" x14ac:dyDescent="0.2">
      <c r="A80" s="83" t="s">
        <v>389</v>
      </c>
      <c r="B80" s="130">
        <v>1</v>
      </c>
      <c r="C80" s="84"/>
      <c r="AF80" s="109"/>
      <c r="AG80" s="106"/>
      <c r="AH80" s="106"/>
      <c r="AI80" s="106"/>
      <c r="AJ80" s="106"/>
      <c r="AK80" s="106"/>
    </row>
    <row r="81" spans="1:37" x14ac:dyDescent="0.2">
      <c r="A81" s="385" t="s">
        <v>387</v>
      </c>
      <c r="B81" s="385"/>
      <c r="C81" s="385"/>
      <c r="AF81" s="109"/>
      <c r="AG81" s="106"/>
      <c r="AH81" s="106"/>
      <c r="AI81" s="106"/>
      <c r="AJ81" s="106"/>
      <c r="AK81" s="106"/>
    </row>
    <row r="82" spans="1:37" x14ac:dyDescent="0.2">
      <c r="A82" s="52" t="s">
        <v>34</v>
      </c>
      <c r="B82" s="131">
        <v>70</v>
      </c>
      <c r="C82" s="52" t="s">
        <v>60</v>
      </c>
      <c r="AF82" s="109"/>
      <c r="AG82" s="106"/>
      <c r="AH82" s="106"/>
      <c r="AI82" s="106"/>
      <c r="AJ82" s="106"/>
      <c r="AK82" s="106"/>
    </row>
    <row r="83" spans="1:37" x14ac:dyDescent="0.2">
      <c r="A83" s="84" t="s">
        <v>38</v>
      </c>
      <c r="B83" s="131">
        <v>0.3</v>
      </c>
      <c r="C83" s="52" t="s">
        <v>391</v>
      </c>
      <c r="AF83" s="109"/>
      <c r="AG83" s="106"/>
      <c r="AH83" s="106"/>
      <c r="AI83" s="106"/>
      <c r="AJ83" s="106"/>
      <c r="AK83" s="106"/>
    </row>
    <row r="84" spans="1:37" x14ac:dyDescent="0.2">
      <c r="A84" s="84" t="s">
        <v>42</v>
      </c>
      <c r="B84" s="130">
        <v>1.5</v>
      </c>
      <c r="C84" s="52" t="s">
        <v>286</v>
      </c>
      <c r="AF84" s="108"/>
      <c r="AG84" s="106"/>
    </row>
    <row r="85" spans="1:37" x14ac:dyDescent="0.2">
      <c r="A85" s="84" t="s">
        <v>47</v>
      </c>
      <c r="B85" s="131">
        <v>1</v>
      </c>
      <c r="C85" s="52" t="s">
        <v>60</v>
      </c>
      <c r="AF85" s="108"/>
      <c r="AG85" s="106"/>
      <c r="AH85" s="106"/>
      <c r="AI85" s="106"/>
      <c r="AJ85" s="106"/>
      <c r="AK85" s="106"/>
    </row>
    <row r="86" spans="1:37" x14ac:dyDescent="0.2">
      <c r="A86" s="84" t="s">
        <v>225</v>
      </c>
      <c r="B86" s="130">
        <v>1</v>
      </c>
      <c r="AF86" s="108"/>
      <c r="AG86" s="106"/>
    </row>
    <row r="87" spans="1:37" x14ac:dyDescent="0.2">
      <c r="A87" s="52" t="s">
        <v>93</v>
      </c>
      <c r="B87" s="130">
        <v>5</v>
      </c>
      <c r="C87" s="52" t="s">
        <v>94</v>
      </c>
      <c r="AH87" s="108"/>
      <c r="AI87" s="108"/>
      <c r="AJ87" s="108"/>
      <c r="AK87" s="108"/>
    </row>
    <row r="88" spans="1:37" x14ac:dyDescent="0.2">
      <c r="A88" s="52" t="s">
        <v>98</v>
      </c>
      <c r="B88" s="130">
        <v>0.18</v>
      </c>
      <c r="C88" s="52" t="s">
        <v>355</v>
      </c>
    </row>
    <row r="89" spans="1:37" x14ac:dyDescent="0.2">
      <c r="A89" s="52" t="s">
        <v>100</v>
      </c>
      <c r="B89" s="130">
        <v>55</v>
      </c>
      <c r="C89" s="52" t="s">
        <v>97</v>
      </c>
    </row>
    <row r="90" spans="1:37" x14ac:dyDescent="0.2">
      <c r="A90" s="52" t="s">
        <v>101</v>
      </c>
      <c r="B90" s="130">
        <v>5</v>
      </c>
      <c r="C90" s="52" t="s">
        <v>97</v>
      </c>
    </row>
    <row r="91" spans="1:37" x14ac:dyDescent="0.2">
      <c r="A91" s="52" t="s">
        <v>102</v>
      </c>
      <c r="B91" s="130">
        <v>5</v>
      </c>
      <c r="C91" s="52" t="s">
        <v>97</v>
      </c>
    </row>
    <row r="92" spans="1:37" x14ac:dyDescent="0.2">
      <c r="A92" s="384" t="s">
        <v>5</v>
      </c>
      <c r="B92" s="384"/>
      <c r="C92" s="384"/>
    </row>
    <row r="93" spans="1:37" x14ac:dyDescent="0.2">
      <c r="A93" s="83" t="s">
        <v>429</v>
      </c>
      <c r="B93" s="131">
        <v>10</v>
      </c>
      <c r="C93" s="92" t="s">
        <v>407</v>
      </c>
    </row>
    <row r="94" spans="1:37" x14ac:dyDescent="0.2">
      <c r="A94" s="83" t="s">
        <v>430</v>
      </c>
      <c r="B94" s="131">
        <v>20</v>
      </c>
      <c r="C94" s="92" t="s">
        <v>407</v>
      </c>
    </row>
    <row r="95" spans="1:37" x14ac:dyDescent="0.2">
      <c r="A95" s="83" t="s">
        <v>439</v>
      </c>
      <c r="B95" s="130">
        <v>0.05</v>
      </c>
      <c r="C95" s="83" t="s">
        <v>357</v>
      </c>
    </row>
    <row r="96" spans="1:37" x14ac:dyDescent="0.2">
      <c r="A96" s="83" t="s">
        <v>438</v>
      </c>
      <c r="B96" s="130">
        <v>0.05</v>
      </c>
      <c r="C96" s="83" t="s">
        <v>357</v>
      </c>
    </row>
    <row r="97" spans="1:3" x14ac:dyDescent="0.2">
      <c r="A97" s="83" t="s">
        <v>441</v>
      </c>
      <c r="B97" s="131">
        <v>200</v>
      </c>
      <c r="C97" s="84" t="s">
        <v>48</v>
      </c>
    </row>
    <row r="98" spans="1:3" x14ac:dyDescent="0.2">
      <c r="A98" s="83" t="s">
        <v>442</v>
      </c>
      <c r="B98" s="131">
        <v>100</v>
      </c>
      <c r="C98" s="84" t="s">
        <v>48</v>
      </c>
    </row>
    <row r="99" spans="1:3" x14ac:dyDescent="0.2">
      <c r="A99" s="52" t="s">
        <v>159</v>
      </c>
      <c r="B99" s="131">
        <v>1</v>
      </c>
      <c r="C99" s="52" t="s">
        <v>221</v>
      </c>
    </row>
    <row r="100" spans="1:3" x14ac:dyDescent="0.2">
      <c r="A100" s="52" t="s">
        <v>160</v>
      </c>
      <c r="B100" s="131">
        <v>1</v>
      </c>
      <c r="C100" s="52" t="s">
        <v>221</v>
      </c>
    </row>
    <row r="101" spans="1:3" x14ac:dyDescent="0.2">
      <c r="A101" s="83" t="s">
        <v>308</v>
      </c>
      <c r="B101" s="130">
        <v>0.23</v>
      </c>
    </row>
    <row r="102" spans="1:3" x14ac:dyDescent="0.2">
      <c r="A102" s="83" t="s">
        <v>309</v>
      </c>
      <c r="B102" s="130">
        <v>0.77</v>
      </c>
    </row>
    <row r="103" spans="1:3" x14ac:dyDescent="0.2">
      <c r="A103" s="52" t="s">
        <v>140</v>
      </c>
      <c r="B103" s="131">
        <v>75</v>
      </c>
      <c r="C103" s="52" t="s">
        <v>24</v>
      </c>
    </row>
    <row r="104" spans="1:3" x14ac:dyDescent="0.2">
      <c r="A104" s="52" t="s">
        <v>433</v>
      </c>
      <c r="B104" s="131">
        <v>75</v>
      </c>
      <c r="C104" s="52" t="s">
        <v>24</v>
      </c>
    </row>
    <row r="105" spans="1:3" x14ac:dyDescent="0.2">
      <c r="A105" s="52" t="s">
        <v>434</v>
      </c>
      <c r="B105" s="131">
        <v>75</v>
      </c>
      <c r="C105" s="52" t="s">
        <v>24</v>
      </c>
    </row>
    <row r="106" spans="1:3" x14ac:dyDescent="0.2">
      <c r="A106" s="52" t="s">
        <v>431</v>
      </c>
      <c r="B106" s="130">
        <v>1</v>
      </c>
      <c r="C106" s="52" t="s">
        <v>194</v>
      </c>
    </row>
    <row r="107" spans="1:3" x14ac:dyDescent="0.2">
      <c r="A107" s="52" t="s">
        <v>432</v>
      </c>
      <c r="B107" s="130">
        <v>1</v>
      </c>
      <c r="C107" s="52" t="s">
        <v>194</v>
      </c>
    </row>
    <row r="108" spans="1:3" x14ac:dyDescent="0.2">
      <c r="A108" s="52" t="s">
        <v>90</v>
      </c>
      <c r="B108" s="131">
        <v>1</v>
      </c>
      <c r="C108" s="52" t="s">
        <v>194</v>
      </c>
    </row>
    <row r="109" spans="1:3" x14ac:dyDescent="0.2">
      <c r="A109" s="52" t="s">
        <v>443</v>
      </c>
      <c r="B109" s="131">
        <v>1</v>
      </c>
      <c r="C109" s="52" t="s">
        <v>89</v>
      </c>
    </row>
    <row r="110" spans="1:3" x14ac:dyDescent="0.2">
      <c r="A110" s="52" t="s">
        <v>444</v>
      </c>
      <c r="B110" s="131">
        <v>1</v>
      </c>
      <c r="C110" s="52" t="s">
        <v>89</v>
      </c>
    </row>
    <row r="111" spans="1:3" x14ac:dyDescent="0.2">
      <c r="A111" s="83" t="s">
        <v>301</v>
      </c>
      <c r="B111" s="131">
        <v>1</v>
      </c>
    </row>
    <row r="112" spans="1:3" x14ac:dyDescent="0.2">
      <c r="A112" s="83" t="s">
        <v>433</v>
      </c>
      <c r="B112" s="130">
        <v>45</v>
      </c>
      <c r="C112" s="83" t="s">
        <v>24</v>
      </c>
    </row>
    <row r="113" spans="1:3" x14ac:dyDescent="0.2">
      <c r="A113" s="83" t="s">
        <v>434</v>
      </c>
      <c r="B113" s="130">
        <v>45</v>
      </c>
      <c r="C113" s="83" t="s">
        <v>24</v>
      </c>
    </row>
    <row r="114" spans="1:3" x14ac:dyDescent="0.2">
      <c r="A114" s="83" t="s">
        <v>435</v>
      </c>
      <c r="B114" s="131">
        <v>1</v>
      </c>
      <c r="C114" s="52" t="s">
        <v>80</v>
      </c>
    </row>
    <row r="115" spans="1:3" x14ac:dyDescent="0.2">
      <c r="A115" s="83" t="s">
        <v>436</v>
      </c>
      <c r="B115" s="131">
        <v>1</v>
      </c>
      <c r="C115" s="52" t="s">
        <v>80</v>
      </c>
    </row>
    <row r="116" spans="1:3" x14ac:dyDescent="0.2">
      <c r="A116" s="83" t="s">
        <v>65</v>
      </c>
      <c r="B116" s="130">
        <v>0.5</v>
      </c>
      <c r="C116" s="52" t="s">
        <v>66</v>
      </c>
    </row>
    <row r="117" spans="1:3" x14ac:dyDescent="0.2">
      <c r="A117" s="52" t="s">
        <v>51</v>
      </c>
      <c r="B117" s="131">
        <v>1</v>
      </c>
      <c r="C117" s="52" t="s">
        <v>60</v>
      </c>
    </row>
    <row r="118" spans="1:3" x14ac:dyDescent="0.2">
      <c r="A118" s="52" t="s">
        <v>329</v>
      </c>
      <c r="B118" s="131">
        <v>0.12375</v>
      </c>
    </row>
    <row r="119" spans="1:3" x14ac:dyDescent="0.2">
      <c r="A119" s="52" t="s">
        <v>330</v>
      </c>
      <c r="B119" s="131">
        <v>0.79190000000000005</v>
      </c>
    </row>
    <row r="120" spans="1:3" x14ac:dyDescent="0.2">
      <c r="A120" s="52" t="s">
        <v>331</v>
      </c>
      <c r="B120" s="131">
        <v>5.806E-2</v>
      </c>
    </row>
    <row r="121" spans="1:3" x14ac:dyDescent="0.2">
      <c r="A121" s="52" t="s">
        <v>332</v>
      </c>
      <c r="B121" s="131">
        <v>0.624</v>
      </c>
    </row>
    <row r="122" spans="1:3" x14ac:dyDescent="0.2">
      <c r="A122" s="52" t="s">
        <v>333</v>
      </c>
      <c r="B122" s="131">
        <v>6.8599999999999994E-2</v>
      </c>
    </row>
    <row r="123" spans="1:3" x14ac:dyDescent="0.2">
      <c r="A123" s="52" t="s">
        <v>334</v>
      </c>
      <c r="B123" s="131">
        <v>0.73660000000000003</v>
      </c>
    </row>
    <row r="124" spans="1:3" x14ac:dyDescent="0.2">
      <c r="A124" s="52" t="s">
        <v>335</v>
      </c>
      <c r="B124" s="131">
        <v>0.1009</v>
      </c>
    </row>
    <row r="125" spans="1:3" x14ac:dyDescent="0.2">
      <c r="A125" s="52" t="s">
        <v>336</v>
      </c>
      <c r="B125" s="131">
        <v>0.75109999999999999</v>
      </c>
    </row>
    <row r="126" spans="1:3" x14ac:dyDescent="0.2">
      <c r="A126" s="52" t="s">
        <v>337</v>
      </c>
      <c r="B126" s="131">
        <v>3.4369999999999998E-2</v>
      </c>
    </row>
    <row r="127" spans="1:3" x14ac:dyDescent="0.2">
      <c r="A127" s="52" t="s">
        <v>338</v>
      </c>
      <c r="B127" s="131">
        <v>0.45569999999999999</v>
      </c>
    </row>
    <row r="128" spans="1:3" x14ac:dyDescent="0.2">
      <c r="A128" s="52" t="s">
        <v>159</v>
      </c>
      <c r="B128" s="130">
        <v>1</v>
      </c>
      <c r="C128" s="52" t="s">
        <v>221</v>
      </c>
    </row>
    <row r="129" spans="1:3" x14ac:dyDescent="0.2">
      <c r="A129" s="84" t="s">
        <v>164</v>
      </c>
      <c r="B129" s="130">
        <v>1</v>
      </c>
      <c r="C129" s="52" t="s">
        <v>246</v>
      </c>
    </row>
    <row r="130" spans="1:3" x14ac:dyDescent="0.2">
      <c r="A130" s="84" t="s">
        <v>161</v>
      </c>
      <c r="B130" s="130">
        <v>1</v>
      </c>
      <c r="C130" s="52" t="s">
        <v>246</v>
      </c>
    </row>
    <row r="131" spans="1:3" x14ac:dyDescent="0.2">
      <c r="A131" s="84" t="s">
        <v>162</v>
      </c>
      <c r="B131" s="130">
        <v>1</v>
      </c>
      <c r="C131" s="52" t="s">
        <v>41</v>
      </c>
    </row>
    <row r="132" spans="1:3" x14ac:dyDescent="0.2">
      <c r="A132" s="84" t="s">
        <v>163</v>
      </c>
      <c r="B132" s="130">
        <v>1</v>
      </c>
      <c r="C132" s="52" t="s">
        <v>41</v>
      </c>
    </row>
    <row r="133" spans="1:3" x14ac:dyDescent="0.2">
      <c r="A133" s="84" t="s">
        <v>169</v>
      </c>
      <c r="B133" s="130">
        <v>1</v>
      </c>
      <c r="C133" s="52" t="s">
        <v>28</v>
      </c>
    </row>
    <row r="134" spans="1:3" x14ac:dyDescent="0.2">
      <c r="A134" s="52" t="s">
        <v>160</v>
      </c>
      <c r="B134" s="130">
        <v>1</v>
      </c>
      <c r="C134" s="52" t="s">
        <v>221</v>
      </c>
    </row>
    <row r="135" spans="1:3" x14ac:dyDescent="0.2">
      <c r="A135" s="52" t="s">
        <v>165</v>
      </c>
      <c r="B135" s="130">
        <v>1</v>
      </c>
      <c r="C135" s="52" t="s">
        <v>246</v>
      </c>
    </row>
    <row r="136" spans="1:3" x14ac:dyDescent="0.2">
      <c r="A136" s="52" t="s">
        <v>166</v>
      </c>
      <c r="B136" s="130">
        <v>1</v>
      </c>
      <c r="C136" s="52" t="s">
        <v>246</v>
      </c>
    </row>
    <row r="137" spans="1:3" x14ac:dyDescent="0.2">
      <c r="A137" s="93" t="s">
        <v>167</v>
      </c>
      <c r="B137" s="130">
        <v>1</v>
      </c>
      <c r="C137" s="52" t="s">
        <v>41</v>
      </c>
    </row>
    <row r="138" spans="1:3" x14ac:dyDescent="0.2">
      <c r="A138" s="83" t="s">
        <v>168</v>
      </c>
      <c r="B138" s="130">
        <v>1</v>
      </c>
      <c r="C138" s="52" t="s">
        <v>41</v>
      </c>
    </row>
    <row r="139" spans="1:3" x14ac:dyDescent="0.2">
      <c r="A139" s="84" t="s">
        <v>170</v>
      </c>
      <c r="B139" s="130">
        <v>1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200</v>
      </c>
      <c r="C141" s="84" t="s">
        <v>48</v>
      </c>
    </row>
    <row r="142" spans="1:3" x14ac:dyDescent="0.2">
      <c r="A142" s="83" t="s">
        <v>458</v>
      </c>
      <c r="B142" s="130">
        <v>100</v>
      </c>
      <c r="C142" s="84" t="s">
        <v>48</v>
      </c>
    </row>
    <row r="143" spans="1:3" x14ac:dyDescent="0.2">
      <c r="A143" s="83" t="s">
        <v>450</v>
      </c>
      <c r="B143" s="130">
        <v>10</v>
      </c>
      <c r="C143" s="92" t="s">
        <v>407</v>
      </c>
    </row>
    <row r="144" spans="1:3" x14ac:dyDescent="0.2">
      <c r="A144" s="83" t="s">
        <v>459</v>
      </c>
      <c r="B144" s="130">
        <v>20</v>
      </c>
      <c r="C144" s="92" t="s">
        <v>407</v>
      </c>
    </row>
    <row r="145" spans="1:3" x14ac:dyDescent="0.2">
      <c r="A145" s="92" t="s">
        <v>451</v>
      </c>
      <c r="B145" s="131">
        <v>0.78</v>
      </c>
      <c r="C145" s="83" t="s">
        <v>28</v>
      </c>
    </row>
    <row r="146" spans="1:3" x14ac:dyDescent="0.2">
      <c r="A146" s="92" t="s">
        <v>460</v>
      </c>
      <c r="B146" s="131">
        <v>2.5</v>
      </c>
      <c r="C146" s="83" t="s">
        <v>28</v>
      </c>
    </row>
    <row r="147" spans="1:3" ht="15" x14ac:dyDescent="0.2">
      <c r="A147" s="92" t="s">
        <v>450</v>
      </c>
      <c r="B147" s="131">
        <v>10</v>
      </c>
      <c r="C147" s="83" t="s">
        <v>143</v>
      </c>
    </row>
    <row r="148" spans="1:3" ht="15" x14ac:dyDescent="0.2">
      <c r="A148" s="92" t="s">
        <v>459</v>
      </c>
      <c r="B148" s="131">
        <v>20</v>
      </c>
      <c r="C148" s="83" t="s">
        <v>143</v>
      </c>
    </row>
    <row r="149" spans="1:3" x14ac:dyDescent="0.2">
      <c r="A149" s="83" t="s">
        <v>467</v>
      </c>
      <c r="B149" s="130">
        <v>68.099999999999994</v>
      </c>
      <c r="C149" s="92" t="s">
        <v>221</v>
      </c>
    </row>
    <row r="150" spans="1:3" x14ac:dyDescent="0.2">
      <c r="A150" s="83" t="s">
        <v>468</v>
      </c>
      <c r="B150" s="130">
        <v>176.8</v>
      </c>
      <c r="C150" s="92" t="s">
        <v>221</v>
      </c>
    </row>
    <row r="151" spans="1:3" x14ac:dyDescent="0.2">
      <c r="A151" s="83" t="s">
        <v>469</v>
      </c>
      <c r="B151" s="130">
        <v>41.7</v>
      </c>
      <c r="C151" s="92" t="s">
        <v>221</v>
      </c>
    </row>
    <row r="152" spans="1:3" x14ac:dyDescent="0.2">
      <c r="A152" s="83" t="s">
        <v>470</v>
      </c>
      <c r="B152" s="130">
        <v>125.7</v>
      </c>
      <c r="C152" s="92" t="s">
        <v>221</v>
      </c>
    </row>
    <row r="153" spans="1:3" x14ac:dyDescent="0.2">
      <c r="A153" s="83" t="s">
        <v>452</v>
      </c>
      <c r="B153" s="130">
        <v>349.5</v>
      </c>
      <c r="C153" s="92" t="s">
        <v>221</v>
      </c>
    </row>
    <row r="154" spans="1:3" x14ac:dyDescent="0.2">
      <c r="A154" s="83" t="s">
        <v>461</v>
      </c>
      <c r="B154" s="130">
        <v>445.6</v>
      </c>
      <c r="C154" s="92" t="s">
        <v>221</v>
      </c>
    </row>
    <row r="155" spans="1:3" x14ac:dyDescent="0.2">
      <c r="A155" s="83" t="s">
        <v>453</v>
      </c>
      <c r="B155" s="132">
        <v>40.1</v>
      </c>
      <c r="C155" s="92" t="s">
        <v>221</v>
      </c>
    </row>
    <row r="156" spans="1:3" x14ac:dyDescent="0.2">
      <c r="A156" s="83" t="s">
        <v>462</v>
      </c>
      <c r="B156" s="132">
        <v>178</v>
      </c>
      <c r="C156" s="92" t="s">
        <v>221</v>
      </c>
    </row>
    <row r="157" spans="1:3" x14ac:dyDescent="0.2">
      <c r="A157" s="83" t="s">
        <v>454</v>
      </c>
      <c r="B157" s="133">
        <v>10.95</v>
      </c>
      <c r="C157" s="92" t="s">
        <v>221</v>
      </c>
    </row>
    <row r="158" spans="1:3" x14ac:dyDescent="0.2">
      <c r="A158" s="83" t="s">
        <v>463</v>
      </c>
      <c r="B158" s="132">
        <v>53.4</v>
      </c>
      <c r="C158" s="92" t="s">
        <v>221</v>
      </c>
    </row>
    <row r="159" spans="1:3" x14ac:dyDescent="0.2">
      <c r="A159" s="83" t="s">
        <v>471</v>
      </c>
      <c r="B159" s="130">
        <v>32.799999999999997</v>
      </c>
      <c r="C159" s="92" t="s">
        <v>221</v>
      </c>
    </row>
    <row r="160" spans="1:3" x14ac:dyDescent="0.2">
      <c r="A160" s="83" t="s">
        <v>472</v>
      </c>
      <c r="B160" s="130">
        <v>155.4</v>
      </c>
      <c r="C160" s="92" t="s">
        <v>221</v>
      </c>
    </row>
    <row r="161" spans="1:3" x14ac:dyDescent="0.2">
      <c r="A161" s="83" t="s">
        <v>473</v>
      </c>
      <c r="B161" s="132">
        <v>23.6</v>
      </c>
      <c r="C161" s="92" t="s">
        <v>221</v>
      </c>
    </row>
    <row r="162" spans="1:3" x14ac:dyDescent="0.2">
      <c r="A162" s="83" t="s">
        <v>474</v>
      </c>
      <c r="B162" s="132">
        <v>106.6</v>
      </c>
      <c r="C162" s="92" t="s">
        <v>221</v>
      </c>
    </row>
    <row r="163" spans="1:3" x14ac:dyDescent="0.2">
      <c r="A163" s="83" t="s">
        <v>455</v>
      </c>
      <c r="B163" s="130">
        <v>18.5</v>
      </c>
      <c r="C163" s="92" t="s">
        <v>221</v>
      </c>
    </row>
    <row r="164" spans="1:3" x14ac:dyDescent="0.2">
      <c r="A164" s="83" t="s">
        <v>464</v>
      </c>
      <c r="B164" s="130">
        <v>97.9</v>
      </c>
      <c r="C164" s="92" t="s">
        <v>221</v>
      </c>
    </row>
    <row r="165" spans="1:3" x14ac:dyDescent="0.2">
      <c r="A165" s="83" t="s">
        <v>475</v>
      </c>
      <c r="B165" s="130">
        <v>0.15</v>
      </c>
      <c r="C165" s="88"/>
    </row>
    <row r="166" spans="1:3" x14ac:dyDescent="0.2">
      <c r="A166" s="83" t="s">
        <v>476</v>
      </c>
      <c r="B166" s="130">
        <v>0.85</v>
      </c>
      <c r="C166" s="88"/>
    </row>
    <row r="167" spans="1:3" x14ac:dyDescent="0.2">
      <c r="A167" s="83" t="s">
        <v>456</v>
      </c>
      <c r="B167" s="130">
        <v>350</v>
      </c>
      <c r="C167" s="83" t="s">
        <v>24</v>
      </c>
    </row>
    <row r="168" spans="1:3" x14ac:dyDescent="0.2">
      <c r="A168" s="83" t="s">
        <v>465</v>
      </c>
      <c r="B168" s="130">
        <v>350</v>
      </c>
      <c r="C168" s="83" t="s">
        <v>24</v>
      </c>
    </row>
    <row r="169" spans="1:3" x14ac:dyDescent="0.2">
      <c r="A169" s="52" t="s">
        <v>362</v>
      </c>
      <c r="B169" s="131">
        <v>350</v>
      </c>
      <c r="C169" s="83" t="s">
        <v>24</v>
      </c>
    </row>
    <row r="170" spans="1:3" x14ac:dyDescent="0.2">
      <c r="A170" s="83" t="s">
        <v>363</v>
      </c>
      <c r="B170" s="130">
        <v>1</v>
      </c>
      <c r="C170" s="92" t="s">
        <v>60</v>
      </c>
    </row>
    <row r="171" spans="1:3" x14ac:dyDescent="0.2">
      <c r="A171" s="83" t="s">
        <v>364</v>
      </c>
      <c r="B171" s="130">
        <v>24</v>
      </c>
      <c r="C171" s="94" t="s">
        <v>194</v>
      </c>
    </row>
    <row r="172" spans="1:3" x14ac:dyDescent="0.2">
      <c r="A172" s="83" t="s">
        <v>365</v>
      </c>
      <c r="B172" s="130">
        <v>24</v>
      </c>
      <c r="C172" s="52" t="s">
        <v>194</v>
      </c>
    </row>
    <row r="173" spans="1:3" x14ac:dyDescent="0.2">
      <c r="A173" s="83" t="s">
        <v>361</v>
      </c>
      <c r="B173" s="130">
        <v>1</v>
      </c>
    </row>
    <row r="174" spans="1:3" x14ac:dyDescent="0.2">
      <c r="A174" s="83" t="s">
        <v>507</v>
      </c>
      <c r="B174" s="130">
        <v>12.167999999999999</v>
      </c>
      <c r="C174" s="84" t="s">
        <v>194</v>
      </c>
    </row>
    <row r="175" spans="1:3" x14ac:dyDescent="0.2">
      <c r="A175" s="83" t="s">
        <v>508</v>
      </c>
      <c r="B175" s="130">
        <v>10.007999999999999</v>
      </c>
      <c r="C175" s="84" t="s">
        <v>194</v>
      </c>
    </row>
    <row r="176" spans="1:3" x14ac:dyDescent="0.2">
      <c r="A176" s="83" t="s">
        <v>88</v>
      </c>
      <c r="B176" s="130">
        <v>0.4</v>
      </c>
    </row>
    <row r="177" spans="1:3" x14ac:dyDescent="0.2">
      <c r="A177" s="83" t="s">
        <v>303</v>
      </c>
      <c r="B177" s="130">
        <v>0.4</v>
      </c>
    </row>
    <row r="178" spans="1:3" x14ac:dyDescent="0.2">
      <c r="A178" s="83" t="s">
        <v>302</v>
      </c>
      <c r="B178" s="130">
        <v>1</v>
      </c>
    </row>
    <row r="179" spans="1:3" x14ac:dyDescent="0.2">
      <c r="A179" s="83" t="s">
        <v>54</v>
      </c>
      <c r="B179" s="130">
        <v>1</v>
      </c>
    </row>
    <row r="180" spans="1:3" x14ac:dyDescent="0.2">
      <c r="A180" s="83" t="s">
        <v>301</v>
      </c>
      <c r="B180" s="131">
        <v>1</v>
      </c>
    </row>
    <row r="181" spans="1:3" x14ac:dyDescent="0.2">
      <c r="A181" s="92" t="s">
        <v>457</v>
      </c>
      <c r="B181" s="130">
        <v>1</v>
      </c>
      <c r="C181" s="92" t="s">
        <v>144</v>
      </c>
    </row>
    <row r="182" spans="1:3" x14ac:dyDescent="0.2">
      <c r="A182" s="92" t="s">
        <v>466</v>
      </c>
      <c r="B182" s="130">
        <v>1</v>
      </c>
      <c r="C182" s="92" t="s">
        <v>144</v>
      </c>
    </row>
    <row r="183" spans="1:3" x14ac:dyDescent="0.2">
      <c r="A183" s="52" t="s">
        <v>477</v>
      </c>
      <c r="B183" s="130">
        <v>0.54</v>
      </c>
      <c r="C183" s="92" t="s">
        <v>358</v>
      </c>
    </row>
    <row r="184" spans="1:3" x14ac:dyDescent="0.2">
      <c r="A184" s="52" t="s">
        <v>478</v>
      </c>
      <c r="B184" s="130">
        <v>0.71</v>
      </c>
      <c r="C184" s="92" t="s">
        <v>358</v>
      </c>
    </row>
    <row r="185" spans="1:3" ht="15" x14ac:dyDescent="0.2">
      <c r="A185" s="84" t="s">
        <v>65</v>
      </c>
      <c r="B185" s="130">
        <v>0.5</v>
      </c>
      <c r="C185" s="92" t="s">
        <v>145</v>
      </c>
    </row>
    <row r="186" spans="1:3" x14ac:dyDescent="0.2">
      <c r="A186" s="92" t="s">
        <v>361</v>
      </c>
      <c r="B186" s="130">
        <v>1</v>
      </c>
    </row>
    <row r="187" spans="1:3" x14ac:dyDescent="0.2">
      <c r="A187" s="92" t="s">
        <v>479</v>
      </c>
      <c r="B187" s="130">
        <v>1</v>
      </c>
    </row>
    <row r="188" spans="1:3" x14ac:dyDescent="0.2">
      <c r="A188" s="92" t="s">
        <v>480</v>
      </c>
      <c r="B188" s="130">
        <v>1</v>
      </c>
    </row>
    <row r="189" spans="1:3" x14ac:dyDescent="0.2">
      <c r="A189" s="92" t="s">
        <v>481</v>
      </c>
      <c r="B189" s="130">
        <v>1</v>
      </c>
    </row>
    <row r="190" spans="1:3" x14ac:dyDescent="0.2">
      <c r="A190" s="92" t="s">
        <v>482</v>
      </c>
      <c r="B190" s="130">
        <v>1</v>
      </c>
    </row>
    <row r="191" spans="1:3" x14ac:dyDescent="0.2">
      <c r="A191" s="92" t="s">
        <v>483</v>
      </c>
      <c r="B191" s="130">
        <v>1</v>
      </c>
    </row>
    <row r="192" spans="1:3" x14ac:dyDescent="0.2">
      <c r="A192" s="92" t="s">
        <v>484</v>
      </c>
      <c r="B192" s="131">
        <v>1</v>
      </c>
    </row>
    <row r="193" spans="1:3" x14ac:dyDescent="0.2">
      <c r="A193" s="83" t="s">
        <v>36</v>
      </c>
      <c r="B193" s="131">
        <v>3.62</v>
      </c>
      <c r="C193" s="52" t="s">
        <v>37</v>
      </c>
    </row>
    <row r="194" spans="1:3" x14ac:dyDescent="0.2">
      <c r="A194" s="83" t="s">
        <v>40</v>
      </c>
      <c r="B194" s="131">
        <v>0.25</v>
      </c>
      <c r="C194" s="52" t="s">
        <v>41</v>
      </c>
    </row>
    <row r="195" spans="1:3" x14ac:dyDescent="0.2">
      <c r="A195" s="92" t="s">
        <v>52</v>
      </c>
      <c r="B195" s="131">
        <v>10950</v>
      </c>
      <c r="C195" s="52" t="s">
        <v>53</v>
      </c>
    </row>
    <row r="196" spans="1:3" x14ac:dyDescent="0.2">
      <c r="A196" s="92" t="s">
        <v>55</v>
      </c>
      <c r="B196" s="131">
        <v>240</v>
      </c>
      <c r="C196" s="52" t="s">
        <v>56</v>
      </c>
    </row>
    <row r="197" spans="1:3" x14ac:dyDescent="0.2">
      <c r="A197" s="92" t="s">
        <v>61</v>
      </c>
      <c r="B197" s="131">
        <v>0.42</v>
      </c>
      <c r="C197" s="52" t="s">
        <v>41</v>
      </c>
    </row>
    <row r="198" spans="1:3" x14ac:dyDescent="0.2">
      <c r="A198" s="92" t="s">
        <v>67</v>
      </c>
      <c r="B198" s="131">
        <v>60</v>
      </c>
      <c r="C198" s="83" t="s">
        <v>53</v>
      </c>
    </row>
    <row r="199" spans="1:3" x14ac:dyDescent="0.2">
      <c r="A199" s="92" t="s">
        <v>68</v>
      </c>
      <c r="B199" s="131">
        <v>2</v>
      </c>
      <c r="C199" s="83" t="s">
        <v>56</v>
      </c>
    </row>
    <row r="200" spans="1:3" x14ac:dyDescent="0.2">
      <c r="A200" s="92" t="s">
        <v>70</v>
      </c>
      <c r="B200" s="131">
        <v>2.6999999999999999E-5</v>
      </c>
      <c r="C200" s="52" t="s">
        <v>64</v>
      </c>
    </row>
    <row r="201" spans="1:3" x14ac:dyDescent="0.2">
      <c r="A201" s="92" t="s">
        <v>73</v>
      </c>
      <c r="B201" s="131">
        <v>1</v>
      </c>
      <c r="C201" s="52" t="s">
        <v>41</v>
      </c>
    </row>
    <row r="202" spans="1:3" x14ac:dyDescent="0.2">
      <c r="A202" s="92" t="s">
        <v>74</v>
      </c>
      <c r="B202" s="131">
        <v>14</v>
      </c>
      <c r="C202" s="52" t="s">
        <v>75</v>
      </c>
    </row>
    <row r="203" spans="1:3" x14ac:dyDescent="0.2">
      <c r="A203" s="83" t="s">
        <v>27</v>
      </c>
      <c r="B203" s="131">
        <v>92</v>
      </c>
      <c r="C203" s="83" t="s">
        <v>28</v>
      </c>
    </row>
    <row r="204" spans="1:3" x14ac:dyDescent="0.2">
      <c r="A204" s="52" t="s">
        <v>285</v>
      </c>
      <c r="B204" s="130">
        <v>1.03</v>
      </c>
      <c r="C204" s="52" t="s">
        <v>286</v>
      </c>
    </row>
    <row r="205" spans="1:3" x14ac:dyDescent="0.2">
      <c r="A205" s="83" t="s">
        <v>498</v>
      </c>
      <c r="B205" s="131">
        <v>20.3</v>
      </c>
      <c r="C205" s="52" t="s">
        <v>246</v>
      </c>
    </row>
    <row r="206" spans="1:3" x14ac:dyDescent="0.2">
      <c r="A206" s="83" t="s">
        <v>499</v>
      </c>
      <c r="B206" s="131">
        <v>0.04</v>
      </c>
      <c r="C206" s="52" t="s">
        <v>246</v>
      </c>
    </row>
    <row r="207" spans="1:3" x14ac:dyDescent="0.2">
      <c r="A207" s="83" t="s">
        <v>500</v>
      </c>
      <c r="B207" s="131">
        <v>1</v>
      </c>
    </row>
    <row r="208" spans="1:3" x14ac:dyDescent="0.2">
      <c r="A208" s="83" t="s">
        <v>501</v>
      </c>
      <c r="B208" s="131">
        <v>1</v>
      </c>
    </row>
    <row r="209" spans="1:3" x14ac:dyDescent="0.2">
      <c r="A209" s="83" t="s">
        <v>29</v>
      </c>
      <c r="B209" s="131">
        <v>53</v>
      </c>
      <c r="C209" s="83" t="s">
        <v>28</v>
      </c>
    </row>
    <row r="210" spans="1:3" x14ac:dyDescent="0.2">
      <c r="A210" s="83" t="s">
        <v>494</v>
      </c>
      <c r="B210" s="131">
        <v>11.77</v>
      </c>
      <c r="C210" s="52" t="s">
        <v>246</v>
      </c>
    </row>
    <row r="211" spans="1:3" x14ac:dyDescent="0.2">
      <c r="A211" s="83" t="s">
        <v>495</v>
      </c>
      <c r="B211" s="131">
        <v>0.5</v>
      </c>
      <c r="C211" s="52" t="s">
        <v>246</v>
      </c>
    </row>
    <row r="212" spans="1:3" x14ac:dyDescent="0.2">
      <c r="A212" s="83" t="s">
        <v>496</v>
      </c>
      <c r="B212" s="131">
        <v>1</v>
      </c>
    </row>
    <row r="213" spans="1:3" x14ac:dyDescent="0.2">
      <c r="A213" s="83" t="s">
        <v>497</v>
      </c>
      <c r="B213" s="131">
        <v>1</v>
      </c>
    </row>
    <row r="214" spans="1:3" x14ac:dyDescent="0.2">
      <c r="A214" s="83" t="s">
        <v>148</v>
      </c>
      <c r="B214" s="130">
        <v>0.4</v>
      </c>
      <c r="C214" s="83" t="s">
        <v>28</v>
      </c>
    </row>
    <row r="215" spans="1:3" x14ac:dyDescent="0.2">
      <c r="A215" s="83" t="s">
        <v>152</v>
      </c>
      <c r="B215" s="131">
        <v>0.2</v>
      </c>
      <c r="C215" s="52" t="s">
        <v>246</v>
      </c>
    </row>
    <row r="216" spans="1:3" x14ac:dyDescent="0.2">
      <c r="A216" s="83" t="s">
        <v>151</v>
      </c>
      <c r="B216" s="131">
        <v>2.1999999999999999E-2</v>
      </c>
      <c r="C216" s="52" t="s">
        <v>246</v>
      </c>
    </row>
    <row r="217" spans="1:3" x14ac:dyDescent="0.2">
      <c r="A217" s="83" t="s">
        <v>153</v>
      </c>
      <c r="B217" s="130">
        <v>1</v>
      </c>
    </row>
    <row r="218" spans="1:3" x14ac:dyDescent="0.2">
      <c r="A218" s="83" t="s">
        <v>154</v>
      </c>
      <c r="B218" s="130">
        <v>1</v>
      </c>
    </row>
    <row r="219" spans="1:3" x14ac:dyDescent="0.2">
      <c r="A219" s="83" t="s">
        <v>485</v>
      </c>
      <c r="B219" s="130">
        <v>0.4</v>
      </c>
      <c r="C219" s="83" t="s">
        <v>28</v>
      </c>
    </row>
    <row r="220" spans="1:3" x14ac:dyDescent="0.2">
      <c r="A220" s="83" t="s">
        <v>486</v>
      </c>
      <c r="B220" s="131">
        <v>0.2</v>
      </c>
      <c r="C220" s="52" t="s">
        <v>246</v>
      </c>
    </row>
    <row r="221" spans="1:3" x14ac:dyDescent="0.2">
      <c r="A221" s="83" t="s">
        <v>487</v>
      </c>
      <c r="B221" s="131">
        <v>2.1999999999999999E-2</v>
      </c>
      <c r="C221" s="52" t="s">
        <v>246</v>
      </c>
    </row>
    <row r="222" spans="1:3" x14ac:dyDescent="0.2">
      <c r="A222" s="83" t="s">
        <v>488</v>
      </c>
      <c r="B222" s="131">
        <v>1</v>
      </c>
    </row>
    <row r="223" spans="1:3" x14ac:dyDescent="0.2">
      <c r="A223" s="83" t="s">
        <v>489</v>
      </c>
      <c r="B223" s="131">
        <v>1</v>
      </c>
    </row>
    <row r="224" spans="1:3" x14ac:dyDescent="0.2">
      <c r="A224" s="83" t="s">
        <v>150</v>
      </c>
      <c r="B224" s="131">
        <v>11.4</v>
      </c>
      <c r="C224" s="83" t="s">
        <v>28</v>
      </c>
    </row>
    <row r="225" spans="1:3" x14ac:dyDescent="0.2">
      <c r="A225" s="83" t="s">
        <v>490</v>
      </c>
      <c r="B225" s="131">
        <v>4.7</v>
      </c>
      <c r="C225" s="52" t="s">
        <v>246</v>
      </c>
    </row>
    <row r="226" spans="1:3" x14ac:dyDescent="0.2">
      <c r="A226" s="83" t="s">
        <v>491</v>
      </c>
      <c r="B226" s="131">
        <v>0.37</v>
      </c>
      <c r="C226" s="52" t="s">
        <v>246</v>
      </c>
    </row>
    <row r="227" spans="1:3" x14ac:dyDescent="0.2">
      <c r="A227" s="83" t="s">
        <v>492</v>
      </c>
      <c r="B227" s="131">
        <v>1</v>
      </c>
    </row>
    <row r="228" spans="1:3" x14ac:dyDescent="0.2">
      <c r="A228" s="83" t="s">
        <v>493</v>
      </c>
      <c r="B228" s="131">
        <v>1</v>
      </c>
    </row>
    <row r="229" spans="1:3" x14ac:dyDescent="0.2">
      <c r="A229" s="370" t="s">
        <v>311</v>
      </c>
      <c r="B229" s="370"/>
      <c r="C229" s="370"/>
    </row>
    <row r="230" spans="1:3" x14ac:dyDescent="0.2">
      <c r="A230" s="52" t="s">
        <v>504</v>
      </c>
      <c r="B230" s="130">
        <v>60</v>
      </c>
      <c r="C230" s="84" t="s">
        <v>407</v>
      </c>
    </row>
    <row r="231" spans="1:3" x14ac:dyDescent="0.2">
      <c r="A231" s="83" t="s">
        <v>316</v>
      </c>
      <c r="B231" s="130">
        <v>250</v>
      </c>
      <c r="C231" s="52" t="s">
        <v>24</v>
      </c>
    </row>
    <row r="232" spans="1:3" x14ac:dyDescent="0.2">
      <c r="A232" s="83" t="s">
        <v>422</v>
      </c>
      <c r="B232" s="131">
        <v>1</v>
      </c>
      <c r="C232" s="52" t="s">
        <v>60</v>
      </c>
    </row>
    <row r="233" spans="1:3" x14ac:dyDescent="0.2">
      <c r="A233" s="83" t="s">
        <v>317</v>
      </c>
      <c r="B233" s="130">
        <v>100</v>
      </c>
      <c r="C233" s="84" t="s">
        <v>48</v>
      </c>
    </row>
    <row r="234" spans="1:3" x14ac:dyDescent="0.2">
      <c r="A234" s="52" t="s">
        <v>318</v>
      </c>
      <c r="B234" s="131">
        <v>1</v>
      </c>
    </row>
    <row r="235" spans="1:3" x14ac:dyDescent="0.2">
      <c r="A235" s="83" t="s">
        <v>300</v>
      </c>
      <c r="B235" s="131">
        <v>1</v>
      </c>
    </row>
    <row r="236" spans="1:3" x14ac:dyDescent="0.2">
      <c r="A236" s="83" t="s">
        <v>299</v>
      </c>
      <c r="B236" s="131">
        <v>0.4</v>
      </c>
    </row>
    <row r="237" spans="1:3" x14ac:dyDescent="0.2">
      <c r="A237" s="83" t="s">
        <v>54</v>
      </c>
      <c r="B237" s="131">
        <v>1</v>
      </c>
    </row>
    <row r="238" spans="1:3" x14ac:dyDescent="0.2">
      <c r="A238" s="83" t="s">
        <v>83</v>
      </c>
      <c r="B238" s="130">
        <v>8</v>
      </c>
      <c r="C238" s="52" t="s">
        <v>194</v>
      </c>
    </row>
    <row r="239" spans="1:3" x14ac:dyDescent="0.2">
      <c r="A239" s="83" t="s">
        <v>85</v>
      </c>
      <c r="B239" s="130">
        <v>8</v>
      </c>
      <c r="C239" s="52" t="s">
        <v>194</v>
      </c>
    </row>
    <row r="240" spans="1:3" x14ac:dyDescent="0.2">
      <c r="A240" s="83" t="s">
        <v>88</v>
      </c>
      <c r="B240" s="130">
        <v>0.4</v>
      </c>
    </row>
    <row r="241" spans="1:3" x14ac:dyDescent="0.2">
      <c r="A241" s="370" t="s">
        <v>312</v>
      </c>
      <c r="B241" s="370"/>
      <c r="C241" s="370"/>
    </row>
    <row r="242" spans="1:3" x14ac:dyDescent="0.2">
      <c r="A242" s="52" t="s">
        <v>304</v>
      </c>
      <c r="B242" s="130">
        <v>60</v>
      </c>
      <c r="C242" s="84" t="s">
        <v>407</v>
      </c>
    </row>
    <row r="243" spans="1:3" x14ac:dyDescent="0.2">
      <c r="A243" s="83" t="s">
        <v>35</v>
      </c>
      <c r="B243" s="130">
        <v>250</v>
      </c>
      <c r="C243" s="52" t="s">
        <v>24</v>
      </c>
    </row>
    <row r="244" spans="1:3" x14ac:dyDescent="0.2">
      <c r="A244" s="83" t="s">
        <v>420</v>
      </c>
      <c r="B244" s="131">
        <v>1</v>
      </c>
      <c r="C244" s="52" t="s">
        <v>60</v>
      </c>
    </row>
    <row r="245" spans="1:3" x14ac:dyDescent="0.2">
      <c r="A245" s="83" t="s">
        <v>62</v>
      </c>
      <c r="B245" s="130">
        <v>50</v>
      </c>
      <c r="C245" s="84" t="s">
        <v>48</v>
      </c>
    </row>
    <row r="246" spans="1:3" x14ac:dyDescent="0.2">
      <c r="A246" s="52" t="s">
        <v>318</v>
      </c>
      <c r="B246" s="131">
        <v>1</v>
      </c>
    </row>
    <row r="247" spans="1:3" x14ac:dyDescent="0.2">
      <c r="A247" s="83" t="s">
        <v>300</v>
      </c>
      <c r="B247" s="131">
        <v>1</v>
      </c>
    </row>
    <row r="248" spans="1:3" x14ac:dyDescent="0.2">
      <c r="A248" s="83" t="s">
        <v>299</v>
      </c>
      <c r="B248" s="131">
        <v>0.4</v>
      </c>
    </row>
    <row r="249" spans="1:3" x14ac:dyDescent="0.2">
      <c r="A249" s="83" t="s">
        <v>54</v>
      </c>
      <c r="B249" s="131">
        <v>1</v>
      </c>
    </row>
    <row r="250" spans="1:3" x14ac:dyDescent="0.2">
      <c r="A250" s="83" t="s">
        <v>83</v>
      </c>
      <c r="B250" s="130">
        <v>0</v>
      </c>
      <c r="C250" s="52" t="s">
        <v>194</v>
      </c>
    </row>
    <row r="251" spans="1:3" x14ac:dyDescent="0.2">
      <c r="A251" s="83" t="s">
        <v>85</v>
      </c>
      <c r="B251" s="130">
        <v>8</v>
      </c>
      <c r="C251" s="52" t="s">
        <v>194</v>
      </c>
    </row>
    <row r="252" spans="1:3" x14ac:dyDescent="0.2">
      <c r="A252" s="83" t="s">
        <v>88</v>
      </c>
      <c r="B252" s="130">
        <v>0.4</v>
      </c>
    </row>
    <row r="253" spans="1:3" x14ac:dyDescent="0.2">
      <c r="A253" s="370" t="s">
        <v>313</v>
      </c>
      <c r="B253" s="370"/>
      <c r="C253" s="370"/>
    </row>
    <row r="254" spans="1:3" x14ac:dyDescent="0.2">
      <c r="A254" s="52" t="s">
        <v>50</v>
      </c>
      <c r="B254" s="130">
        <v>60</v>
      </c>
      <c r="C254" s="84" t="s">
        <v>407</v>
      </c>
    </row>
    <row r="255" spans="1:3" x14ac:dyDescent="0.2">
      <c r="A255" s="83" t="s">
        <v>423</v>
      </c>
      <c r="B255" s="130">
        <v>225</v>
      </c>
      <c r="C255" s="52" t="s">
        <v>24</v>
      </c>
    </row>
    <row r="256" spans="1:3" x14ac:dyDescent="0.2">
      <c r="A256" s="83" t="s">
        <v>424</v>
      </c>
      <c r="B256" s="131">
        <v>1</v>
      </c>
      <c r="C256" s="52" t="s">
        <v>60</v>
      </c>
    </row>
    <row r="257" spans="1:3" x14ac:dyDescent="0.2">
      <c r="A257" s="83" t="s">
        <v>503</v>
      </c>
      <c r="B257" s="130">
        <v>100</v>
      </c>
      <c r="C257" s="84" t="s">
        <v>48</v>
      </c>
    </row>
    <row r="258" spans="1:3" x14ac:dyDescent="0.2">
      <c r="A258" s="52" t="s">
        <v>318</v>
      </c>
      <c r="B258" s="131">
        <v>1</v>
      </c>
    </row>
    <row r="259" spans="1:3" x14ac:dyDescent="0.2">
      <c r="A259" s="83" t="s">
        <v>300</v>
      </c>
      <c r="B259" s="131">
        <v>1</v>
      </c>
    </row>
    <row r="260" spans="1:3" x14ac:dyDescent="0.2">
      <c r="A260" s="83" t="s">
        <v>299</v>
      </c>
      <c r="B260" s="131">
        <v>0.4</v>
      </c>
    </row>
    <row r="261" spans="1:3" x14ac:dyDescent="0.2">
      <c r="A261" s="83" t="s">
        <v>54</v>
      </c>
      <c r="B261" s="131">
        <v>1</v>
      </c>
    </row>
    <row r="262" spans="1:3" x14ac:dyDescent="0.2">
      <c r="A262" s="83" t="s">
        <v>83</v>
      </c>
      <c r="B262" s="130">
        <v>8</v>
      </c>
      <c r="C262" s="52" t="s">
        <v>194</v>
      </c>
    </row>
    <row r="263" spans="1:3" x14ac:dyDescent="0.2">
      <c r="A263" s="83" t="s">
        <v>85</v>
      </c>
      <c r="B263" s="130">
        <v>0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370" t="s">
        <v>314</v>
      </c>
      <c r="B265" s="370"/>
      <c r="C265" s="370"/>
    </row>
    <row r="266" spans="1:3" x14ac:dyDescent="0.2">
      <c r="A266" s="52" t="s">
        <v>348</v>
      </c>
      <c r="B266" s="130">
        <v>60</v>
      </c>
      <c r="C266" s="84" t="s">
        <v>407</v>
      </c>
    </row>
    <row r="267" spans="1:3" x14ac:dyDescent="0.2">
      <c r="A267" s="83" t="s">
        <v>191</v>
      </c>
      <c r="B267" s="130">
        <v>250</v>
      </c>
      <c r="C267" s="52" t="s">
        <v>24</v>
      </c>
    </row>
    <row r="268" spans="1:3" x14ac:dyDescent="0.2">
      <c r="A268" s="83" t="s">
        <v>158</v>
      </c>
      <c r="B268" s="131">
        <v>1</v>
      </c>
      <c r="C268" s="52" t="s">
        <v>60</v>
      </c>
    </row>
    <row r="269" spans="1:3" x14ac:dyDescent="0.2">
      <c r="A269" s="83" t="s">
        <v>502</v>
      </c>
      <c r="B269" s="130">
        <v>330</v>
      </c>
      <c r="C269" s="84" t="s">
        <v>48</v>
      </c>
    </row>
    <row r="270" spans="1:3" x14ac:dyDescent="0.2">
      <c r="A270" s="52" t="s">
        <v>318</v>
      </c>
      <c r="B270" s="131">
        <v>1</v>
      </c>
    </row>
    <row r="271" spans="1:3" x14ac:dyDescent="0.2">
      <c r="A271" s="83" t="s">
        <v>300</v>
      </c>
      <c r="B271" s="131">
        <v>1</v>
      </c>
    </row>
    <row r="272" spans="1:3" x14ac:dyDescent="0.2">
      <c r="A272" s="83" t="s">
        <v>299</v>
      </c>
      <c r="B272" s="131">
        <v>0.4</v>
      </c>
    </row>
    <row r="273" spans="1:3" x14ac:dyDescent="0.2">
      <c r="A273" s="83" t="s">
        <v>54</v>
      </c>
      <c r="B273" s="131">
        <v>1</v>
      </c>
    </row>
    <row r="274" spans="1:3" x14ac:dyDescent="0.2">
      <c r="A274" s="83" t="s">
        <v>83</v>
      </c>
      <c r="B274" s="130">
        <v>8</v>
      </c>
      <c r="C274" s="52" t="s">
        <v>194</v>
      </c>
    </row>
    <row r="275" spans="1:3" x14ac:dyDescent="0.2">
      <c r="A275" s="83" t="s">
        <v>85</v>
      </c>
      <c r="B275" s="130">
        <v>8</v>
      </c>
      <c r="C275" s="52" t="s">
        <v>194</v>
      </c>
    </row>
    <row r="276" spans="1:3" x14ac:dyDescent="0.2">
      <c r="A276" s="83" t="s">
        <v>88</v>
      </c>
      <c r="B276" s="130">
        <v>0.4</v>
      </c>
    </row>
    <row r="277" spans="1:3" x14ac:dyDescent="0.2">
      <c r="A277" s="83" t="s">
        <v>219</v>
      </c>
      <c r="B277" s="130">
        <v>5</v>
      </c>
      <c r="C277" s="52" t="s">
        <v>112</v>
      </c>
    </row>
    <row r="278" spans="1:3" x14ac:dyDescent="0.2">
      <c r="A278" s="83" t="s">
        <v>220</v>
      </c>
      <c r="B278" s="130">
        <v>50</v>
      </c>
      <c r="C278" s="52" t="s">
        <v>113</v>
      </c>
    </row>
    <row r="279" spans="1:3" x14ac:dyDescent="0.2">
      <c r="A279" s="52" t="s">
        <v>319</v>
      </c>
      <c r="B279" s="131">
        <v>0.12375</v>
      </c>
    </row>
    <row r="280" spans="1:3" x14ac:dyDescent="0.2">
      <c r="A280" s="52" t="s">
        <v>320</v>
      </c>
      <c r="B280" s="131">
        <v>0.79190000000000005</v>
      </c>
    </row>
    <row r="281" spans="1:3" x14ac:dyDescent="0.2">
      <c r="A281" s="52" t="s">
        <v>321</v>
      </c>
      <c r="B281" s="131">
        <v>3.4369999999999998E-2</v>
      </c>
    </row>
    <row r="282" spans="1:3" x14ac:dyDescent="0.2">
      <c r="A282" s="52" t="s">
        <v>322</v>
      </c>
      <c r="B282" s="131">
        <v>0.45569999999999999</v>
      </c>
    </row>
    <row r="283" spans="1:3" x14ac:dyDescent="0.2">
      <c r="A283" s="52" t="s">
        <v>323</v>
      </c>
      <c r="B283" s="131">
        <v>5.806E-2</v>
      </c>
    </row>
    <row r="284" spans="1:3" x14ac:dyDescent="0.2">
      <c r="A284" s="52" t="s">
        <v>324</v>
      </c>
      <c r="B284" s="131">
        <v>0.624</v>
      </c>
    </row>
    <row r="285" spans="1:3" x14ac:dyDescent="0.2">
      <c r="A285" s="52" t="s">
        <v>325</v>
      </c>
      <c r="B285" s="131">
        <v>6.8599999999999994E-2</v>
      </c>
    </row>
    <row r="286" spans="1:3" x14ac:dyDescent="0.2">
      <c r="A286" s="52" t="s">
        <v>326</v>
      </c>
      <c r="B286" s="131">
        <v>0.73660000000000003</v>
      </c>
    </row>
    <row r="287" spans="1:3" x14ac:dyDescent="0.2">
      <c r="A287" s="52" t="s">
        <v>327</v>
      </c>
      <c r="B287" s="131">
        <v>0.1009</v>
      </c>
    </row>
    <row r="288" spans="1:3" x14ac:dyDescent="0.2">
      <c r="A288" s="52" t="s">
        <v>328</v>
      </c>
      <c r="B288" s="131">
        <v>0.75109999999999999</v>
      </c>
    </row>
    <row r="289" spans="1:3" x14ac:dyDescent="0.2">
      <c r="A289" s="370" t="s">
        <v>315</v>
      </c>
      <c r="B289" s="370"/>
      <c r="C289" s="370"/>
    </row>
    <row r="290" spans="1:3" x14ac:dyDescent="0.2">
      <c r="A290" s="52" t="s">
        <v>348</v>
      </c>
      <c r="B290" s="130">
        <v>60</v>
      </c>
      <c r="C290" s="84" t="s">
        <v>407</v>
      </c>
    </row>
    <row r="291" spans="1:3" x14ac:dyDescent="0.2">
      <c r="A291" s="83" t="s">
        <v>191</v>
      </c>
      <c r="B291" s="130">
        <v>250</v>
      </c>
      <c r="C291" s="52" t="s">
        <v>24</v>
      </c>
    </row>
    <row r="292" spans="1:3" x14ac:dyDescent="0.2">
      <c r="A292" s="83" t="s">
        <v>158</v>
      </c>
      <c r="B292" s="131">
        <v>1</v>
      </c>
      <c r="C292" s="52" t="s">
        <v>60</v>
      </c>
    </row>
    <row r="293" spans="1:3" x14ac:dyDescent="0.2">
      <c r="A293" s="83" t="s">
        <v>502</v>
      </c>
      <c r="B293" s="130">
        <v>330</v>
      </c>
      <c r="C293" s="84" t="s">
        <v>48</v>
      </c>
    </row>
    <row r="294" spans="1:3" x14ac:dyDescent="0.2">
      <c r="A294" s="83" t="s">
        <v>300</v>
      </c>
      <c r="B294" s="131">
        <v>1</v>
      </c>
    </row>
    <row r="295" spans="1:3" x14ac:dyDescent="0.2">
      <c r="A295" s="83" t="s">
        <v>299</v>
      </c>
      <c r="B295" s="131">
        <v>0.4</v>
      </c>
    </row>
    <row r="296" spans="1:3" x14ac:dyDescent="0.2">
      <c r="A296" s="83" t="s">
        <v>54</v>
      </c>
      <c r="B296" s="131">
        <v>1</v>
      </c>
    </row>
    <row r="297" spans="1:3" x14ac:dyDescent="0.2">
      <c r="A297" s="83" t="s">
        <v>83</v>
      </c>
      <c r="B297" s="130">
        <v>8</v>
      </c>
      <c r="C297" s="52" t="s">
        <v>194</v>
      </c>
    </row>
    <row r="298" spans="1:3" x14ac:dyDescent="0.2">
      <c r="A298" s="83" t="s">
        <v>85</v>
      </c>
      <c r="B298" s="130">
        <v>8</v>
      </c>
      <c r="C298" s="52" t="s">
        <v>194</v>
      </c>
    </row>
    <row r="299" spans="1:3" x14ac:dyDescent="0.2">
      <c r="A299" s="83" t="s">
        <v>88</v>
      </c>
      <c r="B299" s="130">
        <v>0.4</v>
      </c>
    </row>
    <row r="300" spans="1:3" x14ac:dyDescent="0.2">
      <c r="A300" s="83" t="s">
        <v>219</v>
      </c>
      <c r="B300" s="130">
        <v>5</v>
      </c>
      <c r="C300" s="52" t="s">
        <v>112</v>
      </c>
    </row>
    <row r="301" spans="1:3" x14ac:dyDescent="0.2">
      <c r="A301" s="83" t="s">
        <v>220</v>
      </c>
      <c r="B301" s="130">
        <v>50</v>
      </c>
      <c r="C301" s="52" t="s">
        <v>113</v>
      </c>
    </row>
  </sheetData>
  <mergeCells count="346">
    <mergeCell ref="K2:K4"/>
    <mergeCell ref="L2:L4"/>
    <mergeCell ref="D43:D44"/>
    <mergeCell ref="E43:E44"/>
    <mergeCell ref="F43:F44"/>
    <mergeCell ref="G2:G4"/>
    <mergeCell ref="H2:H4"/>
    <mergeCell ref="D31:D32"/>
    <mergeCell ref="E31:E32"/>
    <mergeCell ref="F31:F32"/>
    <mergeCell ref="CC35:CG38"/>
    <mergeCell ref="D42:F42"/>
    <mergeCell ref="CE18:CG18"/>
    <mergeCell ref="CB19:CB21"/>
    <mergeCell ref="CC19:CC21"/>
    <mergeCell ref="CD19:CD21"/>
    <mergeCell ref="CE19:CE21"/>
    <mergeCell ref="CF19:CF21"/>
    <mergeCell ref="CG19:CG21"/>
    <mergeCell ref="CB18:CD18"/>
    <mergeCell ref="M20:O20"/>
    <mergeCell ref="P20:R20"/>
    <mergeCell ref="M21:M23"/>
    <mergeCell ref="N21:N23"/>
    <mergeCell ref="O21:O23"/>
    <mergeCell ref="P21:P23"/>
    <mergeCell ref="Q21:Q23"/>
    <mergeCell ref="R21:R23"/>
    <mergeCell ref="V23:X23"/>
    <mergeCell ref="Y23:AA23"/>
    <mergeCell ref="D30:F30"/>
    <mergeCell ref="BF21:BF23"/>
    <mergeCell ref="BJ21:BJ23"/>
    <mergeCell ref="BK21:BK23"/>
    <mergeCell ref="HD21:HF21"/>
    <mergeCell ref="CS20:CS22"/>
    <mergeCell ref="AI21:AI23"/>
    <mergeCell ref="AJ21:AJ23"/>
    <mergeCell ref="AK21:AK23"/>
    <mergeCell ref="AL21:AL23"/>
    <mergeCell ref="AM21:AM23"/>
    <mergeCell ref="AN21:AN23"/>
    <mergeCell ref="AR21:AR23"/>
    <mergeCell ref="AS21:AS23"/>
    <mergeCell ref="AT21:AT23"/>
    <mergeCell ref="AU21:AU23"/>
    <mergeCell ref="AV21:AV23"/>
    <mergeCell ref="AW21:AW23"/>
    <mergeCell ref="BA21:BA23"/>
    <mergeCell ref="BB21:BB23"/>
    <mergeCell ref="BC21:BC23"/>
    <mergeCell ref="BA20:BC20"/>
    <mergeCell ref="BD20:BF20"/>
    <mergeCell ref="BJ20:BL20"/>
    <mergeCell ref="BM20:BO20"/>
    <mergeCell ref="CK20:CK22"/>
    <mergeCell ref="BD21:BD23"/>
    <mergeCell ref="BE21:BE23"/>
    <mergeCell ref="BL21:BL23"/>
    <mergeCell ref="BM21:BM23"/>
    <mergeCell ref="BN21:BN23"/>
    <mergeCell ref="BO21:BO23"/>
    <mergeCell ref="AI20:AK20"/>
    <mergeCell ref="AL20:AN20"/>
    <mergeCell ref="AR20:AT20"/>
    <mergeCell ref="AU20:AW20"/>
    <mergeCell ref="CK19:CM19"/>
    <mergeCell ref="CN19:CP19"/>
    <mergeCell ref="CQ19:CS19"/>
    <mergeCell ref="HC2:HC4"/>
    <mergeCell ref="CL20:CL22"/>
    <mergeCell ref="CM20:CM22"/>
    <mergeCell ref="CN20:CN22"/>
    <mergeCell ref="CO20:CO22"/>
    <mergeCell ref="CP20:CP22"/>
    <mergeCell ref="CQ20:CQ22"/>
    <mergeCell ref="CR20:CR22"/>
    <mergeCell ref="GX2:GX4"/>
    <mergeCell ref="GY2:GY4"/>
    <mergeCell ref="GZ2:GZ4"/>
    <mergeCell ref="HA2:HA4"/>
    <mergeCell ref="HB2:HB4"/>
    <mergeCell ref="GS2:GS4"/>
    <mergeCell ref="GT2:GT4"/>
    <mergeCell ref="GU2:GU4"/>
    <mergeCell ref="GV2:GV4"/>
    <mergeCell ref="GW2:GW4"/>
    <mergeCell ref="GN2:GN4"/>
    <mergeCell ref="GO2:GO4"/>
    <mergeCell ref="GP2:GP4"/>
    <mergeCell ref="GQ2:GQ4"/>
    <mergeCell ref="GR2:GR4"/>
    <mergeCell ref="GI2:GI4"/>
    <mergeCell ref="GJ2:GJ4"/>
    <mergeCell ref="GK2:GK4"/>
    <mergeCell ref="GL2:GL4"/>
    <mergeCell ref="GM2:GM4"/>
    <mergeCell ref="GD2:GD4"/>
    <mergeCell ref="GE2:GE4"/>
    <mergeCell ref="GF2:GF4"/>
    <mergeCell ref="GG2:GG4"/>
    <mergeCell ref="GH2:GH4"/>
    <mergeCell ref="FY2:FY4"/>
    <mergeCell ref="FZ2:FZ4"/>
    <mergeCell ref="GA2:GA4"/>
    <mergeCell ref="GB2:GB4"/>
    <mergeCell ref="GC2:GC4"/>
    <mergeCell ref="FT2:FT4"/>
    <mergeCell ref="FU2:FU4"/>
    <mergeCell ref="FV2:FV4"/>
    <mergeCell ref="FW2:FW4"/>
    <mergeCell ref="FX2:FX4"/>
    <mergeCell ref="FO2:FO4"/>
    <mergeCell ref="FP2:FP4"/>
    <mergeCell ref="FQ2:FQ4"/>
    <mergeCell ref="FR2:FR4"/>
    <mergeCell ref="FS2:FS4"/>
    <mergeCell ref="FJ2:FJ4"/>
    <mergeCell ref="FK2:FK4"/>
    <mergeCell ref="FL2:FL4"/>
    <mergeCell ref="FM2:FM4"/>
    <mergeCell ref="FN2:FN4"/>
    <mergeCell ref="FE2:FE4"/>
    <mergeCell ref="FF2:FF4"/>
    <mergeCell ref="FG2:FG4"/>
    <mergeCell ref="FH2:FH4"/>
    <mergeCell ref="FI2:FI4"/>
    <mergeCell ref="EZ2:EZ4"/>
    <mergeCell ref="FA2:FA4"/>
    <mergeCell ref="FB2:FB4"/>
    <mergeCell ref="FC2:FC4"/>
    <mergeCell ref="FD2:FD4"/>
    <mergeCell ref="EU2:EU4"/>
    <mergeCell ref="EV2:EV4"/>
    <mergeCell ref="EW2:EW4"/>
    <mergeCell ref="EX2:EX4"/>
    <mergeCell ref="EY2:EY4"/>
    <mergeCell ref="EP2:EP4"/>
    <mergeCell ref="EQ2:EQ4"/>
    <mergeCell ref="ER2:ER4"/>
    <mergeCell ref="ES2:ES4"/>
    <mergeCell ref="ET2:ET4"/>
    <mergeCell ref="EK2:EK4"/>
    <mergeCell ref="EL2:EL4"/>
    <mergeCell ref="EM2:EM4"/>
    <mergeCell ref="EN2:EN4"/>
    <mergeCell ref="EO2:EO4"/>
    <mergeCell ref="EF2:EF4"/>
    <mergeCell ref="EG2:EG4"/>
    <mergeCell ref="EH2:EH4"/>
    <mergeCell ref="EI2:EI4"/>
    <mergeCell ref="EJ2:EJ4"/>
    <mergeCell ref="EA2:EA4"/>
    <mergeCell ref="EB2:EB4"/>
    <mergeCell ref="EC2:EC4"/>
    <mergeCell ref="ED2:ED4"/>
    <mergeCell ref="EE2:EE4"/>
    <mergeCell ref="DV2:DV4"/>
    <mergeCell ref="DW2:DW4"/>
    <mergeCell ref="DX2:DX4"/>
    <mergeCell ref="DY2:DY4"/>
    <mergeCell ref="DZ2:DZ4"/>
    <mergeCell ref="DQ2:DQ4"/>
    <mergeCell ref="DR2:DR4"/>
    <mergeCell ref="DS2:DS4"/>
    <mergeCell ref="DT2:DT4"/>
    <mergeCell ref="DU2:DU4"/>
    <mergeCell ref="DL2:DL4"/>
    <mergeCell ref="DM2:DM4"/>
    <mergeCell ref="DN2:DN4"/>
    <mergeCell ref="DO2:DO4"/>
    <mergeCell ref="DP2:DP4"/>
    <mergeCell ref="DG2:DG4"/>
    <mergeCell ref="DH2:DH4"/>
    <mergeCell ref="DI2:DI4"/>
    <mergeCell ref="DJ2:DJ4"/>
    <mergeCell ref="DK2:DK4"/>
    <mergeCell ref="DB2:DB4"/>
    <mergeCell ref="DC2:DC4"/>
    <mergeCell ref="DD2:DD4"/>
    <mergeCell ref="DE2:DE4"/>
    <mergeCell ref="DF2:DF4"/>
    <mergeCell ref="CT2:CT4"/>
    <mergeCell ref="CU2:CU4"/>
    <mergeCell ref="CV2:CV4"/>
    <mergeCell ref="CZ2:CZ4"/>
    <mergeCell ref="DA2:DA4"/>
    <mergeCell ref="CO2:CO4"/>
    <mergeCell ref="CP2:CP4"/>
    <mergeCell ref="CQ2:CQ4"/>
    <mergeCell ref="CR2:CR4"/>
    <mergeCell ref="CS2:CS4"/>
    <mergeCell ref="CJ2:CJ4"/>
    <mergeCell ref="CK2:CK4"/>
    <mergeCell ref="CL2:CL4"/>
    <mergeCell ref="CM2:CM4"/>
    <mergeCell ref="CN2:CN4"/>
    <mergeCell ref="CE2:CE4"/>
    <mergeCell ref="CF2:CF4"/>
    <mergeCell ref="CG2:CG4"/>
    <mergeCell ref="CH2:CH4"/>
    <mergeCell ref="CI2:CI4"/>
    <mergeCell ref="BZ2:BZ4"/>
    <mergeCell ref="CA2:CA4"/>
    <mergeCell ref="CB2:CB4"/>
    <mergeCell ref="CC2:CC4"/>
    <mergeCell ref="CD2:CD4"/>
    <mergeCell ref="BR2:BR4"/>
    <mergeCell ref="BV2:BV4"/>
    <mergeCell ref="BW2:BW4"/>
    <mergeCell ref="BX2:BX4"/>
    <mergeCell ref="BY2:BY4"/>
    <mergeCell ref="BM2:BM4"/>
    <mergeCell ref="BN2:BN4"/>
    <mergeCell ref="BO2:BO4"/>
    <mergeCell ref="BP2:BP4"/>
    <mergeCell ref="BQ2:BQ4"/>
    <mergeCell ref="BH2:BH4"/>
    <mergeCell ref="BI2:BI4"/>
    <mergeCell ref="BJ2:BJ4"/>
    <mergeCell ref="BK2:BK4"/>
    <mergeCell ref="BL2:BL4"/>
    <mergeCell ref="BC2:BC4"/>
    <mergeCell ref="BD2:BD4"/>
    <mergeCell ref="BE2:BE4"/>
    <mergeCell ref="BF2:BF4"/>
    <mergeCell ref="BG2:BG4"/>
    <mergeCell ref="HA1:HC1"/>
    <mergeCell ref="HD1:HF1"/>
    <mergeCell ref="M2:M4"/>
    <mergeCell ref="N2:N4"/>
    <mergeCell ref="O2:O4"/>
    <mergeCell ref="P2:P4"/>
    <mergeCell ref="Q2:Q4"/>
    <mergeCell ref="R2:R4"/>
    <mergeCell ref="S2:S4"/>
    <mergeCell ref="T2:T4"/>
    <mergeCell ref="U2:U4"/>
    <mergeCell ref="AC2:AC4"/>
    <mergeCell ref="AD2:AD4"/>
    <mergeCell ref="AE2:AE4"/>
    <mergeCell ref="AF2:AF4"/>
    <mergeCell ref="AG2:AG4"/>
    <mergeCell ref="GL1:GN1"/>
    <mergeCell ref="GO1:GQ1"/>
    <mergeCell ref="GR1:GT1"/>
    <mergeCell ref="GU1:GW1"/>
    <mergeCell ref="GX1:GZ1"/>
    <mergeCell ref="FW1:FX1"/>
    <mergeCell ref="FZ1:GB1"/>
    <mergeCell ref="GC1:GE1"/>
    <mergeCell ref="GF1:GH1"/>
    <mergeCell ref="GI1:GK1"/>
    <mergeCell ref="FH1:FJ1"/>
    <mergeCell ref="FK1:FM1"/>
    <mergeCell ref="FN1:FP1"/>
    <mergeCell ref="FQ1:FS1"/>
    <mergeCell ref="FT1:FV1"/>
    <mergeCell ref="ES1:EU1"/>
    <mergeCell ref="EV1:EX1"/>
    <mergeCell ref="EY1:FA1"/>
    <mergeCell ref="FB1:FD1"/>
    <mergeCell ref="FE1:FG1"/>
    <mergeCell ref="ED1:EF1"/>
    <mergeCell ref="EG1:EI1"/>
    <mergeCell ref="EJ1:EL1"/>
    <mergeCell ref="EM1:EO1"/>
    <mergeCell ref="EP1:ER1"/>
    <mergeCell ref="DO1:DQ1"/>
    <mergeCell ref="DR1:DT1"/>
    <mergeCell ref="DU1:DW1"/>
    <mergeCell ref="DX1:DZ1"/>
    <mergeCell ref="EA1:EC1"/>
    <mergeCell ref="CZ1:DB1"/>
    <mergeCell ref="DC1:DE1"/>
    <mergeCell ref="DF1:DH1"/>
    <mergeCell ref="DI1:DK1"/>
    <mergeCell ref="DL1:DN1"/>
    <mergeCell ref="CK1:CM1"/>
    <mergeCell ref="CN1:CP1"/>
    <mergeCell ref="CQ1:CS1"/>
    <mergeCell ref="CT1:CV1"/>
    <mergeCell ref="CW1:CY1"/>
    <mergeCell ref="BV1:BX1"/>
    <mergeCell ref="BY1:CA1"/>
    <mergeCell ref="CB1:CD1"/>
    <mergeCell ref="CE1:CG1"/>
    <mergeCell ref="CH1:CJ1"/>
    <mergeCell ref="BG1:BI1"/>
    <mergeCell ref="BJ1:BL1"/>
    <mergeCell ref="BM1:BO1"/>
    <mergeCell ref="BP1:BR1"/>
    <mergeCell ref="BS1:BU1"/>
    <mergeCell ref="AR1:AT1"/>
    <mergeCell ref="AU1:AW1"/>
    <mergeCell ref="AX1:AZ1"/>
    <mergeCell ref="BA1:BC1"/>
    <mergeCell ref="BD1:BF1"/>
    <mergeCell ref="A2:C4"/>
    <mergeCell ref="A140:C140"/>
    <mergeCell ref="AR2:AR4"/>
    <mergeCell ref="AS2:AS4"/>
    <mergeCell ref="AT2:AT4"/>
    <mergeCell ref="AU2:AU4"/>
    <mergeCell ref="AV2:AV4"/>
    <mergeCell ref="Y1:AA1"/>
    <mergeCell ref="AB1:AB4"/>
    <mergeCell ref="AI1:AK1"/>
    <mergeCell ref="AL1:AN1"/>
    <mergeCell ref="AO1:AQ1"/>
    <mergeCell ref="AH2:AH4"/>
    <mergeCell ref="AI2:AI4"/>
    <mergeCell ref="AJ2:AJ4"/>
    <mergeCell ref="AK2:AK4"/>
    <mergeCell ref="AL2:AL4"/>
    <mergeCell ref="AM2:AM4"/>
    <mergeCell ref="AN2:AN4"/>
    <mergeCell ref="AO2:AO4"/>
    <mergeCell ref="AP2:AP4"/>
    <mergeCell ref="AQ2:AQ4"/>
    <mergeCell ref="I2:I4"/>
    <mergeCell ref="J2:J4"/>
    <mergeCell ref="BK37:BO40"/>
    <mergeCell ref="A289:C289"/>
    <mergeCell ref="A229:C229"/>
    <mergeCell ref="A241:C241"/>
    <mergeCell ref="A253:C253"/>
    <mergeCell ref="A265:C265"/>
    <mergeCell ref="D1:F1"/>
    <mergeCell ref="G1:I1"/>
    <mergeCell ref="J1:L1"/>
    <mergeCell ref="M1:O1"/>
    <mergeCell ref="P1:R1"/>
    <mergeCell ref="S1:U1"/>
    <mergeCell ref="V1:X1"/>
    <mergeCell ref="AW2:AW4"/>
    <mergeCell ref="AX2:AX4"/>
    <mergeCell ref="AY2:AY4"/>
    <mergeCell ref="AZ2:AZ4"/>
    <mergeCell ref="BA2:BA4"/>
    <mergeCell ref="BB2:BB4"/>
    <mergeCell ref="A1:C1"/>
    <mergeCell ref="A81:C81"/>
    <mergeCell ref="A92:C92"/>
    <mergeCell ref="AE36:AG38"/>
    <mergeCell ref="A37:C37"/>
  </mergeCells>
  <pageMargins left="0.7" right="0.7" top="0.75" bottom="0.75" header="0.3" footer="0.3"/>
  <pageSetup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301"/>
  <sheetViews>
    <sheetView zoomScale="80" zoomScaleNormal="80" workbookViewId="0">
      <pane xSplit="3" ySplit="4" topLeftCell="D5" activePane="bottomRight" state="frozen"/>
      <selection activeCell="E11" sqref="E11"/>
      <selection pane="topRight" activeCell="E11" sqref="E11"/>
      <selection pane="bottomLeft" activeCell="E11" sqref="E11"/>
      <selection pane="bottomRight" activeCell="DA2" sqref="DA2:DA4"/>
    </sheetView>
  </sheetViews>
  <sheetFormatPr defaultColWidth="14.85546875" defaultRowHeight="12.75" x14ac:dyDescent="0.2"/>
  <cols>
    <col min="1" max="1" width="15" style="52" bestFit="1" customWidth="1"/>
    <col min="2" max="2" width="10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85546875" style="52" bestFit="1" customWidth="1"/>
    <col min="79" max="79" width="18.85546875" style="52" bestFit="1" customWidth="1"/>
    <col min="80" max="80" width="11" style="52" bestFit="1" customWidth="1"/>
    <col min="81" max="81" width="10.85546875" style="52" bestFit="1" customWidth="1"/>
    <col min="82" max="82" width="20.28515625" style="52" bestFit="1" customWidth="1"/>
    <col min="83" max="83" width="12.42578125" style="52" bestFit="1" customWidth="1"/>
    <col min="84" max="84" width="9.85546875" style="52" bestFit="1" customWidth="1"/>
    <col min="85" max="85" width="20.28515625" style="52" bestFit="1" customWidth="1"/>
    <col min="86" max="86" width="13.5703125" style="52" bestFit="1" customWidth="1"/>
    <col min="87" max="87" width="9.8554687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4.57031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6.285156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8.85546875" style="52" bestFit="1" customWidth="1"/>
    <col min="142" max="142" width="6.28515625" style="52" bestFit="1" customWidth="1"/>
    <col min="143" max="143" width="12" style="52" bestFit="1" customWidth="1"/>
    <col min="144" max="144" width="9.28515625" style="52" bestFit="1" customWidth="1"/>
    <col min="145" max="145" width="6.28515625" style="52" bestFit="1" customWidth="1"/>
    <col min="146" max="146" width="12" style="52" bestFit="1" customWidth="1"/>
    <col min="147" max="147" width="9.28515625" style="52" bestFit="1" customWidth="1"/>
    <col min="148" max="148" width="6.28515625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6.28515625" style="52" bestFit="1" customWidth="1"/>
    <col min="158" max="158" width="12" style="52" bestFit="1" customWidth="1"/>
    <col min="159" max="159" width="9.28515625" style="52" bestFit="1" customWidth="1"/>
    <col min="160" max="160" width="6.28515625" style="52" bestFit="1" customWidth="1"/>
    <col min="161" max="161" width="12" style="52" bestFit="1" customWidth="1"/>
    <col min="162" max="162" width="9.28515625" style="52" bestFit="1" customWidth="1"/>
    <col min="163" max="163" width="6.28515625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6.285156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6.285156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7.7109375" style="52" bestFit="1" customWidth="1"/>
    <col min="186" max="186" width="9.28515625" style="52" bestFit="1" customWidth="1"/>
    <col min="187" max="187" width="6.28515625" style="52" bestFit="1" customWidth="1"/>
    <col min="188" max="188" width="12" style="52" bestFit="1" customWidth="1"/>
    <col min="189" max="189" width="9.28515625" style="52" bestFit="1" customWidth="1"/>
    <col min="190" max="190" width="6.28515625" style="52" bestFit="1" customWidth="1"/>
    <col min="191" max="191" width="12" style="52" bestFit="1" customWidth="1"/>
    <col min="192" max="192" width="9.28515625" style="52" bestFit="1" customWidth="1"/>
    <col min="193" max="193" width="6.28515625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6.28515625" style="52" bestFit="1" customWidth="1"/>
    <col min="203" max="203" width="12" style="52" bestFit="1" customWidth="1"/>
    <col min="204" max="204" width="9.28515625" style="52" bestFit="1" customWidth="1"/>
    <col min="205" max="205" width="6.28515625" style="52" bestFit="1" customWidth="1"/>
    <col min="206" max="206" width="12" style="52" bestFit="1" customWidth="1"/>
    <col min="207" max="207" width="9.28515625" style="52" bestFit="1" customWidth="1"/>
    <col min="208" max="208" width="6.28515625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9.28515625" style="52" bestFit="1" customWidth="1"/>
    <col min="214" max="214" width="21.28515625" style="52" bestFit="1" customWidth="1"/>
    <col min="215" max="217" width="9.140625" style="52"/>
    <col min="218" max="16384" width="14.85546875" style="52"/>
  </cols>
  <sheetData>
    <row r="1" spans="1:214" ht="21.75" customHeight="1" thickTop="1" thickBot="1" x14ac:dyDescent="0.25">
      <c r="A1" s="655" t="s">
        <v>360</v>
      </c>
      <c r="B1" s="656"/>
      <c r="C1" s="657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565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296" t="s">
        <v>557</v>
      </c>
      <c r="AJ1" s="294"/>
      <c r="AK1" s="297"/>
      <c r="AL1" s="293" t="s">
        <v>546</v>
      </c>
      <c r="AM1" s="294"/>
      <c r="AN1" s="297"/>
      <c r="AO1" s="293" t="s">
        <v>547</v>
      </c>
      <c r="AP1" s="294"/>
      <c r="AQ1" s="295"/>
      <c r="AR1" s="296" t="s">
        <v>559</v>
      </c>
      <c r="AS1" s="294"/>
      <c r="AT1" s="297"/>
      <c r="AU1" s="293" t="s">
        <v>548</v>
      </c>
      <c r="AV1" s="294"/>
      <c r="AW1" s="297"/>
      <c r="AX1" s="293" t="s">
        <v>549</v>
      </c>
      <c r="AY1" s="294"/>
      <c r="AZ1" s="295"/>
      <c r="BA1" s="296" t="s">
        <v>561</v>
      </c>
      <c r="BB1" s="294"/>
      <c r="BC1" s="297"/>
      <c r="BD1" s="293" t="s">
        <v>551</v>
      </c>
      <c r="BE1" s="294"/>
      <c r="BF1" s="297"/>
      <c r="BG1" s="293" t="s">
        <v>552</v>
      </c>
      <c r="BH1" s="294"/>
      <c r="BI1" s="295"/>
      <c r="BJ1" s="296" t="s">
        <v>564</v>
      </c>
      <c r="BK1" s="294"/>
      <c r="BL1" s="297"/>
      <c r="BM1" s="293" t="s">
        <v>554</v>
      </c>
      <c r="BN1" s="294"/>
      <c r="BO1" s="297"/>
      <c r="BP1" s="293" t="s">
        <v>555</v>
      </c>
      <c r="BQ1" s="294"/>
      <c r="BR1" s="295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274" t="s">
        <v>569</v>
      </c>
      <c r="CC1" s="270"/>
      <c r="CD1" s="270"/>
      <c r="CE1" s="271" t="s">
        <v>570</v>
      </c>
      <c r="CF1" s="270"/>
      <c r="CG1" s="272"/>
      <c r="CH1" s="270" t="s">
        <v>571</v>
      </c>
      <c r="CI1" s="270"/>
      <c r="CJ1" s="273"/>
      <c r="CK1" s="270" t="s">
        <v>575</v>
      </c>
      <c r="CL1" s="270"/>
      <c r="CM1" s="270"/>
      <c r="CN1" s="271" t="s">
        <v>575</v>
      </c>
      <c r="CO1" s="270"/>
      <c r="CP1" s="272"/>
      <c r="CQ1" s="270" t="s">
        <v>575</v>
      </c>
      <c r="CR1" s="270"/>
      <c r="CS1" s="273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3.5" customHeight="1" thickTop="1" x14ac:dyDescent="0.2">
      <c r="A2" s="372" t="s">
        <v>233</v>
      </c>
      <c r="B2" s="373"/>
      <c r="C2" s="374"/>
      <c r="D2" s="193"/>
      <c r="E2" s="194"/>
      <c r="F2" s="194"/>
      <c r="G2" s="363" t="s">
        <v>531</v>
      </c>
      <c r="H2" s="360">
        <f>1/((1/H11)+(1/H12))</f>
        <v>2.5814727494226881</v>
      </c>
      <c r="I2" s="625" t="s">
        <v>11</v>
      </c>
      <c r="J2" s="622" t="s">
        <v>531</v>
      </c>
      <c r="K2" s="360">
        <f>1/((1/K15)+(1/K16))</f>
        <v>93396.39711618601</v>
      </c>
      <c r="L2" s="345" t="s">
        <v>10</v>
      </c>
      <c r="M2" s="330" t="s">
        <v>537</v>
      </c>
      <c r="N2" s="333">
        <f>(N5*N6*N7)/((1-EXP(-N7*N6))*N15*N13*(N9/365)*(((N14/24)*N12)+((N16/24)*N11)))</f>
        <v>93471.570908434485</v>
      </c>
      <c r="O2" s="336" t="s">
        <v>10</v>
      </c>
      <c r="P2" s="339" t="s">
        <v>537</v>
      </c>
      <c r="Q2" s="333">
        <f>(Q5*Q6*Q7)/((1-EXP(-Q7*Q6))*Q15*Q13*(Q9/365)*(((Q14/24)*Q12)+((Q16/24)*Q11)))</f>
        <v>451515.21540514962</v>
      </c>
      <c r="R2" s="336" t="s">
        <v>10</v>
      </c>
      <c r="S2" s="339" t="s">
        <v>537</v>
      </c>
      <c r="T2" s="333">
        <f>(T5*T6*T7)/((1-EXP(-T7*T6))*T15*T13*(T9/365)*(((T14/24)*T12)+((T16/24)*T11)))</f>
        <v>102459.22195732241</v>
      </c>
      <c r="U2" s="342" t="s">
        <v>10</v>
      </c>
      <c r="V2" s="204"/>
      <c r="W2" s="205"/>
      <c r="X2" s="205"/>
      <c r="Y2" s="206"/>
      <c r="Z2" s="205"/>
      <c r="AA2" s="207"/>
      <c r="AB2" s="310"/>
      <c r="AC2" s="312">
        <f>1/((1/AC30)+(1/AC31))</f>
        <v>135939.87996953374</v>
      </c>
      <c r="AD2" s="312">
        <f>1/((1/AD30)+(1/AD31))</f>
        <v>339368.75484587013</v>
      </c>
      <c r="AE2" s="312">
        <f>1/((1/AE30)+(1/AE31))</f>
        <v>151044.31107725971</v>
      </c>
      <c r="AF2" s="312">
        <f>1/((1/AF30)+(1/AF31))</f>
        <v>79681.891524438717</v>
      </c>
      <c r="AG2" s="312">
        <f>1/((1/AG30)+(1/AG31))</f>
        <v>1948579.1603172403</v>
      </c>
      <c r="AH2" s="318" t="s">
        <v>10</v>
      </c>
      <c r="AI2" s="306" t="s">
        <v>537</v>
      </c>
      <c r="AJ2" s="303">
        <f>(AJ5*AJ6*AJ7)/((1-EXP(-AJ7*AJ6))*AJ15*(AJ9/365)*AJ10*(AJ16/24)*AJ11*AJ13)</f>
        <v>340171.08800706564</v>
      </c>
      <c r="AK2" s="290" t="s">
        <v>10</v>
      </c>
      <c r="AL2" s="287" t="s">
        <v>537</v>
      </c>
      <c r="AM2" s="303">
        <f>(AM5*AM6*AM7)/((1-EXP(-AM7*AM6))*AM15*(AM9/365)*AM10*(AM16/24)*AM11*AM13)</f>
        <v>1643199.3234239612</v>
      </c>
      <c r="AN2" s="290" t="s">
        <v>10</v>
      </c>
      <c r="AO2" s="287" t="s">
        <v>537</v>
      </c>
      <c r="AP2" s="303">
        <f>(AP5*AP6*AP7)/((1-EXP(-AP7*AP6))*AP15*(AP9/365)*AP10*(AP16/24)*AP11*AP13)</f>
        <v>372879.84646928345</v>
      </c>
      <c r="AQ2" s="281" t="s">
        <v>10</v>
      </c>
      <c r="AR2" s="306" t="s">
        <v>537</v>
      </c>
      <c r="AS2" s="303">
        <f>(AS5*AS6*AS7)/((1-EXP(-AS7*AS6))*AS15*(AS9/365)*AS10*(AS14/24)*AS12*AS13)</f>
        <v>151187.15022536248</v>
      </c>
      <c r="AT2" s="290" t="s">
        <v>10</v>
      </c>
      <c r="AU2" s="287" t="s">
        <v>537</v>
      </c>
      <c r="AV2" s="303">
        <f>(AV5*AV6*AV7)/((1-EXP(-AV7*AV6))*AV15*(AV9/365)*AV10*(AV14/24)*AV12*AV13)</f>
        <v>730310.8104106494</v>
      </c>
      <c r="AW2" s="290" t="s">
        <v>10</v>
      </c>
      <c r="AX2" s="287" t="s">
        <v>537</v>
      </c>
      <c r="AY2" s="303">
        <f>(AY5*AY6*AY7)/((1-EXP(-AY7*AY6))*AY15*(AY9/365)*AY10*(AY14/24)*AY12*AY13)</f>
        <v>165724.37620857047</v>
      </c>
      <c r="AZ2" s="281" t="s">
        <v>10</v>
      </c>
      <c r="BA2" s="306" t="s">
        <v>537</v>
      </c>
      <c r="BB2" s="303">
        <f>(BB5*BB6*BB7)/((1-EXP(-BB7*BB6))*BB15*(BB9/365)*(BB14/24)*BB12*BB13)</f>
        <v>136068.43520282625</v>
      </c>
      <c r="BC2" s="290" t="s">
        <v>10</v>
      </c>
      <c r="BD2" s="287" t="s">
        <v>537</v>
      </c>
      <c r="BE2" s="303">
        <f>(BE5*BE6*BE7)/((1-EXP(-BE7*BE6))*BE15*(BE9/365)*(BE14/24)*BE12*BE13)</f>
        <v>657279.72936958459</v>
      </c>
      <c r="BF2" s="290" t="s">
        <v>10</v>
      </c>
      <c r="BG2" s="287" t="s">
        <v>537</v>
      </c>
      <c r="BH2" s="303">
        <f>(BH5*BH6*BH7)/((1-EXP(-BH7*BH6))*BH15*(BH9/365)*(BH14/24)*BH12*BH13)</f>
        <v>149151.9385877134</v>
      </c>
      <c r="BI2" s="281" t="s">
        <v>10</v>
      </c>
      <c r="BJ2" s="306" t="s">
        <v>537</v>
      </c>
      <c r="BK2" s="284">
        <f>(BK5*BK6*BK7)/((1-EXP(-BK7*BK6))*BK16*(BK9/365)*(BK15/24)*BK13*BK14)</f>
        <v>2649903.1480679046</v>
      </c>
      <c r="BL2" s="290" t="s">
        <v>10</v>
      </c>
      <c r="BM2" s="287" t="s">
        <v>537</v>
      </c>
      <c r="BN2" s="284">
        <f>(BN5*BN6*BN7)/((1-EXP(-BN7*BN6))*BN16*(BN9/365)*(BN15/24)*BN13*BN14)</f>
        <v>27298070.875568893</v>
      </c>
      <c r="BO2" s="290" t="s">
        <v>10</v>
      </c>
      <c r="BP2" s="287" t="s">
        <v>537</v>
      </c>
      <c r="BQ2" s="284">
        <f>(BQ5*BQ6*BQ7)/((1-EXP(-BQ7*BQ6))*BQ16*(BQ9/365)*(BQ15/24)*BQ13*BQ14)</f>
        <v>3644469.8957801056</v>
      </c>
      <c r="BR2" s="281" t="s">
        <v>10</v>
      </c>
      <c r="BS2" s="214"/>
      <c r="BT2" s="120"/>
      <c r="BU2" s="215"/>
      <c r="BV2" s="258" t="s">
        <v>531</v>
      </c>
      <c r="BW2" s="261">
        <f>1/((1/BW12))</f>
        <v>27715.76533479126</v>
      </c>
      <c r="BX2" s="278" t="s">
        <v>11</v>
      </c>
      <c r="BY2" s="258" t="s">
        <v>531</v>
      </c>
      <c r="BZ2" s="261">
        <f>1/((1/BZ14)+(1/BZ15))</f>
        <v>70282242.459186569</v>
      </c>
      <c r="CA2" s="264" t="s">
        <v>10</v>
      </c>
      <c r="CB2" s="267" t="s">
        <v>537</v>
      </c>
      <c r="CC2" s="261">
        <f>(CC5*CC6*CC7)/((1-EXP(-CC7*CC6))*CC14*(CC9/365)*CC12*(CC13/24)*CC11)</f>
        <v>70664083.948477447</v>
      </c>
      <c r="CD2" s="278" t="s">
        <v>10</v>
      </c>
      <c r="CE2" s="258" t="s">
        <v>537</v>
      </c>
      <c r="CF2" s="261">
        <f>(CF5*CF6*CF7)/((1-EXP(-CF7*CF6))*CF10*CF14*(CF9/365)*CF12*(CF13/24)*CF11)</f>
        <v>727948556.68183708</v>
      </c>
      <c r="CG2" s="278" t="s">
        <v>10</v>
      </c>
      <c r="CH2" s="258" t="s">
        <v>537</v>
      </c>
      <c r="CI2" s="261">
        <f>(CI5*CI6*CI7)/((1-EXP(-CI7*CI6))*CI10*CI14*(CI9/365)*CI12*(CI13/24)*CI11)</f>
        <v>97185863.8874695</v>
      </c>
      <c r="CJ2" s="264" t="s">
        <v>10</v>
      </c>
      <c r="CK2" s="267" t="s">
        <v>530</v>
      </c>
      <c r="CL2" s="261" t="e">
        <f>CL5/(CL6*CL7*CL8)</f>
        <v>#DIV/0!</v>
      </c>
      <c r="CM2" s="255" t="s">
        <v>10</v>
      </c>
      <c r="CN2" s="258" t="s">
        <v>7</v>
      </c>
      <c r="CO2" s="261" t="e">
        <f>(CL2/(CO5*((CO10*CO12*CO13*(CO6+CO7))+(CO11*CO12))))*CO17</f>
        <v>#DIV/0!</v>
      </c>
      <c r="CP2" s="278" t="s">
        <v>10</v>
      </c>
      <c r="CQ2" s="275" t="s">
        <v>6</v>
      </c>
      <c r="CR2" s="261" t="e">
        <f>CL2/(CR5*CR6*(1/CR7))</f>
        <v>#DIV/0!</v>
      </c>
      <c r="CS2" s="264" t="s">
        <v>10</v>
      </c>
      <c r="CT2" s="395" t="s">
        <v>531</v>
      </c>
      <c r="CU2" s="392">
        <f>1/((1/CU15)+(1/CU16))</f>
        <v>48060.600750057522</v>
      </c>
      <c r="CV2" s="389" t="s">
        <v>10</v>
      </c>
      <c r="CW2" s="218"/>
      <c r="CX2" s="219"/>
      <c r="CY2" s="219"/>
      <c r="CZ2" s="407" t="s">
        <v>531</v>
      </c>
      <c r="DA2" s="404" t="e">
        <f>1/((1/DA13)+(1/DA15)+(1/DA16))</f>
        <v>#DIV/0!</v>
      </c>
      <c r="DB2" s="401" t="s">
        <v>11</v>
      </c>
      <c r="DC2" s="442" t="s">
        <v>530</v>
      </c>
      <c r="DD2" s="439" t="e">
        <f>DD7</f>
        <v>#DIV/0!</v>
      </c>
      <c r="DE2" s="436" t="s">
        <v>10</v>
      </c>
      <c r="DF2" s="433" t="s">
        <v>530</v>
      </c>
      <c r="DG2" s="424" t="e">
        <f>DD7/((1/DG24)*(DG5+DG6+DG7))</f>
        <v>#DIV/0!</v>
      </c>
      <c r="DH2" s="430" t="s">
        <v>11</v>
      </c>
      <c r="DI2" s="427" t="s">
        <v>530</v>
      </c>
      <c r="DJ2" s="424" t="e">
        <f>(DD7/(DJ5+DJ6))*DJ12</f>
        <v>#DIV/0!</v>
      </c>
      <c r="DK2" s="430" t="s">
        <v>10</v>
      </c>
      <c r="DL2" s="427" t="s">
        <v>581</v>
      </c>
      <c r="DM2" s="424" t="e">
        <f>((DD7)/(DM5+DM6))*DJ12</f>
        <v>#DIV/0!</v>
      </c>
      <c r="DN2" s="430" t="s">
        <v>10</v>
      </c>
      <c r="DO2" s="427" t="s">
        <v>582</v>
      </c>
      <c r="DP2" s="424">
        <f>-(DP5+DP6+DP7)/(DP23+DP24)</f>
        <v>-49.755719687869203</v>
      </c>
      <c r="DQ2" s="421" t="s">
        <v>18</v>
      </c>
      <c r="DR2" s="574" t="s">
        <v>530</v>
      </c>
      <c r="DS2" s="445" t="e">
        <f>DS7</f>
        <v>#DIV/0!</v>
      </c>
      <c r="DT2" s="484" t="s">
        <v>10</v>
      </c>
      <c r="DU2" s="481" t="s">
        <v>530</v>
      </c>
      <c r="DV2" s="463" t="e">
        <f>(DS7*DV8)/(DV5*DV6*(1/1000))</f>
        <v>#DIV/0!</v>
      </c>
      <c r="DW2" s="466" t="s">
        <v>11</v>
      </c>
      <c r="DX2" s="478" t="s">
        <v>530</v>
      </c>
      <c r="DY2" s="463" t="e">
        <f>(DS7*DY14)/(DY9*((DY10*DY12*DY13*(DY5+DY6))+(DY11*DY12)))*DY18</f>
        <v>#DIV/0!</v>
      </c>
      <c r="DZ2" s="466" t="s">
        <v>10</v>
      </c>
      <c r="EA2" s="478" t="s">
        <v>581</v>
      </c>
      <c r="EB2" s="463" t="e">
        <f>(DS7*DY14)/(EB9*((EB10*EB12*EB13*(EB5+EB6))+(EB11*EB12)))*DY18</f>
        <v>#DIV/0!</v>
      </c>
      <c r="EC2" s="466" t="s">
        <v>10</v>
      </c>
      <c r="ED2" s="478" t="s">
        <v>582</v>
      </c>
      <c r="EE2" s="463">
        <f>-EE15/((EE10*EE12*EE13*(EE5+EE6))+(EE11*EE12))</f>
        <v>-16.803652968036527</v>
      </c>
      <c r="EF2" s="460" t="s">
        <v>18</v>
      </c>
      <c r="EG2" s="475" t="s">
        <v>530</v>
      </c>
      <c r="EH2" s="469" t="e">
        <f>EH7</f>
        <v>#DIV/0!</v>
      </c>
      <c r="EI2" s="457" t="s">
        <v>10</v>
      </c>
      <c r="EJ2" s="472" t="s">
        <v>530</v>
      </c>
      <c r="EK2" s="454" t="e">
        <f>EH7/(EK5*EK6*(1/1000))</f>
        <v>#DIV/0!</v>
      </c>
      <c r="EL2" s="451" t="s">
        <v>11</v>
      </c>
      <c r="EM2" s="448" t="s">
        <v>530</v>
      </c>
      <c r="EN2" s="454" t="e">
        <f>(EH7/(EN9*((EN10*EN12*EN13*(EN5+EN6))+(EN11*EN12))))*EN17</f>
        <v>#DIV/0!</v>
      </c>
      <c r="EO2" s="451" t="s">
        <v>10</v>
      </c>
      <c r="EP2" s="448" t="s">
        <v>581</v>
      </c>
      <c r="EQ2" s="454" t="e">
        <f>(EH7/(EQ9*((EQ10*EQ12*EQ13*(EQ5+EQ6))+(EQ11*EQ12))))*EN17</f>
        <v>#DIV/0!</v>
      </c>
      <c r="ER2" s="451" t="s">
        <v>10</v>
      </c>
      <c r="ES2" s="448" t="s">
        <v>582</v>
      </c>
      <c r="ET2" s="454">
        <f>-ET15/((ET10*ET12*ET13*(ET5+ET6))+(ET11*ET12))</f>
        <v>-15.395787944807553</v>
      </c>
      <c r="EU2" s="499" t="s">
        <v>18</v>
      </c>
      <c r="EV2" s="496" t="s">
        <v>530</v>
      </c>
      <c r="EW2" s="493" t="e">
        <f>EW7</f>
        <v>#DIV/0!</v>
      </c>
      <c r="EX2" s="490" t="s">
        <v>10</v>
      </c>
      <c r="EY2" s="487" t="s">
        <v>530</v>
      </c>
      <c r="EZ2" s="586" t="e">
        <f>EW7/(EZ5*EZ6*(1/EZ7))</f>
        <v>#DIV/0!</v>
      </c>
      <c r="FA2" s="592" t="s">
        <v>11</v>
      </c>
      <c r="FB2" s="589" t="s">
        <v>530</v>
      </c>
      <c r="FC2" s="586" t="e">
        <f>(EW7/(FC9*((FC10*FC12*FC13*(FC5+FC6))+(FC11*FC12))))*FC17</f>
        <v>#DIV/0!</v>
      </c>
      <c r="FD2" s="595" t="s">
        <v>10</v>
      </c>
      <c r="FE2" s="589" t="s">
        <v>581</v>
      </c>
      <c r="FF2" s="586" t="e">
        <f>(EW7/(FF9*(FF10*FF12*FF13*(FF5*FF6))+(FF11*FF12)))*FC17</f>
        <v>#DIV/0!</v>
      </c>
      <c r="FG2" s="592" t="s">
        <v>10</v>
      </c>
      <c r="FH2" s="589" t="s">
        <v>582</v>
      </c>
      <c r="FI2" s="586">
        <f>FI15/((FI10*FI12*FI13*(FI5+FI6))+(FI11*FI12))</f>
        <v>5.5555555555555554</v>
      </c>
      <c r="FJ2" s="583" t="s">
        <v>18</v>
      </c>
      <c r="FK2" s="580" t="s">
        <v>530</v>
      </c>
      <c r="FL2" s="577" t="e">
        <f>FL7</f>
        <v>#DIV/0!</v>
      </c>
      <c r="FM2" s="571" t="s">
        <v>10</v>
      </c>
      <c r="FN2" s="568" t="s">
        <v>530</v>
      </c>
      <c r="FO2" s="505" t="e">
        <f>FL7/(FO5*(1/FO6))</f>
        <v>#DIV/0!</v>
      </c>
      <c r="FP2" s="511" t="s">
        <v>11</v>
      </c>
      <c r="FQ2" s="508" t="s">
        <v>530</v>
      </c>
      <c r="FR2" s="505" t="e">
        <f>((FL7*FR6)/FR5)*FR10</f>
        <v>#DIV/0!</v>
      </c>
      <c r="FS2" s="511" t="s">
        <v>10</v>
      </c>
      <c r="FT2" s="508" t="s">
        <v>581</v>
      </c>
      <c r="FU2" s="505" t="e">
        <f>((FL7*FU6)/FU5)*FR10</f>
        <v>#DIV/0!</v>
      </c>
      <c r="FV2" s="511" t="s">
        <v>10</v>
      </c>
      <c r="FW2" s="508" t="s">
        <v>582</v>
      </c>
      <c r="FX2" s="505">
        <f>-FX5/FX6</f>
        <v>0</v>
      </c>
      <c r="FY2" s="502" t="s">
        <v>18</v>
      </c>
      <c r="FZ2" s="556" t="s">
        <v>530</v>
      </c>
      <c r="GA2" s="553" t="e">
        <f>GA7</f>
        <v>#DIV/0!</v>
      </c>
      <c r="GB2" s="550" t="s">
        <v>10</v>
      </c>
      <c r="GC2" s="559" t="s">
        <v>530</v>
      </c>
      <c r="GD2" s="538" t="e">
        <f>GA7/(GD5*GD6*(1/GD7))</f>
        <v>#DIV/0!</v>
      </c>
      <c r="GE2" s="544" t="s">
        <v>11</v>
      </c>
      <c r="GF2" s="541" t="s">
        <v>530</v>
      </c>
      <c r="GG2" s="538" t="e">
        <f>(GA7/((GG9)*((GG10*GG12*GG13*(GG5+GG6))+(GG11*GG12))))*GG17</f>
        <v>#DIV/0!</v>
      </c>
      <c r="GH2" s="544" t="s">
        <v>10</v>
      </c>
      <c r="GI2" s="541" t="s">
        <v>581</v>
      </c>
      <c r="GJ2" s="538" t="e">
        <f>(GA7/((GJ9)*((GJ10*GJ12*GJ13*(GJ5+GJ6))+(GJ11*GJ12))))*GG17</f>
        <v>#DIV/0!</v>
      </c>
      <c r="GK2" s="544" t="s">
        <v>10</v>
      </c>
      <c r="GL2" s="541" t="s">
        <v>582</v>
      </c>
      <c r="GM2" s="538">
        <f>GM15/((GM10*GM12*GM13*(GM5+GM6))+(GM11*GM12))</f>
        <v>5.5555555555555554</v>
      </c>
      <c r="GN2" s="535" t="s">
        <v>18</v>
      </c>
      <c r="GO2" s="532" t="s">
        <v>530</v>
      </c>
      <c r="GP2" s="529" t="e">
        <f>GP7</f>
        <v>#DIV/0!</v>
      </c>
      <c r="GQ2" s="526" t="s">
        <v>10</v>
      </c>
      <c r="GR2" s="523" t="s">
        <v>530</v>
      </c>
      <c r="GS2" s="517" t="e">
        <f>GP7/(GS5*GS6*(1/GS7))</f>
        <v>#DIV/0!</v>
      </c>
      <c r="GT2" s="514" t="s">
        <v>11</v>
      </c>
      <c r="GU2" s="520" t="s">
        <v>530</v>
      </c>
      <c r="GV2" s="517" t="e">
        <f>(GP7/((GV9)*((GV10*GV12*GV13*(GV5+GV6))+(GV11*GV12))))*GV17</f>
        <v>#DIV/0!</v>
      </c>
      <c r="GW2" s="514" t="s">
        <v>10</v>
      </c>
      <c r="GX2" s="520" t="s">
        <v>581</v>
      </c>
      <c r="GY2" s="517" t="e">
        <f>(GP7/((GY9*((GY10*GY12*GY13*(GY5+GY6))+(GY11*GY12)))))*GV17</f>
        <v>#DIV/0!</v>
      </c>
      <c r="GZ2" s="514" t="s">
        <v>10</v>
      </c>
      <c r="HA2" s="520" t="s">
        <v>582</v>
      </c>
      <c r="HB2" s="517" t="e">
        <f>GP7/((HB10*HB12*HB13*(HB5+HB6))+(HB11*HB12))</f>
        <v>#DIV/0!</v>
      </c>
      <c r="HC2" s="547" t="s">
        <v>18</v>
      </c>
      <c r="HD2" s="54"/>
      <c r="HE2" s="55"/>
      <c r="HF2" s="56"/>
    </row>
    <row r="3" spans="1:214" ht="12.75" customHeight="1" x14ac:dyDescent="0.2">
      <c r="A3" s="375"/>
      <c r="B3" s="376"/>
      <c r="C3" s="377"/>
      <c r="D3" s="189" t="s">
        <v>15</v>
      </c>
      <c r="E3" s="134">
        <f>1/((1/E19)+(1/E20))</f>
        <v>0.25818392191457173</v>
      </c>
      <c r="F3" s="58" t="s">
        <v>9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53.936758083729636</v>
      </c>
      <c r="X3" s="62" t="s">
        <v>9</v>
      </c>
      <c r="Y3" s="202" t="s">
        <v>16</v>
      </c>
      <c r="Z3" s="187">
        <f>1/((1/Z18)+(1/Z19))</f>
        <v>48.543082275356682</v>
      </c>
      <c r="AA3" s="63" t="s">
        <v>9</v>
      </c>
      <c r="AB3" s="310"/>
      <c r="AC3" s="313"/>
      <c r="AD3" s="313"/>
      <c r="AE3" s="313"/>
      <c r="AF3" s="313"/>
      <c r="AG3" s="313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307"/>
      <c r="AS3" s="304"/>
      <c r="AT3" s="291"/>
      <c r="AU3" s="288"/>
      <c r="AV3" s="304"/>
      <c r="AW3" s="291"/>
      <c r="AX3" s="288"/>
      <c r="AY3" s="304"/>
      <c r="AZ3" s="282"/>
      <c r="BA3" s="307"/>
      <c r="BB3" s="304"/>
      <c r="BC3" s="291"/>
      <c r="BD3" s="288"/>
      <c r="BE3" s="304"/>
      <c r="BF3" s="291"/>
      <c r="BG3" s="288"/>
      <c r="BH3" s="304"/>
      <c r="BI3" s="282"/>
      <c r="BJ3" s="307"/>
      <c r="BK3" s="285"/>
      <c r="BL3" s="291"/>
      <c r="BM3" s="288"/>
      <c r="BN3" s="285"/>
      <c r="BO3" s="291"/>
      <c r="BP3" s="288"/>
      <c r="BQ3" s="285"/>
      <c r="BR3" s="282"/>
      <c r="BS3" s="212" t="s">
        <v>15</v>
      </c>
      <c r="BT3" s="64">
        <f>1/((1/BT18)+(1/BT19))</f>
        <v>28.916599254432036</v>
      </c>
      <c r="BU3" s="53" t="s">
        <v>9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56"/>
      <c r="CN3" s="259"/>
      <c r="CO3" s="262"/>
      <c r="CP3" s="279"/>
      <c r="CQ3" s="276"/>
      <c r="CR3" s="262"/>
      <c r="CS3" s="265"/>
      <c r="CT3" s="396"/>
      <c r="CU3" s="393"/>
      <c r="CV3" s="390"/>
      <c r="CW3" s="216" t="s">
        <v>15</v>
      </c>
      <c r="CX3" s="65">
        <f>1/((1/CX19)+(1/CX20))</f>
        <v>0.25587175287134989</v>
      </c>
      <c r="CY3" s="66" t="s">
        <v>9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126">
        <f>(HE5*HE14)*(10^-3)*(HE13+(HE10/HE11))*((HE12*HE7)/HE8)</f>
        <v>0</v>
      </c>
      <c r="HF3" s="220" t="s">
        <v>592</v>
      </c>
    </row>
    <row r="4" spans="1:214" ht="13.5" customHeight="1" thickBot="1" x14ac:dyDescent="0.25">
      <c r="A4" s="378"/>
      <c r="B4" s="379"/>
      <c r="C4" s="380"/>
      <c r="D4" s="190" t="s">
        <v>16</v>
      </c>
      <c r="E4" s="135">
        <f>1/((1/E21)+(1/E22))</f>
        <v>17.080248964346339</v>
      </c>
      <c r="F4" s="68" t="s">
        <v>9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0.81530449389135906</v>
      </c>
      <c r="X4" s="76" t="s">
        <v>9</v>
      </c>
      <c r="Y4" s="203" t="s">
        <v>15</v>
      </c>
      <c r="Z4" s="186">
        <f>1/((1/Z16)+(1/Z17))</f>
        <v>0.73377404450222317</v>
      </c>
      <c r="AA4" s="77" t="s">
        <v>9</v>
      </c>
      <c r="AB4" s="311"/>
      <c r="AC4" s="314"/>
      <c r="AD4" s="314"/>
      <c r="AE4" s="314"/>
      <c r="AF4" s="314"/>
      <c r="AG4" s="314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308"/>
      <c r="AS4" s="305"/>
      <c r="AT4" s="292"/>
      <c r="AU4" s="289"/>
      <c r="AV4" s="305"/>
      <c r="AW4" s="292"/>
      <c r="AX4" s="289"/>
      <c r="AY4" s="305"/>
      <c r="AZ4" s="283"/>
      <c r="BA4" s="308"/>
      <c r="BB4" s="305"/>
      <c r="BC4" s="292"/>
      <c r="BD4" s="289"/>
      <c r="BE4" s="305"/>
      <c r="BF4" s="292"/>
      <c r="BG4" s="289"/>
      <c r="BH4" s="305"/>
      <c r="BI4" s="283"/>
      <c r="BJ4" s="308"/>
      <c r="BK4" s="286"/>
      <c r="BL4" s="292"/>
      <c r="BM4" s="289"/>
      <c r="BN4" s="286"/>
      <c r="BO4" s="292"/>
      <c r="BP4" s="289"/>
      <c r="BQ4" s="286"/>
      <c r="BR4" s="283"/>
      <c r="BS4" s="213" t="s">
        <v>16</v>
      </c>
      <c r="BT4" s="78">
        <f>1/((1/BT20)+(1/BT21))</f>
        <v>1912.98788400679</v>
      </c>
      <c r="BU4" s="79" t="s">
        <v>9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57"/>
      <c r="CN4" s="260"/>
      <c r="CO4" s="263"/>
      <c r="CP4" s="280"/>
      <c r="CQ4" s="277"/>
      <c r="CR4" s="263"/>
      <c r="CS4" s="266"/>
      <c r="CT4" s="397"/>
      <c r="CU4" s="394"/>
      <c r="CV4" s="391"/>
      <c r="CW4" s="217" t="s">
        <v>16</v>
      </c>
      <c r="CX4" s="80">
        <f>1/((1/CX21)+(1/CX22))</f>
        <v>16.927286600876815</v>
      </c>
      <c r="CY4" s="81" t="s">
        <v>9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127">
        <f>(HE6*HE14)*10^-3*(HE13+(HE10/HE11))*((HE12*HE7)/(HE8))</f>
        <v>3.4155649141780757E-2</v>
      </c>
      <c r="HF4" s="221" t="s">
        <v>593</v>
      </c>
    </row>
    <row r="5" spans="1:214" ht="13.5" thickTop="1" x14ac:dyDescent="0.2">
      <c r="A5" s="52" t="s">
        <v>267</v>
      </c>
      <c r="B5" s="129">
        <v>1</v>
      </c>
      <c r="C5" s="52" t="s">
        <v>344</v>
      </c>
      <c r="D5" s="52" t="s">
        <v>267</v>
      </c>
      <c r="E5" s="136">
        <f>B5</f>
        <v>1</v>
      </c>
      <c r="F5" s="52" t="s">
        <v>344</v>
      </c>
      <c r="G5" s="83" t="s">
        <v>267</v>
      </c>
      <c r="H5" s="136">
        <f>B5</f>
        <v>1</v>
      </c>
      <c r="I5" s="52" t="s">
        <v>344</v>
      </c>
      <c r="J5" s="83" t="s">
        <v>267</v>
      </c>
      <c r="K5" s="136">
        <f>B5</f>
        <v>1</v>
      </c>
      <c r="L5" s="52" t="s">
        <v>344</v>
      </c>
      <c r="M5" s="52" t="s">
        <v>267</v>
      </c>
      <c r="N5" s="136">
        <f>B5</f>
        <v>1</v>
      </c>
      <c r="O5" s="52" t="s">
        <v>344</v>
      </c>
      <c r="P5" s="52" t="s">
        <v>267</v>
      </c>
      <c r="Q5" s="136">
        <f>B5</f>
        <v>1</v>
      </c>
      <c r="R5" s="52" t="s">
        <v>344</v>
      </c>
      <c r="S5" s="52" t="s">
        <v>267</v>
      </c>
      <c r="T5" s="136">
        <f>B5</f>
        <v>1</v>
      </c>
      <c r="U5" s="52" t="s">
        <v>344</v>
      </c>
      <c r="V5" s="52" t="s">
        <v>267</v>
      </c>
      <c r="W5" s="136">
        <f>B5</f>
        <v>1</v>
      </c>
      <c r="X5" s="52" t="s">
        <v>344</v>
      </c>
      <c r="Y5" s="52" t="s">
        <v>267</v>
      </c>
      <c r="Z5" s="136">
        <f>B5</f>
        <v>1</v>
      </c>
      <c r="AA5" s="52" t="s">
        <v>344</v>
      </c>
      <c r="AB5" s="83" t="s">
        <v>267</v>
      </c>
      <c r="AC5" s="136">
        <f>B5</f>
        <v>1</v>
      </c>
      <c r="AD5" s="136">
        <f>B5</f>
        <v>1</v>
      </c>
      <c r="AE5" s="136">
        <f>B5</f>
        <v>1</v>
      </c>
      <c r="AF5" s="136">
        <f>B5</f>
        <v>1</v>
      </c>
      <c r="AG5" s="136">
        <f>B5</f>
        <v>1</v>
      </c>
      <c r="AH5" s="52" t="s">
        <v>344</v>
      </c>
      <c r="AI5" s="52" t="s">
        <v>267</v>
      </c>
      <c r="AJ5" s="136">
        <f>B5</f>
        <v>1</v>
      </c>
      <c r="AK5" s="52" t="s">
        <v>344</v>
      </c>
      <c r="AL5" s="52" t="s">
        <v>267</v>
      </c>
      <c r="AM5" s="136">
        <f>B5</f>
        <v>1</v>
      </c>
      <c r="AN5" s="52" t="s">
        <v>344</v>
      </c>
      <c r="AO5" s="52" t="s">
        <v>267</v>
      </c>
      <c r="AP5" s="136">
        <f>B5</f>
        <v>1</v>
      </c>
      <c r="AQ5" s="52" t="s">
        <v>344</v>
      </c>
      <c r="AR5" s="52" t="s">
        <v>267</v>
      </c>
      <c r="AS5" s="136">
        <f>B5</f>
        <v>1</v>
      </c>
      <c r="AT5" s="52" t="s">
        <v>344</v>
      </c>
      <c r="AU5" s="52" t="s">
        <v>267</v>
      </c>
      <c r="AV5" s="136">
        <f>B5</f>
        <v>1</v>
      </c>
      <c r="AW5" s="52" t="s">
        <v>344</v>
      </c>
      <c r="AX5" s="52" t="s">
        <v>267</v>
      </c>
      <c r="AY5" s="136">
        <f>B5</f>
        <v>1</v>
      </c>
      <c r="AZ5" s="52" t="s">
        <v>344</v>
      </c>
      <c r="BA5" s="52" t="s">
        <v>267</v>
      </c>
      <c r="BB5" s="136">
        <f>B5</f>
        <v>1</v>
      </c>
      <c r="BC5" s="52" t="s">
        <v>344</v>
      </c>
      <c r="BD5" s="52" t="s">
        <v>267</v>
      </c>
      <c r="BE5" s="136">
        <f>B5</f>
        <v>1</v>
      </c>
      <c r="BF5" s="52" t="s">
        <v>344</v>
      </c>
      <c r="BG5" s="52" t="s">
        <v>267</v>
      </c>
      <c r="BH5" s="136">
        <f>B5</f>
        <v>1</v>
      </c>
      <c r="BI5" s="52" t="s">
        <v>344</v>
      </c>
      <c r="BJ5" s="52" t="s">
        <v>267</v>
      </c>
      <c r="BK5" s="136">
        <f>B5</f>
        <v>1</v>
      </c>
      <c r="BL5" s="52" t="s">
        <v>344</v>
      </c>
      <c r="BM5" s="52" t="s">
        <v>267</v>
      </c>
      <c r="BN5" s="136">
        <f>B5</f>
        <v>1</v>
      </c>
      <c r="BO5" s="52" t="s">
        <v>344</v>
      </c>
      <c r="BP5" s="52" t="s">
        <v>267</v>
      </c>
      <c r="BQ5" s="136">
        <f>B5</f>
        <v>1</v>
      </c>
      <c r="BR5" s="52" t="s">
        <v>344</v>
      </c>
      <c r="BS5" s="52" t="s">
        <v>267</v>
      </c>
      <c r="BT5" s="136">
        <f>B5</f>
        <v>1</v>
      </c>
      <c r="BU5" s="52" t="s">
        <v>344</v>
      </c>
      <c r="BV5" s="83" t="s">
        <v>267</v>
      </c>
      <c r="BW5" s="136">
        <f>B5</f>
        <v>1</v>
      </c>
      <c r="BX5" s="52" t="s">
        <v>344</v>
      </c>
      <c r="BY5" s="83" t="s">
        <v>267</v>
      </c>
      <c r="BZ5" s="136">
        <f>B5</f>
        <v>1</v>
      </c>
      <c r="CA5" s="52" t="s">
        <v>344</v>
      </c>
      <c r="CB5" s="52" t="s">
        <v>267</v>
      </c>
      <c r="CC5" s="136">
        <f>B5</f>
        <v>1</v>
      </c>
      <c r="CD5" s="52" t="s">
        <v>344</v>
      </c>
      <c r="CE5" s="52" t="s">
        <v>267</v>
      </c>
      <c r="CF5" s="136">
        <f>B5</f>
        <v>1</v>
      </c>
      <c r="CG5" s="52" t="s">
        <v>344</v>
      </c>
      <c r="CH5" s="52" t="s">
        <v>267</v>
      </c>
      <c r="CI5" s="136">
        <f>B5</f>
        <v>1</v>
      </c>
      <c r="CJ5" s="52" t="s">
        <v>344</v>
      </c>
      <c r="CK5" s="52" t="s">
        <v>267</v>
      </c>
      <c r="CL5" s="136">
        <f>B5</f>
        <v>1</v>
      </c>
      <c r="CM5" s="52" t="s">
        <v>344</v>
      </c>
      <c r="CN5" s="83" t="s">
        <v>228</v>
      </c>
      <c r="CO5" s="136">
        <f>B30</f>
        <v>0</v>
      </c>
      <c r="CP5" s="52" t="s">
        <v>268</v>
      </c>
      <c r="CQ5" s="83" t="s">
        <v>228</v>
      </c>
      <c r="CR5" s="136">
        <f>CO5</f>
        <v>0</v>
      </c>
      <c r="CS5" s="52" t="s">
        <v>268</v>
      </c>
      <c r="CT5" s="83" t="s">
        <v>267</v>
      </c>
      <c r="CU5" s="136">
        <f>B5</f>
        <v>1</v>
      </c>
      <c r="CV5" s="52" t="s">
        <v>344</v>
      </c>
      <c r="CW5" s="52" t="s">
        <v>267</v>
      </c>
      <c r="CX5" s="136">
        <f>B5</f>
        <v>1</v>
      </c>
      <c r="CY5" s="52" t="s">
        <v>344</v>
      </c>
      <c r="CZ5" s="83" t="s">
        <v>267</v>
      </c>
      <c r="DA5" s="136">
        <f>B5</f>
        <v>1</v>
      </c>
      <c r="DB5" s="52" t="s">
        <v>344</v>
      </c>
      <c r="DC5" s="83" t="s">
        <v>267</v>
      </c>
      <c r="DD5" s="136">
        <f>B5</f>
        <v>1</v>
      </c>
      <c r="DE5" s="52" t="s">
        <v>344</v>
      </c>
      <c r="DF5" s="52" t="s">
        <v>17</v>
      </c>
      <c r="DG5" s="137">
        <f>(DG8*DG9*DG10*((1-EXP(-DG11*DG12))))/(DG13*DG11)</f>
        <v>0</v>
      </c>
      <c r="DH5" s="52" t="s">
        <v>18</v>
      </c>
      <c r="DI5" s="83" t="s">
        <v>19</v>
      </c>
      <c r="DJ5" s="161">
        <f>DJ7</f>
        <v>0</v>
      </c>
      <c r="DK5" s="83"/>
      <c r="DL5" s="83" t="s">
        <v>19</v>
      </c>
      <c r="DM5" s="161">
        <f>DM7</f>
        <v>0</v>
      </c>
      <c r="DO5" s="52" t="s">
        <v>17</v>
      </c>
      <c r="DP5" s="137">
        <f>(DP8*DP9*DP10*((1-EXP(-DP11*DP12))))/(DP13*DP11)</f>
        <v>0</v>
      </c>
      <c r="DQ5" s="52" t="s">
        <v>18</v>
      </c>
      <c r="DR5" s="83" t="s">
        <v>267</v>
      </c>
      <c r="DS5" s="136">
        <f>B5</f>
        <v>1</v>
      </c>
      <c r="DT5" s="52" t="s">
        <v>344</v>
      </c>
      <c r="DU5" s="83" t="s">
        <v>239</v>
      </c>
      <c r="DV5" s="169">
        <f>B24</f>
        <v>0</v>
      </c>
      <c r="DW5" s="52" t="s">
        <v>601</v>
      </c>
      <c r="DX5" s="83" t="s">
        <v>20</v>
      </c>
      <c r="DY5" s="161">
        <f>DY7</f>
        <v>0</v>
      </c>
      <c r="DZ5" s="83"/>
      <c r="EA5" s="83" t="s">
        <v>20</v>
      </c>
      <c r="EB5" s="161">
        <f>EB7</f>
        <v>0</v>
      </c>
      <c r="EC5" s="84"/>
      <c r="ED5" s="83" t="s">
        <v>20</v>
      </c>
      <c r="EE5" s="161">
        <f>EE7</f>
        <v>0</v>
      </c>
      <c r="EF5" s="84"/>
      <c r="EG5" s="83" t="s">
        <v>267</v>
      </c>
      <c r="EH5" s="136">
        <f>B5</f>
        <v>1</v>
      </c>
      <c r="EI5" s="52" t="s">
        <v>344</v>
      </c>
      <c r="EJ5" s="83" t="s">
        <v>236</v>
      </c>
      <c r="EK5" s="169">
        <f>B25</f>
        <v>0</v>
      </c>
      <c r="EL5" s="52" t="s">
        <v>388</v>
      </c>
      <c r="EM5" s="83" t="s">
        <v>20</v>
      </c>
      <c r="EN5" s="161">
        <f>EN7</f>
        <v>0</v>
      </c>
      <c r="EO5" s="83"/>
      <c r="EP5" s="83" t="s">
        <v>20</v>
      </c>
      <c r="EQ5" s="161">
        <f>EQ7</f>
        <v>0</v>
      </c>
      <c r="ER5" s="84"/>
      <c r="ES5" s="83" t="s">
        <v>20</v>
      </c>
      <c r="ET5" s="161">
        <f>ET7</f>
        <v>0</v>
      </c>
      <c r="EU5" s="84"/>
      <c r="EV5" s="83" t="s">
        <v>267</v>
      </c>
      <c r="EW5" s="136">
        <f>B5</f>
        <v>1</v>
      </c>
      <c r="EX5" s="52" t="s">
        <v>344</v>
      </c>
      <c r="EY5" s="83" t="s">
        <v>171</v>
      </c>
      <c r="EZ5" s="169">
        <f>B27</f>
        <v>0</v>
      </c>
      <c r="FA5" s="52" t="s">
        <v>388</v>
      </c>
      <c r="FB5" s="83" t="s">
        <v>20</v>
      </c>
      <c r="FC5" s="161">
        <f>FC7</f>
        <v>0</v>
      </c>
      <c r="FD5" s="83"/>
      <c r="FE5" s="83" t="s">
        <v>20</v>
      </c>
      <c r="FF5" s="161">
        <f>FF7</f>
        <v>0</v>
      </c>
      <c r="FG5" s="83"/>
      <c r="FH5" s="83" t="s">
        <v>20</v>
      </c>
      <c r="FI5" s="161">
        <f>FI7</f>
        <v>0</v>
      </c>
      <c r="FJ5" s="84"/>
      <c r="FK5" s="83" t="s">
        <v>267</v>
      </c>
      <c r="FL5" s="136">
        <f>B5</f>
        <v>1</v>
      </c>
      <c r="FM5" s="52" t="s">
        <v>344</v>
      </c>
      <c r="FN5" s="83" t="s">
        <v>105</v>
      </c>
      <c r="FO5" s="161">
        <f>B23</f>
        <v>0</v>
      </c>
      <c r="FP5" s="83" t="s">
        <v>18</v>
      </c>
      <c r="FQ5" s="83" t="s">
        <v>105</v>
      </c>
      <c r="FR5" s="161">
        <f>B23</f>
        <v>0</v>
      </c>
      <c r="FS5" s="83" t="s">
        <v>18</v>
      </c>
      <c r="FT5" s="83" t="s">
        <v>105</v>
      </c>
      <c r="FU5" s="161">
        <f>B23</f>
        <v>0</v>
      </c>
      <c r="FV5" s="83" t="s">
        <v>18</v>
      </c>
      <c r="FW5" s="83" t="s">
        <v>156</v>
      </c>
      <c r="FX5" s="161">
        <f>B33</f>
        <v>0</v>
      </c>
      <c r="FY5" s="88" t="s">
        <v>18</v>
      </c>
      <c r="FZ5" s="83" t="s">
        <v>267</v>
      </c>
      <c r="GA5" s="136">
        <f>B5</f>
        <v>1</v>
      </c>
      <c r="GB5" s="52" t="s">
        <v>344</v>
      </c>
      <c r="GC5" s="83" t="s">
        <v>237</v>
      </c>
      <c r="GD5" s="169">
        <f>B26</f>
        <v>0</v>
      </c>
      <c r="GE5" s="52" t="s">
        <v>388</v>
      </c>
      <c r="GF5" s="83" t="s">
        <v>20</v>
      </c>
      <c r="GG5" s="161">
        <f>GG7</f>
        <v>0</v>
      </c>
      <c r="GH5" s="83"/>
      <c r="GI5" s="83" t="s">
        <v>20</v>
      </c>
      <c r="GJ5" s="161">
        <f>GJ7</f>
        <v>0</v>
      </c>
      <c r="GK5" s="83"/>
      <c r="GL5" s="83" t="s">
        <v>20</v>
      </c>
      <c r="GM5" s="161">
        <f>GM7</f>
        <v>0</v>
      </c>
      <c r="GN5" s="84"/>
      <c r="GO5" s="83" t="s">
        <v>267</v>
      </c>
      <c r="GP5" s="136">
        <f>B5</f>
        <v>1</v>
      </c>
      <c r="GQ5" s="52" t="s">
        <v>344</v>
      </c>
      <c r="GR5" s="83" t="s">
        <v>238</v>
      </c>
      <c r="GS5" s="169">
        <f>B28</f>
        <v>0</v>
      </c>
      <c r="GT5" s="52" t="s">
        <v>388</v>
      </c>
      <c r="GU5" s="83" t="s">
        <v>20</v>
      </c>
      <c r="GV5" s="161">
        <f>GV7</f>
        <v>0</v>
      </c>
      <c r="GW5" s="83"/>
      <c r="GX5" s="83" t="s">
        <v>20</v>
      </c>
      <c r="GY5" s="161">
        <f>GY7</f>
        <v>0</v>
      </c>
      <c r="GZ5" s="83"/>
      <c r="HA5" s="83" t="s">
        <v>20</v>
      </c>
      <c r="HB5" s="161">
        <f>HB7</f>
        <v>0</v>
      </c>
      <c r="HC5" s="84"/>
      <c r="HD5" s="89" t="s">
        <v>21</v>
      </c>
      <c r="HE5" s="175">
        <f>B34</f>
        <v>0</v>
      </c>
      <c r="HF5" s="83" t="s">
        <v>11</v>
      </c>
    </row>
    <row r="6" spans="1:214" x14ac:dyDescent="0.2">
      <c r="A6" s="83" t="s">
        <v>247</v>
      </c>
      <c r="B6" s="180">
        <v>1.25E-4</v>
      </c>
      <c r="C6" s="84" t="s">
        <v>259</v>
      </c>
      <c r="D6" s="83" t="s">
        <v>22</v>
      </c>
      <c r="E6" s="137">
        <f>0.693/E7</f>
        <v>66.155354824913829</v>
      </c>
      <c r="G6" s="83" t="s">
        <v>248</v>
      </c>
      <c r="H6" s="136">
        <f>B7</f>
        <v>0</v>
      </c>
      <c r="I6" s="83" t="s">
        <v>259</v>
      </c>
      <c r="J6" s="83" t="s">
        <v>249</v>
      </c>
      <c r="K6" s="136">
        <f>B8</f>
        <v>0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66.155354824913829</v>
      </c>
      <c r="BV6" s="83" t="s">
        <v>248</v>
      </c>
      <c r="BW6" s="136">
        <f>B7</f>
        <v>0</v>
      </c>
      <c r="BX6" s="83" t="s">
        <v>259</v>
      </c>
      <c r="BY6" s="83" t="s">
        <v>249</v>
      </c>
      <c r="BZ6" s="136">
        <f>B8</f>
        <v>0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B17</f>
        <v>0</v>
      </c>
      <c r="CM6" s="91" t="s">
        <v>10</v>
      </c>
      <c r="CN6" s="84" t="s">
        <v>20</v>
      </c>
      <c r="CO6" s="139">
        <f>CO8</f>
        <v>0</v>
      </c>
      <c r="CQ6" s="84" t="s">
        <v>169</v>
      </c>
      <c r="CR6" s="162">
        <f>B133</f>
        <v>1</v>
      </c>
      <c r="CS6" s="52" t="s">
        <v>28</v>
      </c>
      <c r="CT6" s="83" t="s">
        <v>249</v>
      </c>
      <c r="CU6" s="136">
        <f>B8</f>
        <v>0</v>
      </c>
      <c r="CV6" s="83" t="s">
        <v>259</v>
      </c>
      <c r="CW6" s="83" t="s">
        <v>22</v>
      </c>
      <c r="CX6" s="137">
        <f>0.693/CX7</f>
        <v>66.155354824913829</v>
      </c>
      <c r="CZ6" s="83" t="s">
        <v>248</v>
      </c>
      <c r="DA6" s="136">
        <f>B7</f>
        <v>0</v>
      </c>
      <c r="DB6" s="83" t="s">
        <v>259</v>
      </c>
      <c r="DC6" s="83" t="s">
        <v>258</v>
      </c>
      <c r="DD6" s="136">
        <f>B17</f>
        <v>0</v>
      </c>
      <c r="DE6" s="92" t="s">
        <v>259</v>
      </c>
      <c r="DF6" s="52" t="s">
        <v>25</v>
      </c>
      <c r="DG6" s="137">
        <f>(DG8*DG9*DG14*((1-EXP(-DG11*DG12))))/(DG13*DG11)</f>
        <v>5.4084629109509424E-3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B17</f>
        <v>0</v>
      </c>
      <c r="DT6" s="83" t="s">
        <v>259</v>
      </c>
      <c r="DU6" s="83" t="s">
        <v>27</v>
      </c>
      <c r="DV6" s="142">
        <f>B203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B17</f>
        <v>0</v>
      </c>
      <c r="EI6" s="83" t="s">
        <v>259</v>
      </c>
      <c r="EJ6" s="83" t="s">
        <v>29</v>
      </c>
      <c r="EK6" s="142">
        <f>B209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B17</f>
        <v>0</v>
      </c>
      <c r="EX6" s="83" t="s">
        <v>259</v>
      </c>
      <c r="EY6" s="83" t="s">
        <v>148</v>
      </c>
      <c r="EZ6" s="164">
        <f>B214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B17</f>
        <v>0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B33</f>
        <v>0</v>
      </c>
      <c r="FS6" s="83" t="s">
        <v>18</v>
      </c>
      <c r="FT6" s="83" t="s">
        <v>156</v>
      </c>
      <c r="FU6" s="161">
        <f>B33</f>
        <v>0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B17</f>
        <v>0</v>
      </c>
      <c r="GB6" s="83" t="s">
        <v>259</v>
      </c>
      <c r="GC6" s="83" t="s">
        <v>485</v>
      </c>
      <c r="GD6" s="164">
        <f>B219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B17</f>
        <v>0</v>
      </c>
      <c r="GQ6" s="83" t="s">
        <v>259</v>
      </c>
      <c r="GR6" s="83" t="s">
        <v>150</v>
      </c>
      <c r="GS6" s="142">
        <f>B224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2.5814727494226881</v>
      </c>
      <c r="HF6" s="83" t="s">
        <v>11</v>
      </c>
    </row>
    <row r="7" spans="1:214" x14ac:dyDescent="0.2">
      <c r="A7" s="83" t="s">
        <v>248</v>
      </c>
      <c r="B7" s="183">
        <v>0</v>
      </c>
      <c r="C7" s="84" t="s">
        <v>259</v>
      </c>
      <c r="D7" s="91" t="s">
        <v>231</v>
      </c>
      <c r="E7" s="136">
        <f>B18</f>
        <v>1.04753425E-2</v>
      </c>
      <c r="F7" s="52" t="s">
        <v>60</v>
      </c>
      <c r="G7" s="83" t="s">
        <v>247</v>
      </c>
      <c r="H7" s="139">
        <f>B6</f>
        <v>1.25E-4</v>
      </c>
      <c r="I7" s="84" t="s">
        <v>259</v>
      </c>
      <c r="J7" s="83" t="s">
        <v>247</v>
      </c>
      <c r="K7" s="136">
        <f>B6</f>
        <v>1.25E-4</v>
      </c>
      <c r="L7" s="84" t="s">
        <v>259</v>
      </c>
      <c r="M7" s="83" t="s">
        <v>22</v>
      </c>
      <c r="N7" s="137">
        <f>0.693/N8</f>
        <v>66.155354824913829</v>
      </c>
      <c r="P7" s="83" t="s">
        <v>22</v>
      </c>
      <c r="Q7" s="137">
        <f>0.693/Q8</f>
        <v>66.155354824913829</v>
      </c>
      <c r="S7" s="83" t="s">
        <v>22</v>
      </c>
      <c r="T7" s="137">
        <f>0.693/T8</f>
        <v>66.155354824913829</v>
      </c>
      <c r="V7" s="83" t="s">
        <v>22</v>
      </c>
      <c r="W7" s="137">
        <f>0.693/W8</f>
        <v>66.155354824913829</v>
      </c>
      <c r="Y7" s="83" t="s">
        <v>22</v>
      </c>
      <c r="Z7" s="137">
        <f>0.693/Z8</f>
        <v>66.155354824913829</v>
      </c>
      <c r="AB7" s="83" t="s">
        <v>425</v>
      </c>
      <c r="AC7" s="150">
        <f>B231</f>
        <v>250</v>
      </c>
      <c r="AD7" s="150">
        <f>B243</f>
        <v>250</v>
      </c>
      <c r="AE7" s="150">
        <f>B255</f>
        <v>225</v>
      </c>
      <c r="AF7" s="150">
        <f>B267</f>
        <v>250</v>
      </c>
      <c r="AG7" s="150">
        <f>B291</f>
        <v>250</v>
      </c>
      <c r="AH7" s="83" t="s">
        <v>24</v>
      </c>
      <c r="AI7" s="83" t="s">
        <v>22</v>
      </c>
      <c r="AJ7" s="137">
        <f>0.693/AJ8</f>
        <v>66.155354824913829</v>
      </c>
      <c r="AL7" s="83" t="s">
        <v>22</v>
      </c>
      <c r="AM7" s="137">
        <f>0.693/AM8</f>
        <v>66.155354824913829</v>
      </c>
      <c r="AO7" s="83" t="s">
        <v>22</v>
      </c>
      <c r="AP7" s="137">
        <f>0.693/AP8</f>
        <v>66.155354824913829</v>
      </c>
      <c r="AR7" s="83" t="s">
        <v>22</v>
      </c>
      <c r="AS7" s="137">
        <f>0.693/AS8</f>
        <v>66.155354824913829</v>
      </c>
      <c r="AU7" s="83" t="s">
        <v>22</v>
      </c>
      <c r="AV7" s="137">
        <f>0.693/AV8</f>
        <v>66.155354824913829</v>
      </c>
      <c r="AX7" s="83" t="s">
        <v>22</v>
      </c>
      <c r="AY7" s="137">
        <f>0.693/AY8</f>
        <v>66.155354824913829</v>
      </c>
      <c r="BA7" s="83" t="s">
        <v>22</v>
      </c>
      <c r="BB7" s="137">
        <f>0.693/BB8</f>
        <v>66.155354824913829</v>
      </c>
      <c r="BD7" s="83" t="s">
        <v>22</v>
      </c>
      <c r="BE7" s="137">
        <f>0.693/BE8</f>
        <v>66.155354824913829</v>
      </c>
      <c r="BG7" s="83" t="s">
        <v>22</v>
      </c>
      <c r="BH7" s="137">
        <f>0.693/BH8</f>
        <v>66.155354824913829</v>
      </c>
      <c r="BJ7" s="83" t="s">
        <v>22</v>
      </c>
      <c r="BK7" s="137">
        <f>0.693/BK8</f>
        <v>66.155354824913829</v>
      </c>
      <c r="BM7" s="83" t="s">
        <v>22</v>
      </c>
      <c r="BN7" s="137">
        <f>0.693/BN8</f>
        <v>66.155354824913829</v>
      </c>
      <c r="BP7" s="83" t="s">
        <v>22</v>
      </c>
      <c r="BQ7" s="137">
        <f>0.693/BQ8</f>
        <v>66.155354824913829</v>
      </c>
      <c r="BS7" s="91" t="s">
        <v>231</v>
      </c>
      <c r="BT7" s="136">
        <f>B18</f>
        <v>1.04753425E-2</v>
      </c>
      <c r="BU7" s="52" t="s">
        <v>60</v>
      </c>
      <c r="BV7" s="83" t="s">
        <v>247</v>
      </c>
      <c r="BW7" s="139">
        <f>B6</f>
        <v>1.25E-4</v>
      </c>
      <c r="BX7" s="84" t="s">
        <v>259</v>
      </c>
      <c r="BY7" s="83" t="s">
        <v>247</v>
      </c>
      <c r="BZ7" s="139">
        <f>B6</f>
        <v>1.25E-4</v>
      </c>
      <c r="CA7" s="84" t="s">
        <v>259</v>
      </c>
      <c r="CB7" s="83" t="s">
        <v>22</v>
      </c>
      <c r="CC7" s="137">
        <f>0.693/CC8</f>
        <v>66.155354824913829</v>
      </c>
      <c r="CE7" s="83" t="s">
        <v>22</v>
      </c>
      <c r="CF7" s="137">
        <f>0.693/CF8</f>
        <v>66.155354824913829</v>
      </c>
      <c r="CH7" s="83" t="s">
        <v>22</v>
      </c>
      <c r="CI7" s="137">
        <f>0.693/CI8</f>
        <v>66.155354824913829</v>
      </c>
      <c r="CK7" s="52" t="s">
        <v>140</v>
      </c>
      <c r="CL7" s="138">
        <f>B103</f>
        <v>75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B6</f>
        <v>1.25E-4</v>
      </c>
      <c r="CV7" s="84" t="s">
        <v>259</v>
      </c>
      <c r="CW7" s="91" t="s">
        <v>231</v>
      </c>
      <c r="CX7" s="136">
        <f>B18</f>
        <v>1.04753425E-2</v>
      </c>
      <c r="CY7" s="52" t="s">
        <v>60</v>
      </c>
      <c r="CZ7" s="84" t="s">
        <v>247</v>
      </c>
      <c r="DA7" s="139">
        <f>B6</f>
        <v>1.25E-4</v>
      </c>
      <c r="DB7" s="84" t="s">
        <v>259</v>
      </c>
      <c r="DC7" s="83" t="s">
        <v>260</v>
      </c>
      <c r="DD7" s="166" t="e">
        <f>(DD5)/(DD6*(DD8+DD11)*DD19)</f>
        <v>#DIV/0!</v>
      </c>
      <c r="DE7" s="92" t="s">
        <v>10</v>
      </c>
      <c r="DF7" s="52" t="s">
        <v>31</v>
      </c>
      <c r="DG7" s="137">
        <f>(DG8*DG9*DG15*DG21*((1-EXP(-DG16*DG17))))/(DG18*DG16)</f>
        <v>0.82362658902748997</v>
      </c>
      <c r="DH7" s="52" t="s">
        <v>18</v>
      </c>
      <c r="DI7" s="83" t="s">
        <v>32</v>
      </c>
      <c r="DJ7" s="136">
        <f>B31</f>
        <v>0</v>
      </c>
      <c r="DL7" s="83" t="s">
        <v>32</v>
      </c>
      <c r="DM7" s="136">
        <f>B31</f>
        <v>0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 t="e">
        <f>DS5/(DS6*DS8*DS15)</f>
        <v>#DIV/0!</v>
      </c>
      <c r="DT7" s="52" t="s">
        <v>10</v>
      </c>
      <c r="DV7" s="138"/>
      <c r="DX7" s="83" t="s">
        <v>33</v>
      </c>
      <c r="DY7" s="136">
        <f>B32</f>
        <v>0</v>
      </c>
      <c r="EA7" s="83" t="s">
        <v>33</v>
      </c>
      <c r="EB7" s="136">
        <f>B32</f>
        <v>0</v>
      </c>
      <c r="EC7" s="84"/>
      <c r="ED7" s="83" t="s">
        <v>33</v>
      </c>
      <c r="EE7" s="136">
        <f>B32</f>
        <v>0</v>
      </c>
      <c r="EF7" s="84"/>
      <c r="EG7" s="83" t="s">
        <v>260</v>
      </c>
      <c r="EH7" s="168" t="e">
        <f>EH5/(EH6*EH8*EH15)</f>
        <v>#DIV/0!</v>
      </c>
      <c r="EI7" s="52" t="s">
        <v>10</v>
      </c>
      <c r="EM7" s="83" t="s">
        <v>33</v>
      </c>
      <c r="EN7" s="136">
        <f>B32</f>
        <v>0</v>
      </c>
      <c r="EP7" s="83" t="s">
        <v>33</v>
      </c>
      <c r="EQ7" s="136">
        <f>B32</f>
        <v>0</v>
      </c>
      <c r="ER7" s="84"/>
      <c r="ES7" s="83" t="s">
        <v>33</v>
      </c>
      <c r="ET7" s="136">
        <f>B32</f>
        <v>0</v>
      </c>
      <c r="EU7" s="84"/>
      <c r="EV7" s="83" t="s">
        <v>260</v>
      </c>
      <c r="EW7" s="168" t="e">
        <f>EW5/(EW6*EW8*EW15)</f>
        <v>#DIV/0!</v>
      </c>
      <c r="EX7" s="52" t="s">
        <v>10</v>
      </c>
      <c r="EY7" s="83"/>
      <c r="EZ7" s="142">
        <v>1000</v>
      </c>
      <c r="FA7" s="83" t="s">
        <v>132</v>
      </c>
      <c r="FB7" s="83" t="s">
        <v>33</v>
      </c>
      <c r="FC7" s="161">
        <f>B32</f>
        <v>0</v>
      </c>
      <c r="FD7" s="83"/>
      <c r="FE7" s="83" t="s">
        <v>33</v>
      </c>
      <c r="FF7" s="161">
        <f>B32</f>
        <v>0</v>
      </c>
      <c r="FG7" s="83"/>
      <c r="FH7" s="83" t="s">
        <v>33</v>
      </c>
      <c r="FI7" s="161">
        <f>B32</f>
        <v>0</v>
      </c>
      <c r="FJ7" s="84"/>
      <c r="FK7" s="83" t="s">
        <v>260</v>
      </c>
      <c r="FL7" s="168" t="e">
        <f>FL5/(FL6*FL8*FL15)</f>
        <v>#DIV/0!</v>
      </c>
      <c r="FM7" s="52" t="s">
        <v>10</v>
      </c>
      <c r="FN7" s="83"/>
      <c r="FQ7" s="52" t="s">
        <v>350</v>
      </c>
      <c r="FR7" s="164">
        <f>B170</f>
        <v>1</v>
      </c>
      <c r="FT7" s="83"/>
      <c r="FU7" s="83"/>
      <c r="FV7" s="83"/>
      <c r="FZ7" s="83" t="s">
        <v>260</v>
      </c>
      <c r="GA7" s="168" t="e">
        <f>GA5/(GA6*GA8*GA15)</f>
        <v>#DIV/0!</v>
      </c>
      <c r="GB7" s="52" t="s">
        <v>10</v>
      </c>
      <c r="GC7" s="83"/>
      <c r="GD7" s="142">
        <v>1000</v>
      </c>
      <c r="GE7" s="83" t="s">
        <v>132</v>
      </c>
      <c r="GF7" s="83" t="s">
        <v>33</v>
      </c>
      <c r="GG7" s="161">
        <f>B32</f>
        <v>0</v>
      </c>
      <c r="GH7" s="83"/>
      <c r="GI7" s="83" t="s">
        <v>33</v>
      </c>
      <c r="GJ7" s="161">
        <f>B32</f>
        <v>0</v>
      </c>
      <c r="GK7" s="83"/>
      <c r="GL7" s="83" t="s">
        <v>33</v>
      </c>
      <c r="GM7" s="161">
        <f>B32</f>
        <v>0</v>
      </c>
      <c r="GN7" s="84"/>
      <c r="GO7" s="83" t="s">
        <v>260</v>
      </c>
      <c r="GP7" s="168" t="e">
        <f>GP5/(GP6*GP8*GP14)</f>
        <v>#DIV/0!</v>
      </c>
      <c r="GQ7" s="52" t="s">
        <v>10</v>
      </c>
      <c r="GR7" s="88"/>
      <c r="GS7" s="142">
        <v>1000</v>
      </c>
      <c r="GT7" s="83" t="s">
        <v>132</v>
      </c>
      <c r="GU7" s="83" t="s">
        <v>33</v>
      </c>
      <c r="GV7" s="161">
        <f>B32</f>
        <v>0</v>
      </c>
      <c r="GW7" s="83"/>
      <c r="GX7" s="83" t="s">
        <v>33</v>
      </c>
      <c r="GY7" s="161">
        <f>B32</f>
        <v>0</v>
      </c>
      <c r="GZ7" s="83"/>
      <c r="HA7" s="83" t="s">
        <v>33</v>
      </c>
      <c r="HB7" s="161">
        <f>B32</f>
        <v>0</v>
      </c>
      <c r="HC7" s="84"/>
      <c r="HD7" s="83" t="s">
        <v>22</v>
      </c>
      <c r="HE7" s="137">
        <f>0.693/HE9</f>
        <v>66.155354824913829</v>
      </c>
    </row>
    <row r="8" spans="1:214" x14ac:dyDescent="0.2">
      <c r="A8" s="83" t="s">
        <v>249</v>
      </c>
      <c r="B8" s="183">
        <v>0</v>
      </c>
      <c r="C8" s="83" t="s">
        <v>259</v>
      </c>
      <c r="D8" s="52" t="s">
        <v>382</v>
      </c>
      <c r="E8" s="138">
        <f>B56</f>
        <v>350</v>
      </c>
      <c r="F8" s="52" t="s">
        <v>24</v>
      </c>
      <c r="G8" s="91" t="s">
        <v>257</v>
      </c>
      <c r="H8" s="136">
        <f>B16</f>
        <v>7.02368E-3</v>
      </c>
      <c r="I8" s="84" t="s">
        <v>259</v>
      </c>
      <c r="J8" s="83" t="s">
        <v>269</v>
      </c>
      <c r="K8" s="136">
        <f>B10</f>
        <v>2.1295200000000002E-3</v>
      </c>
      <c r="L8" s="83" t="s">
        <v>351</v>
      </c>
      <c r="M8" s="91" t="s">
        <v>231</v>
      </c>
      <c r="N8" s="136">
        <f>B18</f>
        <v>1.04753425E-2</v>
      </c>
      <c r="O8" s="52" t="s">
        <v>60</v>
      </c>
      <c r="P8" s="91" t="s">
        <v>231</v>
      </c>
      <c r="Q8" s="136">
        <f>B18</f>
        <v>1.04753425E-2</v>
      </c>
      <c r="R8" s="52" t="s">
        <v>60</v>
      </c>
      <c r="S8" s="91" t="s">
        <v>231</v>
      </c>
      <c r="T8" s="136">
        <f>B18</f>
        <v>1.04753425E-2</v>
      </c>
      <c r="U8" s="52" t="s">
        <v>60</v>
      </c>
      <c r="V8" s="91" t="s">
        <v>231</v>
      </c>
      <c r="W8" s="136">
        <f>B18</f>
        <v>1.04753425E-2</v>
      </c>
      <c r="X8" s="52" t="s">
        <v>60</v>
      </c>
      <c r="Y8" s="91" t="s">
        <v>231</v>
      </c>
      <c r="Z8" s="136">
        <f>B18</f>
        <v>1.04753425E-2</v>
      </c>
      <c r="AA8" s="52" t="s">
        <v>60</v>
      </c>
      <c r="AB8" s="83" t="s">
        <v>249</v>
      </c>
      <c r="AC8" s="136">
        <f>B9</f>
        <v>0</v>
      </c>
      <c r="AD8" s="136">
        <f>B9</f>
        <v>0</v>
      </c>
      <c r="AE8" s="136">
        <f>B9</f>
        <v>0</v>
      </c>
      <c r="AF8" s="136">
        <f>B9</f>
        <v>0</v>
      </c>
      <c r="AG8" s="136">
        <f>B9</f>
        <v>0</v>
      </c>
      <c r="AH8" s="83" t="s">
        <v>259</v>
      </c>
      <c r="AI8" s="91" t="s">
        <v>231</v>
      </c>
      <c r="AJ8" s="136">
        <f>B18</f>
        <v>1.04753425E-2</v>
      </c>
      <c r="AK8" s="52" t="s">
        <v>60</v>
      </c>
      <c r="AL8" s="91" t="s">
        <v>231</v>
      </c>
      <c r="AM8" s="136">
        <f>B18</f>
        <v>1.04753425E-2</v>
      </c>
      <c r="AN8" s="52" t="s">
        <v>60</v>
      </c>
      <c r="AO8" s="91" t="s">
        <v>231</v>
      </c>
      <c r="AP8" s="136">
        <f>B18</f>
        <v>1.04753425E-2</v>
      </c>
      <c r="AQ8" s="52" t="s">
        <v>60</v>
      </c>
      <c r="AR8" s="91" t="s">
        <v>231</v>
      </c>
      <c r="AS8" s="136">
        <f>B18</f>
        <v>1.04753425E-2</v>
      </c>
      <c r="AT8" s="52" t="s">
        <v>60</v>
      </c>
      <c r="AU8" s="91" t="s">
        <v>231</v>
      </c>
      <c r="AV8" s="136">
        <f>B18</f>
        <v>1.04753425E-2</v>
      </c>
      <c r="AW8" s="52" t="s">
        <v>60</v>
      </c>
      <c r="AX8" s="91" t="s">
        <v>231</v>
      </c>
      <c r="AY8" s="136">
        <f>B18</f>
        <v>1.04753425E-2</v>
      </c>
      <c r="AZ8" s="52" t="s">
        <v>60</v>
      </c>
      <c r="BA8" s="91" t="s">
        <v>231</v>
      </c>
      <c r="BB8" s="136">
        <f>B18</f>
        <v>1.04753425E-2</v>
      </c>
      <c r="BC8" s="52" t="s">
        <v>60</v>
      </c>
      <c r="BD8" s="91" t="s">
        <v>231</v>
      </c>
      <c r="BE8" s="136">
        <f>B18</f>
        <v>1.04753425E-2</v>
      </c>
      <c r="BF8" s="52" t="s">
        <v>60</v>
      </c>
      <c r="BG8" s="91" t="s">
        <v>231</v>
      </c>
      <c r="BH8" s="136">
        <f>B18</f>
        <v>1.04753425E-2</v>
      </c>
      <c r="BI8" s="52" t="s">
        <v>60</v>
      </c>
      <c r="BJ8" s="91" t="s">
        <v>231</v>
      </c>
      <c r="BK8" s="136">
        <f>B18</f>
        <v>1.04753425E-2</v>
      </c>
      <c r="BL8" s="52" t="s">
        <v>60</v>
      </c>
      <c r="BM8" s="91" t="s">
        <v>231</v>
      </c>
      <c r="BN8" s="136">
        <f>B18</f>
        <v>1.04753425E-2</v>
      </c>
      <c r="BO8" s="52" t="s">
        <v>60</v>
      </c>
      <c r="BP8" s="91" t="s">
        <v>231</v>
      </c>
      <c r="BQ8" s="136">
        <f>B18</f>
        <v>1.04753425E-2</v>
      </c>
      <c r="BR8" s="52" t="s">
        <v>60</v>
      </c>
      <c r="BS8" s="52" t="s">
        <v>140</v>
      </c>
      <c r="BT8" s="138">
        <f>B103</f>
        <v>75</v>
      </c>
      <c r="BU8" s="52" t="s">
        <v>24</v>
      </c>
      <c r="BV8" s="91" t="s">
        <v>257</v>
      </c>
      <c r="BW8" s="136">
        <f>B16</f>
        <v>7.02368E-3</v>
      </c>
      <c r="BX8" s="84" t="s">
        <v>259</v>
      </c>
      <c r="BY8" s="83" t="s">
        <v>269</v>
      </c>
      <c r="BZ8" s="136">
        <f>B10</f>
        <v>2.1295200000000002E-3</v>
      </c>
      <c r="CA8" s="83" t="s">
        <v>351</v>
      </c>
      <c r="CB8" s="91" t="s">
        <v>231</v>
      </c>
      <c r="CC8" s="136">
        <f>B18</f>
        <v>1.04753425E-2</v>
      </c>
      <c r="CD8" s="52" t="s">
        <v>60</v>
      </c>
      <c r="CE8" s="91" t="s">
        <v>231</v>
      </c>
      <c r="CF8" s="136">
        <f>B18</f>
        <v>1.04753425E-2</v>
      </c>
      <c r="CG8" s="52" t="s">
        <v>60</v>
      </c>
      <c r="CH8" s="91" t="s">
        <v>231</v>
      </c>
      <c r="CI8" s="136">
        <f>B18</f>
        <v>1.04753425E-2</v>
      </c>
      <c r="CJ8" s="52" t="s">
        <v>60</v>
      </c>
      <c r="CK8" s="52" t="s">
        <v>159</v>
      </c>
      <c r="CL8" s="162">
        <f>B128</f>
        <v>1</v>
      </c>
      <c r="CM8" s="52" t="s">
        <v>221</v>
      </c>
      <c r="CN8" s="84" t="s">
        <v>33</v>
      </c>
      <c r="CO8" s="136">
        <f>B32</f>
        <v>0</v>
      </c>
      <c r="CT8" s="83" t="s">
        <v>269</v>
      </c>
      <c r="CU8" s="136">
        <f>B10</f>
        <v>2.1295200000000002E-3</v>
      </c>
      <c r="CV8" s="83" t="s">
        <v>351</v>
      </c>
      <c r="CW8" s="52" t="s">
        <v>362</v>
      </c>
      <c r="CX8" s="138">
        <f>B169</f>
        <v>350</v>
      </c>
      <c r="CY8" s="52" t="s">
        <v>24</v>
      </c>
      <c r="CZ8" s="83" t="s">
        <v>270</v>
      </c>
      <c r="DA8" s="165">
        <f>B16</f>
        <v>7.02368E-3</v>
      </c>
      <c r="DB8" s="83" t="s">
        <v>259</v>
      </c>
      <c r="DC8" s="83" t="s">
        <v>516</v>
      </c>
      <c r="DD8" s="149">
        <f>(DD9*DD15*DD20)+(DD10*DD14*DD21)</f>
        <v>39585</v>
      </c>
      <c r="DE8" s="92" t="s">
        <v>347</v>
      </c>
      <c r="DF8" s="83" t="s">
        <v>36</v>
      </c>
      <c r="DG8" s="138">
        <f>B193</f>
        <v>3.62</v>
      </c>
      <c r="DH8" s="52" t="s">
        <v>37</v>
      </c>
      <c r="DI8" s="83" t="s">
        <v>393</v>
      </c>
      <c r="DJ8" s="138">
        <f>B35</f>
        <v>0.26</v>
      </c>
      <c r="DL8" s="83" t="s">
        <v>393</v>
      </c>
      <c r="DM8" s="138">
        <f>B35</f>
        <v>0.26</v>
      </c>
      <c r="DO8" s="83" t="s">
        <v>36</v>
      </c>
      <c r="DP8" s="138">
        <f>B193</f>
        <v>3.62</v>
      </c>
      <c r="DQ8" s="52" t="s">
        <v>37</v>
      </c>
      <c r="DR8" s="83" t="s">
        <v>147</v>
      </c>
      <c r="DS8" s="149">
        <f>(DS11*DS9*DS17)+(DS12*DS10*DS18)</f>
        <v>150914.75</v>
      </c>
      <c r="DT8" s="92" t="s">
        <v>347</v>
      </c>
      <c r="DU8" s="52" t="s">
        <v>518</v>
      </c>
      <c r="DV8" s="146">
        <f>B204</f>
        <v>1.03</v>
      </c>
      <c r="DW8" s="52" t="s">
        <v>286</v>
      </c>
      <c r="DX8" s="83" t="s">
        <v>392</v>
      </c>
      <c r="DY8" s="138">
        <f>B36</f>
        <v>0.25</v>
      </c>
      <c r="EA8" s="83" t="s">
        <v>392</v>
      </c>
      <c r="EB8" s="138">
        <f>B36</f>
        <v>0.25</v>
      </c>
      <c r="EC8" s="84"/>
      <c r="ED8" s="83" t="s">
        <v>392</v>
      </c>
      <c r="EE8" s="138">
        <f>B36</f>
        <v>0.25</v>
      </c>
      <c r="EF8" s="84"/>
      <c r="EG8" s="83" t="s">
        <v>519</v>
      </c>
      <c r="EH8" s="149">
        <f>(EH11*EH9*EH17)+(EH12*EH10*EH18)</f>
        <v>55060.25</v>
      </c>
      <c r="EI8" s="92" t="s">
        <v>347</v>
      </c>
      <c r="EJ8" s="83"/>
      <c r="EM8" s="83" t="s">
        <v>392</v>
      </c>
      <c r="EN8" s="138">
        <f>B36</f>
        <v>0.25</v>
      </c>
      <c r="EP8" s="83" t="s">
        <v>392</v>
      </c>
      <c r="EQ8" s="138">
        <f>B36</f>
        <v>0.25</v>
      </c>
      <c r="ER8" s="84"/>
      <c r="ES8" s="83" t="s">
        <v>392</v>
      </c>
      <c r="ET8" s="138">
        <f>B36</f>
        <v>0.25</v>
      </c>
      <c r="EU8" s="84"/>
      <c r="EV8" s="83" t="s">
        <v>520</v>
      </c>
      <c r="EW8" s="149">
        <f>(EW11*EW9*EW17)+(EW12*EW10*EW18)</f>
        <v>16461.375</v>
      </c>
      <c r="EX8" s="92" t="s">
        <v>347</v>
      </c>
      <c r="EY8" s="83"/>
      <c r="EZ8" s="83"/>
      <c r="FA8" s="83"/>
      <c r="FB8" s="83" t="s">
        <v>392</v>
      </c>
      <c r="FC8" s="142">
        <f>B36</f>
        <v>0.25</v>
      </c>
      <c r="FD8" s="83"/>
      <c r="FE8" s="83" t="s">
        <v>392</v>
      </c>
      <c r="FF8" s="142">
        <f>B36</f>
        <v>0.25</v>
      </c>
      <c r="FG8" s="83"/>
      <c r="FH8" s="83" t="s">
        <v>392</v>
      </c>
      <c r="FI8" s="142">
        <f>B36</f>
        <v>0.25</v>
      </c>
      <c r="FJ8" s="84"/>
      <c r="FK8" s="83" t="s">
        <v>521</v>
      </c>
      <c r="FL8" s="173">
        <f>(FL9*FL11*FL17)+(FL10*FL12*FL18)</f>
        <v>47953.5</v>
      </c>
      <c r="FM8" s="92" t="s">
        <v>347</v>
      </c>
      <c r="FN8" s="83"/>
      <c r="FO8" s="83"/>
      <c r="FP8" s="83"/>
      <c r="FQ8" s="83" t="s">
        <v>22</v>
      </c>
      <c r="FR8" s="137">
        <f>0.693/FR9</f>
        <v>66.155354824913829</v>
      </c>
      <c r="FT8" s="83"/>
      <c r="FU8" s="83"/>
      <c r="FV8" s="83"/>
      <c r="FZ8" s="83" t="s">
        <v>522</v>
      </c>
      <c r="GA8" s="173">
        <f>(GA11*GA9*GA17)+(GA10*GA12*GA18)</f>
        <v>32952.5</v>
      </c>
      <c r="GB8" s="92" t="s">
        <v>347</v>
      </c>
      <c r="GC8" s="83"/>
      <c r="GD8" s="83"/>
      <c r="GE8" s="83"/>
      <c r="GF8" s="83" t="s">
        <v>392</v>
      </c>
      <c r="GG8" s="142">
        <f>B36</f>
        <v>0.25</v>
      </c>
      <c r="GH8" s="83"/>
      <c r="GI8" s="83" t="s">
        <v>392</v>
      </c>
      <c r="GJ8" s="142">
        <f>B36</f>
        <v>0.25</v>
      </c>
      <c r="GK8" s="83"/>
      <c r="GL8" s="83" t="s">
        <v>392</v>
      </c>
      <c r="GM8" s="142">
        <f>B36</f>
        <v>0.25</v>
      </c>
      <c r="GN8" s="84"/>
      <c r="GO8" s="83" t="s">
        <v>523</v>
      </c>
      <c r="GP8" s="149">
        <f>(GP9*GP11*GP16)+(GP10*GP12*GP17)</f>
        <v>30096.5</v>
      </c>
      <c r="GQ8" s="92" t="s">
        <v>347</v>
      </c>
      <c r="GR8" s="83"/>
      <c r="GS8" s="83"/>
      <c r="GT8" s="83"/>
      <c r="GU8" s="83" t="s">
        <v>392</v>
      </c>
      <c r="GV8" s="142">
        <f>B36</f>
        <v>0.25</v>
      </c>
      <c r="GW8" s="83"/>
      <c r="GX8" s="83" t="s">
        <v>392</v>
      </c>
      <c r="GY8" s="142">
        <f>B36</f>
        <v>0.25</v>
      </c>
      <c r="GZ8" s="83"/>
      <c r="HA8" s="83" t="s">
        <v>392</v>
      </c>
      <c r="HB8" s="142">
        <f>B36</f>
        <v>0.25</v>
      </c>
      <c r="HC8" s="84"/>
      <c r="HD8" s="52" t="s">
        <v>16</v>
      </c>
      <c r="HE8" s="137">
        <f>1-EXP(-HE7*HE12)</f>
        <v>1</v>
      </c>
    </row>
    <row r="9" spans="1:214" x14ac:dyDescent="0.2">
      <c r="A9" s="83" t="s">
        <v>250</v>
      </c>
      <c r="B9" s="183">
        <v>0</v>
      </c>
      <c r="C9" s="83" t="s">
        <v>259</v>
      </c>
      <c r="D9" s="52" t="s">
        <v>379</v>
      </c>
      <c r="E9" s="138">
        <f>B53</f>
        <v>1</v>
      </c>
      <c r="F9" s="52" t="s">
        <v>146</v>
      </c>
      <c r="G9" s="83" t="s">
        <v>258</v>
      </c>
      <c r="H9" s="136">
        <f>B17</f>
        <v>0</v>
      </c>
      <c r="I9" s="92" t="s">
        <v>259</v>
      </c>
      <c r="J9" s="83" t="s">
        <v>258</v>
      </c>
      <c r="K9" s="136">
        <f>B17</f>
        <v>0</v>
      </c>
      <c r="L9" s="92" t="s">
        <v>259</v>
      </c>
      <c r="M9" s="52" t="s">
        <v>382</v>
      </c>
      <c r="N9" s="138">
        <f>B56</f>
        <v>350</v>
      </c>
      <c r="O9" s="52" t="s">
        <v>24</v>
      </c>
      <c r="P9" s="52" t="s">
        <v>382</v>
      </c>
      <c r="Q9" s="138">
        <f>B56</f>
        <v>350</v>
      </c>
      <c r="R9" s="52" t="s">
        <v>24</v>
      </c>
      <c r="S9" s="52" t="s">
        <v>382</v>
      </c>
      <c r="T9" s="138">
        <f>B56</f>
        <v>350</v>
      </c>
      <c r="U9" s="52" t="s">
        <v>24</v>
      </c>
      <c r="V9" s="52" t="s">
        <v>423</v>
      </c>
      <c r="W9" s="138">
        <f>B255</f>
        <v>225</v>
      </c>
      <c r="X9" s="52" t="s">
        <v>24</v>
      </c>
      <c r="Y9" s="52" t="s">
        <v>316</v>
      </c>
      <c r="Z9" s="138">
        <f>B231</f>
        <v>250</v>
      </c>
      <c r="AA9" s="52" t="s">
        <v>24</v>
      </c>
      <c r="AB9" s="83" t="s">
        <v>34</v>
      </c>
      <c r="AC9" s="146">
        <f>B232</f>
        <v>1</v>
      </c>
      <c r="AD9" s="146">
        <f>B244</f>
        <v>1</v>
      </c>
      <c r="AE9" s="146">
        <f>B256</f>
        <v>1</v>
      </c>
      <c r="AF9" s="146">
        <f>B268</f>
        <v>1</v>
      </c>
      <c r="AG9" s="146">
        <f>B292</f>
        <v>1</v>
      </c>
      <c r="AH9" s="83" t="s">
        <v>60</v>
      </c>
      <c r="AI9" s="52" t="s">
        <v>35</v>
      </c>
      <c r="AJ9" s="138">
        <f>B243</f>
        <v>250</v>
      </c>
      <c r="AK9" s="52" t="s">
        <v>24</v>
      </c>
      <c r="AL9" s="52" t="s">
        <v>35</v>
      </c>
      <c r="AM9" s="138">
        <f>B243</f>
        <v>250</v>
      </c>
      <c r="AN9" s="52" t="s">
        <v>24</v>
      </c>
      <c r="AO9" s="52" t="s">
        <v>35</v>
      </c>
      <c r="AP9" s="138">
        <f>B243</f>
        <v>250</v>
      </c>
      <c r="AQ9" s="52" t="s">
        <v>24</v>
      </c>
      <c r="AR9" s="52" t="s">
        <v>423</v>
      </c>
      <c r="AS9" s="138">
        <f>B255</f>
        <v>225</v>
      </c>
      <c r="AT9" s="52" t="s">
        <v>24</v>
      </c>
      <c r="AU9" s="52" t="s">
        <v>423</v>
      </c>
      <c r="AV9" s="138">
        <f>B255</f>
        <v>225</v>
      </c>
      <c r="AW9" s="52" t="s">
        <v>24</v>
      </c>
      <c r="AX9" s="52" t="s">
        <v>423</v>
      </c>
      <c r="AY9" s="138">
        <f>B255</f>
        <v>225</v>
      </c>
      <c r="AZ9" s="52" t="s">
        <v>24</v>
      </c>
      <c r="BA9" s="52" t="s">
        <v>316</v>
      </c>
      <c r="BB9" s="138">
        <f>B231</f>
        <v>250</v>
      </c>
      <c r="BC9" s="52" t="s">
        <v>24</v>
      </c>
      <c r="BD9" s="52" t="s">
        <v>316</v>
      </c>
      <c r="BE9" s="138">
        <f>B231</f>
        <v>250</v>
      </c>
      <c r="BF9" s="52" t="s">
        <v>24</v>
      </c>
      <c r="BG9" s="52" t="s">
        <v>316</v>
      </c>
      <c r="BH9" s="138">
        <f>B231</f>
        <v>250</v>
      </c>
      <c r="BI9" s="52" t="s">
        <v>24</v>
      </c>
      <c r="BJ9" s="52" t="s">
        <v>191</v>
      </c>
      <c r="BK9" s="138">
        <f>BK10*BK11</f>
        <v>250</v>
      </c>
      <c r="BL9" s="52" t="s">
        <v>24</v>
      </c>
      <c r="BM9" s="52" t="s">
        <v>191</v>
      </c>
      <c r="BN9" s="138">
        <f>BN10*BN11</f>
        <v>250</v>
      </c>
      <c r="BO9" s="52" t="s">
        <v>24</v>
      </c>
      <c r="BP9" s="52" t="s">
        <v>191</v>
      </c>
      <c r="BQ9" s="138">
        <f>BQ10*BQ11</f>
        <v>250</v>
      </c>
      <c r="BR9" s="52" t="s">
        <v>24</v>
      </c>
      <c r="BS9" s="52" t="s">
        <v>247</v>
      </c>
      <c r="BT9" s="139">
        <f>E11</f>
        <v>1.25E-4</v>
      </c>
      <c r="BU9" s="84" t="s">
        <v>259</v>
      </c>
      <c r="BV9" s="83" t="s">
        <v>258</v>
      </c>
      <c r="BW9" s="136">
        <f>B17</f>
        <v>0</v>
      </c>
      <c r="BX9" s="92" t="s">
        <v>259</v>
      </c>
      <c r="BY9" s="83" t="s">
        <v>77</v>
      </c>
      <c r="BZ9" s="136">
        <f>B19</f>
        <v>1359344473.5814338</v>
      </c>
      <c r="CA9" s="83" t="s">
        <v>78</v>
      </c>
      <c r="CB9" s="52" t="s">
        <v>140</v>
      </c>
      <c r="CC9" s="138">
        <f>B103</f>
        <v>75</v>
      </c>
      <c r="CD9" s="52" t="s">
        <v>24</v>
      </c>
      <c r="CE9" s="52" t="s">
        <v>140</v>
      </c>
      <c r="CF9" s="138">
        <f>B103</f>
        <v>75</v>
      </c>
      <c r="CG9" s="52" t="s">
        <v>24</v>
      </c>
      <c r="CH9" s="52" t="s">
        <v>140</v>
      </c>
      <c r="CI9" s="138">
        <f>B103</f>
        <v>75</v>
      </c>
      <c r="CJ9" s="52" t="s">
        <v>24</v>
      </c>
      <c r="CN9" s="84" t="s">
        <v>392</v>
      </c>
      <c r="CO9" s="162">
        <f>B36</f>
        <v>0.25</v>
      </c>
      <c r="CT9" s="83" t="s">
        <v>258</v>
      </c>
      <c r="CU9" s="136">
        <f>B17</f>
        <v>0</v>
      </c>
      <c r="CV9" s="92" t="s">
        <v>259</v>
      </c>
      <c r="CW9" s="52" t="s">
        <v>363</v>
      </c>
      <c r="CX9" s="138">
        <f>B170</f>
        <v>1</v>
      </c>
      <c r="CY9" s="52" t="s">
        <v>146</v>
      </c>
      <c r="CZ9" s="83" t="s">
        <v>258</v>
      </c>
      <c r="DA9" s="136">
        <f>B17</f>
        <v>0</v>
      </c>
      <c r="DB9" s="84" t="s">
        <v>259</v>
      </c>
      <c r="DC9" s="83" t="s">
        <v>513</v>
      </c>
      <c r="DD9" s="146">
        <f>B151</f>
        <v>41.7</v>
      </c>
      <c r="DE9" s="92" t="s">
        <v>221</v>
      </c>
      <c r="DF9" s="83" t="s">
        <v>40</v>
      </c>
      <c r="DG9" s="138">
        <f>B194</f>
        <v>0.25</v>
      </c>
      <c r="DH9" s="52" t="s">
        <v>41</v>
      </c>
      <c r="DI9" s="52" t="s">
        <v>350</v>
      </c>
      <c r="DJ9" s="164">
        <f>B170</f>
        <v>1</v>
      </c>
      <c r="DL9" s="83"/>
      <c r="DO9" s="83" t="s">
        <v>40</v>
      </c>
      <c r="DP9" s="138">
        <f>B194</f>
        <v>0.25</v>
      </c>
      <c r="DQ9" s="52" t="s">
        <v>41</v>
      </c>
      <c r="DR9" s="83" t="s">
        <v>452</v>
      </c>
      <c r="DS9" s="146">
        <f>B153</f>
        <v>349.5</v>
      </c>
      <c r="DT9" s="92" t="s">
        <v>221</v>
      </c>
      <c r="DU9" s="83"/>
      <c r="DX9" s="83" t="s">
        <v>517</v>
      </c>
      <c r="DY9" s="136">
        <f>B24</f>
        <v>0</v>
      </c>
      <c r="DZ9" s="52" t="s">
        <v>601</v>
      </c>
      <c r="EA9" s="83" t="s">
        <v>517</v>
      </c>
      <c r="EB9" s="136">
        <f>B24</f>
        <v>0</v>
      </c>
      <c r="EC9" s="52" t="s">
        <v>601</v>
      </c>
      <c r="ED9" s="83" t="s">
        <v>517</v>
      </c>
      <c r="EE9" s="136">
        <f>B24</f>
        <v>0</v>
      </c>
      <c r="EF9" s="52" t="s">
        <v>601</v>
      </c>
      <c r="EG9" s="83" t="s">
        <v>453</v>
      </c>
      <c r="EH9" s="170">
        <f>B155</f>
        <v>40.1</v>
      </c>
      <c r="EI9" s="92" t="s">
        <v>221</v>
      </c>
      <c r="EJ9" s="83"/>
      <c r="EM9" s="83" t="s">
        <v>236</v>
      </c>
      <c r="EN9" s="136">
        <f>B25</f>
        <v>0</v>
      </c>
      <c r="EO9" s="52" t="s">
        <v>388</v>
      </c>
      <c r="EP9" s="83" t="s">
        <v>236</v>
      </c>
      <c r="EQ9" s="169">
        <f>B25</f>
        <v>0</v>
      </c>
      <c r="ER9" s="52" t="s">
        <v>388</v>
      </c>
      <c r="ES9" s="83" t="s">
        <v>236</v>
      </c>
      <c r="ET9" s="169">
        <f>B25</f>
        <v>0</v>
      </c>
      <c r="EU9" s="52" t="s">
        <v>388</v>
      </c>
      <c r="EV9" s="83" t="s">
        <v>454</v>
      </c>
      <c r="EW9" s="171">
        <f>B157</f>
        <v>10.95</v>
      </c>
      <c r="EX9" s="92" t="s">
        <v>221</v>
      </c>
      <c r="EY9" s="83"/>
      <c r="EZ9" s="83"/>
      <c r="FA9" s="83"/>
      <c r="FB9" s="83" t="s">
        <v>171</v>
      </c>
      <c r="FC9" s="169">
        <f>B27</f>
        <v>0</v>
      </c>
      <c r="FD9" s="52" t="s">
        <v>388</v>
      </c>
      <c r="FE9" s="83" t="s">
        <v>171</v>
      </c>
      <c r="FF9" s="169">
        <f>B27</f>
        <v>0</v>
      </c>
      <c r="FG9" s="52" t="s">
        <v>388</v>
      </c>
      <c r="FH9" s="83" t="s">
        <v>171</v>
      </c>
      <c r="FI9" s="169">
        <f>B27</f>
        <v>0</v>
      </c>
      <c r="FJ9" s="52" t="s">
        <v>388</v>
      </c>
      <c r="FK9" s="83" t="s">
        <v>471</v>
      </c>
      <c r="FL9" s="150">
        <f>B159</f>
        <v>32.799999999999997</v>
      </c>
      <c r="FM9" s="92" t="s">
        <v>221</v>
      </c>
      <c r="FN9" s="83"/>
      <c r="FO9" s="83"/>
      <c r="FP9" s="83"/>
      <c r="FQ9" s="91" t="s">
        <v>231</v>
      </c>
      <c r="FR9" s="136">
        <f>B18</f>
        <v>1.04753425E-2</v>
      </c>
      <c r="FS9" s="52" t="s">
        <v>60</v>
      </c>
      <c r="FT9" s="83"/>
      <c r="FU9" s="93"/>
      <c r="FV9" s="83"/>
      <c r="FW9" s="83"/>
      <c r="FX9" s="93"/>
      <c r="FY9" s="83"/>
      <c r="FZ9" s="83" t="s">
        <v>473</v>
      </c>
      <c r="GA9" s="174">
        <f>B161</f>
        <v>23.6</v>
      </c>
      <c r="GB9" s="92" t="s">
        <v>221</v>
      </c>
      <c r="GC9" s="83"/>
      <c r="GD9" s="83"/>
      <c r="GE9" s="83"/>
      <c r="GF9" s="83" t="s">
        <v>237</v>
      </c>
      <c r="GG9" s="169">
        <f>B26</f>
        <v>0</v>
      </c>
      <c r="GH9" s="52" t="s">
        <v>388</v>
      </c>
      <c r="GI9" s="83" t="s">
        <v>237</v>
      </c>
      <c r="GJ9" s="169">
        <f>B26</f>
        <v>0</v>
      </c>
      <c r="GK9" s="52" t="s">
        <v>388</v>
      </c>
      <c r="GL9" s="83" t="s">
        <v>237</v>
      </c>
      <c r="GM9" s="169">
        <f>B26</f>
        <v>0</v>
      </c>
      <c r="GN9" s="52" t="s">
        <v>388</v>
      </c>
      <c r="GO9" s="83" t="s">
        <v>455</v>
      </c>
      <c r="GP9" s="150">
        <f>B163</f>
        <v>18.5</v>
      </c>
      <c r="GQ9" s="92" t="s">
        <v>221</v>
      </c>
      <c r="GR9" s="83"/>
      <c r="GS9" s="83"/>
      <c r="GT9" s="83"/>
      <c r="GU9" s="83" t="s">
        <v>238</v>
      </c>
      <c r="GV9" s="169">
        <f>B28</f>
        <v>0</v>
      </c>
      <c r="GW9" s="52" t="s">
        <v>388</v>
      </c>
      <c r="GX9" s="83" t="s">
        <v>238</v>
      </c>
      <c r="GY9" s="169">
        <f>B28</f>
        <v>0</v>
      </c>
      <c r="GZ9" s="52" t="s">
        <v>388</v>
      </c>
      <c r="HA9" s="83" t="s">
        <v>238</v>
      </c>
      <c r="HB9" s="169">
        <f>B28</f>
        <v>0</v>
      </c>
      <c r="HC9" s="52" t="s">
        <v>388</v>
      </c>
      <c r="HD9" s="91" t="s">
        <v>231</v>
      </c>
      <c r="HE9" s="136">
        <f>B18</f>
        <v>1.04753425E-2</v>
      </c>
      <c r="HF9" s="52" t="s">
        <v>60</v>
      </c>
    </row>
    <row r="10" spans="1:214" x14ac:dyDescent="0.2">
      <c r="A10" s="83" t="s">
        <v>251</v>
      </c>
      <c r="B10" s="179">
        <v>2.1295200000000002E-3</v>
      </c>
      <c r="C10" s="83" t="s">
        <v>351</v>
      </c>
      <c r="D10" s="52" t="s">
        <v>92</v>
      </c>
      <c r="E10" s="138">
        <f>E9</f>
        <v>1</v>
      </c>
      <c r="G10" s="83" t="s">
        <v>260</v>
      </c>
      <c r="H10" s="143" t="e">
        <f>H5/(H6*H15)</f>
        <v>#DIV/0!</v>
      </c>
      <c r="I10" s="92" t="s">
        <v>11</v>
      </c>
      <c r="J10" s="83" t="s">
        <v>77</v>
      </c>
      <c r="K10" s="136">
        <f>B19</f>
        <v>1359344473.5814338</v>
      </c>
      <c r="L10" s="83" t="s">
        <v>78</v>
      </c>
      <c r="M10" s="52" t="s">
        <v>379</v>
      </c>
      <c r="N10" s="138">
        <f>B53</f>
        <v>1</v>
      </c>
      <c r="O10" s="52" t="s">
        <v>146</v>
      </c>
      <c r="P10" s="52" t="s">
        <v>379</v>
      </c>
      <c r="Q10" s="138">
        <f>B53</f>
        <v>1</v>
      </c>
      <c r="R10" s="52" t="s">
        <v>146</v>
      </c>
      <c r="S10" s="52" t="s">
        <v>379</v>
      </c>
      <c r="T10" s="138">
        <f>B53</f>
        <v>1</v>
      </c>
      <c r="U10" s="52" t="s">
        <v>146</v>
      </c>
      <c r="V10" s="52" t="s">
        <v>424</v>
      </c>
      <c r="W10" s="138">
        <f>B256</f>
        <v>1</v>
      </c>
      <c r="X10" s="52" t="s">
        <v>146</v>
      </c>
      <c r="Y10" s="52" t="s">
        <v>422</v>
      </c>
      <c r="Z10" s="138">
        <f>B232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B277</f>
        <v>5</v>
      </c>
      <c r="AG10" s="146">
        <f>B300</f>
        <v>5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B244</f>
        <v>1</v>
      </c>
      <c r="AN10" s="52" t="s">
        <v>146</v>
      </c>
      <c r="AO10" s="52" t="s">
        <v>420</v>
      </c>
      <c r="AP10" s="138">
        <f>B244</f>
        <v>1</v>
      </c>
      <c r="AQ10" s="52" t="s">
        <v>146</v>
      </c>
      <c r="AR10" s="52" t="s">
        <v>424</v>
      </c>
      <c r="AS10" s="138">
        <f>B256</f>
        <v>1</v>
      </c>
      <c r="AT10" s="52" t="s">
        <v>146</v>
      </c>
      <c r="AU10" s="52" t="s">
        <v>424</v>
      </c>
      <c r="AV10" s="138">
        <f>B256</f>
        <v>1</v>
      </c>
      <c r="AW10" s="52" t="s">
        <v>146</v>
      </c>
      <c r="AX10" s="52" t="s">
        <v>424</v>
      </c>
      <c r="AY10" s="138">
        <f>B256</f>
        <v>1</v>
      </c>
      <c r="AZ10" s="52" t="s">
        <v>146</v>
      </c>
      <c r="BA10" s="52" t="s">
        <v>422</v>
      </c>
      <c r="BB10" s="138">
        <f>B232</f>
        <v>1</v>
      </c>
      <c r="BC10" s="52" t="s">
        <v>146</v>
      </c>
      <c r="BD10" s="52" t="s">
        <v>422</v>
      </c>
      <c r="BE10" s="138">
        <f>B232</f>
        <v>1</v>
      </c>
      <c r="BF10" s="52" t="s">
        <v>146</v>
      </c>
      <c r="BG10" s="52" t="s">
        <v>422</v>
      </c>
      <c r="BH10" s="138">
        <f>B232</f>
        <v>1</v>
      </c>
      <c r="BI10" s="52" t="s">
        <v>146</v>
      </c>
      <c r="BJ10" s="52" t="s">
        <v>220</v>
      </c>
      <c r="BK10" s="138">
        <f>B278</f>
        <v>50</v>
      </c>
      <c r="BL10" s="52" t="s">
        <v>113</v>
      </c>
      <c r="BM10" s="52" t="s">
        <v>220</v>
      </c>
      <c r="BN10" s="138">
        <f>B278</f>
        <v>50</v>
      </c>
      <c r="BO10" s="52" t="s">
        <v>113</v>
      </c>
      <c r="BP10" s="52" t="s">
        <v>220</v>
      </c>
      <c r="BQ10" s="138">
        <f>B278</f>
        <v>50</v>
      </c>
      <c r="BR10" s="52" t="s">
        <v>113</v>
      </c>
      <c r="BS10" s="83" t="s">
        <v>428</v>
      </c>
      <c r="BT10" s="149">
        <f>(BT22*BT13*(1/24)*BT11*BT25)+(BT23*BT14*(1/24)*BT12*BT26)</f>
        <v>55.3125</v>
      </c>
      <c r="BU10" s="52" t="s">
        <v>426</v>
      </c>
      <c r="BV10" s="83" t="s">
        <v>260</v>
      </c>
      <c r="BW10" s="143" t="e">
        <f>BW5/(BW6*BW13)</f>
        <v>#DIV/0!</v>
      </c>
      <c r="BX10" s="92" t="s">
        <v>11</v>
      </c>
      <c r="BY10" s="84" t="s">
        <v>16</v>
      </c>
      <c r="BZ10" s="137">
        <f>(BZ30*BZ11)/(1-EXP(-BZ11*BZ30))</f>
        <v>66.155354824913829</v>
      </c>
      <c r="CB10" s="52" t="s">
        <v>51</v>
      </c>
      <c r="CC10" s="138">
        <f>B117</f>
        <v>1</v>
      </c>
      <c r="CD10" s="52" t="s">
        <v>146</v>
      </c>
      <c r="CE10" s="52" t="s">
        <v>51</v>
      </c>
      <c r="CF10" s="138">
        <f>B117</f>
        <v>1</v>
      </c>
      <c r="CG10" s="52" t="s">
        <v>146</v>
      </c>
      <c r="CH10" s="52" t="s">
        <v>51</v>
      </c>
      <c r="CI10" s="138">
        <f>B117</f>
        <v>1</v>
      </c>
      <c r="CJ10" s="52" t="s">
        <v>146</v>
      </c>
      <c r="CN10" s="84" t="s">
        <v>164</v>
      </c>
      <c r="CO10" s="162">
        <f>B129</f>
        <v>1</v>
      </c>
      <c r="CP10" s="52" t="s">
        <v>246</v>
      </c>
      <c r="CT10" s="83" t="s">
        <v>77</v>
      </c>
      <c r="CU10" s="136">
        <f>B19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66.155354824913829</v>
      </c>
      <c r="DC10" s="83" t="s">
        <v>514</v>
      </c>
      <c r="DD10" s="146">
        <f>B152</f>
        <v>125.7</v>
      </c>
      <c r="DE10" s="92" t="s">
        <v>221</v>
      </c>
      <c r="DF10" s="92" t="s">
        <v>32</v>
      </c>
      <c r="DG10" s="136">
        <f>B31</f>
        <v>0</v>
      </c>
      <c r="DI10" s="83" t="s">
        <v>22</v>
      </c>
      <c r="DJ10" s="137">
        <f>0.693/DJ11</f>
        <v>66.155354824913829</v>
      </c>
      <c r="DL10" s="92"/>
      <c r="DO10" s="92" t="s">
        <v>32</v>
      </c>
      <c r="DP10" s="136">
        <f>B31</f>
        <v>0</v>
      </c>
      <c r="DR10" s="83" t="s">
        <v>461</v>
      </c>
      <c r="DS10" s="146">
        <f>B154</f>
        <v>445.6</v>
      </c>
      <c r="DT10" s="92" t="s">
        <v>221</v>
      </c>
      <c r="DU10" s="92"/>
      <c r="DX10" s="83" t="s">
        <v>498</v>
      </c>
      <c r="DY10" s="138">
        <f>B205</f>
        <v>20.3</v>
      </c>
      <c r="DZ10" s="52" t="s">
        <v>246</v>
      </c>
      <c r="EA10" s="83" t="s">
        <v>498</v>
      </c>
      <c r="EB10" s="138">
        <f>B205</f>
        <v>20.3</v>
      </c>
      <c r="EC10" s="52" t="s">
        <v>246</v>
      </c>
      <c r="ED10" s="83" t="s">
        <v>498</v>
      </c>
      <c r="EE10" s="138">
        <f>B205</f>
        <v>20.3</v>
      </c>
      <c r="EF10" s="52" t="s">
        <v>246</v>
      </c>
      <c r="EG10" s="83" t="s">
        <v>462</v>
      </c>
      <c r="EH10" s="170">
        <f>B156</f>
        <v>178</v>
      </c>
      <c r="EI10" s="92" t="s">
        <v>221</v>
      </c>
      <c r="EJ10" s="92"/>
      <c r="EM10" s="83" t="s">
        <v>494</v>
      </c>
      <c r="EN10" s="138">
        <f>B210</f>
        <v>11.77</v>
      </c>
      <c r="EO10" s="52" t="s">
        <v>246</v>
      </c>
      <c r="EP10" s="83" t="s">
        <v>494</v>
      </c>
      <c r="EQ10" s="138">
        <f>B210</f>
        <v>11.77</v>
      </c>
      <c r="ER10" s="52" t="s">
        <v>246</v>
      </c>
      <c r="ES10" s="83" t="s">
        <v>494</v>
      </c>
      <c r="ET10" s="138">
        <f>B210</f>
        <v>11.77</v>
      </c>
      <c r="EU10" s="52" t="s">
        <v>246</v>
      </c>
      <c r="EV10" s="83" t="s">
        <v>463</v>
      </c>
      <c r="EW10" s="170">
        <f>B158</f>
        <v>53.4</v>
      </c>
      <c r="EX10" s="92" t="s">
        <v>221</v>
      </c>
      <c r="EY10" s="83"/>
      <c r="EZ10" s="83"/>
      <c r="FA10" s="83"/>
      <c r="FB10" s="83" t="s">
        <v>152</v>
      </c>
      <c r="FC10" s="142">
        <f>B215</f>
        <v>0.2</v>
      </c>
      <c r="FD10" s="52" t="s">
        <v>246</v>
      </c>
      <c r="FE10" s="83" t="s">
        <v>152</v>
      </c>
      <c r="FF10" s="142">
        <f>B215</f>
        <v>0.2</v>
      </c>
      <c r="FG10" s="52" t="s">
        <v>246</v>
      </c>
      <c r="FH10" s="83" t="s">
        <v>152</v>
      </c>
      <c r="FI10" s="142">
        <f>B215</f>
        <v>0.2</v>
      </c>
      <c r="FJ10" s="52" t="s">
        <v>246</v>
      </c>
      <c r="FK10" s="83" t="s">
        <v>472</v>
      </c>
      <c r="FL10" s="150">
        <f>B160</f>
        <v>155.4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66.155354824913829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B162</f>
        <v>106.6</v>
      </c>
      <c r="GB10" s="92" t="s">
        <v>221</v>
      </c>
      <c r="GC10" s="83"/>
      <c r="GD10" s="83"/>
      <c r="GE10" s="83"/>
      <c r="GF10" s="83" t="s">
        <v>486</v>
      </c>
      <c r="GG10" s="142">
        <f>B220</f>
        <v>0.2</v>
      </c>
      <c r="GH10" s="52" t="s">
        <v>246</v>
      </c>
      <c r="GI10" s="83" t="s">
        <v>486</v>
      </c>
      <c r="GJ10" s="142">
        <f>B220</f>
        <v>0.2</v>
      </c>
      <c r="GK10" s="52" t="s">
        <v>246</v>
      </c>
      <c r="GL10" s="83" t="s">
        <v>486</v>
      </c>
      <c r="GM10" s="142">
        <f>B220</f>
        <v>0.2</v>
      </c>
      <c r="GN10" s="52" t="s">
        <v>246</v>
      </c>
      <c r="GO10" s="83" t="s">
        <v>464</v>
      </c>
      <c r="GP10" s="150">
        <f>B164</f>
        <v>97.9</v>
      </c>
      <c r="GQ10" s="92" t="s">
        <v>221</v>
      </c>
      <c r="GR10" s="83"/>
      <c r="GS10" s="83"/>
      <c r="GT10" s="83"/>
      <c r="GU10" s="83" t="s">
        <v>490</v>
      </c>
      <c r="GV10" s="142">
        <f>B225</f>
        <v>4.7</v>
      </c>
      <c r="GW10" s="52" t="s">
        <v>246</v>
      </c>
      <c r="GX10" s="83" t="s">
        <v>490</v>
      </c>
      <c r="GY10" s="142">
        <f>B225</f>
        <v>4.7</v>
      </c>
      <c r="GZ10" s="52" t="s">
        <v>246</v>
      </c>
      <c r="HA10" s="83" t="s">
        <v>490</v>
      </c>
      <c r="HB10" s="142">
        <f>B225</f>
        <v>4.7</v>
      </c>
      <c r="HC10" s="52" t="s">
        <v>246</v>
      </c>
      <c r="HD10" s="84" t="s">
        <v>38</v>
      </c>
      <c r="HE10" s="163">
        <f>B83</f>
        <v>0.3</v>
      </c>
    </row>
    <row r="11" spans="1:214" x14ac:dyDescent="0.2">
      <c r="A11" s="83" t="s">
        <v>252</v>
      </c>
      <c r="B11" s="183">
        <v>4.3486799999999998E-4</v>
      </c>
      <c r="C11" s="83" t="s">
        <v>352</v>
      </c>
      <c r="D11" s="52" t="s">
        <v>247</v>
      </c>
      <c r="E11" s="139">
        <f>B6</f>
        <v>1.25E-4</v>
      </c>
      <c r="F11" s="84" t="s">
        <v>259</v>
      </c>
      <c r="G11" s="83" t="s">
        <v>261</v>
      </c>
      <c r="H11" s="144">
        <f>H5/(H7*H16*H28)</f>
        <v>2.5827280064568199</v>
      </c>
      <c r="I11" s="92" t="s">
        <v>11</v>
      </c>
      <c r="J11" s="84" t="s">
        <v>16</v>
      </c>
      <c r="K11" s="137">
        <f>(K43*K12)/(1-EXP(-K12*K43))</f>
        <v>66.155354824913829</v>
      </c>
      <c r="M11" s="52" t="s">
        <v>299</v>
      </c>
      <c r="N11" s="138">
        <f>B61</f>
        <v>0.4</v>
      </c>
      <c r="P11" s="52" t="s">
        <v>299</v>
      </c>
      <c r="Q11" s="138">
        <f>B61</f>
        <v>0.4</v>
      </c>
      <c r="S11" s="52" t="s">
        <v>299</v>
      </c>
      <c r="T11" s="138">
        <f>B61</f>
        <v>0.4</v>
      </c>
      <c r="V11" s="52" t="s">
        <v>247</v>
      </c>
      <c r="W11" s="139">
        <f>B6</f>
        <v>1.25E-4</v>
      </c>
      <c r="X11" s="84" t="s">
        <v>39</v>
      </c>
      <c r="Y11" s="52" t="s">
        <v>247</v>
      </c>
      <c r="Z11" s="139">
        <f>B6</f>
        <v>1.25E-4</v>
      </c>
      <c r="AA11" s="84" t="s">
        <v>39</v>
      </c>
      <c r="AB11" s="83" t="s">
        <v>220</v>
      </c>
      <c r="AC11" s="146"/>
      <c r="AD11" s="146"/>
      <c r="AE11" s="146"/>
      <c r="AF11" s="146">
        <f>B278</f>
        <v>50</v>
      </c>
      <c r="AG11" s="146">
        <f>B301</f>
        <v>50</v>
      </c>
      <c r="AH11" s="83" t="s">
        <v>113</v>
      </c>
      <c r="AI11" s="52" t="s">
        <v>299</v>
      </c>
      <c r="AJ11" s="138">
        <f>B248</f>
        <v>0.4</v>
      </c>
      <c r="AL11" s="52" t="s">
        <v>299</v>
      </c>
      <c r="AM11" s="138">
        <f>B248</f>
        <v>0.4</v>
      </c>
      <c r="AO11" s="52" t="s">
        <v>299</v>
      </c>
      <c r="AP11" s="138">
        <f>B248</f>
        <v>0.4</v>
      </c>
      <c r="AR11" s="52" t="s">
        <v>299</v>
      </c>
      <c r="AS11" s="138">
        <f>B260</f>
        <v>0.4</v>
      </c>
      <c r="AU11" s="52" t="s">
        <v>299</v>
      </c>
      <c r="AV11" s="138">
        <f>B260</f>
        <v>0.4</v>
      </c>
      <c r="AX11" s="52" t="s">
        <v>299</v>
      </c>
      <c r="AY11" s="138">
        <f>B260</f>
        <v>0.4</v>
      </c>
      <c r="BA11" s="52" t="s">
        <v>299</v>
      </c>
      <c r="BB11" s="138">
        <f>B236</f>
        <v>0.4</v>
      </c>
      <c r="BD11" s="52" t="s">
        <v>299</v>
      </c>
      <c r="BE11" s="138">
        <f>B236</f>
        <v>0.4</v>
      </c>
      <c r="BG11" s="52" t="s">
        <v>299</v>
      </c>
      <c r="BH11" s="138">
        <f>B236</f>
        <v>0.4</v>
      </c>
      <c r="BJ11" s="52" t="s">
        <v>219</v>
      </c>
      <c r="BK11" s="138">
        <f>B277</f>
        <v>5</v>
      </c>
      <c r="BL11" s="52" t="s">
        <v>112</v>
      </c>
      <c r="BM11" s="52" t="s">
        <v>219</v>
      </c>
      <c r="BN11" s="138">
        <f>B277</f>
        <v>5</v>
      </c>
      <c r="BO11" s="52" t="s">
        <v>112</v>
      </c>
      <c r="BP11" s="52" t="s">
        <v>219</v>
      </c>
      <c r="BQ11" s="138">
        <f>B277</f>
        <v>5</v>
      </c>
      <c r="BR11" s="52" t="s">
        <v>112</v>
      </c>
      <c r="BS11" s="83" t="s">
        <v>429</v>
      </c>
      <c r="BT11" s="141">
        <f>B93</f>
        <v>10</v>
      </c>
      <c r="BU11" s="92" t="s">
        <v>407</v>
      </c>
      <c r="BV11" s="83" t="s">
        <v>261</v>
      </c>
      <c r="BW11" s="159"/>
      <c r="BX11" s="92" t="s">
        <v>11</v>
      </c>
      <c r="BY11" s="83" t="s">
        <v>22</v>
      </c>
      <c r="BZ11" s="137">
        <f>0.693/BZ12</f>
        <v>66.155354824913829</v>
      </c>
      <c r="CB11" s="52" t="s">
        <v>300</v>
      </c>
      <c r="CC11" s="138">
        <f>B118</f>
        <v>6.7949999999999997E-2</v>
      </c>
      <c r="CE11" s="52" t="s">
        <v>300</v>
      </c>
      <c r="CF11" s="138">
        <f>B120</f>
        <v>3.7060000000000003E-2</v>
      </c>
      <c r="CH11" s="52" t="s">
        <v>300</v>
      </c>
      <c r="CI11" s="138">
        <f>B124</f>
        <v>5.8389999999999997E-2</v>
      </c>
      <c r="CN11" s="84" t="s">
        <v>161</v>
      </c>
      <c r="CO11" s="162">
        <f>B130</f>
        <v>1</v>
      </c>
      <c r="CP11" s="52" t="s">
        <v>246</v>
      </c>
      <c r="CT11" s="84" t="s">
        <v>16</v>
      </c>
      <c r="CU11" s="137">
        <f>(CU43*CU12)/(1-EXP(-CU12*CU43))</f>
        <v>66.155354824913829</v>
      </c>
      <c r="CW11" s="52" t="s">
        <v>247</v>
      </c>
      <c r="CX11" s="139">
        <f>B6</f>
        <v>1.25E-4</v>
      </c>
      <c r="CY11" s="84" t="s">
        <v>259</v>
      </c>
      <c r="CZ11" s="83" t="s">
        <v>22</v>
      </c>
      <c r="DA11" s="137">
        <f>0.693/DA12</f>
        <v>66.155354824913829</v>
      </c>
      <c r="DC11" s="83" t="s">
        <v>515</v>
      </c>
      <c r="DD11" s="149">
        <f>(DD12*DD15*DD20)+(DD13*DD14*DD21)</f>
        <v>56173.250000000007</v>
      </c>
      <c r="DE11" s="92" t="s">
        <v>347</v>
      </c>
      <c r="DF11" s="92" t="s">
        <v>49</v>
      </c>
      <c r="DG11" s="137">
        <f>DG19+DG20</f>
        <v>0.18127454746551735</v>
      </c>
      <c r="DI11" s="91" t="s">
        <v>231</v>
      </c>
      <c r="DJ11" s="136">
        <f>B18</f>
        <v>1.04753425E-2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B168</f>
        <v>350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B168</f>
        <v>350</v>
      </c>
      <c r="EI11" s="83" t="s">
        <v>24</v>
      </c>
      <c r="EJ11" s="92"/>
      <c r="EM11" s="83" t="s">
        <v>495</v>
      </c>
      <c r="EN11" s="138">
        <f>B211</f>
        <v>0.5</v>
      </c>
      <c r="EP11" s="83" t="s">
        <v>495</v>
      </c>
      <c r="EQ11" s="138">
        <f>B211</f>
        <v>0.5</v>
      </c>
      <c r="ER11" s="84"/>
      <c r="ES11" s="83" t="s">
        <v>495</v>
      </c>
      <c r="ET11" s="138">
        <f>B211</f>
        <v>0.5</v>
      </c>
      <c r="EU11" s="84"/>
      <c r="EV11" s="83" t="s">
        <v>456</v>
      </c>
      <c r="EW11" s="150">
        <f>B168</f>
        <v>350</v>
      </c>
      <c r="EX11" s="83" t="s">
        <v>24</v>
      </c>
      <c r="EY11" s="83"/>
      <c r="EZ11" s="83"/>
      <c r="FA11" s="83"/>
      <c r="FB11" s="83" t="s">
        <v>151</v>
      </c>
      <c r="FC11" s="142">
        <f>B216</f>
        <v>2.1999999999999999E-2</v>
      </c>
      <c r="FD11" s="52" t="s">
        <v>246</v>
      </c>
      <c r="FE11" s="83" t="s">
        <v>151</v>
      </c>
      <c r="FF11" s="142">
        <f>B216</f>
        <v>2.1999999999999999E-2</v>
      </c>
      <c r="FG11" s="52" t="s">
        <v>246</v>
      </c>
      <c r="FH11" s="83" t="s">
        <v>151</v>
      </c>
      <c r="FI11" s="142">
        <f>B216</f>
        <v>2.1999999999999999E-2</v>
      </c>
      <c r="FJ11" s="52" t="s">
        <v>246</v>
      </c>
      <c r="FK11" s="83" t="s">
        <v>456</v>
      </c>
      <c r="FL11" s="150">
        <f>B168</f>
        <v>350</v>
      </c>
      <c r="FM11" s="83" t="s">
        <v>24</v>
      </c>
      <c r="FN11" s="83"/>
      <c r="FO11" s="83"/>
      <c r="FP11" s="83"/>
      <c r="FQ11" s="88"/>
      <c r="FR11" s="86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B168</f>
        <v>350</v>
      </c>
      <c r="GB11" s="83" t="s">
        <v>24</v>
      </c>
      <c r="GC11" s="83"/>
      <c r="GD11" s="83"/>
      <c r="GE11" s="83"/>
      <c r="GF11" s="83" t="s">
        <v>487</v>
      </c>
      <c r="GG11" s="142">
        <f>B221</f>
        <v>2.1999999999999999E-2</v>
      </c>
      <c r="GH11" s="52" t="s">
        <v>246</v>
      </c>
      <c r="GI11" s="83" t="s">
        <v>487</v>
      </c>
      <c r="GJ11" s="142">
        <f>B221</f>
        <v>2.1999999999999999E-2</v>
      </c>
      <c r="GK11" s="52" t="s">
        <v>246</v>
      </c>
      <c r="GL11" s="83" t="s">
        <v>487</v>
      </c>
      <c r="GM11" s="142">
        <f>B221</f>
        <v>2.1999999999999999E-2</v>
      </c>
      <c r="GN11" s="52" t="s">
        <v>246</v>
      </c>
      <c r="GO11" s="83" t="s">
        <v>456</v>
      </c>
      <c r="GP11" s="150">
        <f>B168</f>
        <v>350</v>
      </c>
      <c r="GQ11" s="83" t="s">
        <v>24</v>
      </c>
      <c r="GR11" s="83"/>
      <c r="GS11" s="83"/>
      <c r="GT11" s="83"/>
      <c r="GU11" s="83" t="s">
        <v>491</v>
      </c>
      <c r="GV11" s="142">
        <f>B226</f>
        <v>0.37</v>
      </c>
      <c r="GW11" s="52" t="s">
        <v>246</v>
      </c>
      <c r="GX11" s="83" t="s">
        <v>491</v>
      </c>
      <c r="GY11" s="142">
        <f>B226</f>
        <v>0.37</v>
      </c>
      <c r="GZ11" s="52" t="s">
        <v>246</v>
      </c>
      <c r="HA11" s="83" t="s">
        <v>491</v>
      </c>
      <c r="HB11" s="142">
        <f>B226</f>
        <v>0.37</v>
      </c>
      <c r="HC11" s="52" t="s">
        <v>246</v>
      </c>
      <c r="HD11" s="84" t="s">
        <v>42</v>
      </c>
      <c r="HE11" s="150">
        <f>B84</f>
        <v>1.5</v>
      </c>
    </row>
    <row r="12" spans="1:214" x14ac:dyDescent="0.2">
      <c r="A12" s="83" t="s">
        <v>253</v>
      </c>
      <c r="B12" s="183">
        <v>4.4084799999999998E-4</v>
      </c>
      <c r="C12" s="83" t="s">
        <v>351</v>
      </c>
      <c r="D12" s="83" t="s">
        <v>43</v>
      </c>
      <c r="E12" s="140">
        <f>((E15/E16)*E23*E13*E25)+((E15/E16)*E24*E14*E26)</f>
        <v>6195</v>
      </c>
      <c r="F12" s="52" t="s">
        <v>426</v>
      </c>
      <c r="G12" s="83" t="s">
        <v>266</v>
      </c>
      <c r="H12" s="144">
        <f>H5/(H8*(1/H43)*H21)</f>
        <v>5311.4555716866753</v>
      </c>
      <c r="I12" s="92" t="s">
        <v>11</v>
      </c>
      <c r="J12" s="83" t="s">
        <v>22</v>
      </c>
      <c r="K12" s="137">
        <f>0.693/K13</f>
        <v>66.155354824913829</v>
      </c>
      <c r="M12" s="52" t="s">
        <v>300</v>
      </c>
      <c r="N12" s="138">
        <f>B62</f>
        <v>1</v>
      </c>
      <c r="P12" s="52" t="s">
        <v>300</v>
      </c>
      <c r="Q12" s="138">
        <f>B62</f>
        <v>1</v>
      </c>
      <c r="S12" s="52" t="s">
        <v>300</v>
      </c>
      <c r="T12" s="138">
        <f>B62</f>
        <v>1</v>
      </c>
      <c r="V12" s="52" t="s">
        <v>44</v>
      </c>
      <c r="W12" s="150">
        <f>B262</f>
        <v>8</v>
      </c>
      <c r="X12" s="84" t="s">
        <v>194</v>
      </c>
      <c r="Y12" s="52" t="s">
        <v>44</v>
      </c>
      <c r="Z12" s="150">
        <f>B239</f>
        <v>8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B274</f>
        <v>8</v>
      </c>
      <c r="AG12" s="150">
        <f>B297</f>
        <v>8</v>
      </c>
      <c r="AH12" s="83" t="s">
        <v>194</v>
      </c>
      <c r="AI12" s="52" t="s">
        <v>300</v>
      </c>
      <c r="AJ12" s="138">
        <f>B235</f>
        <v>1</v>
      </c>
      <c r="AL12" s="52" t="s">
        <v>300</v>
      </c>
      <c r="AM12" s="138">
        <f>B235</f>
        <v>1</v>
      </c>
      <c r="AO12" s="52" t="s">
        <v>300</v>
      </c>
      <c r="AP12" s="138">
        <f>B247</f>
        <v>1</v>
      </c>
      <c r="AR12" s="52" t="s">
        <v>300</v>
      </c>
      <c r="AS12" s="138">
        <f>B259</f>
        <v>1</v>
      </c>
      <c r="AU12" s="52" t="s">
        <v>300</v>
      </c>
      <c r="AV12" s="138">
        <f>B259</f>
        <v>1</v>
      </c>
      <c r="AX12" s="52" t="s">
        <v>300</v>
      </c>
      <c r="AY12" s="138">
        <f>B259</f>
        <v>1</v>
      </c>
      <c r="BA12" s="52" t="s">
        <v>300</v>
      </c>
      <c r="BB12" s="138">
        <f>B235</f>
        <v>1</v>
      </c>
      <c r="BD12" s="52" t="s">
        <v>300</v>
      </c>
      <c r="BE12" s="138">
        <f>B235</f>
        <v>1</v>
      </c>
      <c r="BG12" s="52" t="s">
        <v>300</v>
      </c>
      <c r="BH12" s="138">
        <f>B235</f>
        <v>1</v>
      </c>
      <c r="BJ12" s="52" t="s">
        <v>158</v>
      </c>
      <c r="BK12" s="138">
        <f>B268</f>
        <v>1</v>
      </c>
      <c r="BL12" s="52" t="s">
        <v>146</v>
      </c>
      <c r="BM12" s="52" t="s">
        <v>158</v>
      </c>
      <c r="BN12" s="138">
        <f>B268</f>
        <v>1</v>
      </c>
      <c r="BO12" s="52" t="s">
        <v>146</v>
      </c>
      <c r="BP12" s="52" t="s">
        <v>158</v>
      </c>
      <c r="BQ12" s="138">
        <f>B268</f>
        <v>1</v>
      </c>
      <c r="BR12" s="52" t="s">
        <v>146</v>
      </c>
      <c r="BS12" s="83" t="s">
        <v>430</v>
      </c>
      <c r="BT12" s="141">
        <f>B94</f>
        <v>20</v>
      </c>
      <c r="BU12" s="92" t="s">
        <v>407</v>
      </c>
      <c r="BV12" s="83" t="s">
        <v>266</v>
      </c>
      <c r="BW12" s="145">
        <f>BW5/(BW8*(1/BW29)*BW16)</f>
        <v>27715.76533479126</v>
      </c>
      <c r="BX12" s="92" t="s">
        <v>11</v>
      </c>
      <c r="BY12" s="91" t="s">
        <v>231</v>
      </c>
      <c r="BZ12" s="136">
        <f>B18</f>
        <v>1.04753425E-2</v>
      </c>
      <c r="CA12" s="52" t="s">
        <v>60</v>
      </c>
      <c r="CB12" s="52" t="s">
        <v>413</v>
      </c>
      <c r="CC12" s="138">
        <f>B119</f>
        <v>0.75568000000000002</v>
      </c>
      <c r="CE12" s="52" t="s">
        <v>414</v>
      </c>
      <c r="CF12" s="138">
        <f>B121</f>
        <v>0.64970000000000006</v>
      </c>
      <c r="CH12" s="52" t="s">
        <v>416</v>
      </c>
      <c r="CI12" s="138">
        <f>B125</f>
        <v>0.70089999999999997</v>
      </c>
      <c r="CN12" s="84" t="s">
        <v>162</v>
      </c>
      <c r="CO12" s="162">
        <f>B131</f>
        <v>1</v>
      </c>
      <c r="CP12" s="52" t="s">
        <v>41</v>
      </c>
      <c r="CT12" s="83" t="s">
        <v>22</v>
      </c>
      <c r="CU12" s="137">
        <f>0.693/CU13</f>
        <v>66.155354824913829</v>
      </c>
      <c r="CW12" s="83" t="s">
        <v>506</v>
      </c>
      <c r="CX12" s="140">
        <f>((CX16/24)*CX23*CX13*CX25)+((CX15/24)*CX24*CX14*CX26)</f>
        <v>6475</v>
      </c>
      <c r="CY12" s="52" t="s">
        <v>426</v>
      </c>
      <c r="CZ12" s="91" t="s">
        <v>231</v>
      </c>
      <c r="DA12" s="136">
        <f>B18</f>
        <v>1.04753425E-2</v>
      </c>
      <c r="DB12" s="52" t="s">
        <v>60</v>
      </c>
      <c r="DC12" s="83" t="s">
        <v>467</v>
      </c>
      <c r="DD12" s="146">
        <f>B149</f>
        <v>68.099999999999994</v>
      </c>
      <c r="DE12" s="92" t="s">
        <v>221</v>
      </c>
      <c r="DF12" s="92" t="s">
        <v>52</v>
      </c>
      <c r="DG12" s="138">
        <f>B195</f>
        <v>10950</v>
      </c>
      <c r="DH12" s="52" t="s">
        <v>53</v>
      </c>
      <c r="DI12" s="84" t="s">
        <v>16</v>
      </c>
      <c r="DJ12" s="137">
        <f>(DJ9*DJ10)/(1-EXP(-DJ10*DJ9))</f>
        <v>66.155354824913829</v>
      </c>
      <c r="DL12" s="92"/>
      <c r="DO12" s="92" t="s">
        <v>52</v>
      </c>
      <c r="DP12" s="138">
        <f>B195</f>
        <v>10950</v>
      </c>
      <c r="DQ12" s="52" t="s">
        <v>53</v>
      </c>
      <c r="DR12" s="83" t="s">
        <v>465</v>
      </c>
      <c r="DS12" s="150">
        <f>B168</f>
        <v>350</v>
      </c>
      <c r="DT12" s="83" t="s">
        <v>24</v>
      </c>
      <c r="DU12" s="92"/>
      <c r="DX12" s="83" t="s">
        <v>500</v>
      </c>
      <c r="DY12" s="138">
        <f>B207</f>
        <v>1</v>
      </c>
      <c r="EA12" s="83" t="s">
        <v>500</v>
      </c>
      <c r="EB12" s="138">
        <f>B207</f>
        <v>1</v>
      </c>
      <c r="EC12" s="84"/>
      <c r="ED12" s="83" t="s">
        <v>500</v>
      </c>
      <c r="EE12" s="138">
        <f>B207</f>
        <v>1</v>
      </c>
      <c r="EF12" s="84"/>
      <c r="EG12" s="83" t="s">
        <v>465</v>
      </c>
      <c r="EH12" s="150">
        <f>B168</f>
        <v>350</v>
      </c>
      <c r="EI12" s="83" t="s">
        <v>24</v>
      </c>
      <c r="EJ12" s="92"/>
      <c r="EM12" s="83" t="s">
        <v>496</v>
      </c>
      <c r="EN12" s="138">
        <f>B212</f>
        <v>1</v>
      </c>
      <c r="EP12" s="83" t="s">
        <v>496</v>
      </c>
      <c r="EQ12" s="138">
        <f>B212</f>
        <v>1</v>
      </c>
      <c r="ER12" s="84"/>
      <c r="ES12" s="83" t="s">
        <v>496</v>
      </c>
      <c r="ET12" s="138">
        <f>B212</f>
        <v>1</v>
      </c>
      <c r="EU12" s="84"/>
      <c r="EV12" s="83" t="s">
        <v>465</v>
      </c>
      <c r="EW12" s="150">
        <f>B168</f>
        <v>350</v>
      </c>
      <c r="EX12" s="83" t="s">
        <v>24</v>
      </c>
      <c r="EY12" s="83"/>
      <c r="EZ12" s="83"/>
      <c r="FA12" s="83"/>
      <c r="FB12" s="83" t="s">
        <v>153</v>
      </c>
      <c r="FC12" s="164">
        <f>B217</f>
        <v>1</v>
      </c>
      <c r="FD12" s="83"/>
      <c r="FE12" s="83" t="s">
        <v>153</v>
      </c>
      <c r="FF12" s="164">
        <f>B217</f>
        <v>1</v>
      </c>
      <c r="FG12" s="83"/>
      <c r="FH12" s="83" t="s">
        <v>153</v>
      </c>
      <c r="FI12" s="164">
        <f>B217</f>
        <v>1</v>
      </c>
      <c r="FJ12" s="84"/>
      <c r="FK12" s="83" t="s">
        <v>465</v>
      </c>
      <c r="FL12" s="150">
        <f>B168</f>
        <v>350</v>
      </c>
      <c r="FM12" s="83" t="s">
        <v>24</v>
      </c>
      <c r="FN12" s="83"/>
      <c r="FO12" s="83"/>
      <c r="FP12" s="83"/>
      <c r="FQ12" s="88"/>
      <c r="FR12" s="88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B168</f>
        <v>350</v>
      </c>
      <c r="GB12" s="83" t="s">
        <v>24</v>
      </c>
      <c r="GC12" s="83"/>
      <c r="GD12" s="83"/>
      <c r="GE12" s="83"/>
      <c r="GF12" s="83" t="s">
        <v>488</v>
      </c>
      <c r="GG12" s="142">
        <f>B222</f>
        <v>1</v>
      </c>
      <c r="GH12" s="83"/>
      <c r="GI12" s="83" t="s">
        <v>488</v>
      </c>
      <c r="GJ12" s="142">
        <f>B222</f>
        <v>1</v>
      </c>
      <c r="GK12" s="83"/>
      <c r="GL12" s="83" t="s">
        <v>488</v>
      </c>
      <c r="GM12" s="142">
        <f>B222</f>
        <v>1</v>
      </c>
      <c r="GN12" s="84"/>
      <c r="GO12" s="83" t="s">
        <v>465</v>
      </c>
      <c r="GP12" s="150">
        <f>B168</f>
        <v>350</v>
      </c>
      <c r="GQ12" s="83" t="s">
        <v>24</v>
      </c>
      <c r="GR12" s="83"/>
      <c r="GS12" s="83"/>
      <c r="GT12" s="83"/>
      <c r="GU12" s="83" t="s">
        <v>492</v>
      </c>
      <c r="GV12" s="142">
        <f>B227</f>
        <v>1</v>
      </c>
      <c r="GW12" s="83"/>
      <c r="GX12" s="83" t="s">
        <v>492</v>
      </c>
      <c r="GY12" s="142">
        <f>B227</f>
        <v>1</v>
      </c>
      <c r="GZ12" s="83"/>
      <c r="HA12" s="83" t="s">
        <v>492</v>
      </c>
      <c r="HB12" s="142">
        <f>B227</f>
        <v>1</v>
      </c>
      <c r="HC12" s="84"/>
      <c r="HD12" s="84" t="s">
        <v>47</v>
      </c>
      <c r="HE12" s="163">
        <v>1</v>
      </c>
    </row>
    <row r="13" spans="1:214" x14ac:dyDescent="0.2">
      <c r="A13" s="83" t="s">
        <v>254</v>
      </c>
      <c r="B13" s="183">
        <v>1.2571640000000001E-3</v>
      </c>
      <c r="C13" s="83" t="s">
        <v>351</v>
      </c>
      <c r="D13" s="83" t="s">
        <v>366</v>
      </c>
      <c r="E13" s="141">
        <f>B38</f>
        <v>10</v>
      </c>
      <c r="F13" s="92" t="s">
        <v>407</v>
      </c>
      <c r="G13" s="83" t="s">
        <v>263</v>
      </c>
      <c r="H13" s="144" t="e">
        <f>H14/((1/H40)*(H48+H49+H50))</f>
        <v>#DIV/0!</v>
      </c>
      <c r="I13" s="92" t="s">
        <v>11</v>
      </c>
      <c r="J13" s="91" t="s">
        <v>231</v>
      </c>
      <c r="K13" s="136">
        <f>B18</f>
        <v>1.04753425E-2</v>
      </c>
      <c r="L13" s="52" t="s">
        <v>60</v>
      </c>
      <c r="M13" s="52" t="s">
        <v>54</v>
      </c>
      <c r="N13" s="138">
        <f>B63</f>
        <v>1</v>
      </c>
      <c r="P13" s="52" t="s">
        <v>54</v>
      </c>
      <c r="Q13" s="138">
        <f>B63</f>
        <v>1</v>
      </c>
      <c r="S13" s="52" t="s">
        <v>54</v>
      </c>
      <c r="T13" s="138">
        <f>B63</f>
        <v>1</v>
      </c>
      <c r="V13" s="52" t="s">
        <v>50</v>
      </c>
      <c r="W13" s="146">
        <f>B254</f>
        <v>60</v>
      </c>
      <c r="X13" s="84" t="s">
        <v>407</v>
      </c>
      <c r="Y13" s="52" t="s">
        <v>50</v>
      </c>
      <c r="Z13" s="146">
        <f>B230</f>
        <v>60</v>
      </c>
      <c r="AA13" s="84" t="s">
        <v>407</v>
      </c>
      <c r="AB13" s="83" t="s">
        <v>349</v>
      </c>
      <c r="AC13" s="146">
        <f>B233</f>
        <v>100</v>
      </c>
      <c r="AD13" s="146">
        <f>B245</f>
        <v>50</v>
      </c>
      <c r="AE13" s="146">
        <f>B257</f>
        <v>100</v>
      </c>
      <c r="AF13" s="146">
        <f>B269</f>
        <v>330</v>
      </c>
      <c r="AG13" s="146">
        <f>B293</f>
        <v>330</v>
      </c>
      <c r="AH13" s="52" t="s">
        <v>48</v>
      </c>
      <c r="AI13" s="52" t="s">
        <v>54</v>
      </c>
      <c r="AJ13" s="138">
        <f>B249</f>
        <v>1</v>
      </c>
      <c r="AL13" s="52" t="s">
        <v>54</v>
      </c>
      <c r="AM13" s="138">
        <f>B249</f>
        <v>1</v>
      </c>
      <c r="AO13" s="52" t="s">
        <v>54</v>
      </c>
      <c r="AP13" s="138">
        <f>B249</f>
        <v>1</v>
      </c>
      <c r="AR13" s="52" t="s">
        <v>54</v>
      </c>
      <c r="AS13" s="138">
        <f>B261</f>
        <v>1</v>
      </c>
      <c r="AU13" s="52" t="s">
        <v>54</v>
      </c>
      <c r="AV13" s="138">
        <f>B261</f>
        <v>1</v>
      </c>
      <c r="AX13" s="52" t="s">
        <v>54</v>
      </c>
      <c r="AY13" s="138">
        <f>B261</f>
        <v>1</v>
      </c>
      <c r="BA13" s="52" t="s">
        <v>54</v>
      </c>
      <c r="BB13" s="138">
        <f>B237</f>
        <v>1</v>
      </c>
      <c r="BD13" s="52" t="s">
        <v>54</v>
      </c>
      <c r="BE13" s="138">
        <f>B237</f>
        <v>1</v>
      </c>
      <c r="BG13" s="52" t="s">
        <v>54</v>
      </c>
      <c r="BH13" s="138">
        <f>B237</f>
        <v>1</v>
      </c>
      <c r="BJ13" s="52" t="s">
        <v>300</v>
      </c>
      <c r="BK13" s="136">
        <f>B279</f>
        <v>6.7949999999999997E-2</v>
      </c>
      <c r="BM13" s="52" t="s">
        <v>300</v>
      </c>
      <c r="BN13" s="136">
        <f>B283</f>
        <v>3.7060000000000003E-2</v>
      </c>
      <c r="BP13" s="52" t="s">
        <v>300</v>
      </c>
      <c r="BQ13" s="136">
        <f>B287</f>
        <v>5.8389999999999997E-2</v>
      </c>
      <c r="BS13" s="52" t="s">
        <v>431</v>
      </c>
      <c r="BT13" s="141">
        <f>B106</f>
        <v>1</v>
      </c>
      <c r="BU13" s="52" t="s">
        <v>194</v>
      </c>
      <c r="BV13" s="83" t="s">
        <v>440</v>
      </c>
      <c r="BW13" s="160">
        <f>((BW18*BW20*BW23*BW14*BW30)+(BW19*BW21*BW24*BW15*BW31))</f>
        <v>2.25</v>
      </c>
      <c r="BX13" s="83" t="s">
        <v>345</v>
      </c>
      <c r="BY13" s="83" t="s">
        <v>260</v>
      </c>
      <c r="BZ13" s="143" t="e">
        <f>(BZ5/(BZ6*BZ16*(1/BZ33)))*BZ10</f>
        <v>#DIV/0!</v>
      </c>
      <c r="CA13" s="92" t="s">
        <v>10</v>
      </c>
      <c r="CB13" s="52" t="s">
        <v>90</v>
      </c>
      <c r="CC13" s="138">
        <f>B108</f>
        <v>1</v>
      </c>
      <c r="CD13" s="52" t="s">
        <v>194</v>
      </c>
      <c r="CE13" s="52" t="s">
        <v>90</v>
      </c>
      <c r="CF13" s="138">
        <f>B108</f>
        <v>1</v>
      </c>
      <c r="CG13" s="52" t="s">
        <v>194</v>
      </c>
      <c r="CH13" s="52" t="s">
        <v>90</v>
      </c>
      <c r="CI13" s="138">
        <f>B108</f>
        <v>1</v>
      </c>
      <c r="CJ13" s="52" t="s">
        <v>194</v>
      </c>
      <c r="CN13" s="84" t="s">
        <v>163</v>
      </c>
      <c r="CO13" s="162">
        <f>B132</f>
        <v>1</v>
      </c>
      <c r="CP13" s="52" t="s">
        <v>41</v>
      </c>
      <c r="CT13" s="91" t="s">
        <v>231</v>
      </c>
      <c r="CU13" s="136">
        <f>B18</f>
        <v>1.04753425E-2</v>
      </c>
      <c r="CV13" s="52" t="s">
        <v>60</v>
      </c>
      <c r="CW13" s="83" t="s">
        <v>450</v>
      </c>
      <c r="CX13" s="141">
        <f>B147</f>
        <v>10</v>
      </c>
      <c r="CY13" s="92" t="s">
        <v>407</v>
      </c>
      <c r="CZ13" s="83" t="s">
        <v>260</v>
      </c>
      <c r="DA13" s="143" t="e">
        <f>DA5/(DA6*DA24)</f>
        <v>#DIV/0!</v>
      </c>
      <c r="DB13" s="83" t="s">
        <v>11</v>
      </c>
      <c r="DC13" s="83" t="s">
        <v>468</v>
      </c>
      <c r="DD13" s="146">
        <f>B150</f>
        <v>176.8</v>
      </c>
      <c r="DE13" s="92" t="s">
        <v>221</v>
      </c>
      <c r="DF13" s="92" t="s">
        <v>55</v>
      </c>
      <c r="DG13" s="138">
        <f>B196</f>
        <v>240</v>
      </c>
      <c r="DH13" s="52" t="s">
        <v>56</v>
      </c>
      <c r="DL13" s="92"/>
      <c r="DO13" s="92" t="s">
        <v>55</v>
      </c>
      <c r="DP13" s="138">
        <f>B196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B208</f>
        <v>1</v>
      </c>
      <c r="EA13" s="83" t="s">
        <v>501</v>
      </c>
      <c r="EB13" s="138">
        <f>B208</f>
        <v>1</v>
      </c>
      <c r="EC13" s="84"/>
      <c r="ED13" s="83" t="s">
        <v>501</v>
      </c>
      <c r="EE13" s="138">
        <f>B208</f>
        <v>1</v>
      </c>
      <c r="EF13" s="84"/>
      <c r="EG13" s="83" t="s">
        <v>363</v>
      </c>
      <c r="EH13" s="150">
        <f>B170</f>
        <v>1</v>
      </c>
      <c r="EI13" s="84" t="s">
        <v>60</v>
      </c>
      <c r="EJ13" s="92"/>
      <c r="EM13" s="83" t="s">
        <v>497</v>
      </c>
      <c r="EN13" s="138">
        <f>B213</f>
        <v>1</v>
      </c>
      <c r="EP13" s="83" t="s">
        <v>497</v>
      </c>
      <c r="EQ13" s="138">
        <f>B213</f>
        <v>1</v>
      </c>
      <c r="ER13" s="84"/>
      <c r="ES13" s="83" t="s">
        <v>497</v>
      </c>
      <c r="ET13" s="138">
        <f>B213</f>
        <v>1</v>
      </c>
      <c r="EU13" s="84"/>
      <c r="EV13" s="83" t="s">
        <v>363</v>
      </c>
      <c r="EW13" s="150">
        <f>B170</f>
        <v>1</v>
      </c>
      <c r="EX13" s="84" t="s">
        <v>60</v>
      </c>
      <c r="EY13" s="83"/>
      <c r="EZ13" s="83"/>
      <c r="FA13" s="83"/>
      <c r="FB13" s="83" t="s">
        <v>154</v>
      </c>
      <c r="FC13" s="164">
        <f>B218</f>
        <v>1</v>
      </c>
      <c r="FD13" s="83"/>
      <c r="FE13" s="83" t="s">
        <v>154</v>
      </c>
      <c r="FF13" s="164">
        <f>B218</f>
        <v>1</v>
      </c>
      <c r="FG13" s="83"/>
      <c r="FH13" s="83" t="s">
        <v>154</v>
      </c>
      <c r="FI13" s="164">
        <f>B218</f>
        <v>1</v>
      </c>
      <c r="FJ13" s="84"/>
      <c r="FK13" s="83" t="s">
        <v>363</v>
      </c>
      <c r="FL13" s="141">
        <f>B170</f>
        <v>1</v>
      </c>
      <c r="FM13" s="92" t="s">
        <v>60</v>
      </c>
      <c r="FN13" s="83"/>
      <c r="FO13" s="83"/>
      <c r="FP13" s="83"/>
      <c r="FQ13" s="88"/>
      <c r="FR13" s="88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B170</f>
        <v>1</v>
      </c>
      <c r="GB13" s="92" t="s">
        <v>60</v>
      </c>
      <c r="GC13" s="83"/>
      <c r="GD13" s="83"/>
      <c r="GE13" s="83"/>
      <c r="GF13" s="83" t="s">
        <v>489</v>
      </c>
      <c r="GG13" s="142">
        <f>B223</f>
        <v>1</v>
      </c>
      <c r="GH13" s="83"/>
      <c r="GI13" s="83" t="s">
        <v>489</v>
      </c>
      <c r="GJ13" s="142">
        <f>B223</f>
        <v>1</v>
      </c>
      <c r="GK13" s="83"/>
      <c r="GL13" s="83" t="s">
        <v>489</v>
      </c>
      <c r="GM13" s="142">
        <f>B223</f>
        <v>1</v>
      </c>
      <c r="GN13" s="84"/>
      <c r="GO13" s="83" t="s">
        <v>363</v>
      </c>
      <c r="GP13" s="141">
        <f>B170</f>
        <v>1</v>
      </c>
      <c r="GQ13" s="92" t="s">
        <v>60</v>
      </c>
      <c r="GR13" s="83"/>
      <c r="GS13" s="83"/>
      <c r="GT13" s="83"/>
      <c r="GU13" s="83" t="s">
        <v>493</v>
      </c>
      <c r="GV13" s="142">
        <f>B228</f>
        <v>1</v>
      </c>
      <c r="GW13" s="83"/>
      <c r="GX13" s="83" t="s">
        <v>493</v>
      </c>
      <c r="GY13" s="142">
        <f>B228</f>
        <v>1</v>
      </c>
      <c r="GZ13" s="83"/>
      <c r="HA13" s="83" t="s">
        <v>493</v>
      </c>
      <c r="HB13" s="142">
        <f>B228</f>
        <v>1</v>
      </c>
      <c r="HC13" s="84"/>
      <c r="HD13" s="84" t="s">
        <v>59</v>
      </c>
      <c r="HE13" s="150">
        <f>B33</f>
        <v>0</v>
      </c>
    </row>
    <row r="14" spans="1:214" x14ac:dyDescent="0.2">
      <c r="A14" s="83" t="s">
        <v>255</v>
      </c>
      <c r="B14" s="183">
        <v>1.94272E-3</v>
      </c>
      <c r="C14" s="83" t="s">
        <v>351</v>
      </c>
      <c r="D14" s="83" t="s">
        <v>367</v>
      </c>
      <c r="E14" s="141">
        <f>B39</f>
        <v>20</v>
      </c>
      <c r="F14" s="92" t="s">
        <v>407</v>
      </c>
      <c r="G14" s="83" t="s">
        <v>264</v>
      </c>
      <c r="H14" s="145" t="e">
        <f>H5/(H9*(H22+H25)*H41)</f>
        <v>#DIV/0!</v>
      </c>
      <c r="I14" s="92" t="s">
        <v>10</v>
      </c>
      <c r="J14" s="83" t="s">
        <v>260</v>
      </c>
      <c r="K14" s="143" t="e">
        <f>(K5/(K6*K19*(1/K46)))*K11</f>
        <v>#DIV/0!</v>
      </c>
      <c r="L14" s="92" t="s">
        <v>10</v>
      </c>
      <c r="M14" s="52" t="s">
        <v>408</v>
      </c>
      <c r="N14" s="150">
        <f>B78</f>
        <v>1.752</v>
      </c>
      <c r="O14" s="52" t="s">
        <v>194</v>
      </c>
      <c r="P14" s="52" t="s">
        <v>408</v>
      </c>
      <c r="Q14" s="150">
        <f>B78</f>
        <v>1.752</v>
      </c>
      <c r="R14" s="52" t="s">
        <v>194</v>
      </c>
      <c r="S14" s="52" t="s">
        <v>408</v>
      </c>
      <c r="T14" s="150">
        <f>B78</f>
        <v>1.752</v>
      </c>
      <c r="U14" s="52" t="s">
        <v>194</v>
      </c>
      <c r="V14" s="83" t="s">
        <v>256</v>
      </c>
      <c r="W14" s="136">
        <f>B15</f>
        <v>3.2316400000000001</v>
      </c>
      <c r="X14" s="83" t="s">
        <v>343</v>
      </c>
      <c r="Y14" s="83" t="s">
        <v>256</v>
      </c>
      <c r="Z14" s="136">
        <f>B15</f>
        <v>3.2316400000000001</v>
      </c>
      <c r="AA14" s="83" t="s">
        <v>343</v>
      </c>
      <c r="AB14" s="83" t="s">
        <v>300</v>
      </c>
      <c r="AC14" s="141">
        <f>B235</f>
        <v>1</v>
      </c>
      <c r="AD14" s="141">
        <f>B247</f>
        <v>1</v>
      </c>
      <c r="AE14" s="141">
        <f>B259</f>
        <v>1</v>
      </c>
      <c r="AF14" s="141">
        <f>B279</f>
        <v>6.7949999999999997E-2</v>
      </c>
      <c r="AG14" s="141">
        <f>B279</f>
        <v>6.7949999999999997E-2</v>
      </c>
      <c r="AH14" s="92"/>
      <c r="AI14" s="52" t="s">
        <v>57</v>
      </c>
      <c r="AJ14" s="136">
        <f>B250</f>
        <v>0</v>
      </c>
      <c r="AK14" s="52" t="s">
        <v>194</v>
      </c>
      <c r="AL14" s="52" t="s">
        <v>57</v>
      </c>
      <c r="AM14" s="136">
        <f>B250</f>
        <v>0</v>
      </c>
      <c r="AN14" s="52" t="s">
        <v>194</v>
      </c>
      <c r="AO14" s="52" t="s">
        <v>57</v>
      </c>
      <c r="AP14" s="136">
        <f>B250</f>
        <v>0</v>
      </c>
      <c r="AQ14" s="52" t="s">
        <v>194</v>
      </c>
      <c r="AR14" s="52" t="s">
        <v>57</v>
      </c>
      <c r="AS14" s="136">
        <f>B262</f>
        <v>8</v>
      </c>
      <c r="AT14" s="52" t="s">
        <v>194</v>
      </c>
      <c r="AU14" s="52" t="s">
        <v>57</v>
      </c>
      <c r="AV14" s="136">
        <f>B262</f>
        <v>8</v>
      </c>
      <c r="AW14" s="52" t="s">
        <v>194</v>
      </c>
      <c r="AX14" s="52" t="s">
        <v>57</v>
      </c>
      <c r="AY14" s="136">
        <f>B262</f>
        <v>8</v>
      </c>
      <c r="AZ14" s="52" t="s">
        <v>194</v>
      </c>
      <c r="BA14" s="52" t="s">
        <v>57</v>
      </c>
      <c r="BB14" s="136">
        <f>B238</f>
        <v>8</v>
      </c>
      <c r="BC14" s="52" t="s">
        <v>194</v>
      </c>
      <c r="BD14" s="52" t="s">
        <v>57</v>
      </c>
      <c r="BE14" s="136">
        <f>B238</f>
        <v>8</v>
      </c>
      <c r="BF14" s="52" t="s">
        <v>194</v>
      </c>
      <c r="BG14" s="52" t="s">
        <v>58</v>
      </c>
      <c r="BH14" s="136">
        <f>B238</f>
        <v>8</v>
      </c>
      <c r="BI14" s="52" t="s">
        <v>194</v>
      </c>
      <c r="BJ14" s="52" t="s">
        <v>413</v>
      </c>
      <c r="BK14" s="136">
        <f>B280</f>
        <v>0.75568000000000002</v>
      </c>
      <c r="BM14" s="52" t="s">
        <v>414</v>
      </c>
      <c r="BN14" s="136">
        <f>B284</f>
        <v>0.64970000000000006</v>
      </c>
      <c r="BP14" s="52" t="s">
        <v>416</v>
      </c>
      <c r="BQ14" s="136">
        <f>B288</f>
        <v>0.70089999999999997</v>
      </c>
      <c r="BS14" s="52" t="s">
        <v>432</v>
      </c>
      <c r="BT14" s="141">
        <f>B107</f>
        <v>1</v>
      </c>
      <c r="BU14" s="52" t="s">
        <v>194</v>
      </c>
      <c r="BV14" s="83" t="s">
        <v>439</v>
      </c>
      <c r="BW14" s="146">
        <f>B95</f>
        <v>0.05</v>
      </c>
      <c r="BX14" s="83" t="s">
        <v>357</v>
      </c>
      <c r="BY14" s="83" t="s">
        <v>261</v>
      </c>
      <c r="BZ14" s="144">
        <f>(BZ5/(BZ7*BZ17*(1/BZ9)*BZ32))*BZ10</f>
        <v>13006523441.039976</v>
      </c>
      <c r="CA14" s="92" t="s">
        <v>10</v>
      </c>
      <c r="CB14" s="52" t="s">
        <v>412</v>
      </c>
      <c r="CC14" s="139">
        <f>B10</f>
        <v>2.1295200000000002E-3</v>
      </c>
      <c r="CD14" s="84" t="s">
        <v>353</v>
      </c>
      <c r="CE14" s="52" t="s">
        <v>415</v>
      </c>
      <c r="CF14" s="139">
        <f>B12</f>
        <v>4.4084799999999998E-4</v>
      </c>
      <c r="CG14" s="84" t="s">
        <v>353</v>
      </c>
      <c r="CH14" s="52" t="s">
        <v>417</v>
      </c>
      <c r="CI14" s="139">
        <f>B14</f>
        <v>1.94272E-3</v>
      </c>
      <c r="CJ14" s="84" t="s">
        <v>353</v>
      </c>
      <c r="CK14" s="84"/>
      <c r="CL14" s="84"/>
      <c r="CM14" s="84"/>
      <c r="CN14" s="52" t="s">
        <v>95</v>
      </c>
      <c r="CO14" s="164">
        <f>B117</f>
        <v>1</v>
      </c>
      <c r="CQ14" s="84"/>
      <c r="CR14" s="84"/>
      <c r="CS14" s="84"/>
      <c r="CT14" s="83" t="s">
        <v>260</v>
      </c>
      <c r="CU14" s="143" t="e">
        <f>(CU5/(CU6*CU25*(1/CU46)))*CU11</f>
        <v>#DIV/0!</v>
      </c>
      <c r="CV14" s="92" t="s">
        <v>10</v>
      </c>
      <c r="CW14" s="83" t="s">
        <v>459</v>
      </c>
      <c r="CX14" s="141">
        <f>B148</f>
        <v>20</v>
      </c>
      <c r="CY14" s="92" t="s">
        <v>407</v>
      </c>
      <c r="CZ14" s="83" t="s">
        <v>261</v>
      </c>
      <c r="DA14" s="144">
        <f>DA5/(DA7*DA25*DA45)</f>
        <v>2.471042471042471</v>
      </c>
      <c r="DB14" s="83" t="s">
        <v>11</v>
      </c>
      <c r="DC14" s="83" t="s">
        <v>465</v>
      </c>
      <c r="DD14" s="146">
        <f>B168</f>
        <v>350</v>
      </c>
      <c r="DE14" s="83" t="s">
        <v>24</v>
      </c>
      <c r="DF14" s="92" t="s">
        <v>393</v>
      </c>
      <c r="DG14" s="138">
        <f>B35</f>
        <v>0.26</v>
      </c>
      <c r="DL14" s="92"/>
      <c r="DO14" s="92" t="s">
        <v>393</v>
      </c>
      <c r="DP14" s="138">
        <f>B35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B204</f>
        <v>1.03</v>
      </c>
      <c r="DZ14" s="52" t="s">
        <v>286</v>
      </c>
      <c r="EA14" s="52" t="s">
        <v>518</v>
      </c>
      <c r="EB14" s="146">
        <f>B204</f>
        <v>1.03</v>
      </c>
      <c r="EC14" s="52" t="s">
        <v>286</v>
      </c>
      <c r="ED14" s="92" t="s">
        <v>392</v>
      </c>
      <c r="EE14" s="163">
        <f>B36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B170</f>
        <v>1</v>
      </c>
      <c r="EP14" s="92"/>
      <c r="EQ14" s="84"/>
      <c r="ER14" s="84"/>
      <c r="ES14" s="92" t="s">
        <v>392</v>
      </c>
      <c r="ET14" s="163">
        <f>B36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B170</f>
        <v>1</v>
      </c>
      <c r="FE14" s="83"/>
      <c r="FF14" s="83"/>
      <c r="FG14" s="83"/>
      <c r="FH14" s="83" t="s">
        <v>392</v>
      </c>
      <c r="FI14" s="142">
        <f>B36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88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B170</f>
        <v>1</v>
      </c>
      <c r="GI14" s="83"/>
      <c r="GJ14" s="83"/>
      <c r="GK14" s="83"/>
      <c r="GL14" s="83" t="s">
        <v>392</v>
      </c>
      <c r="GM14" s="142">
        <f>B36</f>
        <v>0.25</v>
      </c>
      <c r="GN14" s="84"/>
      <c r="GO14" s="92" t="s">
        <v>484</v>
      </c>
      <c r="GP14" s="146">
        <f>B192</f>
        <v>1</v>
      </c>
      <c r="GR14" s="83"/>
      <c r="GS14" s="83"/>
      <c r="GT14" s="83"/>
      <c r="GU14" s="52" t="s">
        <v>350</v>
      </c>
      <c r="GV14" s="164">
        <f>B170</f>
        <v>1</v>
      </c>
      <c r="GX14" s="83"/>
      <c r="GY14" s="83"/>
      <c r="GZ14" s="83"/>
      <c r="HA14" s="83" t="s">
        <v>392</v>
      </c>
      <c r="HB14" s="142">
        <f>B36</f>
        <v>0.25</v>
      </c>
      <c r="HC14" s="84"/>
      <c r="HD14" s="52" t="s">
        <v>225</v>
      </c>
      <c r="HE14" s="138">
        <v>1</v>
      </c>
    </row>
    <row r="15" spans="1:214" x14ac:dyDescent="0.2">
      <c r="A15" s="83" t="s">
        <v>256</v>
      </c>
      <c r="B15" s="183">
        <v>3.2316400000000001</v>
      </c>
      <c r="C15" s="83" t="s">
        <v>351</v>
      </c>
      <c r="D15" s="52" t="s">
        <v>384</v>
      </c>
      <c r="E15" s="138">
        <f>B59</f>
        <v>24</v>
      </c>
      <c r="F15" s="52" t="s">
        <v>194</v>
      </c>
      <c r="G15" s="83" t="s">
        <v>395</v>
      </c>
      <c r="H15" s="147">
        <f>(H29*H17*H68)+(H30*H18*H69)</f>
        <v>736.54</v>
      </c>
      <c r="I15" s="83" t="s">
        <v>345</v>
      </c>
      <c r="J15" s="83" t="s">
        <v>261</v>
      </c>
      <c r="K15" s="144">
        <f>(K5/(K7*K20*(1/K10)*K45))*K11</f>
        <v>116129673.58071408</v>
      </c>
      <c r="L15" s="92" t="s">
        <v>10</v>
      </c>
      <c r="M15" s="52" t="s">
        <v>412</v>
      </c>
      <c r="N15" s="139">
        <f>B10</f>
        <v>2.1295200000000002E-3</v>
      </c>
      <c r="O15" s="84" t="s">
        <v>353</v>
      </c>
      <c r="P15" s="52" t="s">
        <v>415</v>
      </c>
      <c r="Q15" s="139">
        <f>B12</f>
        <v>4.4084799999999998E-4</v>
      </c>
      <c r="R15" s="84" t="s">
        <v>353</v>
      </c>
      <c r="S15" s="52" t="s">
        <v>417</v>
      </c>
      <c r="T15" s="139">
        <f>B14</f>
        <v>1.94272E-3</v>
      </c>
      <c r="U15" s="84" t="s">
        <v>353</v>
      </c>
      <c r="V15" s="83" t="s">
        <v>301</v>
      </c>
      <c r="W15" s="142">
        <f>B258</f>
        <v>1</v>
      </c>
      <c r="Y15" s="83" t="s">
        <v>301</v>
      </c>
      <c r="Z15" s="142">
        <f>B234</f>
        <v>1</v>
      </c>
      <c r="AB15" s="83" t="s">
        <v>232</v>
      </c>
      <c r="AC15" s="141">
        <f>B230</f>
        <v>60</v>
      </c>
      <c r="AD15" s="141">
        <f>B242</f>
        <v>60</v>
      </c>
      <c r="AE15" s="141">
        <f>B254</f>
        <v>60</v>
      </c>
      <c r="AF15" s="141">
        <f>B266</f>
        <v>60</v>
      </c>
      <c r="AG15" s="141">
        <f>B290</f>
        <v>60</v>
      </c>
      <c r="AH15" s="92" t="s">
        <v>407</v>
      </c>
      <c r="AI15" s="52" t="s">
        <v>412</v>
      </c>
      <c r="AJ15" s="139">
        <f>B10</f>
        <v>2.1295200000000002E-3</v>
      </c>
      <c r="AK15" s="84" t="s">
        <v>353</v>
      </c>
      <c r="AL15" s="52" t="s">
        <v>415</v>
      </c>
      <c r="AM15" s="139">
        <f>B12</f>
        <v>4.4084799999999998E-4</v>
      </c>
      <c r="AN15" s="84" t="s">
        <v>353</v>
      </c>
      <c r="AO15" s="52" t="s">
        <v>417</v>
      </c>
      <c r="AP15" s="139">
        <f>B14</f>
        <v>1.94272E-3</v>
      </c>
      <c r="AQ15" s="84" t="s">
        <v>353</v>
      </c>
      <c r="AR15" s="52" t="s">
        <v>412</v>
      </c>
      <c r="AS15" s="139">
        <f>B10</f>
        <v>2.1295200000000002E-3</v>
      </c>
      <c r="AT15" s="84" t="s">
        <v>353</v>
      </c>
      <c r="AU15" s="52" t="s">
        <v>415</v>
      </c>
      <c r="AV15" s="139">
        <f>B12</f>
        <v>4.4084799999999998E-4</v>
      </c>
      <c r="AW15" s="84" t="s">
        <v>353</v>
      </c>
      <c r="AX15" s="52" t="s">
        <v>417</v>
      </c>
      <c r="AY15" s="139">
        <f>B14</f>
        <v>1.94272E-3</v>
      </c>
      <c r="AZ15" s="84" t="s">
        <v>353</v>
      </c>
      <c r="BA15" s="52" t="s">
        <v>412</v>
      </c>
      <c r="BB15" s="139">
        <f>B10</f>
        <v>2.1295200000000002E-3</v>
      </c>
      <c r="BC15" s="84" t="s">
        <v>353</v>
      </c>
      <c r="BD15" s="52" t="s">
        <v>415</v>
      </c>
      <c r="BE15" s="139">
        <f>B12</f>
        <v>4.4084799999999998E-4</v>
      </c>
      <c r="BF15" s="84" t="s">
        <v>353</v>
      </c>
      <c r="BG15" s="52" t="s">
        <v>417</v>
      </c>
      <c r="BH15" s="139">
        <f>B14</f>
        <v>1.94272E-3</v>
      </c>
      <c r="BI15" s="84" t="s">
        <v>353</v>
      </c>
      <c r="BJ15" s="52" t="s">
        <v>57</v>
      </c>
      <c r="BK15" s="136">
        <f>B274</f>
        <v>8</v>
      </c>
      <c r="BL15" s="52" t="s">
        <v>194</v>
      </c>
      <c r="BM15" s="52" t="s">
        <v>57</v>
      </c>
      <c r="BN15" s="136">
        <f>B274</f>
        <v>8</v>
      </c>
      <c r="BO15" s="52" t="s">
        <v>194</v>
      </c>
      <c r="BP15" s="52" t="s">
        <v>57</v>
      </c>
      <c r="BQ15" s="136">
        <f>B274</f>
        <v>8</v>
      </c>
      <c r="BR15" s="52" t="s">
        <v>194</v>
      </c>
      <c r="BS15" s="52" t="s">
        <v>90</v>
      </c>
      <c r="BT15" s="138">
        <f>B108</f>
        <v>1</v>
      </c>
      <c r="BU15" s="52" t="s">
        <v>194</v>
      </c>
      <c r="BV15" s="83" t="s">
        <v>438</v>
      </c>
      <c r="BW15" s="146">
        <f>B96</f>
        <v>0.05</v>
      </c>
      <c r="BX15" s="83" t="s">
        <v>357</v>
      </c>
      <c r="BY15" s="83" t="s">
        <v>262</v>
      </c>
      <c r="BZ15" s="145">
        <f>((BZ5)/(BZ8*BZ22*(1/BZ31)*BZ25*(1/24)*BZ28*BZ29))*BZ10</f>
        <v>70664083.948477432</v>
      </c>
      <c r="CA15" s="92" t="s">
        <v>10</v>
      </c>
      <c r="CN15" s="83" t="s">
        <v>22</v>
      </c>
      <c r="CO15" s="137">
        <f>0.693/CO16</f>
        <v>66.155354824913829</v>
      </c>
      <c r="CT15" s="83" t="s">
        <v>261</v>
      </c>
      <c r="CU15" s="144">
        <f>(CU5/(CU7*CU26*(1/CU10)*CU45))*CU11</f>
        <v>111107849.8583048</v>
      </c>
      <c r="CV15" s="92" t="s">
        <v>10</v>
      </c>
      <c r="CW15" s="52" t="s">
        <v>365</v>
      </c>
      <c r="CX15" s="138">
        <f>B172</f>
        <v>24</v>
      </c>
      <c r="CY15" s="52" t="s">
        <v>194</v>
      </c>
      <c r="CZ15" s="83" t="s">
        <v>266</v>
      </c>
      <c r="DA15" s="153">
        <f>DA5/(DA8*DA26*(DA46/DA47))</f>
        <v>5205.9248254851573</v>
      </c>
      <c r="DB15" s="83" t="s">
        <v>11</v>
      </c>
      <c r="DC15" s="83" t="s">
        <v>456</v>
      </c>
      <c r="DD15" s="146">
        <f>B167</f>
        <v>350</v>
      </c>
      <c r="DE15" s="83" t="s">
        <v>24</v>
      </c>
      <c r="DF15" s="92" t="s">
        <v>61</v>
      </c>
      <c r="DG15" s="138">
        <f>B197</f>
        <v>0.42</v>
      </c>
      <c r="DH15" s="52" t="s">
        <v>41</v>
      </c>
      <c r="DL15" s="92"/>
      <c r="DO15" s="92" t="s">
        <v>61</v>
      </c>
      <c r="DP15" s="138">
        <f>B197</f>
        <v>0.42</v>
      </c>
      <c r="DQ15" s="52" t="s">
        <v>41</v>
      </c>
      <c r="DR15" s="92" t="s">
        <v>479</v>
      </c>
      <c r="DS15" s="146">
        <f>B187</f>
        <v>1</v>
      </c>
      <c r="DU15" s="92"/>
      <c r="DX15" s="52" t="s">
        <v>350</v>
      </c>
      <c r="DY15" s="164">
        <f>B170</f>
        <v>1</v>
      </c>
      <c r="EA15" s="92"/>
      <c r="EB15" s="84"/>
      <c r="EC15" s="84"/>
      <c r="ED15" s="83" t="s">
        <v>27</v>
      </c>
      <c r="EE15" s="142">
        <f>B203</f>
        <v>92</v>
      </c>
      <c r="EF15" s="83" t="s">
        <v>28</v>
      </c>
      <c r="EG15" s="92" t="s">
        <v>480</v>
      </c>
      <c r="EH15" s="146">
        <f>B188</f>
        <v>1</v>
      </c>
      <c r="EJ15" s="92"/>
      <c r="EM15" s="83" t="s">
        <v>22</v>
      </c>
      <c r="EN15" s="137">
        <f>0.693/EN16</f>
        <v>66.155354824913829</v>
      </c>
      <c r="EP15" s="92"/>
      <c r="EQ15" s="84"/>
      <c r="ER15" s="84"/>
      <c r="ES15" s="83" t="s">
        <v>29</v>
      </c>
      <c r="ET15" s="142">
        <f>B209</f>
        <v>53</v>
      </c>
      <c r="EU15" s="83" t="s">
        <v>28</v>
      </c>
      <c r="EV15" s="92" t="s">
        <v>481</v>
      </c>
      <c r="EW15" s="146">
        <f>B189</f>
        <v>1</v>
      </c>
      <c r="EY15" s="83"/>
      <c r="EZ15" s="83"/>
      <c r="FA15" s="83"/>
      <c r="FB15" s="83" t="s">
        <v>22</v>
      </c>
      <c r="FC15" s="137">
        <f>0.693/FC16</f>
        <v>66.155354824913829</v>
      </c>
      <c r="FE15" s="83"/>
      <c r="FF15" s="83"/>
      <c r="FG15" s="83"/>
      <c r="FH15" s="83" t="s">
        <v>148</v>
      </c>
      <c r="FI15" s="164">
        <f>B214</f>
        <v>0.4</v>
      </c>
      <c r="FJ15" s="83" t="s">
        <v>28</v>
      </c>
      <c r="FK15" s="92" t="s">
        <v>482</v>
      </c>
      <c r="FL15" s="146">
        <f>B190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B191</f>
        <v>1</v>
      </c>
      <c r="GC15" s="83"/>
      <c r="GD15" s="83"/>
      <c r="GE15" s="83"/>
      <c r="GF15" s="83" t="s">
        <v>22</v>
      </c>
      <c r="GG15" s="137">
        <f>0.693/GG16</f>
        <v>66.155354824913829</v>
      </c>
      <c r="GI15" s="83"/>
      <c r="GJ15" s="83"/>
      <c r="GK15" s="83"/>
      <c r="GL15" s="83" t="s">
        <v>149</v>
      </c>
      <c r="GM15" s="164">
        <f>B219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66.155354824913829</v>
      </c>
      <c r="GX15" s="83"/>
      <c r="GY15" s="83"/>
      <c r="GZ15" s="83"/>
      <c r="HA15" s="83" t="s">
        <v>150</v>
      </c>
      <c r="HB15" s="142">
        <f>B224</f>
        <v>11.4</v>
      </c>
      <c r="HC15" s="83" t="s">
        <v>28</v>
      </c>
      <c r="HD15" s="84"/>
    </row>
    <row r="16" spans="1:214" s="83" customFormat="1" x14ac:dyDescent="0.2">
      <c r="A16" s="91" t="s">
        <v>257</v>
      </c>
      <c r="B16" s="183">
        <v>7.02368E-3</v>
      </c>
      <c r="C16" s="84" t="s">
        <v>259</v>
      </c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6195</v>
      </c>
      <c r="I16" s="83" t="s">
        <v>426</v>
      </c>
      <c r="J16" s="83" t="s">
        <v>262</v>
      </c>
      <c r="K16" s="144">
        <f>(K5/(K8*K42*((K37*K41*(1/K35))+(K38*K40*(1/K35)))*K32*(1/K44)*K33))*K11</f>
        <v>93471.570908434471</v>
      </c>
      <c r="L16" s="92" t="s">
        <v>10</v>
      </c>
      <c r="M16" s="52" t="s">
        <v>409</v>
      </c>
      <c r="N16" s="150">
        <f>B79</f>
        <v>16.416</v>
      </c>
      <c r="O16" s="52" t="s">
        <v>194</v>
      </c>
      <c r="P16" s="52" t="s">
        <v>409</v>
      </c>
      <c r="Q16" s="150">
        <f>B79</f>
        <v>16.416</v>
      </c>
      <c r="R16" s="52" t="s">
        <v>194</v>
      </c>
      <c r="S16" s="52" t="s">
        <v>409</v>
      </c>
      <c r="T16" s="150">
        <f>B79</f>
        <v>16.416</v>
      </c>
      <c r="U16" s="52" t="s">
        <v>194</v>
      </c>
      <c r="V16" s="52" t="s">
        <v>261</v>
      </c>
      <c r="W16" s="143">
        <f>(W5)/((W12/24)*W9*W10*W11*W13)</f>
        <v>1.7777777777777777</v>
      </c>
      <c r="X16" s="52" t="s">
        <v>15</v>
      </c>
      <c r="Y16" s="52" t="s">
        <v>261</v>
      </c>
      <c r="Z16" s="143">
        <f>(Z5)/((Z12/24)*Z9*Z10*Z11*Z13)</f>
        <v>1.6</v>
      </c>
      <c r="AA16" s="52" t="s">
        <v>15</v>
      </c>
      <c r="AB16" s="83" t="s">
        <v>299</v>
      </c>
      <c r="AC16" s="141">
        <f>B236</f>
        <v>0.4</v>
      </c>
      <c r="AD16" s="141">
        <f>B248</f>
        <v>0.4</v>
      </c>
      <c r="AE16" s="141">
        <f>B260</f>
        <v>0.4</v>
      </c>
      <c r="AF16" s="141">
        <f>B272</f>
        <v>0.4</v>
      </c>
      <c r="AG16" s="141">
        <f>B295</f>
        <v>0.4</v>
      </c>
      <c r="AH16" s="92"/>
      <c r="AI16" s="52" t="s">
        <v>69</v>
      </c>
      <c r="AJ16" s="136">
        <f>B251</f>
        <v>8</v>
      </c>
      <c r="AK16" s="52" t="s">
        <v>194</v>
      </c>
      <c r="AL16" s="52" t="s">
        <v>69</v>
      </c>
      <c r="AM16" s="136">
        <f>B251</f>
        <v>8</v>
      </c>
      <c r="AN16" s="52" t="s">
        <v>194</v>
      </c>
      <c r="AO16" s="52" t="s">
        <v>69</v>
      </c>
      <c r="AP16" s="136">
        <f>B251</f>
        <v>8</v>
      </c>
      <c r="AQ16" s="52" t="s">
        <v>194</v>
      </c>
      <c r="AR16" s="52" t="s">
        <v>69</v>
      </c>
      <c r="AS16" s="136">
        <f>B263</f>
        <v>0</v>
      </c>
      <c r="AT16" s="52" t="s">
        <v>194</v>
      </c>
      <c r="AU16" s="52" t="s">
        <v>69</v>
      </c>
      <c r="AV16" s="136">
        <f>B263</f>
        <v>0</v>
      </c>
      <c r="AW16" s="52" t="s">
        <v>194</v>
      </c>
      <c r="AX16" s="52" t="s">
        <v>69</v>
      </c>
      <c r="AY16" s="136">
        <f>B263</f>
        <v>0</v>
      </c>
      <c r="AZ16" s="52" t="s">
        <v>194</v>
      </c>
      <c r="BA16" s="52" t="s">
        <v>69</v>
      </c>
      <c r="BB16" s="136">
        <f>B239</f>
        <v>8</v>
      </c>
      <c r="BC16" s="52" t="s">
        <v>194</v>
      </c>
      <c r="BD16" s="52" t="s">
        <v>69</v>
      </c>
      <c r="BE16" s="136">
        <f>B239</f>
        <v>8</v>
      </c>
      <c r="BF16" s="52" t="s">
        <v>194</v>
      </c>
      <c r="BG16" s="52" t="s">
        <v>69</v>
      </c>
      <c r="BH16" s="136">
        <f>B239</f>
        <v>8</v>
      </c>
      <c r="BI16" s="52" t="s">
        <v>194</v>
      </c>
      <c r="BJ16" s="52" t="s">
        <v>412</v>
      </c>
      <c r="BK16" s="139">
        <f>B10</f>
        <v>2.1295200000000002E-3</v>
      </c>
      <c r="BL16" s="84" t="s">
        <v>353</v>
      </c>
      <c r="BM16" s="52" t="s">
        <v>415</v>
      </c>
      <c r="BN16" s="139">
        <f>B12</f>
        <v>4.4084799999999998E-4</v>
      </c>
      <c r="BO16" s="84" t="s">
        <v>353</v>
      </c>
      <c r="BP16" s="52" t="s">
        <v>417</v>
      </c>
      <c r="BQ16" s="139">
        <f>B14</f>
        <v>1.94272E-3</v>
      </c>
      <c r="BR16" s="84" t="s">
        <v>353</v>
      </c>
      <c r="BS16" s="83" t="s">
        <v>256</v>
      </c>
      <c r="BT16" s="136">
        <f>E17</f>
        <v>3.2316400000000001</v>
      </c>
      <c r="BU16" s="83" t="s">
        <v>343</v>
      </c>
      <c r="BV16" s="83" t="s">
        <v>437</v>
      </c>
      <c r="BW16" s="140">
        <f>((BW18*BW20*BW23*BW30)+(BW19*BW21*BW24*BW31))</f>
        <v>45</v>
      </c>
      <c r="BX16" s="83" t="s">
        <v>356</v>
      </c>
      <c r="BY16" s="83" t="s">
        <v>46</v>
      </c>
      <c r="BZ16" s="149">
        <f>(BZ18*BZ22*BZ34)+(BZ19*BZ23*BZ35)</f>
        <v>9225</v>
      </c>
      <c r="CA16" s="83" t="s">
        <v>346</v>
      </c>
      <c r="CN16" s="91" t="s">
        <v>231</v>
      </c>
      <c r="CO16" s="136">
        <f>B18</f>
        <v>1.04753425E-2</v>
      </c>
      <c r="CP16" s="52" t="s">
        <v>60</v>
      </c>
      <c r="CT16" s="83" t="s">
        <v>262</v>
      </c>
      <c r="CU16" s="144">
        <f>(CU5/(CU8*CU42*((CU37*CU41*(1/24))+(CU38*CU40*(1/24)))*CU32*(1/CU44)))*CU11</f>
        <v>48081.39874868418</v>
      </c>
      <c r="CV16" s="92" t="s">
        <v>10</v>
      </c>
      <c r="CW16" s="52" t="s">
        <v>364</v>
      </c>
      <c r="CX16" s="138">
        <f>B171</f>
        <v>24</v>
      </c>
      <c r="CY16" s="52" t="s">
        <v>194</v>
      </c>
      <c r="CZ16" s="83" t="s">
        <v>512</v>
      </c>
      <c r="DA16" s="153" t="e">
        <f>DG2</f>
        <v>#DIV/0!</v>
      </c>
      <c r="DB16" s="83" t="s">
        <v>11</v>
      </c>
      <c r="DC16" s="83" t="s">
        <v>363</v>
      </c>
      <c r="DD16" s="146">
        <f>B170</f>
        <v>1</v>
      </c>
      <c r="DE16" s="83" t="s">
        <v>60</v>
      </c>
      <c r="DF16" s="92" t="s">
        <v>63</v>
      </c>
      <c r="DG16" s="151">
        <f>DG20+(0.693/DG22)</f>
        <v>0.23074754746551734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66.155354824913829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B18</f>
        <v>1.04753425E-2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B18</f>
        <v>1.04753425E-2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B18</f>
        <v>1.04753425E-2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B165</f>
        <v>0.15</v>
      </c>
      <c r="GQ16" s="52"/>
      <c r="GU16" s="91" t="s">
        <v>231</v>
      </c>
      <c r="GV16" s="136">
        <f>B18</f>
        <v>1.04753425E-2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</row>
    <row r="17" spans="1:214" ht="13.5" thickBot="1" x14ac:dyDescent="0.25">
      <c r="A17" s="83" t="s">
        <v>258</v>
      </c>
      <c r="B17" s="183">
        <v>0</v>
      </c>
      <c r="C17" s="92" t="s">
        <v>259</v>
      </c>
      <c r="D17" s="83" t="s">
        <v>256</v>
      </c>
      <c r="E17" s="136">
        <f>B15</f>
        <v>3.2316400000000001</v>
      </c>
      <c r="F17" s="83" t="s">
        <v>343</v>
      </c>
      <c r="G17" s="83" t="s">
        <v>370</v>
      </c>
      <c r="H17" s="146">
        <f>B42</f>
        <v>0.78</v>
      </c>
      <c r="I17" s="52" t="s">
        <v>28</v>
      </c>
      <c r="J17" s="83" t="s">
        <v>263</v>
      </c>
      <c r="K17" s="153" t="e">
        <f>(K18/(K47+K48))*K11</f>
        <v>#DIV/0!</v>
      </c>
      <c r="L17" s="92" t="s">
        <v>10</v>
      </c>
      <c r="M17" s="83"/>
      <c r="N17" s="83"/>
      <c r="O17" s="83"/>
      <c r="P17" s="83"/>
      <c r="Q17" s="83"/>
      <c r="R17" s="83"/>
      <c r="S17" s="83"/>
      <c r="T17" s="83"/>
      <c r="U17" s="83"/>
      <c r="V17" s="52" t="s">
        <v>271</v>
      </c>
      <c r="W17" s="144">
        <f>(W5)/((W12/24)*W9*W14*(1/365))</f>
        <v>1.5059433187690048</v>
      </c>
      <c r="X17" s="52" t="s">
        <v>15</v>
      </c>
      <c r="Y17" s="52" t="s">
        <v>271</v>
      </c>
      <c r="Z17" s="144">
        <f>(Z5)/((Z12/24)*Z9*Z14*(1/365))</f>
        <v>1.3553489868921043</v>
      </c>
      <c r="AA17" s="52" t="s">
        <v>15</v>
      </c>
      <c r="AB17" s="83" t="s">
        <v>413</v>
      </c>
      <c r="AC17" s="141">
        <f>B237</f>
        <v>1</v>
      </c>
      <c r="AD17" s="141">
        <f>B249</f>
        <v>1</v>
      </c>
      <c r="AE17" s="141">
        <f>B261</f>
        <v>1</v>
      </c>
      <c r="AF17" s="141">
        <f>B280</f>
        <v>0.75568000000000002</v>
      </c>
      <c r="AG17" s="141">
        <f>B280</f>
        <v>0.75568000000000002</v>
      </c>
      <c r="AH17" s="92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K17" s="83"/>
      <c r="BL17" s="83"/>
      <c r="BM17" s="83"/>
      <c r="BN17" s="83"/>
      <c r="BO17" s="83"/>
      <c r="BP17" s="83"/>
      <c r="BQ17" s="83"/>
      <c r="BR17" s="83"/>
      <c r="BS17" s="83" t="s">
        <v>301</v>
      </c>
      <c r="BT17" s="142">
        <f>B111</f>
        <v>1</v>
      </c>
      <c r="BV17" s="83" t="s">
        <v>65</v>
      </c>
      <c r="BW17" s="141">
        <f>B116</f>
        <v>0.5</v>
      </c>
      <c r="BX17" s="52" t="s">
        <v>66</v>
      </c>
      <c r="BY17" s="83" t="s">
        <v>43</v>
      </c>
      <c r="BZ17" s="149">
        <f>(BZ24*BZ20*(BZ26/24)*BZ34)+(BZ23*BZ21*(BZ27/24)*BZ35)</f>
        <v>55.3125</v>
      </c>
      <c r="CA17" s="52" t="s">
        <v>426</v>
      </c>
      <c r="CN17" s="84" t="s">
        <v>16</v>
      </c>
      <c r="CO17" s="137">
        <f>(CO14*CO15)/(1-EXP(-CO15*CO14))</f>
        <v>66.155354824913829</v>
      </c>
      <c r="CT17" s="83" t="s">
        <v>263</v>
      </c>
      <c r="CU17" s="153" t="e">
        <f>DJ2</f>
        <v>#DIV/0!</v>
      </c>
      <c r="CV17" s="92" t="s">
        <v>10</v>
      </c>
      <c r="CW17" s="83" t="s">
        <v>256</v>
      </c>
      <c r="CX17" s="136">
        <f>B15</f>
        <v>3.2316400000000001</v>
      </c>
      <c r="CY17" s="83" t="s">
        <v>343</v>
      </c>
      <c r="CZ17" s="83" t="s">
        <v>511</v>
      </c>
      <c r="DA17" s="153" t="e">
        <f>DD2</f>
        <v>#DIV/0!</v>
      </c>
      <c r="DB17" s="83" t="s">
        <v>10</v>
      </c>
      <c r="DC17" s="93"/>
      <c r="DD17" s="136">
        <v>9.9999999999999995E-7</v>
      </c>
      <c r="DE17" s="88"/>
      <c r="DF17" s="92" t="s">
        <v>67</v>
      </c>
      <c r="DG17" s="142">
        <f>B198</f>
        <v>60</v>
      </c>
      <c r="DH17" s="83" t="s">
        <v>53</v>
      </c>
      <c r="DL17" s="92"/>
      <c r="DM17" s="83"/>
      <c r="DN17" s="83"/>
      <c r="DO17" s="92" t="s">
        <v>67</v>
      </c>
      <c r="DP17" s="142">
        <f>B198</f>
        <v>60</v>
      </c>
      <c r="DQ17" s="83" t="s">
        <v>53</v>
      </c>
      <c r="DR17" s="83" t="s">
        <v>475</v>
      </c>
      <c r="DS17" s="146">
        <f>B165</f>
        <v>0.15</v>
      </c>
      <c r="DU17" s="92"/>
      <c r="DV17" s="87"/>
      <c r="DW17" s="83"/>
      <c r="DX17" s="91" t="s">
        <v>231</v>
      </c>
      <c r="DY17" s="136">
        <f>B18</f>
        <v>1.04753425E-2</v>
      </c>
      <c r="DZ17" s="52" t="s">
        <v>60</v>
      </c>
      <c r="EA17" s="92"/>
      <c r="EB17" s="83"/>
      <c r="EC17" s="83"/>
      <c r="ED17" s="92" t="s">
        <v>67</v>
      </c>
      <c r="EE17" s="142">
        <f>B198</f>
        <v>60</v>
      </c>
      <c r="EF17" s="83" t="s">
        <v>53</v>
      </c>
      <c r="EG17" s="83" t="s">
        <v>475</v>
      </c>
      <c r="EH17" s="146">
        <f>B165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66.155354824913829</v>
      </c>
      <c r="EP17" s="92"/>
      <c r="EQ17" s="83"/>
      <c r="ER17" s="83"/>
      <c r="ES17" s="92" t="s">
        <v>67</v>
      </c>
      <c r="ET17" s="142">
        <f>B198</f>
        <v>60</v>
      </c>
      <c r="EU17" s="83" t="s">
        <v>53</v>
      </c>
      <c r="EV17" s="83" t="s">
        <v>475</v>
      </c>
      <c r="EW17" s="141">
        <f>B165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66.155354824913829</v>
      </c>
      <c r="FE17" s="83"/>
      <c r="FF17" s="83"/>
      <c r="FG17" s="83"/>
      <c r="FH17" s="83" t="s">
        <v>67</v>
      </c>
      <c r="FI17" s="142">
        <f>B198</f>
        <v>60</v>
      </c>
      <c r="FJ17" s="83" t="s">
        <v>53</v>
      </c>
      <c r="FK17" s="83" t="s">
        <v>475</v>
      </c>
      <c r="FL17" s="141">
        <f>B165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B165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66.155354824913829</v>
      </c>
      <c r="GI17" s="83"/>
      <c r="GJ17" s="83"/>
      <c r="GK17" s="83"/>
      <c r="GL17" s="83" t="s">
        <v>67</v>
      </c>
      <c r="GM17" s="142">
        <f>B198</f>
        <v>60</v>
      </c>
      <c r="GN17" s="83" t="s">
        <v>53</v>
      </c>
      <c r="GO17" s="83" t="s">
        <v>476</v>
      </c>
      <c r="GP17" s="141">
        <f>B166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66.155354824913829</v>
      </c>
      <c r="GX17" s="83"/>
      <c r="GY17" s="83"/>
      <c r="GZ17" s="83"/>
      <c r="HA17" s="83" t="s">
        <v>67</v>
      </c>
      <c r="HB17" s="142">
        <f>B198</f>
        <v>60</v>
      </c>
      <c r="HC17" s="83" t="s">
        <v>53</v>
      </c>
      <c r="HD17" s="84"/>
      <c r="HE17" s="84"/>
    </row>
    <row r="18" spans="1:214" ht="19.5" thickTop="1" thickBot="1" x14ac:dyDescent="0.25">
      <c r="A18" s="91" t="s">
        <v>231</v>
      </c>
      <c r="B18" s="183">
        <v>1.04753425E-2</v>
      </c>
      <c r="C18" s="52" t="s">
        <v>235</v>
      </c>
      <c r="D18" s="83" t="s">
        <v>301</v>
      </c>
      <c r="E18" s="142">
        <f>B60</f>
        <v>1</v>
      </c>
      <c r="G18" s="83" t="s">
        <v>371</v>
      </c>
      <c r="H18" s="146">
        <f>B43</f>
        <v>2.5</v>
      </c>
      <c r="I18" s="52" t="s">
        <v>28</v>
      </c>
      <c r="J18" s="83" t="s">
        <v>264</v>
      </c>
      <c r="K18" s="154" t="e">
        <f>K5/(K9*(K25+K28)*K36)</f>
        <v>#DIV/0!</v>
      </c>
      <c r="L18" s="92" t="s">
        <v>10</v>
      </c>
      <c r="V18" s="52" t="s">
        <v>261</v>
      </c>
      <c r="W18" s="144">
        <f>(W5*W7*W6)/((W12/24)*(1-EXP(-W7*W10))*W11*W13*W9*W10)</f>
        <v>117.6095196887357</v>
      </c>
      <c r="X18" s="52" t="s">
        <v>16</v>
      </c>
      <c r="Y18" s="52" t="s">
        <v>261</v>
      </c>
      <c r="Z18" s="144">
        <f>(Z5*Z7*Z6)/((Z12/24)*(1-EXP(-Z7*Z10))*Z11*Z13*Z9*Z10)</f>
        <v>105.84856771986213</v>
      </c>
      <c r="AA18" s="52" t="s">
        <v>16</v>
      </c>
      <c r="AB18" s="83" t="s">
        <v>412</v>
      </c>
      <c r="AC18" s="136">
        <f>B10</f>
        <v>2.1295200000000002E-3</v>
      </c>
      <c r="AD18" s="136">
        <f>B10</f>
        <v>2.1295200000000002E-3</v>
      </c>
      <c r="AE18" s="136">
        <f>B10</f>
        <v>2.1295200000000002E-3</v>
      </c>
      <c r="AF18" s="136">
        <f>B10</f>
        <v>2.1295200000000002E-3</v>
      </c>
      <c r="AG18" s="136">
        <f>B10</f>
        <v>2.1295200000000002E-3</v>
      </c>
      <c r="AH18" s="83" t="s">
        <v>351</v>
      </c>
      <c r="BS18" s="52" t="s">
        <v>261</v>
      </c>
      <c r="BT18" s="143">
        <f>(BT5)/(BT9*BT10)</f>
        <v>144.63276836158192</v>
      </c>
      <c r="BU18" s="52" t="s">
        <v>15</v>
      </c>
      <c r="BV18" s="83" t="s">
        <v>433</v>
      </c>
      <c r="BW18" s="150">
        <f>B112</f>
        <v>45</v>
      </c>
      <c r="BX18" s="83" t="s">
        <v>24</v>
      </c>
      <c r="BY18" s="83" t="s">
        <v>441</v>
      </c>
      <c r="BZ18" s="146">
        <f>B97</f>
        <v>200</v>
      </c>
      <c r="CA18" s="84" t="s">
        <v>48</v>
      </c>
      <c r="CB18" s="274" t="s">
        <v>572</v>
      </c>
      <c r="CC18" s="270"/>
      <c r="CD18" s="270"/>
      <c r="CE18" s="271" t="s">
        <v>573</v>
      </c>
      <c r="CF18" s="270"/>
      <c r="CG18" s="273"/>
      <c r="CJ18" s="83"/>
      <c r="CT18" s="83" t="s">
        <v>264</v>
      </c>
      <c r="CU18" s="153" t="e">
        <f>DD2</f>
        <v>#DIV/0!</v>
      </c>
      <c r="CV18" s="92" t="s">
        <v>10</v>
      </c>
      <c r="CW18" s="83" t="s">
        <v>301</v>
      </c>
      <c r="CX18" s="142">
        <f>B180</f>
        <v>1</v>
      </c>
      <c r="CZ18" s="91" t="s">
        <v>272</v>
      </c>
      <c r="DA18" s="144" t="e">
        <f>EZ2</f>
        <v>#DIV/0!</v>
      </c>
      <c r="DB18" s="83" t="s">
        <v>10</v>
      </c>
      <c r="DC18" s="88"/>
      <c r="DD18" s="136">
        <v>1000</v>
      </c>
      <c r="DE18" s="92" t="s">
        <v>99</v>
      </c>
      <c r="DF18" s="92" t="s">
        <v>68</v>
      </c>
      <c r="DG18" s="142">
        <f>B199</f>
        <v>2</v>
      </c>
      <c r="DH18" s="83" t="s">
        <v>56</v>
      </c>
      <c r="DL18" s="92"/>
      <c r="DM18" s="83"/>
      <c r="DN18" s="83"/>
      <c r="DO18" s="92" t="s">
        <v>68</v>
      </c>
      <c r="DP18" s="142">
        <f>B199</f>
        <v>2</v>
      </c>
      <c r="DQ18" s="83" t="s">
        <v>56</v>
      </c>
      <c r="DR18" s="83" t="s">
        <v>476</v>
      </c>
      <c r="DS18" s="146">
        <f>B166</f>
        <v>0.85</v>
      </c>
      <c r="DU18" s="92"/>
      <c r="DV18" s="83"/>
      <c r="DW18" s="83"/>
      <c r="DX18" s="84" t="s">
        <v>16</v>
      </c>
      <c r="DY18" s="137">
        <f>(DY15*DY16)/(1-EXP(-DY16*DY15))</f>
        <v>66.155354824913829</v>
      </c>
      <c r="EA18" s="92"/>
      <c r="EB18" s="83"/>
      <c r="EC18" s="83"/>
      <c r="ED18" s="92" t="s">
        <v>68</v>
      </c>
      <c r="EE18" s="142">
        <f>B199</f>
        <v>2</v>
      </c>
      <c r="EF18" s="83" t="s">
        <v>56</v>
      </c>
      <c r="EG18" s="83" t="s">
        <v>476</v>
      </c>
      <c r="EH18" s="146">
        <f>B166</f>
        <v>0.85</v>
      </c>
      <c r="EJ18" s="92"/>
      <c r="EK18" s="83"/>
      <c r="EL18" s="83"/>
      <c r="EP18" s="92"/>
      <c r="EQ18" s="83"/>
      <c r="ER18" s="83"/>
      <c r="ES18" s="92" t="s">
        <v>68</v>
      </c>
      <c r="ET18" s="142">
        <f>B199</f>
        <v>2</v>
      </c>
      <c r="EU18" s="83" t="s">
        <v>56</v>
      </c>
      <c r="EV18" s="83" t="s">
        <v>476</v>
      </c>
      <c r="EW18" s="141">
        <f>B166</f>
        <v>0.85</v>
      </c>
      <c r="EX18" s="92"/>
      <c r="EY18" s="83"/>
      <c r="EZ18" s="83"/>
      <c r="FA18" s="83"/>
      <c r="FB18" s="83"/>
      <c r="FC18" s="83"/>
      <c r="FD18" s="83"/>
      <c r="FE18" s="83"/>
      <c r="FF18" s="83"/>
      <c r="FG18" s="83"/>
      <c r="FH18" s="83" t="s">
        <v>68</v>
      </c>
      <c r="FI18" s="142">
        <f>B199</f>
        <v>2</v>
      </c>
      <c r="FJ18" s="83" t="s">
        <v>56</v>
      </c>
      <c r="FK18" s="83" t="s">
        <v>476</v>
      </c>
      <c r="FL18" s="141">
        <f>B166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B166</f>
        <v>0.85</v>
      </c>
      <c r="GB18" s="92"/>
      <c r="GC18" s="83"/>
      <c r="GD18" s="83"/>
      <c r="GE18" s="83"/>
      <c r="GF18" s="83"/>
      <c r="GG18" s="83"/>
      <c r="GH18" s="83"/>
      <c r="GI18" s="83"/>
      <c r="GJ18" s="83"/>
      <c r="GK18" s="83"/>
      <c r="GL18" s="83" t="s">
        <v>68</v>
      </c>
      <c r="GM18" s="142">
        <f>B199</f>
        <v>2</v>
      </c>
      <c r="GN18" s="83" t="s">
        <v>56</v>
      </c>
      <c r="GR18" s="83"/>
      <c r="GS18" s="83"/>
      <c r="GT18" s="83"/>
      <c r="GU18" s="83"/>
      <c r="GV18" s="83"/>
      <c r="GW18" s="83"/>
      <c r="GX18" s="83"/>
      <c r="GY18" s="83"/>
      <c r="GZ18" s="83"/>
      <c r="HA18" s="83" t="s">
        <v>68</v>
      </c>
      <c r="HB18" s="142">
        <f>B199</f>
        <v>2</v>
      </c>
      <c r="HC18" s="83" t="s">
        <v>56</v>
      </c>
    </row>
    <row r="19" spans="1:214" ht="19.5" thickTop="1" thickBot="1" x14ac:dyDescent="0.25">
      <c r="A19" s="91" t="s">
        <v>77</v>
      </c>
      <c r="B19" s="183">
        <f>PEF!D3</f>
        <v>1359344473.5814338</v>
      </c>
      <c r="C19" s="52" t="s">
        <v>524</v>
      </c>
      <c r="D19" s="52" t="s">
        <v>261</v>
      </c>
      <c r="E19" s="143">
        <f>(E5)/((E15/E16)*E11*E12)</f>
        <v>1.2913640032284099</v>
      </c>
      <c r="F19" s="52" t="s">
        <v>15</v>
      </c>
      <c r="G19" s="83" t="s">
        <v>366</v>
      </c>
      <c r="H19" s="146">
        <f>B38</f>
        <v>10</v>
      </c>
      <c r="I19" s="52" t="s">
        <v>407</v>
      </c>
      <c r="J19" s="83" t="s">
        <v>445</v>
      </c>
      <c r="K19" s="155">
        <f>K21*K31*K51+K22*K32*K52</f>
        <v>43050</v>
      </c>
      <c r="L19" s="83" t="s">
        <v>346</v>
      </c>
      <c r="V19" s="52" t="s">
        <v>271</v>
      </c>
      <c r="W19" s="145">
        <f>(W5*W7*W6)/((W12/24)*(1-EXP(-W7*W6))*W14*W9*(1/365))</f>
        <v>99.626214599371821</v>
      </c>
      <c r="X19" s="52" t="s">
        <v>16</v>
      </c>
      <c r="Y19" s="52" t="s">
        <v>271</v>
      </c>
      <c r="Z19" s="145">
        <f>(Z5*Z7*Z6)/((Z12/24)*(1-EXP(-Z7*Z6))*Z14*Z9*(1/365))</f>
        <v>89.663593139434639</v>
      </c>
      <c r="AA19" s="52" t="s">
        <v>16</v>
      </c>
      <c r="AB19" s="83" t="s">
        <v>247</v>
      </c>
      <c r="AC19" s="139">
        <f>B6</f>
        <v>1.25E-4</v>
      </c>
      <c r="AD19" s="139">
        <f>B6</f>
        <v>1.25E-4</v>
      </c>
      <c r="AE19" s="139">
        <f>B6</f>
        <v>1.25E-4</v>
      </c>
      <c r="AF19" s="139">
        <f>B6</f>
        <v>1.25E-4</v>
      </c>
      <c r="AG19" s="139">
        <f>B6</f>
        <v>1.25E-4</v>
      </c>
      <c r="AH19" s="84" t="s">
        <v>259</v>
      </c>
      <c r="BS19" s="52" t="s">
        <v>271</v>
      </c>
      <c r="BT19" s="144">
        <f>(BT5)/(BT16*BT8*(1/365)*BT15*(1/24)*BT17)</f>
        <v>36.142639650456118</v>
      </c>
      <c r="BU19" s="52" t="s">
        <v>15</v>
      </c>
      <c r="BV19" s="83" t="s">
        <v>434</v>
      </c>
      <c r="BW19" s="150">
        <f>B113</f>
        <v>45</v>
      </c>
      <c r="BX19" s="83" t="s">
        <v>24</v>
      </c>
      <c r="BY19" s="83" t="s">
        <v>442</v>
      </c>
      <c r="BZ19" s="146">
        <f>B98</f>
        <v>100</v>
      </c>
      <c r="CA19" s="84" t="s">
        <v>48</v>
      </c>
      <c r="CB19" s="267" t="s">
        <v>537</v>
      </c>
      <c r="CC19" s="261">
        <f>(CC22*CC23*CC24)/((1-EXP(-CC24*CC23))*CC27*CC31*(CC26/365)*CC29*(CC30/24)*CC28)</f>
        <v>1707133910.0631824</v>
      </c>
      <c r="CD19" s="278" t="s">
        <v>10</v>
      </c>
      <c r="CE19" s="258" t="s">
        <v>537</v>
      </c>
      <c r="CF19" s="261">
        <f>(CF22*CF23*CF24)/((1-EXP(-CF24*CF23))*CF27*CF31*(CF26/365)*CF29*(CF30/24)*CF28)</f>
        <v>199227911.9777357</v>
      </c>
      <c r="CG19" s="264" t="s">
        <v>10</v>
      </c>
      <c r="CH19" s="83"/>
      <c r="CI19" s="83"/>
      <c r="CK19" s="274" t="s">
        <v>576</v>
      </c>
      <c r="CL19" s="270"/>
      <c r="CM19" s="270"/>
      <c r="CN19" s="271" t="s">
        <v>576</v>
      </c>
      <c r="CO19" s="270"/>
      <c r="CP19" s="270"/>
      <c r="CQ19" s="271" t="s">
        <v>576</v>
      </c>
      <c r="CR19" s="270"/>
      <c r="CS19" s="273"/>
      <c r="CT19" s="91" t="s">
        <v>272</v>
      </c>
      <c r="CU19" s="144" t="e">
        <f>FC2</f>
        <v>#DIV/0!</v>
      </c>
      <c r="CV19" s="92" t="s">
        <v>10</v>
      </c>
      <c r="CW19" s="52" t="s">
        <v>261</v>
      </c>
      <c r="CX19" s="143">
        <f>(CX5)/((CX15/CX16)*CX11*CX12)</f>
        <v>1.2355212355212355</v>
      </c>
      <c r="CY19" s="52" t="s">
        <v>15</v>
      </c>
      <c r="CZ19" s="91" t="s">
        <v>273</v>
      </c>
      <c r="DA19" s="144" t="e">
        <f>GS2</f>
        <v>#DIV/0!</v>
      </c>
      <c r="DB19" s="83" t="s">
        <v>10</v>
      </c>
      <c r="DC19" s="92" t="s">
        <v>361</v>
      </c>
      <c r="DD19" s="146">
        <f>B186</f>
        <v>1</v>
      </c>
      <c r="DE19" s="93"/>
      <c r="DF19" s="92" t="s">
        <v>70</v>
      </c>
      <c r="DG19" s="138">
        <f>B200</f>
        <v>2.6999999999999999E-5</v>
      </c>
      <c r="DH19" s="52" t="s">
        <v>64</v>
      </c>
      <c r="DL19" s="92"/>
      <c r="DO19" s="92" t="s">
        <v>70</v>
      </c>
      <c r="DP19" s="138">
        <f>B200</f>
        <v>2.6999999999999999E-5</v>
      </c>
      <c r="DQ19" s="52" t="s">
        <v>64</v>
      </c>
      <c r="DU19" s="92"/>
      <c r="EA19" s="92"/>
      <c r="EB19" s="84"/>
      <c r="EC19" s="84"/>
      <c r="ED19" s="92" t="s">
        <v>70</v>
      </c>
      <c r="EE19" s="163">
        <f>B200</f>
        <v>2.6999999999999999E-5</v>
      </c>
      <c r="EF19" s="84" t="s">
        <v>64</v>
      </c>
      <c r="EJ19" s="92"/>
      <c r="EP19" s="92"/>
      <c r="EQ19" s="84"/>
      <c r="ER19" s="84"/>
      <c r="ES19" s="92" t="s">
        <v>70</v>
      </c>
      <c r="ET19" s="163">
        <f>B200</f>
        <v>2.6999999999999999E-5</v>
      </c>
      <c r="EU19" s="84" t="s">
        <v>64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B200</f>
        <v>2.6999999999999999E-5</v>
      </c>
      <c r="FJ19" s="84" t="s">
        <v>64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B200</f>
        <v>2.6999999999999999E-5</v>
      </c>
      <c r="GN19" s="84" t="s">
        <v>64</v>
      </c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B200</f>
        <v>2.6999999999999999E-5</v>
      </c>
      <c r="HC19" s="84" t="s">
        <v>64</v>
      </c>
    </row>
    <row r="20" spans="1:214" ht="19.5" thickTop="1" thickBot="1" x14ac:dyDescent="0.25">
      <c r="A20" s="91" t="s">
        <v>103</v>
      </c>
      <c r="B20" s="183">
        <f>PEF!G3</f>
        <v>776129.4078035407</v>
      </c>
      <c r="C20" s="52" t="s">
        <v>524</v>
      </c>
      <c r="D20" s="52" t="s">
        <v>271</v>
      </c>
      <c r="E20" s="144">
        <f>(E5)/((E15/E16)*E8*E17*(1/365)*E18)</f>
        <v>0.32270213973621531</v>
      </c>
      <c r="F20" s="52" t="s">
        <v>15</v>
      </c>
      <c r="G20" s="83" t="s">
        <v>367</v>
      </c>
      <c r="H20" s="146">
        <f>B39</f>
        <v>20</v>
      </c>
      <c r="I20" s="52" t="s">
        <v>407</v>
      </c>
      <c r="J20" s="83" t="s">
        <v>396</v>
      </c>
      <c r="K20" s="155">
        <f>(K31*K23*(K34/24)*K51)+(K32*K24*(K35/24)*K52)</f>
        <v>6195</v>
      </c>
      <c r="L20" s="52" t="s">
        <v>407</v>
      </c>
      <c r="M20" s="325" t="s">
        <v>566</v>
      </c>
      <c r="N20" s="326"/>
      <c r="O20" s="326"/>
      <c r="P20" s="327" t="s">
        <v>536</v>
      </c>
      <c r="Q20" s="326"/>
      <c r="R20" s="329"/>
      <c r="AB20" s="83" t="s">
        <v>83</v>
      </c>
      <c r="AC20" s="139">
        <f>B238</f>
        <v>8</v>
      </c>
      <c r="AD20" s="139">
        <f>B250</f>
        <v>0</v>
      </c>
      <c r="AE20" s="139">
        <f>B262</f>
        <v>8</v>
      </c>
      <c r="AF20" s="139">
        <f>B274</f>
        <v>8</v>
      </c>
      <c r="AG20" s="139">
        <f>B297</f>
        <v>8</v>
      </c>
      <c r="AH20" s="84" t="s">
        <v>194</v>
      </c>
      <c r="AI20" s="296" t="s">
        <v>558</v>
      </c>
      <c r="AJ20" s="294"/>
      <c r="AK20" s="297"/>
      <c r="AL20" s="293" t="s">
        <v>545</v>
      </c>
      <c r="AM20" s="294"/>
      <c r="AN20" s="295"/>
      <c r="AR20" s="296" t="s">
        <v>560</v>
      </c>
      <c r="AS20" s="294"/>
      <c r="AT20" s="297"/>
      <c r="AU20" s="293" t="s">
        <v>550</v>
      </c>
      <c r="AV20" s="294"/>
      <c r="AW20" s="295"/>
      <c r="BA20" s="296" t="s">
        <v>562</v>
      </c>
      <c r="BB20" s="294"/>
      <c r="BC20" s="297"/>
      <c r="BD20" s="293" t="s">
        <v>553</v>
      </c>
      <c r="BE20" s="294"/>
      <c r="BF20" s="295"/>
      <c r="BJ20" s="296" t="s">
        <v>563</v>
      </c>
      <c r="BK20" s="294"/>
      <c r="BL20" s="297"/>
      <c r="BM20" s="293" t="s">
        <v>556</v>
      </c>
      <c r="BN20" s="294"/>
      <c r="BO20" s="295"/>
      <c r="BS20" s="52" t="s">
        <v>261</v>
      </c>
      <c r="BT20" s="144">
        <f>(BT5*BT24*BT6)/((1-EXP(-BT6*BT24))*BT9*BT10)</f>
        <v>9568.2321102700225</v>
      </c>
      <c r="BU20" s="52" t="s">
        <v>16</v>
      </c>
      <c r="BV20" s="52" t="s">
        <v>443</v>
      </c>
      <c r="BW20" s="138">
        <f>B109</f>
        <v>1</v>
      </c>
      <c r="BX20" s="52" t="s">
        <v>89</v>
      </c>
      <c r="BY20" s="83" t="s">
        <v>429</v>
      </c>
      <c r="BZ20" s="141">
        <f>B93</f>
        <v>10</v>
      </c>
      <c r="CA20" s="92" t="s">
        <v>407</v>
      </c>
      <c r="CB20" s="268"/>
      <c r="CC20" s="262"/>
      <c r="CD20" s="279"/>
      <c r="CE20" s="259"/>
      <c r="CF20" s="262"/>
      <c r="CG20" s="265"/>
      <c r="CK20" s="267" t="s">
        <v>530</v>
      </c>
      <c r="CL20" s="261" t="e">
        <f>CL23/(CL24*CL25*CL26)</f>
        <v>#DIV/0!</v>
      </c>
      <c r="CM20" s="255" t="s">
        <v>10</v>
      </c>
      <c r="CN20" s="258" t="s">
        <v>7</v>
      </c>
      <c r="CO20" s="261" t="e">
        <f>(CL20/(CO23*((CO28*CO30*CO31*(CO24+CO25))+(CO29*CO30))))*CO34</f>
        <v>#DIV/0!</v>
      </c>
      <c r="CP20" s="255" t="s">
        <v>10</v>
      </c>
      <c r="CQ20" s="258" t="s">
        <v>6</v>
      </c>
      <c r="CR20" s="261" t="e">
        <f>CL20/(CR23*CR24*(1/CR25))</f>
        <v>#DIV/0!</v>
      </c>
      <c r="CS20" s="264" t="s">
        <v>10</v>
      </c>
      <c r="CT20" s="91" t="s">
        <v>273</v>
      </c>
      <c r="CU20" s="144" t="e">
        <f>GV2</f>
        <v>#DIV/0!</v>
      </c>
      <c r="CV20" s="92" t="s">
        <v>10</v>
      </c>
      <c r="CW20" s="52" t="s">
        <v>271</v>
      </c>
      <c r="CX20" s="144">
        <f>(CX5)/((CX15/CX16)*CX8*CX17*(1/365)*CX18)</f>
        <v>0.32270213973621531</v>
      </c>
      <c r="CY20" s="52" t="s">
        <v>15</v>
      </c>
      <c r="CZ20" s="91" t="s">
        <v>274</v>
      </c>
      <c r="DA20" s="144" t="e">
        <f>EK2</f>
        <v>#DIV/0!</v>
      </c>
      <c r="DB20" s="83" t="s">
        <v>10</v>
      </c>
      <c r="DC20" s="83" t="s">
        <v>475</v>
      </c>
      <c r="DD20" s="146">
        <f>B165</f>
        <v>0.15</v>
      </c>
      <c r="DF20" s="92" t="s">
        <v>71</v>
      </c>
      <c r="DG20" s="137">
        <f>0.693/DG23</f>
        <v>0.18124754746551736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91" t="s">
        <v>104</v>
      </c>
      <c r="B21" s="183">
        <f>PEF!J3</f>
        <v>69557565.807898715</v>
      </c>
      <c r="C21" s="52" t="s">
        <v>524</v>
      </c>
      <c r="D21" s="52" t="s">
        <v>261</v>
      </c>
      <c r="E21" s="144">
        <f>(E5*E10*E6)/((1-EXP(-E6*E10))*E11*E12)</f>
        <v>85.430643841696622</v>
      </c>
      <c r="F21" s="52" t="s">
        <v>16</v>
      </c>
      <c r="G21" s="83" t="s">
        <v>397</v>
      </c>
      <c r="H21" s="148">
        <f>(H29*H36*H32*H68)+(H30*H37*H33*H69)</f>
        <v>234.815</v>
      </c>
      <c r="I21" s="83" t="s">
        <v>356</v>
      </c>
      <c r="J21" s="83" t="s">
        <v>368</v>
      </c>
      <c r="K21" s="146">
        <f>B40</f>
        <v>200</v>
      </c>
      <c r="L21" s="84" t="s">
        <v>48</v>
      </c>
      <c r="M21" s="330" t="s">
        <v>537</v>
      </c>
      <c r="N21" s="333">
        <f>(N24*N25*N26)/((1-EXP(-N26*N25))*N34*N32*(N28/365)*(((N33/24)*N31)+((N35/24)*N30)))</f>
        <v>457724.13624577899</v>
      </c>
      <c r="O21" s="336" t="s">
        <v>76</v>
      </c>
      <c r="P21" s="339" t="s">
        <v>537</v>
      </c>
      <c r="Q21" s="333">
        <f>(Q24*Q25*Q26)/((1-EXP(-Q26*Q25))*Q34*Q32*(Q28/365)*(((Q33/24)*Q31)+((Q35/24)*Q30)))</f>
        <v>158332.23006777905</v>
      </c>
      <c r="R21" s="342" t="s">
        <v>10</v>
      </c>
      <c r="AB21" s="83" t="s">
        <v>85</v>
      </c>
      <c r="AC21" s="139">
        <f>B239</f>
        <v>8</v>
      </c>
      <c r="AD21" s="139">
        <f>B251</f>
        <v>8</v>
      </c>
      <c r="AE21" s="139">
        <f>B263</f>
        <v>0</v>
      </c>
      <c r="AF21" s="139">
        <f>B275</f>
        <v>8</v>
      </c>
      <c r="AG21" s="139">
        <f>B298</f>
        <v>8</v>
      </c>
      <c r="AH21" s="84" t="s">
        <v>194</v>
      </c>
      <c r="AI21" s="306" t="s">
        <v>537</v>
      </c>
      <c r="AJ21" s="303">
        <f>(AJ24*AJ25*AJ26)/((1-EXP(-AJ26*AJ25))*AJ34*(AJ28/365)*AJ29*(AJ35/24)*AJ30*AJ32)</f>
        <v>1665795.4490392637</v>
      </c>
      <c r="AK21" s="290" t="s">
        <v>76</v>
      </c>
      <c r="AL21" s="287" t="s">
        <v>537</v>
      </c>
      <c r="AM21" s="303">
        <f>(AM24*AM25*AM26)/((1-EXP(-AM26*AM25))*AM34*(AM28/365)*AM29*(AM35/24)*AM30*AM32)</f>
        <v>576218.4848856685</v>
      </c>
      <c r="AN21" s="281" t="s">
        <v>10</v>
      </c>
      <c r="AR21" s="306" t="s">
        <v>537</v>
      </c>
      <c r="AS21" s="303">
        <f>(AS24*AS25*AS26)/((1-EXP(-AS26*AS25))*AS34*(AS28/365)*AS29*(AS33/24)*AS31*AS32)</f>
        <v>740353.53290633927</v>
      </c>
      <c r="AT21" s="290" t="s">
        <v>76</v>
      </c>
      <c r="AU21" s="287" t="s">
        <v>537</v>
      </c>
      <c r="AV21" s="303">
        <f>(AV24*AV25*AV26)/((1-EXP(-AV26*AV25))*AV34*(AV28/365)*AV29*(AV33/24)*AV31*AV32)</f>
        <v>256097.1043936304</v>
      </c>
      <c r="AW21" s="281" t="s">
        <v>10</v>
      </c>
      <c r="BA21" s="306" t="s">
        <v>537</v>
      </c>
      <c r="BB21" s="303">
        <f>(BB24*BB25*BB26)/((1-EXP(-BB26*BB25))*BB34*(BB28/365)*(BB33/24)*BB31*BB32)</f>
        <v>666318.17961570539</v>
      </c>
      <c r="BC21" s="290" t="s">
        <v>76</v>
      </c>
      <c r="BD21" s="287" t="s">
        <v>537</v>
      </c>
      <c r="BE21" s="303">
        <f>(BE24*BE25*BE26)/((1-EXP(-BE26*BE25))*BE34*(BE28/365)*(BE33/24)*BE31*BE32)</f>
        <v>230487.39395426741</v>
      </c>
      <c r="BF21" s="281" t="s">
        <v>10</v>
      </c>
      <c r="BJ21" s="306" t="s">
        <v>537</v>
      </c>
      <c r="BK21" s="284">
        <f>(BK24*BK25*BK26)/((1-EXP(-BK26*BK25))*BK35*(BK28/365)*(BK34/24)*BK32*BK33)</f>
        <v>64017521.627369337</v>
      </c>
      <c r="BL21" s="290" t="s">
        <v>76</v>
      </c>
      <c r="BM21" s="287" t="s">
        <v>537</v>
      </c>
      <c r="BN21" s="284">
        <f>(BN24*BN25*BN26)/((1-EXP(-BN26*BN25))*BN35*(BN28/365)*(BN34/24)*BN32*BN33)</f>
        <v>7471046.6991650891</v>
      </c>
      <c r="BO21" s="281" t="s">
        <v>10</v>
      </c>
      <c r="BS21" s="52" t="s">
        <v>271</v>
      </c>
      <c r="BT21" s="145">
        <f>(BT5*BT24*BT6)/((1-EXP(-BT6*BT24))*BT16*BT8*(1/365)*BT15*(1/24)*BT17)</f>
        <v>2391.0291503849239</v>
      </c>
      <c r="BU21" s="52" t="s">
        <v>16</v>
      </c>
      <c r="BV21" s="52" t="s">
        <v>444</v>
      </c>
      <c r="BW21" s="138">
        <f>B110</f>
        <v>1</v>
      </c>
      <c r="BX21" s="52" t="s">
        <v>89</v>
      </c>
      <c r="BY21" s="83" t="s">
        <v>430</v>
      </c>
      <c r="BZ21" s="141">
        <f>B94</f>
        <v>20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56"/>
      <c r="CN21" s="259"/>
      <c r="CO21" s="262"/>
      <c r="CP21" s="256"/>
      <c r="CQ21" s="259"/>
      <c r="CR21" s="262"/>
      <c r="CS21" s="265"/>
      <c r="CT21" s="91" t="s">
        <v>274</v>
      </c>
      <c r="CU21" s="144" t="e">
        <f>EN2</f>
        <v>#DIV/0!</v>
      </c>
      <c r="CV21" s="92" t="s">
        <v>10</v>
      </c>
      <c r="CW21" s="52" t="s">
        <v>261</v>
      </c>
      <c r="CX21" s="144">
        <f>(CX5*CX10*CX6)/((CX15/CX16)*(1-EXP(-CX6*CX9))*CX11*CX12)</f>
        <v>81.736345729623253</v>
      </c>
      <c r="CY21" s="52" t="s">
        <v>16</v>
      </c>
      <c r="CZ21" s="91" t="s">
        <v>509</v>
      </c>
      <c r="DA21" s="144" t="e">
        <f>DV2</f>
        <v>#DIV/0!</v>
      </c>
      <c r="DB21" s="83" t="s">
        <v>10</v>
      </c>
      <c r="DC21" s="83" t="s">
        <v>476</v>
      </c>
      <c r="DD21" s="146">
        <f>B166</f>
        <v>0.85</v>
      </c>
      <c r="DF21" s="92" t="s">
        <v>73</v>
      </c>
      <c r="DG21" s="138">
        <f>B201</f>
        <v>1</v>
      </c>
      <c r="DH21" s="52" t="s">
        <v>41</v>
      </c>
      <c r="DL21" s="92"/>
      <c r="DO21" s="92" t="s">
        <v>73</v>
      </c>
      <c r="DP21" s="138">
        <f>B201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B201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B201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B201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B201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B201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91" t="s">
        <v>231</v>
      </c>
      <c r="B22" s="183">
        <f>B18*365</f>
        <v>3.8235000124999998</v>
      </c>
      <c r="C22" s="52" t="s">
        <v>222</v>
      </c>
      <c r="D22" s="52" t="s">
        <v>271</v>
      </c>
      <c r="E22" s="145">
        <f>(E5*E10*E6)/((E15/E16)*E8*(1-EXP(-E6*E10))*E17*(1/365)*E18)</f>
        <v>21.348474557008249</v>
      </c>
      <c r="F22" s="52" t="s">
        <v>16</v>
      </c>
      <c r="G22" s="83" t="s">
        <v>398</v>
      </c>
      <c r="H22" s="149">
        <f>(H29*H23*H68)+(H30*H24*H69)</f>
        <v>56282.8</v>
      </c>
      <c r="I22" s="92" t="s">
        <v>347</v>
      </c>
      <c r="J22" s="83" t="s">
        <v>369</v>
      </c>
      <c r="K22" s="146">
        <f>B41</f>
        <v>100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B240</f>
        <v>0.4</v>
      </c>
      <c r="AD22" s="150">
        <f>B252</f>
        <v>0.4</v>
      </c>
      <c r="AE22" s="150">
        <f>B264</f>
        <v>0.4</v>
      </c>
      <c r="AF22" s="150">
        <f>B276</f>
        <v>0.4</v>
      </c>
      <c r="AG22" s="150">
        <f>B299</f>
        <v>0.4</v>
      </c>
      <c r="AI22" s="307"/>
      <c r="AJ22" s="304"/>
      <c r="AK22" s="291"/>
      <c r="AL22" s="288"/>
      <c r="AM22" s="304"/>
      <c r="AN22" s="282"/>
      <c r="AR22" s="307"/>
      <c r="AS22" s="304"/>
      <c r="AT22" s="291"/>
      <c r="AU22" s="288"/>
      <c r="AV22" s="304"/>
      <c r="AW22" s="282"/>
      <c r="BA22" s="307"/>
      <c r="BB22" s="304"/>
      <c r="BC22" s="291"/>
      <c r="BD22" s="288"/>
      <c r="BE22" s="304"/>
      <c r="BF22" s="282"/>
      <c r="BJ22" s="307"/>
      <c r="BK22" s="285"/>
      <c r="BL22" s="291"/>
      <c r="BM22" s="288"/>
      <c r="BN22" s="285"/>
      <c r="BO22" s="282"/>
      <c r="BS22" s="52" t="s">
        <v>433</v>
      </c>
      <c r="BT22" s="138">
        <f>B104</f>
        <v>75</v>
      </c>
      <c r="BU22" s="52" t="s">
        <v>24</v>
      </c>
      <c r="BV22" s="83" t="s">
        <v>90</v>
      </c>
      <c r="BW22" s="150">
        <f>B108</f>
        <v>1</v>
      </c>
      <c r="BX22" s="52" t="s">
        <v>194</v>
      </c>
      <c r="BY22" s="83" t="s">
        <v>140</v>
      </c>
      <c r="BZ22" s="150">
        <f>B103</f>
        <v>75</v>
      </c>
      <c r="CA22" s="83" t="s">
        <v>24</v>
      </c>
      <c r="CB22" s="52" t="s">
        <v>267</v>
      </c>
      <c r="CC22" s="136">
        <f>B5</f>
        <v>1</v>
      </c>
      <c r="CD22" s="52" t="s">
        <v>344</v>
      </c>
      <c r="CE22" s="52" t="s">
        <v>267</v>
      </c>
      <c r="CF22" s="136">
        <f>B5</f>
        <v>1</v>
      </c>
      <c r="CG22" s="52" t="s">
        <v>344</v>
      </c>
      <c r="CK22" s="269"/>
      <c r="CL22" s="263"/>
      <c r="CM22" s="257"/>
      <c r="CN22" s="260"/>
      <c r="CO22" s="263"/>
      <c r="CP22" s="257"/>
      <c r="CQ22" s="260"/>
      <c r="CR22" s="263"/>
      <c r="CS22" s="266"/>
      <c r="CT22" s="91" t="s">
        <v>275</v>
      </c>
      <c r="CU22" s="144" t="e">
        <f>DY2</f>
        <v>#DIV/0!</v>
      </c>
      <c r="CV22" s="92" t="s">
        <v>10</v>
      </c>
      <c r="CW22" s="52" t="s">
        <v>271</v>
      </c>
      <c r="CX22" s="145">
        <f>(CX5*CX10*CX6)/((CX15/CX16)*CX8*(1-EXP(-CX6*CX10))*CX17*(1/365)*CX18)</f>
        <v>21.348474557008249</v>
      </c>
      <c r="CY22" s="52" t="s">
        <v>16</v>
      </c>
      <c r="CZ22" s="91" t="s">
        <v>510</v>
      </c>
      <c r="DA22" s="144" t="e">
        <f>GD2</f>
        <v>#DIV/0!</v>
      </c>
      <c r="DB22" s="83" t="s">
        <v>10</v>
      </c>
      <c r="DF22" s="92" t="s">
        <v>74</v>
      </c>
      <c r="DG22" s="138">
        <f>B202</f>
        <v>14</v>
      </c>
      <c r="DH22" s="52" t="s">
        <v>75</v>
      </c>
      <c r="DL22" s="92"/>
      <c r="DO22" s="92" t="s">
        <v>74</v>
      </c>
      <c r="DP22" s="138">
        <f>B202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B202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B202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B202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B202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B202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105</v>
      </c>
      <c r="B23" s="182">
        <v>0</v>
      </c>
      <c r="C23" s="84" t="s">
        <v>18</v>
      </c>
      <c r="D23" s="52" t="s">
        <v>380</v>
      </c>
      <c r="E23" s="138">
        <f>B54</f>
        <v>350</v>
      </c>
      <c r="F23" s="52" t="s">
        <v>24</v>
      </c>
      <c r="G23" s="83" t="s">
        <v>399</v>
      </c>
      <c r="H23" s="146">
        <f>B149</f>
        <v>68.099999999999994</v>
      </c>
      <c r="I23" s="92" t="s">
        <v>221</v>
      </c>
      <c r="J23" s="83" t="s">
        <v>366</v>
      </c>
      <c r="K23" s="141">
        <f>B38</f>
        <v>10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308"/>
      <c r="AS23" s="305"/>
      <c r="AT23" s="292"/>
      <c r="AU23" s="289"/>
      <c r="AV23" s="305"/>
      <c r="AW23" s="283"/>
      <c r="BA23" s="308"/>
      <c r="BB23" s="305"/>
      <c r="BC23" s="292"/>
      <c r="BD23" s="289"/>
      <c r="BE23" s="305"/>
      <c r="BF23" s="283"/>
      <c r="BJ23" s="308"/>
      <c r="BK23" s="286"/>
      <c r="BL23" s="292"/>
      <c r="BM23" s="289"/>
      <c r="BN23" s="286"/>
      <c r="BO23" s="283"/>
      <c r="BS23" s="52" t="s">
        <v>434</v>
      </c>
      <c r="BT23" s="138">
        <f>B105</f>
        <v>75</v>
      </c>
      <c r="BU23" s="52" t="s">
        <v>24</v>
      </c>
      <c r="BV23" s="83" t="s">
        <v>435</v>
      </c>
      <c r="BW23" s="138">
        <f>B114</f>
        <v>1</v>
      </c>
      <c r="BX23" s="52" t="s">
        <v>80</v>
      </c>
      <c r="BY23" s="83" t="s">
        <v>434</v>
      </c>
      <c r="BZ23" s="150">
        <f>B105</f>
        <v>75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B5</f>
        <v>1</v>
      </c>
      <c r="CM23" s="52" t="s">
        <v>344</v>
      </c>
      <c r="CN23" s="52" t="s">
        <v>229</v>
      </c>
      <c r="CO23" s="136">
        <f>B29</f>
        <v>0</v>
      </c>
      <c r="CP23" s="52" t="s">
        <v>268</v>
      </c>
      <c r="CQ23" s="83" t="s">
        <v>229</v>
      </c>
      <c r="CR23" s="136">
        <f>CO23</f>
        <v>0</v>
      </c>
      <c r="CS23" s="52" t="s">
        <v>268</v>
      </c>
      <c r="CT23" s="91" t="s">
        <v>276</v>
      </c>
      <c r="CU23" s="144" t="e">
        <f>GG2</f>
        <v>#DIV/0!</v>
      </c>
      <c r="CV23" s="92" t="s">
        <v>10</v>
      </c>
      <c r="CW23" s="52" t="s">
        <v>456</v>
      </c>
      <c r="CX23" s="138">
        <f>B167</f>
        <v>350</v>
      </c>
      <c r="CY23" s="52" t="s">
        <v>24</v>
      </c>
      <c r="CZ23" s="91" t="s">
        <v>277</v>
      </c>
      <c r="DA23" s="145" t="e">
        <f>FO2</f>
        <v>#DIV/0!</v>
      </c>
      <c r="DB23" s="83" t="s">
        <v>10</v>
      </c>
      <c r="DF23" s="83" t="s">
        <v>267</v>
      </c>
      <c r="DG23" s="136">
        <f>B22</f>
        <v>3.8235000124999998</v>
      </c>
      <c r="DH23" s="52" t="s">
        <v>222</v>
      </c>
      <c r="DO23" s="83" t="s">
        <v>19</v>
      </c>
      <c r="DP23" s="161">
        <f>DP25</f>
        <v>0</v>
      </c>
      <c r="EA23" s="83"/>
      <c r="EB23" s="83"/>
      <c r="EC23" s="84"/>
      <c r="ED23" s="83" t="s">
        <v>19</v>
      </c>
      <c r="EE23" s="161">
        <f>EE25</f>
        <v>0</v>
      </c>
      <c r="EF23" s="84"/>
      <c r="EP23" s="83"/>
      <c r="EQ23" s="83"/>
      <c r="ER23" s="84"/>
      <c r="ES23" s="83" t="s">
        <v>19</v>
      </c>
      <c r="ET23" s="161">
        <f>ET25</f>
        <v>0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0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0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0</v>
      </c>
      <c r="HC23" s="84"/>
      <c r="HD23" s="67" t="s">
        <v>14</v>
      </c>
      <c r="HE23" s="126">
        <f>((HE25*HE42)*HE38*HE33*10^-3*HE32*HE27)/(HE31*HE41*(1-EXP(-HE27*HE32)))</f>
        <v>0</v>
      </c>
      <c r="HF23" s="220" t="s">
        <v>592</v>
      </c>
    </row>
    <row r="24" spans="1:214" ht="14.25" thickTop="1" thickBot="1" x14ac:dyDescent="0.25">
      <c r="A24" s="83" t="s">
        <v>239</v>
      </c>
      <c r="B24" s="183">
        <v>0</v>
      </c>
      <c r="C24" s="52" t="s">
        <v>601</v>
      </c>
      <c r="D24" s="52" t="s">
        <v>381</v>
      </c>
      <c r="E24" s="138">
        <f>B55</f>
        <v>350</v>
      </c>
      <c r="F24" s="52" t="s">
        <v>24</v>
      </c>
      <c r="G24" s="83" t="s">
        <v>310</v>
      </c>
      <c r="H24" s="146">
        <f>B46</f>
        <v>188.5</v>
      </c>
      <c r="I24" s="92" t="s">
        <v>221</v>
      </c>
      <c r="J24" s="83" t="s">
        <v>367</v>
      </c>
      <c r="K24" s="141">
        <f>B39</f>
        <v>20</v>
      </c>
      <c r="L24" s="52" t="s">
        <v>407</v>
      </c>
      <c r="M24" s="52" t="s">
        <v>267</v>
      </c>
      <c r="N24" s="136">
        <f>B5</f>
        <v>1</v>
      </c>
      <c r="O24" s="52" t="s">
        <v>344</v>
      </c>
      <c r="P24" s="52" t="s">
        <v>267</v>
      </c>
      <c r="Q24" s="136">
        <f>B5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66.155354824913829</v>
      </c>
      <c r="AD24" s="137">
        <f>0.693/AD25</f>
        <v>66.155354824913829</v>
      </c>
      <c r="AE24" s="137">
        <f>0.693/AE25</f>
        <v>66.155354824913829</v>
      </c>
      <c r="AF24" s="137">
        <f>0.693/AF25</f>
        <v>66.155354824913829</v>
      </c>
      <c r="AG24" s="137">
        <f>0.693/AG25</f>
        <v>66.155354824913829</v>
      </c>
      <c r="AI24" s="52" t="s">
        <v>267</v>
      </c>
      <c r="AJ24" s="136">
        <f>B5</f>
        <v>1</v>
      </c>
      <c r="AK24" s="52" t="s">
        <v>344</v>
      </c>
      <c r="AL24" s="52" t="s">
        <v>267</v>
      </c>
      <c r="AM24" s="136">
        <f>B5</f>
        <v>1</v>
      </c>
      <c r="AN24" s="52" t="s">
        <v>344</v>
      </c>
      <c r="AR24" s="52" t="s">
        <v>267</v>
      </c>
      <c r="AS24" s="136">
        <f>B5</f>
        <v>1</v>
      </c>
      <c r="AT24" s="52" t="s">
        <v>344</v>
      </c>
      <c r="AU24" s="52" t="s">
        <v>267</v>
      </c>
      <c r="AV24" s="136">
        <f>B5</f>
        <v>1</v>
      </c>
      <c r="AW24" s="52" t="s">
        <v>344</v>
      </c>
      <c r="BA24" s="52" t="s">
        <v>267</v>
      </c>
      <c r="BB24" s="136">
        <f>B5</f>
        <v>1</v>
      </c>
      <c r="BC24" s="52" t="s">
        <v>344</v>
      </c>
      <c r="BD24" s="52" t="s">
        <v>267</v>
      </c>
      <c r="BE24" s="136">
        <f>B5</f>
        <v>1</v>
      </c>
      <c r="BF24" s="52" t="s">
        <v>344</v>
      </c>
      <c r="BJ24" s="52" t="s">
        <v>267</v>
      </c>
      <c r="BK24" s="136">
        <f>B5</f>
        <v>1</v>
      </c>
      <c r="BL24" s="52" t="s">
        <v>344</v>
      </c>
      <c r="BM24" s="52" t="s">
        <v>267</v>
      </c>
      <c r="BN24" s="136">
        <f>B5</f>
        <v>1</v>
      </c>
      <c r="BO24" s="52" t="s">
        <v>344</v>
      </c>
      <c r="BS24" s="91" t="s">
        <v>95</v>
      </c>
      <c r="BT24" s="158">
        <f>B117</f>
        <v>1</v>
      </c>
      <c r="BU24" s="91" t="s">
        <v>60</v>
      </c>
      <c r="BV24" s="83" t="s">
        <v>436</v>
      </c>
      <c r="BW24" s="138">
        <f>B115</f>
        <v>1</v>
      </c>
      <c r="BX24" s="52" t="s">
        <v>80</v>
      </c>
      <c r="BY24" s="83" t="s">
        <v>433</v>
      </c>
      <c r="BZ24" s="150">
        <f>B104</f>
        <v>75</v>
      </c>
      <c r="CA24" s="83" t="s">
        <v>24</v>
      </c>
      <c r="CB24" s="83" t="s">
        <v>22</v>
      </c>
      <c r="CC24" s="137">
        <f>0.693/CC25</f>
        <v>66.155354824913829</v>
      </c>
      <c r="CE24" s="83" t="s">
        <v>22</v>
      </c>
      <c r="CF24" s="137">
        <f>0.693/CF25</f>
        <v>66.155354824913829</v>
      </c>
      <c r="CK24" s="52" t="s">
        <v>258</v>
      </c>
      <c r="CL24" s="136">
        <f>B17</f>
        <v>0</v>
      </c>
      <c r="CM24" s="91" t="s">
        <v>10</v>
      </c>
      <c r="CN24" s="52" t="s">
        <v>20</v>
      </c>
      <c r="CO24" s="139">
        <f>CO26</f>
        <v>0</v>
      </c>
      <c r="CQ24" s="84" t="s">
        <v>170</v>
      </c>
      <c r="CR24" s="162">
        <f>B139</f>
        <v>1</v>
      </c>
      <c r="CS24" s="52" t="s">
        <v>28</v>
      </c>
      <c r="CT24" s="91" t="s">
        <v>277</v>
      </c>
      <c r="CU24" s="145" t="e">
        <f>FR2</f>
        <v>#DIV/0!</v>
      </c>
      <c r="CV24" s="92" t="s">
        <v>10</v>
      </c>
      <c r="CW24" s="52" t="s">
        <v>465</v>
      </c>
      <c r="CX24" s="138">
        <f>B168</f>
        <v>350</v>
      </c>
      <c r="CY24" s="52" t="s">
        <v>24</v>
      </c>
      <c r="CZ24" s="83" t="s">
        <v>45</v>
      </c>
      <c r="DA24" s="149">
        <f>(DA35*DA27*DA49)+(DA36*DA28*DA50)</f>
        <v>784.7</v>
      </c>
      <c r="DB24" s="52" t="s">
        <v>345</v>
      </c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128">
        <f>((HE26*HE42)*HE38*HE33*10^-3*HE32*HE27)/(HE31*HE41*(1-EXP(-HE27*HE32)))</f>
        <v>0.90679874041523256</v>
      </c>
      <c r="HF24" s="221" t="s">
        <v>593</v>
      </c>
    </row>
    <row r="25" spans="1:214" ht="15" thickTop="1" x14ac:dyDescent="0.2">
      <c r="A25" s="83" t="s">
        <v>236</v>
      </c>
      <c r="B25" s="183">
        <v>0</v>
      </c>
      <c r="C25" s="52" t="s">
        <v>388</v>
      </c>
      <c r="D25" s="83" t="s">
        <v>376</v>
      </c>
      <c r="E25" s="146">
        <f>B49</f>
        <v>0.23</v>
      </c>
      <c r="G25" s="83" t="s">
        <v>400</v>
      </c>
      <c r="H25" s="149">
        <f>(H29*H26*H68)+(H30*H27*H69)</f>
        <v>38095.4</v>
      </c>
      <c r="I25" s="92" t="s">
        <v>347</v>
      </c>
      <c r="J25" s="83" t="s">
        <v>446</v>
      </c>
      <c r="K25" s="149">
        <f>(K31*K26*K51)+(K32*K27*K52)</f>
        <v>56282.8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48.543082275356682</v>
      </c>
      <c r="X25" s="62" t="s">
        <v>9</v>
      </c>
      <c r="Y25" s="202" t="s">
        <v>16</v>
      </c>
      <c r="Z25" s="187">
        <f>1/((1/Z41)+(1/Z40))</f>
        <v>48.543082275356682</v>
      </c>
      <c r="AA25" s="63" t="s">
        <v>9</v>
      </c>
      <c r="AB25" s="91" t="s">
        <v>231</v>
      </c>
      <c r="AC25" s="136">
        <f>B18</f>
        <v>1.04753425E-2</v>
      </c>
      <c r="AD25" s="136">
        <f>B18</f>
        <v>1.04753425E-2</v>
      </c>
      <c r="AE25" s="136">
        <f>B18</f>
        <v>1.04753425E-2</v>
      </c>
      <c r="AF25" s="136">
        <f>B18</f>
        <v>1.04753425E-2</v>
      </c>
      <c r="AG25" s="136">
        <f>B18</f>
        <v>1.04753425E-2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B101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B108</f>
        <v>1</v>
      </c>
      <c r="CA25" s="94" t="s">
        <v>194</v>
      </c>
      <c r="CB25" s="91" t="s">
        <v>231</v>
      </c>
      <c r="CC25" s="136">
        <f>B18</f>
        <v>1.04753425E-2</v>
      </c>
      <c r="CD25" s="52" t="s">
        <v>60</v>
      </c>
      <c r="CE25" s="91" t="s">
        <v>231</v>
      </c>
      <c r="CF25" s="136">
        <f>B18</f>
        <v>1.04753425E-2</v>
      </c>
      <c r="CG25" s="52" t="s">
        <v>60</v>
      </c>
      <c r="CK25" s="52" t="s">
        <v>140</v>
      </c>
      <c r="CL25" s="138">
        <f>B103</f>
        <v>75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40250</v>
      </c>
      <c r="CV25" s="83" t="s">
        <v>346</v>
      </c>
      <c r="CW25" s="83" t="s">
        <v>475</v>
      </c>
      <c r="CX25" s="146">
        <f>B165</f>
        <v>0.15</v>
      </c>
      <c r="CZ25" s="83" t="s">
        <v>43</v>
      </c>
      <c r="DA25" s="140">
        <f>(DA35*DA29*(DA38/24)*DA49)+(DA36*DA30*(DA39/24)*DA50)</f>
        <v>6475</v>
      </c>
      <c r="DB25" s="83" t="s">
        <v>426</v>
      </c>
      <c r="DF25" s="52" t="s">
        <v>33</v>
      </c>
      <c r="DG25" s="136">
        <f>B32</f>
        <v>0</v>
      </c>
      <c r="DO25" s="83" t="s">
        <v>32</v>
      </c>
      <c r="DP25" s="136">
        <f>B31</f>
        <v>0</v>
      </c>
      <c r="EA25" s="83"/>
      <c r="EC25" s="84"/>
      <c r="ED25" s="83" t="s">
        <v>33</v>
      </c>
      <c r="EE25" s="136">
        <f>B32</f>
        <v>0</v>
      </c>
      <c r="EF25" s="84"/>
      <c r="EP25" s="83"/>
      <c r="ER25" s="84"/>
      <c r="ES25" s="83" t="s">
        <v>33</v>
      </c>
      <c r="ET25" s="136">
        <f>B32</f>
        <v>0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B32</f>
        <v>0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B32</f>
        <v>0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B32</f>
        <v>0</v>
      </c>
      <c r="HC25" s="84"/>
      <c r="HD25" s="89" t="s">
        <v>21</v>
      </c>
      <c r="HE25" s="150">
        <f>B34</f>
        <v>0</v>
      </c>
      <c r="HF25" s="83" t="s">
        <v>11</v>
      </c>
    </row>
    <row r="26" spans="1:214" ht="13.5" thickBot="1" x14ac:dyDescent="0.25">
      <c r="A26" s="83" t="s">
        <v>237</v>
      </c>
      <c r="B26" s="183">
        <v>0</v>
      </c>
      <c r="C26" s="52" t="s">
        <v>388</v>
      </c>
      <c r="D26" s="83" t="s">
        <v>377</v>
      </c>
      <c r="E26" s="146">
        <f>B50</f>
        <v>0.77</v>
      </c>
      <c r="G26" s="83" t="s">
        <v>401</v>
      </c>
      <c r="H26" s="146">
        <f>B151</f>
        <v>41.7</v>
      </c>
      <c r="I26" s="92" t="s">
        <v>221</v>
      </c>
      <c r="J26" s="83" t="s">
        <v>399</v>
      </c>
      <c r="K26" s="146">
        <f>B45</f>
        <v>68.099999999999994</v>
      </c>
      <c r="L26" s="92" t="s">
        <v>221</v>
      </c>
      <c r="M26" s="83" t="s">
        <v>22</v>
      </c>
      <c r="N26" s="137">
        <f>0.693/N27</f>
        <v>66.155354824913829</v>
      </c>
      <c r="P26" s="83" t="s">
        <v>22</v>
      </c>
      <c r="Q26" s="137">
        <f>0.693/Q27</f>
        <v>66.155354824913829</v>
      </c>
      <c r="V26" s="201" t="s">
        <v>15</v>
      </c>
      <c r="W26" s="75">
        <f>1/((1/W38)+(1/W39))</f>
        <v>0.73377404450222317</v>
      </c>
      <c r="X26" s="76" t="s">
        <v>9</v>
      </c>
      <c r="Y26" s="203" t="s">
        <v>15</v>
      </c>
      <c r="Z26" s="185">
        <f>1/((1/Z38)+(1/Z39))</f>
        <v>0.73377404450222317</v>
      </c>
      <c r="AA26" s="77" t="s">
        <v>9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66.155354824913829</v>
      </c>
      <c r="AL26" s="83" t="s">
        <v>22</v>
      </c>
      <c r="AM26" s="137">
        <f>0.693/AM27</f>
        <v>66.155354824913829</v>
      </c>
      <c r="AR26" s="83" t="s">
        <v>22</v>
      </c>
      <c r="AS26" s="137">
        <f>0.693/AS27</f>
        <v>66.155354824913829</v>
      </c>
      <c r="AU26" s="83" t="s">
        <v>22</v>
      </c>
      <c r="AV26" s="137">
        <f>0.693/AV27</f>
        <v>66.155354824913829</v>
      </c>
      <c r="BA26" s="83" t="s">
        <v>22</v>
      </c>
      <c r="BB26" s="137">
        <f>0.693/BB27</f>
        <v>66.155354824913829</v>
      </c>
      <c r="BD26" s="83" t="s">
        <v>22</v>
      </c>
      <c r="BE26" s="137">
        <f>0.693/BE27</f>
        <v>66.155354824913829</v>
      </c>
      <c r="BJ26" s="83" t="s">
        <v>22</v>
      </c>
      <c r="BK26" s="137">
        <f>0.693/BK27</f>
        <v>66.155354824913829</v>
      </c>
      <c r="BM26" s="83" t="s">
        <v>22</v>
      </c>
      <c r="BN26" s="137">
        <f>0.693/BN27</f>
        <v>66.155354824913829</v>
      </c>
      <c r="BS26" s="91" t="s">
        <v>309</v>
      </c>
      <c r="BT26" s="177">
        <f>B102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B106</f>
        <v>1</v>
      </c>
      <c r="CA26" s="94" t="s">
        <v>194</v>
      </c>
      <c r="CB26" s="52" t="s">
        <v>140</v>
      </c>
      <c r="CC26" s="138">
        <f>B103</f>
        <v>75</v>
      </c>
      <c r="CD26" s="52" t="s">
        <v>24</v>
      </c>
      <c r="CE26" s="52" t="s">
        <v>140</v>
      </c>
      <c r="CF26" s="138">
        <f>B103</f>
        <v>75</v>
      </c>
      <c r="CG26" s="52" t="s">
        <v>24</v>
      </c>
      <c r="CK26" s="52" t="s">
        <v>160</v>
      </c>
      <c r="CL26" s="162">
        <f>B134</f>
        <v>1</v>
      </c>
      <c r="CM26" s="52" t="s">
        <v>221</v>
      </c>
      <c r="CN26" s="52" t="s">
        <v>33</v>
      </c>
      <c r="CO26" s="136">
        <f>B32</f>
        <v>0</v>
      </c>
      <c r="CT26" s="83" t="s">
        <v>506</v>
      </c>
      <c r="CU26" s="155">
        <f>((CU31*CU29*CU47)+(CU32*CU30*CU48))</f>
        <v>6475</v>
      </c>
      <c r="CV26" s="52" t="s">
        <v>426</v>
      </c>
      <c r="CW26" s="83" t="s">
        <v>476</v>
      </c>
      <c r="CX26" s="141">
        <f>B166</f>
        <v>0.85</v>
      </c>
      <c r="CY26" s="83"/>
      <c r="CZ26" s="83" t="s">
        <v>142</v>
      </c>
      <c r="DA26" s="149">
        <f>(DA35*DA40*DA42*DA49)+(DA36*DA41*DA43*DA50)</f>
        <v>239.57499999999999</v>
      </c>
      <c r="DB26" s="52" t="s">
        <v>356</v>
      </c>
      <c r="DO26" s="83" t="s">
        <v>393</v>
      </c>
      <c r="DP26" s="138">
        <f>B35</f>
        <v>0.26</v>
      </c>
      <c r="EA26" s="83"/>
      <c r="EB26" s="84"/>
      <c r="EC26" s="84"/>
      <c r="ED26" s="83" t="s">
        <v>392</v>
      </c>
      <c r="EE26" s="163">
        <f>B36</f>
        <v>0.25</v>
      </c>
      <c r="EF26" s="84"/>
      <c r="EP26" s="83"/>
      <c r="EQ26" s="84"/>
      <c r="ER26" s="84"/>
      <c r="ES26" s="83" t="s">
        <v>392</v>
      </c>
      <c r="ET26" s="163">
        <f>B36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B36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B36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B36</f>
        <v>0.25</v>
      </c>
      <c r="HC26" s="84"/>
      <c r="HD26" s="84" t="s">
        <v>265</v>
      </c>
      <c r="HE26" s="139">
        <f>H2</f>
        <v>2.5814727494226881</v>
      </c>
      <c r="HF26" s="83" t="s">
        <v>11</v>
      </c>
    </row>
    <row r="27" spans="1:214" ht="13.5" thickTop="1" x14ac:dyDescent="0.2">
      <c r="A27" s="83" t="s">
        <v>171</v>
      </c>
      <c r="B27" s="183">
        <v>0</v>
      </c>
      <c r="C27" s="52" t="s">
        <v>388</v>
      </c>
      <c r="G27" s="83" t="s">
        <v>402</v>
      </c>
      <c r="H27" s="146">
        <f>B48</f>
        <v>128.9</v>
      </c>
      <c r="I27" s="92" t="s">
        <v>221</v>
      </c>
      <c r="J27" s="83" t="s">
        <v>310</v>
      </c>
      <c r="K27" s="146">
        <f>B46</f>
        <v>188.5</v>
      </c>
      <c r="L27" s="92" t="s">
        <v>221</v>
      </c>
      <c r="M27" s="91" t="s">
        <v>231</v>
      </c>
      <c r="N27" s="136">
        <f>B18</f>
        <v>1.04753425E-2</v>
      </c>
      <c r="O27" s="52" t="s">
        <v>60</v>
      </c>
      <c r="P27" s="91" t="s">
        <v>231</v>
      </c>
      <c r="Q27" s="136">
        <f>B18</f>
        <v>1.04753425E-2</v>
      </c>
      <c r="R27" s="52" t="s">
        <v>60</v>
      </c>
      <c r="V27" s="52" t="s">
        <v>267</v>
      </c>
      <c r="W27" s="136">
        <f>B5</f>
        <v>1</v>
      </c>
      <c r="X27" s="52" t="s">
        <v>344</v>
      </c>
      <c r="Y27" s="52" t="s">
        <v>267</v>
      </c>
      <c r="Z27" s="136">
        <f>B5</f>
        <v>1</v>
      </c>
      <c r="AA27" s="52" t="s">
        <v>344</v>
      </c>
      <c r="AB27" s="84" t="s">
        <v>16</v>
      </c>
      <c r="AC27" s="156">
        <f>(AC23*AC24)/(1-EXP(-AC24*AC23))</f>
        <v>66.155354824913829</v>
      </c>
      <c r="AD27" s="156">
        <f>(AD23*AD24)/(1-EXP(-AD24*AD23))</f>
        <v>66.155354824913829</v>
      </c>
      <c r="AE27" s="156">
        <f>(AE23*AE24)/(1-EXP(-AE24*AE23))</f>
        <v>66.155354824913829</v>
      </c>
      <c r="AF27" s="156">
        <f>(AF23*AF24)/(1-EXP(-AF24*AF23))</f>
        <v>66.155354824913829</v>
      </c>
      <c r="AG27" s="156">
        <f>(AG23*AG24)/(1-EXP(-AG24*AG23))</f>
        <v>66.155354824913829</v>
      </c>
      <c r="AI27" s="91" t="s">
        <v>231</v>
      </c>
      <c r="AJ27" s="136">
        <f>B18</f>
        <v>1.04753425E-2</v>
      </c>
      <c r="AK27" s="52" t="s">
        <v>60</v>
      </c>
      <c r="AL27" s="91" t="s">
        <v>231</v>
      </c>
      <c r="AM27" s="136">
        <f>B18</f>
        <v>1.04753425E-2</v>
      </c>
      <c r="AN27" s="52" t="s">
        <v>60</v>
      </c>
      <c r="AR27" s="91" t="s">
        <v>231</v>
      </c>
      <c r="AS27" s="136">
        <f>B18</f>
        <v>1.04753425E-2</v>
      </c>
      <c r="AT27" s="52" t="s">
        <v>60</v>
      </c>
      <c r="AU27" s="91" t="s">
        <v>231</v>
      </c>
      <c r="AV27" s="136">
        <f>B18</f>
        <v>1.04753425E-2</v>
      </c>
      <c r="AW27" s="52" t="s">
        <v>60</v>
      </c>
      <c r="BA27" s="91" t="s">
        <v>231</v>
      </c>
      <c r="BB27" s="136">
        <f>B18</f>
        <v>1.04753425E-2</v>
      </c>
      <c r="BC27" s="52" t="s">
        <v>60</v>
      </c>
      <c r="BD27" s="91" t="s">
        <v>231</v>
      </c>
      <c r="BE27" s="136">
        <f>B18</f>
        <v>1.04753425E-2</v>
      </c>
      <c r="BF27" s="52" t="s">
        <v>60</v>
      </c>
      <c r="BJ27" s="91" t="s">
        <v>231</v>
      </c>
      <c r="BK27" s="136">
        <f>B18</f>
        <v>1.04753425E-2</v>
      </c>
      <c r="BL27" s="52" t="s">
        <v>60</v>
      </c>
      <c r="BM27" s="91" t="s">
        <v>231</v>
      </c>
      <c r="BN27" s="136">
        <f>B18</f>
        <v>1.04753425E-2</v>
      </c>
      <c r="BO27" s="52" t="s">
        <v>60</v>
      </c>
      <c r="BT27" s="90"/>
      <c r="BW27" s="138">
        <v>1000</v>
      </c>
      <c r="BX27" s="52" t="s">
        <v>218</v>
      </c>
      <c r="BY27" s="83" t="s">
        <v>90</v>
      </c>
      <c r="BZ27" s="150">
        <f>B107</f>
        <v>1</v>
      </c>
      <c r="CA27" s="52" t="s">
        <v>194</v>
      </c>
      <c r="CB27" s="52" t="s">
        <v>51</v>
      </c>
      <c r="CC27" s="138">
        <f>B117</f>
        <v>1</v>
      </c>
      <c r="CD27" s="52" t="s">
        <v>146</v>
      </c>
      <c r="CE27" s="52" t="s">
        <v>51</v>
      </c>
      <c r="CF27" s="138">
        <f>B117</f>
        <v>1</v>
      </c>
      <c r="CG27" s="52" t="s">
        <v>146</v>
      </c>
      <c r="CN27" s="52" t="s">
        <v>392</v>
      </c>
      <c r="CO27" s="162">
        <f>B36</f>
        <v>0.25</v>
      </c>
      <c r="CT27" s="83" t="s">
        <v>449</v>
      </c>
      <c r="CU27" s="146">
        <f>B141</f>
        <v>200</v>
      </c>
      <c r="CV27" s="84" t="s">
        <v>48</v>
      </c>
      <c r="CZ27" s="92" t="s">
        <v>451</v>
      </c>
      <c r="DA27" s="142">
        <f t="shared" ref="DA27:DA34" si="0">B145</f>
        <v>0.78</v>
      </c>
      <c r="DB27" s="83" t="s">
        <v>28</v>
      </c>
      <c r="DW27" s="88"/>
      <c r="DX27" s="88"/>
      <c r="DY27" s="88"/>
      <c r="DZ27" s="88"/>
      <c r="EA27" s="83"/>
      <c r="EB27" s="85"/>
      <c r="ED27" s="83" t="s">
        <v>517</v>
      </c>
      <c r="EE27" s="136">
        <f>B24</f>
        <v>0</v>
      </c>
      <c r="EF27" s="52" t="s">
        <v>601</v>
      </c>
      <c r="EP27" s="83"/>
      <c r="EQ27" s="86"/>
      <c r="ES27" s="83" t="s">
        <v>236</v>
      </c>
      <c r="ET27" s="169">
        <f>B25</f>
        <v>0</v>
      </c>
      <c r="EU27" s="52" t="s">
        <v>388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B27</f>
        <v>0</v>
      </c>
      <c r="FJ27" s="52" t="s">
        <v>388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B26</f>
        <v>0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B28</f>
        <v>0</v>
      </c>
      <c r="HC27" s="52" t="s">
        <v>388</v>
      </c>
      <c r="HD27" s="83" t="s">
        <v>22</v>
      </c>
      <c r="HE27" s="137">
        <f>0.693/HE29</f>
        <v>66.155354824913829</v>
      </c>
    </row>
    <row r="28" spans="1:214" x14ac:dyDescent="0.2">
      <c r="A28" s="83" t="s">
        <v>238</v>
      </c>
      <c r="B28" s="183">
        <v>0</v>
      </c>
      <c r="C28" s="52" t="s">
        <v>388</v>
      </c>
      <c r="G28" s="83" t="s">
        <v>65</v>
      </c>
      <c r="H28" s="141">
        <f>B65</f>
        <v>0.5</v>
      </c>
      <c r="I28" s="52" t="s">
        <v>66</v>
      </c>
      <c r="J28" s="83" t="s">
        <v>447</v>
      </c>
      <c r="K28" s="149">
        <f>(K31*K29*K51)+(K32*K30*K52)</f>
        <v>38095.4</v>
      </c>
      <c r="L28" s="92" t="s">
        <v>347</v>
      </c>
      <c r="M28" s="52" t="s">
        <v>382</v>
      </c>
      <c r="N28" s="138">
        <f>B56</f>
        <v>350</v>
      </c>
      <c r="O28" s="52" t="s">
        <v>24</v>
      </c>
      <c r="P28" s="52" t="s">
        <v>382</v>
      </c>
      <c r="Q28" s="138">
        <f>B56</f>
        <v>350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B243</f>
        <v>250</v>
      </c>
      <c r="AK28" s="52" t="s">
        <v>24</v>
      </c>
      <c r="AL28" s="52" t="s">
        <v>35</v>
      </c>
      <c r="AM28" s="138">
        <f>B243</f>
        <v>250</v>
      </c>
      <c r="AN28" s="52" t="s">
        <v>24</v>
      </c>
      <c r="AR28" s="52" t="s">
        <v>423</v>
      </c>
      <c r="AS28" s="138">
        <f>B255</f>
        <v>225</v>
      </c>
      <c r="AT28" s="52" t="s">
        <v>24</v>
      </c>
      <c r="AU28" s="52" t="s">
        <v>423</v>
      </c>
      <c r="AV28" s="138">
        <f>B255</f>
        <v>225</v>
      </c>
      <c r="AW28" s="52" t="s">
        <v>24</v>
      </c>
      <c r="BA28" s="52" t="s">
        <v>316</v>
      </c>
      <c r="BB28" s="138">
        <f>B231</f>
        <v>250</v>
      </c>
      <c r="BC28" s="52" t="s">
        <v>24</v>
      </c>
      <c r="BD28" s="52" t="s">
        <v>316</v>
      </c>
      <c r="BE28" s="138">
        <f>B231</f>
        <v>250</v>
      </c>
      <c r="BF28" s="52" t="s">
        <v>24</v>
      </c>
      <c r="BJ28" s="52" t="s">
        <v>191</v>
      </c>
      <c r="BK28" s="138">
        <f>BK29*BK30</f>
        <v>250</v>
      </c>
      <c r="BL28" s="52" t="s">
        <v>24</v>
      </c>
      <c r="BM28" s="52" t="s">
        <v>191</v>
      </c>
      <c r="BN28" s="138">
        <f>BN29*BN30</f>
        <v>250</v>
      </c>
      <c r="BO28" s="52" t="s">
        <v>24</v>
      </c>
      <c r="BS28" s="96"/>
      <c r="BV28" s="83"/>
      <c r="BW28" s="146">
        <v>365</v>
      </c>
      <c r="BX28" s="84" t="s">
        <v>24</v>
      </c>
      <c r="BY28" s="83" t="s">
        <v>302</v>
      </c>
      <c r="BZ28" s="141">
        <f>B118</f>
        <v>6.7949999999999997E-2</v>
      </c>
      <c r="CB28" s="52" t="s">
        <v>300</v>
      </c>
      <c r="CC28" s="138">
        <f>B126</f>
        <v>2.249E-2</v>
      </c>
      <c r="CE28" s="52" t="s">
        <v>300</v>
      </c>
      <c r="CF28" s="138">
        <f>B122</f>
        <v>4.2700000000000002E-2</v>
      </c>
      <c r="CN28" s="52" t="s">
        <v>165</v>
      </c>
      <c r="CO28" s="162">
        <f>B135</f>
        <v>1</v>
      </c>
      <c r="CP28" s="52" t="s">
        <v>246</v>
      </c>
      <c r="CT28" s="83" t="s">
        <v>458</v>
      </c>
      <c r="CU28" s="146">
        <f>B142</f>
        <v>100</v>
      </c>
      <c r="CV28" s="84" t="s">
        <v>48</v>
      </c>
      <c r="CZ28" s="92" t="s">
        <v>460</v>
      </c>
      <c r="DA28" s="142">
        <f t="shared" si="0"/>
        <v>2.5</v>
      </c>
      <c r="DB28" s="83" t="s">
        <v>28</v>
      </c>
      <c r="DW28" s="88"/>
      <c r="DX28" s="88"/>
      <c r="DY28" s="88"/>
      <c r="DZ28" s="88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D28" s="52" t="s">
        <v>16</v>
      </c>
      <c r="HE28" s="137">
        <f>1-EXP(-HE27*HE32)</f>
        <v>1</v>
      </c>
    </row>
    <row r="29" spans="1:214" ht="15.75" thickBot="1" x14ac:dyDescent="0.25">
      <c r="A29" s="52" t="s">
        <v>229</v>
      </c>
      <c r="B29" s="183">
        <f>B25</f>
        <v>0</v>
      </c>
      <c r="C29" s="52" t="s">
        <v>388</v>
      </c>
      <c r="G29" s="83" t="s">
        <v>380</v>
      </c>
      <c r="H29" s="150">
        <f>B54</f>
        <v>350</v>
      </c>
      <c r="I29" s="83" t="s">
        <v>24</v>
      </c>
      <c r="J29" s="83" t="s">
        <v>401</v>
      </c>
      <c r="K29" s="146">
        <f>B47</f>
        <v>41.7</v>
      </c>
      <c r="L29" s="92" t="s">
        <v>221</v>
      </c>
      <c r="M29" s="52" t="s">
        <v>379</v>
      </c>
      <c r="N29" s="138">
        <f>B53</f>
        <v>1</v>
      </c>
      <c r="O29" s="52" t="s">
        <v>146</v>
      </c>
      <c r="P29" s="52" t="s">
        <v>379</v>
      </c>
      <c r="Q29" s="138">
        <f>B53</f>
        <v>1</v>
      </c>
      <c r="R29" s="52" t="s">
        <v>146</v>
      </c>
      <c r="V29" s="83" t="s">
        <v>22</v>
      </c>
      <c r="W29" s="137">
        <f>0.693/W30</f>
        <v>66.155354824913829</v>
      </c>
      <c r="Y29" s="83" t="s">
        <v>22</v>
      </c>
      <c r="Z29" s="137">
        <f>0.693/Z30</f>
        <v>66.155354824913829</v>
      </c>
      <c r="AB29" s="83" t="s">
        <v>260</v>
      </c>
      <c r="AC29" s="143" t="e">
        <f>(AC5/(AC8*AC13*AC7*AC9*(1/AC6)))*AC27</f>
        <v>#DIV/0!</v>
      </c>
      <c r="AD29" s="143" t="e">
        <f>(AD5/(AD8*AD13*AD7*AD9*(1/AD6)))*AD27</f>
        <v>#DIV/0!</v>
      </c>
      <c r="AE29" s="143" t="e">
        <f>(AE5/(AE8*AE13*AE7*AE9*(1/AE6)))*AE27</f>
        <v>#DIV/0!</v>
      </c>
      <c r="AF29" s="143" t="e">
        <f>(AF5*AF23*AF24)/((1-EXP(-AF24*AF23))*AF8*AF7*AF9*AF13*(1/AF28))</f>
        <v>#DIV/0!</v>
      </c>
      <c r="AG29" s="143" t="e">
        <f>(AG5*AG23*AG24)/((1-EXP(-AG24*AG23))*AG8*AG7*AG9*AG13*(1/AG28))</f>
        <v>#DIV/0!</v>
      </c>
      <c r="AH29" s="83" t="s">
        <v>10</v>
      </c>
      <c r="AI29" s="52" t="s">
        <v>420</v>
      </c>
      <c r="AJ29" s="138">
        <f>B244</f>
        <v>1</v>
      </c>
      <c r="AK29" s="52" t="s">
        <v>146</v>
      </c>
      <c r="AL29" s="52" t="s">
        <v>420</v>
      </c>
      <c r="AM29" s="138">
        <f>B244</f>
        <v>1</v>
      </c>
      <c r="AN29" s="52" t="s">
        <v>146</v>
      </c>
      <c r="AR29" s="52" t="s">
        <v>424</v>
      </c>
      <c r="AS29" s="138">
        <f>B256</f>
        <v>1</v>
      </c>
      <c r="AT29" s="52" t="s">
        <v>146</v>
      </c>
      <c r="AU29" s="52" t="s">
        <v>424</v>
      </c>
      <c r="AV29" s="138">
        <f>B256</f>
        <v>1</v>
      </c>
      <c r="AW29" s="52" t="s">
        <v>146</v>
      </c>
      <c r="BA29" s="52" t="s">
        <v>422</v>
      </c>
      <c r="BB29" s="138">
        <f>B232</f>
        <v>1</v>
      </c>
      <c r="BC29" s="52" t="s">
        <v>146</v>
      </c>
      <c r="BD29" s="52" t="s">
        <v>422</v>
      </c>
      <c r="BE29" s="138">
        <f>B232</f>
        <v>1</v>
      </c>
      <c r="BF29" s="52" t="s">
        <v>146</v>
      </c>
      <c r="BJ29" s="52" t="s">
        <v>220</v>
      </c>
      <c r="BK29" s="138">
        <f>B278</f>
        <v>50</v>
      </c>
      <c r="BL29" s="52" t="s">
        <v>113</v>
      </c>
      <c r="BM29" s="52" t="s">
        <v>220</v>
      </c>
      <c r="BN29" s="138">
        <f>B278</f>
        <v>50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41">
        <f>B119</f>
        <v>0.75568000000000002</v>
      </c>
      <c r="CB29" s="52" t="s">
        <v>411</v>
      </c>
      <c r="CC29" s="138">
        <f>B127</f>
        <v>0.46279999999999999</v>
      </c>
      <c r="CE29" s="52" t="s">
        <v>418</v>
      </c>
      <c r="CF29" s="138">
        <f>B123</f>
        <v>0.72250000000000003</v>
      </c>
      <c r="CN29" s="52" t="s">
        <v>166</v>
      </c>
      <c r="CO29" s="162">
        <f>B136</f>
        <v>1</v>
      </c>
      <c r="CP29" s="52" t="s">
        <v>246</v>
      </c>
      <c r="CT29" s="83" t="s">
        <v>450</v>
      </c>
      <c r="CU29" s="141">
        <f>B147</f>
        <v>10</v>
      </c>
      <c r="CV29" s="92" t="s">
        <v>407</v>
      </c>
      <c r="CZ29" s="92" t="s">
        <v>450</v>
      </c>
      <c r="DA29" s="142">
        <f t="shared" si="0"/>
        <v>10</v>
      </c>
      <c r="DB29" s="83" t="s">
        <v>143</v>
      </c>
      <c r="DW29" s="88"/>
      <c r="DX29" s="88"/>
      <c r="DY29" s="88"/>
      <c r="DZ29" s="8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B18</f>
        <v>1.04753425E-2</v>
      </c>
      <c r="HF29" s="52" t="s">
        <v>60</v>
      </c>
    </row>
    <row r="30" spans="1:214" ht="19.5" thickTop="1" thickBot="1" x14ac:dyDescent="0.25">
      <c r="A30" s="83" t="s">
        <v>228</v>
      </c>
      <c r="B30" s="183">
        <f>B26</f>
        <v>0</v>
      </c>
      <c r="C30" s="52" t="s">
        <v>388</v>
      </c>
      <c r="D30" s="353" t="s">
        <v>528</v>
      </c>
      <c r="E30" s="354"/>
      <c r="F30" s="355"/>
      <c r="G30" s="83" t="s">
        <v>381</v>
      </c>
      <c r="H30" s="150">
        <f>B55</f>
        <v>350</v>
      </c>
      <c r="I30" s="83" t="s">
        <v>24</v>
      </c>
      <c r="J30" s="83" t="s">
        <v>402</v>
      </c>
      <c r="K30" s="146">
        <f>B48</f>
        <v>128.9</v>
      </c>
      <c r="L30" s="92" t="s">
        <v>221</v>
      </c>
      <c r="M30" s="52" t="s">
        <v>299</v>
      </c>
      <c r="N30" s="138">
        <f>B61</f>
        <v>0.4</v>
      </c>
      <c r="P30" s="52" t="s">
        <v>299</v>
      </c>
      <c r="Q30" s="138">
        <f>B61</f>
        <v>0.4</v>
      </c>
      <c r="V30" s="91" t="s">
        <v>231</v>
      </c>
      <c r="W30" s="136">
        <f>B18</f>
        <v>1.04753425E-2</v>
      </c>
      <c r="X30" s="52" t="s">
        <v>60</v>
      </c>
      <c r="Y30" s="91" t="s">
        <v>231</v>
      </c>
      <c r="Z30" s="136">
        <f>B18</f>
        <v>1.04753425E-2</v>
      </c>
      <c r="AA30" s="52" t="s">
        <v>60</v>
      </c>
      <c r="AB30" s="83" t="s">
        <v>261</v>
      </c>
      <c r="AC30" s="144">
        <f>(AC5/(AC19*AC15*AC7*AC9*(1/AC32)*((8/1)/(24/1))*AC28))*AC27</f>
        <v>143884665.56650472</v>
      </c>
      <c r="AD30" s="144">
        <f>(AD5/(AD19*AD15*AD7*((8/1)/(24/1))*AD9*(1/AD32)*AD28))*AD27</f>
        <v>143884665.56650472</v>
      </c>
      <c r="AE30" s="144">
        <f>(AE5/(AE19*AE15*AE7*((8/1)/(24/1))*AE9*(1/AE32)*AE28))*AE27</f>
        <v>159871850.6294497</v>
      </c>
      <c r="AF30" s="144">
        <f>(AF5*AF23*AF24)/((1-EXP(-AF24*AF23))*AF19*AF7*AF9*(AF12/24)*AF15*(1/AF33)*AF28)</f>
        <v>82152.186181269572</v>
      </c>
      <c r="AG30" s="144">
        <f>(AG5*AG23*AG24)/((1-EXP(-AG24*AG23))*AG19*AG7*AG9*(AG12/24)*AG15*(1/AG34)*AG28)</f>
        <v>7362568.7148461342</v>
      </c>
      <c r="AH30" s="83" t="s">
        <v>10</v>
      </c>
      <c r="AI30" s="52" t="s">
        <v>299</v>
      </c>
      <c r="AJ30" s="138">
        <f>B248</f>
        <v>0.4</v>
      </c>
      <c r="AL30" s="52" t="s">
        <v>299</v>
      </c>
      <c r="AM30" s="138">
        <f>B248</f>
        <v>0.4</v>
      </c>
      <c r="AR30" s="52" t="s">
        <v>299</v>
      </c>
      <c r="AS30" s="138">
        <f>B260</f>
        <v>0.4</v>
      </c>
      <c r="AV30" s="138"/>
      <c r="BA30" s="52" t="s">
        <v>299</v>
      </c>
      <c r="BB30" s="138">
        <f>B236</f>
        <v>0.4</v>
      </c>
      <c r="BD30" s="52" t="s">
        <v>299</v>
      </c>
      <c r="BE30" s="138">
        <f>B236</f>
        <v>0.4</v>
      </c>
      <c r="BJ30" s="52" t="s">
        <v>219</v>
      </c>
      <c r="BK30" s="138">
        <f>B277</f>
        <v>5</v>
      </c>
      <c r="BL30" s="52" t="s">
        <v>112</v>
      </c>
      <c r="BM30" s="52" t="s">
        <v>219</v>
      </c>
      <c r="BN30" s="138">
        <f>B277</f>
        <v>5</v>
      </c>
      <c r="BO30" s="52" t="s">
        <v>112</v>
      </c>
      <c r="BS30" s="91"/>
      <c r="BT30" s="97"/>
      <c r="BU30" s="91"/>
      <c r="BV30" s="91" t="s">
        <v>308</v>
      </c>
      <c r="BW30" s="146">
        <f>B101</f>
        <v>0.23</v>
      </c>
      <c r="BY30" s="94" t="s">
        <v>95</v>
      </c>
      <c r="BZ30" s="150">
        <f>B117</f>
        <v>1</v>
      </c>
      <c r="CA30" s="94" t="s">
        <v>60</v>
      </c>
      <c r="CB30" s="52" t="s">
        <v>90</v>
      </c>
      <c r="CC30" s="138">
        <f>B108</f>
        <v>1</v>
      </c>
      <c r="CD30" s="52" t="s">
        <v>194</v>
      </c>
      <c r="CE30" s="52" t="s">
        <v>90</v>
      </c>
      <c r="CF30" s="138">
        <f>B108</f>
        <v>1</v>
      </c>
      <c r="CG30" s="52" t="s">
        <v>194</v>
      </c>
      <c r="CM30" s="83"/>
      <c r="CN30" s="93" t="s">
        <v>167</v>
      </c>
      <c r="CO30" s="162">
        <f>B137</f>
        <v>1</v>
      </c>
      <c r="CP30" s="52" t="s">
        <v>41</v>
      </c>
      <c r="CQ30" s="88"/>
      <c r="CR30" s="83"/>
      <c r="CS30" s="83"/>
      <c r="CT30" s="83" t="s">
        <v>459</v>
      </c>
      <c r="CU30" s="141">
        <f>B148</f>
        <v>20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20</v>
      </c>
      <c r="DB30" s="83" t="s">
        <v>143</v>
      </c>
      <c r="DW30" s="88"/>
      <c r="DX30" s="88"/>
      <c r="DY30" s="88"/>
      <c r="DZ30" s="8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B83</f>
        <v>0.3</v>
      </c>
    </row>
    <row r="31" spans="1:214" x14ac:dyDescent="0.2">
      <c r="A31" s="84" t="s">
        <v>32</v>
      </c>
      <c r="B31" s="183">
        <v>0</v>
      </c>
      <c r="D31" s="323" t="s">
        <v>530</v>
      </c>
      <c r="E31" s="347" t="e">
        <f>E38</f>
        <v>#DIV/0!</v>
      </c>
      <c r="F31" s="345" t="s">
        <v>10</v>
      </c>
      <c r="G31" s="83" t="s">
        <v>379</v>
      </c>
      <c r="H31" s="150">
        <f>B53</f>
        <v>1</v>
      </c>
      <c r="I31" s="84" t="s">
        <v>60</v>
      </c>
      <c r="J31" s="83" t="s">
        <v>380</v>
      </c>
      <c r="K31" s="150">
        <f>B54</f>
        <v>350</v>
      </c>
      <c r="L31" s="83" t="s">
        <v>24</v>
      </c>
      <c r="M31" s="52" t="s">
        <v>300</v>
      </c>
      <c r="N31" s="138">
        <f>B62</f>
        <v>1</v>
      </c>
      <c r="P31" s="52" t="s">
        <v>300</v>
      </c>
      <c r="Q31" s="138">
        <f>B62</f>
        <v>1</v>
      </c>
      <c r="V31" s="52" t="s">
        <v>35</v>
      </c>
      <c r="W31" s="138">
        <f>B243</f>
        <v>250</v>
      </c>
      <c r="X31" s="52" t="s">
        <v>24</v>
      </c>
      <c r="Y31" s="52" t="s">
        <v>191</v>
      </c>
      <c r="Z31" s="138">
        <f>B267</f>
        <v>250</v>
      </c>
      <c r="AA31" s="52" t="s">
        <v>24</v>
      </c>
      <c r="AB31" s="83" t="s">
        <v>262</v>
      </c>
      <c r="AC31" s="145">
        <f>(AC5*AC23*AC24)/((1-EXP(-AC24*AC23))*AC18*AC7*(1/365)*AC12*(1/24)*AC14*AC17)</f>
        <v>136068.43520282625</v>
      </c>
      <c r="AD31" s="145">
        <f>(AD5*AD23*AD24)/((1-EXP(-AD24*AD23))*AD18*AD7*(1/365)*AD12*(1/24)*AD16*AD17)</f>
        <v>340171.08800706564</v>
      </c>
      <c r="AE31" s="145">
        <f>(AE5*AE23*AE24)/((1-EXP(-AE24*AE23))*AE18*AE7*(1/365)*AE12*(1/24)*AE14*AE17)</f>
        <v>151187.15022536248</v>
      </c>
      <c r="AF31" s="145">
        <f>(AF5*AF23*AF24)/((1-EXP(-AF24*AF23))*AF18*(AF11*AF10)*(1/365)*AF12*(1/24)*AF14*AF17)</f>
        <v>2649903.1480679037</v>
      </c>
      <c r="AG31" s="145">
        <f>(AG5*AG23*AG24)/((1-EXP(-AG24*AG23))*AG18*AG7*(1/365)*AG9*(AG12/24)*AG14*AG17)</f>
        <v>2649903.1480679037</v>
      </c>
      <c r="AH31" s="83" t="s">
        <v>10</v>
      </c>
      <c r="AI31" s="52" t="s">
        <v>300</v>
      </c>
      <c r="AJ31" s="138">
        <f>B235</f>
        <v>1</v>
      </c>
      <c r="AL31" s="52" t="s">
        <v>300</v>
      </c>
      <c r="AM31" s="138">
        <f>B235</f>
        <v>1</v>
      </c>
      <c r="AR31" s="52" t="s">
        <v>300</v>
      </c>
      <c r="AS31" s="138">
        <f>B259</f>
        <v>1</v>
      </c>
      <c r="AU31" s="52" t="s">
        <v>300</v>
      </c>
      <c r="AV31" s="138">
        <f>B259</f>
        <v>1</v>
      </c>
      <c r="BA31" s="52" t="s">
        <v>300</v>
      </c>
      <c r="BB31" s="138">
        <f>B235</f>
        <v>1</v>
      </c>
      <c r="BD31" s="52" t="s">
        <v>300</v>
      </c>
      <c r="BE31" s="138">
        <f>B235</f>
        <v>1</v>
      </c>
      <c r="BJ31" s="52" t="s">
        <v>158</v>
      </c>
      <c r="BK31" s="138">
        <f>B268</f>
        <v>1</v>
      </c>
      <c r="BL31" s="52" t="s">
        <v>146</v>
      </c>
      <c r="BM31" s="52" t="s">
        <v>158</v>
      </c>
      <c r="BN31" s="138">
        <f>B268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B102</f>
        <v>0.77</v>
      </c>
      <c r="BZ31" s="150">
        <v>365</v>
      </c>
      <c r="CA31" s="52" t="s">
        <v>24</v>
      </c>
      <c r="CB31" s="52" t="s">
        <v>410</v>
      </c>
      <c r="CC31" s="139">
        <f>B11</f>
        <v>4.3486799999999998E-4</v>
      </c>
      <c r="CD31" s="84" t="s">
        <v>353</v>
      </c>
      <c r="CE31" s="52" t="s">
        <v>419</v>
      </c>
      <c r="CF31" s="139">
        <f>B13</f>
        <v>1.2571640000000001E-3</v>
      </c>
      <c r="CG31" s="84" t="s">
        <v>353</v>
      </c>
      <c r="CM31" s="83"/>
      <c r="CN31" s="83" t="s">
        <v>168</v>
      </c>
      <c r="CO31" s="162">
        <f>B138</f>
        <v>1</v>
      </c>
      <c r="CP31" s="52" t="s">
        <v>41</v>
      </c>
      <c r="CQ31" s="83"/>
      <c r="CR31" s="83"/>
      <c r="CS31" s="83"/>
      <c r="CT31" s="83" t="s">
        <v>456</v>
      </c>
      <c r="CU31" s="150">
        <f>B167</f>
        <v>350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68.099999999999994</v>
      </c>
      <c r="DB31" s="83" t="s">
        <v>221</v>
      </c>
      <c r="DW31" s="88"/>
      <c r="DX31" s="88"/>
      <c r="DY31" s="88"/>
      <c r="DZ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B84</f>
        <v>1.5</v>
      </c>
    </row>
    <row r="32" spans="1:214" ht="13.5" thickBot="1" x14ac:dyDescent="0.25">
      <c r="A32" s="52" t="s">
        <v>33</v>
      </c>
      <c r="B32" s="183">
        <v>0</v>
      </c>
      <c r="D32" s="324"/>
      <c r="E32" s="348"/>
      <c r="F32" s="346"/>
      <c r="G32" s="52" t="s">
        <v>403</v>
      </c>
      <c r="H32" s="138">
        <f>B57</f>
        <v>0.54</v>
      </c>
      <c r="I32" s="52" t="s">
        <v>89</v>
      </c>
      <c r="J32" s="83" t="s">
        <v>381</v>
      </c>
      <c r="K32" s="150">
        <f>B55</f>
        <v>350</v>
      </c>
      <c r="L32" s="83" t="s">
        <v>24</v>
      </c>
      <c r="M32" s="52" t="s">
        <v>54</v>
      </c>
      <c r="N32" s="138">
        <f>B63</f>
        <v>1</v>
      </c>
      <c r="P32" s="52" t="s">
        <v>54</v>
      </c>
      <c r="Q32" s="138">
        <f>B63</f>
        <v>1</v>
      </c>
      <c r="V32" s="52" t="s">
        <v>420</v>
      </c>
      <c r="W32" s="138">
        <f>B244</f>
        <v>1</v>
      </c>
      <c r="X32" s="52" t="s">
        <v>146</v>
      </c>
      <c r="Y32" s="52" t="s">
        <v>158</v>
      </c>
      <c r="Z32" s="138">
        <f>B268</f>
        <v>1</v>
      </c>
      <c r="AA32" s="52" t="s">
        <v>146</v>
      </c>
      <c r="AB32" s="83" t="s">
        <v>77</v>
      </c>
      <c r="AC32" s="136">
        <f>B19</f>
        <v>1359344473.5814338</v>
      </c>
      <c r="AD32" s="136">
        <f>B19</f>
        <v>1359344473.5814338</v>
      </c>
      <c r="AE32" s="136">
        <f>B19</f>
        <v>1359344473.5814338</v>
      </c>
      <c r="AF32" s="136"/>
      <c r="AG32" s="136"/>
      <c r="AH32" s="104" t="s">
        <v>78</v>
      </c>
      <c r="AI32" s="52" t="s">
        <v>54</v>
      </c>
      <c r="AJ32" s="138">
        <f>B249</f>
        <v>1</v>
      </c>
      <c r="AL32" s="52" t="s">
        <v>54</v>
      </c>
      <c r="AM32" s="138">
        <f>B249</f>
        <v>1</v>
      </c>
      <c r="AR32" s="52" t="s">
        <v>54</v>
      </c>
      <c r="AS32" s="138">
        <f>B261</f>
        <v>1</v>
      </c>
      <c r="AU32" s="52" t="s">
        <v>54</v>
      </c>
      <c r="AV32" s="138">
        <f>B261</f>
        <v>1</v>
      </c>
      <c r="BA32" s="52" t="s">
        <v>54</v>
      </c>
      <c r="BB32" s="138">
        <f>B237</f>
        <v>1</v>
      </c>
      <c r="BD32" s="52" t="s">
        <v>54</v>
      </c>
      <c r="BE32" s="138">
        <f>B237</f>
        <v>1</v>
      </c>
      <c r="BJ32" s="52" t="s">
        <v>300</v>
      </c>
      <c r="BK32" s="136">
        <f>B281</f>
        <v>2.249E-2</v>
      </c>
      <c r="BM32" s="52" t="s">
        <v>300</v>
      </c>
      <c r="BN32" s="136">
        <f>B285</f>
        <v>4.2700000000000002E-2</v>
      </c>
      <c r="BS32" s="91"/>
      <c r="BT32" s="99"/>
      <c r="BU32" s="100"/>
      <c r="BW32" s="90"/>
      <c r="BZ32" s="138">
        <v>1000</v>
      </c>
      <c r="CA32" s="52" t="s">
        <v>99</v>
      </c>
      <c r="CM32" s="83"/>
      <c r="CN32" s="83" t="s">
        <v>22</v>
      </c>
      <c r="CO32" s="137">
        <f>0.693/CO33</f>
        <v>66.155354824913829</v>
      </c>
      <c r="CR32" s="83"/>
      <c r="CS32" s="83"/>
      <c r="CT32" s="83" t="s">
        <v>465</v>
      </c>
      <c r="CU32" s="150">
        <f>B168</f>
        <v>350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176.8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2.75" customHeight="1" thickTop="1" x14ac:dyDescent="0.2">
      <c r="A33" s="83" t="s">
        <v>156</v>
      </c>
      <c r="B33" s="182">
        <v>0</v>
      </c>
      <c r="C33" s="83" t="s">
        <v>18</v>
      </c>
      <c r="D33" s="83" t="s">
        <v>267</v>
      </c>
      <c r="E33" s="136">
        <f>B5</f>
        <v>1</v>
      </c>
      <c r="F33" s="52" t="s">
        <v>344</v>
      </c>
      <c r="G33" s="52" t="s">
        <v>404</v>
      </c>
      <c r="H33" s="138">
        <f>B58</f>
        <v>0.71</v>
      </c>
      <c r="I33" s="52" t="s">
        <v>89</v>
      </c>
      <c r="J33" s="83" t="s">
        <v>379</v>
      </c>
      <c r="K33" s="141">
        <f>B53</f>
        <v>1</v>
      </c>
      <c r="L33" s="92" t="s">
        <v>60</v>
      </c>
      <c r="M33" s="52" t="s">
        <v>408</v>
      </c>
      <c r="N33" s="150">
        <f>B78</f>
        <v>1.752</v>
      </c>
      <c r="O33" s="52" t="s">
        <v>194</v>
      </c>
      <c r="P33" s="52" t="s">
        <v>408</v>
      </c>
      <c r="Q33" s="150">
        <f>B78</f>
        <v>1.752</v>
      </c>
      <c r="R33" s="52" t="s">
        <v>194</v>
      </c>
      <c r="V33" s="52" t="s">
        <v>247</v>
      </c>
      <c r="W33" s="139">
        <f>B6</f>
        <v>1.25E-4</v>
      </c>
      <c r="X33" s="84" t="s">
        <v>39</v>
      </c>
      <c r="Y33" s="52" t="s">
        <v>247</v>
      </c>
      <c r="Z33" s="139">
        <f>B6</f>
        <v>1.25E-4</v>
      </c>
      <c r="AA33" s="84" t="s">
        <v>39</v>
      </c>
      <c r="AB33" s="104" t="s">
        <v>103</v>
      </c>
      <c r="AC33" s="136"/>
      <c r="AD33" s="136"/>
      <c r="AE33" s="136"/>
      <c r="AF33" s="157">
        <f>B20</f>
        <v>776129.4078035407</v>
      </c>
      <c r="AG33" s="136"/>
      <c r="AH33" s="104" t="s">
        <v>78</v>
      </c>
      <c r="AI33" s="52" t="s">
        <v>57</v>
      </c>
      <c r="AJ33" s="136">
        <f>B250</f>
        <v>0</v>
      </c>
      <c r="AK33" s="52" t="s">
        <v>194</v>
      </c>
      <c r="AL33" s="52" t="s">
        <v>57</v>
      </c>
      <c r="AM33" s="136">
        <f>B250</f>
        <v>0</v>
      </c>
      <c r="AN33" s="52" t="s">
        <v>194</v>
      </c>
      <c r="AR33" s="52" t="s">
        <v>57</v>
      </c>
      <c r="AS33" s="136">
        <f>B262</f>
        <v>8</v>
      </c>
      <c r="AT33" s="52" t="s">
        <v>194</v>
      </c>
      <c r="AU33" s="52" t="s">
        <v>57</v>
      </c>
      <c r="AV33" s="136">
        <f>B262</f>
        <v>8</v>
      </c>
      <c r="AW33" s="52" t="s">
        <v>194</v>
      </c>
      <c r="BA33" s="52" t="s">
        <v>58</v>
      </c>
      <c r="BB33" s="136">
        <f>B238</f>
        <v>8</v>
      </c>
      <c r="BC33" s="52" t="s">
        <v>194</v>
      </c>
      <c r="BD33" s="52" t="s">
        <v>57</v>
      </c>
      <c r="BE33" s="136">
        <f>B238</f>
        <v>8</v>
      </c>
      <c r="BF33" s="52" t="s">
        <v>194</v>
      </c>
      <c r="BJ33" s="52" t="s">
        <v>411</v>
      </c>
      <c r="BK33" s="136">
        <f>B282</f>
        <v>0.46279999999999999</v>
      </c>
      <c r="BM33" s="52" t="s">
        <v>418</v>
      </c>
      <c r="BN33" s="136">
        <f>B286</f>
        <v>0.72250000000000003</v>
      </c>
      <c r="BS33" s="91"/>
      <c r="BT33" s="99"/>
      <c r="BU33" s="100"/>
      <c r="BW33" s="90"/>
      <c r="BZ33" s="146">
        <v>1000</v>
      </c>
      <c r="CA33" s="52" t="s">
        <v>23</v>
      </c>
      <c r="CM33" s="83"/>
      <c r="CN33" s="91" t="s">
        <v>231</v>
      </c>
      <c r="CO33" s="136">
        <f>B18</f>
        <v>1.04753425E-2</v>
      </c>
      <c r="CP33" s="52" t="s">
        <v>60</v>
      </c>
      <c r="CR33" s="83"/>
      <c r="CS33" s="83"/>
      <c r="CT33" s="83" t="s">
        <v>363</v>
      </c>
      <c r="CU33" s="141">
        <f t="shared" ref="CU33:CU42" si="1">B170</f>
        <v>1</v>
      </c>
      <c r="CV33" s="92" t="s">
        <v>60</v>
      </c>
      <c r="CZ33" s="92" t="s">
        <v>513</v>
      </c>
      <c r="DA33" s="141">
        <f t="shared" si="0"/>
        <v>41.7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B82</f>
        <v>70</v>
      </c>
    </row>
    <row r="34" spans="1:214" x14ac:dyDescent="0.2">
      <c r="A34" s="84" t="s">
        <v>21</v>
      </c>
      <c r="B34" s="181">
        <v>0</v>
      </c>
      <c r="C34" s="52" t="s">
        <v>11</v>
      </c>
      <c r="D34" s="83" t="s">
        <v>382</v>
      </c>
      <c r="E34" s="150">
        <f>B56</f>
        <v>350</v>
      </c>
      <c r="F34" s="83" t="s">
        <v>24</v>
      </c>
      <c r="G34" s="83" t="s">
        <v>383</v>
      </c>
      <c r="H34" s="150">
        <f>B59</f>
        <v>24</v>
      </c>
      <c r="I34" s="94" t="s">
        <v>194</v>
      </c>
      <c r="J34" s="83" t="s">
        <v>383</v>
      </c>
      <c r="K34" s="150">
        <f>B59</f>
        <v>24</v>
      </c>
      <c r="L34" s="94" t="s">
        <v>194</v>
      </c>
      <c r="M34" s="52" t="s">
        <v>410</v>
      </c>
      <c r="N34" s="139">
        <f>B11</f>
        <v>4.3486799999999998E-4</v>
      </c>
      <c r="O34" s="84" t="s">
        <v>354</v>
      </c>
      <c r="P34" s="52" t="s">
        <v>419</v>
      </c>
      <c r="Q34" s="139">
        <f>B13</f>
        <v>1.2571640000000001E-3</v>
      </c>
      <c r="R34" s="84" t="s">
        <v>353</v>
      </c>
      <c r="V34" s="52" t="s">
        <v>421</v>
      </c>
      <c r="W34" s="150">
        <f>B251</f>
        <v>8</v>
      </c>
      <c r="X34" s="84" t="s">
        <v>194</v>
      </c>
      <c r="Y34" s="52" t="s">
        <v>192</v>
      </c>
      <c r="Z34" s="150">
        <f>B274</f>
        <v>8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B21</f>
        <v>69557565.807898715</v>
      </c>
      <c r="AH34" s="104" t="s">
        <v>78</v>
      </c>
      <c r="AI34" s="52" t="s">
        <v>410</v>
      </c>
      <c r="AJ34" s="139">
        <f>B11</f>
        <v>4.3486799999999998E-4</v>
      </c>
      <c r="AK34" s="84" t="s">
        <v>353</v>
      </c>
      <c r="AL34" s="52" t="s">
        <v>419</v>
      </c>
      <c r="AM34" s="139">
        <f>B13</f>
        <v>1.2571640000000001E-3</v>
      </c>
      <c r="AN34" s="84" t="s">
        <v>353</v>
      </c>
      <c r="AR34" s="52" t="s">
        <v>410</v>
      </c>
      <c r="AS34" s="139">
        <f>B11</f>
        <v>4.3486799999999998E-4</v>
      </c>
      <c r="AT34" s="84" t="s">
        <v>353</v>
      </c>
      <c r="AU34" s="52" t="s">
        <v>419</v>
      </c>
      <c r="AV34" s="139">
        <f>B13</f>
        <v>1.2571640000000001E-3</v>
      </c>
      <c r="AW34" s="84" t="s">
        <v>353</v>
      </c>
      <c r="BA34" s="52" t="s">
        <v>410</v>
      </c>
      <c r="BB34" s="139">
        <f>B11</f>
        <v>4.3486799999999998E-4</v>
      </c>
      <c r="BC34" s="84" t="s">
        <v>353</v>
      </c>
      <c r="BD34" s="52" t="s">
        <v>419</v>
      </c>
      <c r="BE34" s="139">
        <f>B13</f>
        <v>1.2571640000000001E-3</v>
      </c>
      <c r="BF34" s="84" t="s">
        <v>353</v>
      </c>
      <c r="BJ34" s="52" t="s">
        <v>57</v>
      </c>
      <c r="BK34" s="136">
        <f>B274</f>
        <v>8</v>
      </c>
      <c r="BL34" s="52" t="s">
        <v>194</v>
      </c>
      <c r="BM34" s="52" t="s">
        <v>57</v>
      </c>
      <c r="BN34" s="136">
        <f>B274</f>
        <v>8</v>
      </c>
      <c r="BO34" s="52" t="s">
        <v>194</v>
      </c>
      <c r="BT34" s="102"/>
      <c r="BU34" s="91"/>
      <c r="BY34" s="91" t="s">
        <v>308</v>
      </c>
      <c r="BZ34" s="146">
        <f>B101</f>
        <v>0.23</v>
      </c>
      <c r="CM34" s="83"/>
      <c r="CN34" s="84" t="s">
        <v>16</v>
      </c>
      <c r="CO34" s="137">
        <f>(CO31*CO32)/(1-EXP(-CO32*CO31))</f>
        <v>66.155354824913829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125.7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B33</f>
        <v>0</v>
      </c>
    </row>
    <row r="35" spans="1:214" ht="12.75" customHeight="1" x14ac:dyDescent="0.2">
      <c r="A35" s="52" t="s">
        <v>393</v>
      </c>
      <c r="B35" s="131">
        <v>0.26</v>
      </c>
      <c r="D35" s="83" t="s">
        <v>258</v>
      </c>
      <c r="E35" s="136">
        <f>B17</f>
        <v>0</v>
      </c>
      <c r="F35" s="83" t="s">
        <v>87</v>
      </c>
      <c r="G35" s="83" t="s">
        <v>384</v>
      </c>
      <c r="H35" s="150">
        <f>B59</f>
        <v>24</v>
      </c>
      <c r="I35" s="52" t="s">
        <v>194</v>
      </c>
      <c r="J35" s="83" t="s">
        <v>384</v>
      </c>
      <c r="K35" s="150">
        <f>B59</f>
        <v>24</v>
      </c>
      <c r="L35" s="52" t="s">
        <v>194</v>
      </c>
      <c r="M35" s="52" t="s">
        <v>409</v>
      </c>
      <c r="N35" s="150">
        <f>B79</f>
        <v>16.416</v>
      </c>
      <c r="O35" s="52" t="s">
        <v>194</v>
      </c>
      <c r="P35" s="52" t="s">
        <v>409</v>
      </c>
      <c r="Q35" s="150">
        <f>B79</f>
        <v>16.416</v>
      </c>
      <c r="R35" s="52" t="s">
        <v>194</v>
      </c>
      <c r="V35" s="52" t="s">
        <v>304</v>
      </c>
      <c r="W35" s="146">
        <f>B242</f>
        <v>60</v>
      </c>
      <c r="X35" s="84" t="s">
        <v>407</v>
      </c>
      <c r="Y35" s="52" t="s">
        <v>348</v>
      </c>
      <c r="Z35" s="146">
        <f>B266</f>
        <v>60</v>
      </c>
      <c r="AA35" s="84" t="s">
        <v>407</v>
      </c>
      <c r="AI35" s="52" t="s">
        <v>69</v>
      </c>
      <c r="AJ35" s="136">
        <f>B251</f>
        <v>8</v>
      </c>
      <c r="AK35" s="52" t="s">
        <v>194</v>
      </c>
      <c r="AL35" s="52" t="s">
        <v>69</v>
      </c>
      <c r="AM35" s="136">
        <f>B251</f>
        <v>8</v>
      </c>
      <c r="AN35" s="52" t="s">
        <v>194</v>
      </c>
      <c r="AR35" s="52" t="s">
        <v>69</v>
      </c>
      <c r="AS35" s="136">
        <f>B263</f>
        <v>0</v>
      </c>
      <c r="AT35" s="52" t="s">
        <v>194</v>
      </c>
      <c r="AU35" s="52" t="s">
        <v>69</v>
      </c>
      <c r="AV35" s="136">
        <f>B263</f>
        <v>0</v>
      </c>
      <c r="AW35" s="52" t="s">
        <v>194</v>
      </c>
      <c r="BA35" s="52" t="s">
        <v>69</v>
      </c>
      <c r="BB35" s="136">
        <f>B239</f>
        <v>8</v>
      </c>
      <c r="BC35" s="52" t="s">
        <v>194</v>
      </c>
      <c r="BD35" s="52" t="s">
        <v>69</v>
      </c>
      <c r="BE35" s="136">
        <f>B239</f>
        <v>8</v>
      </c>
      <c r="BF35" s="52" t="s">
        <v>194</v>
      </c>
      <c r="BJ35" s="52" t="s">
        <v>410</v>
      </c>
      <c r="BK35" s="139">
        <f>B11</f>
        <v>4.3486799999999998E-4</v>
      </c>
      <c r="BL35" s="84" t="s">
        <v>353</v>
      </c>
      <c r="BM35" s="52" t="s">
        <v>419</v>
      </c>
      <c r="BN35" s="139">
        <f>B13</f>
        <v>1.2571640000000001E-3</v>
      </c>
      <c r="BO35" s="84" t="s">
        <v>353</v>
      </c>
      <c r="BY35" s="91" t="s">
        <v>309</v>
      </c>
      <c r="BZ35" s="146">
        <f>B102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B167</f>
        <v>350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B65</f>
        <v>0.5</v>
      </c>
      <c r="HF35" s="52" t="s">
        <v>355</v>
      </c>
    </row>
    <row r="36" spans="1:214" ht="12.75" customHeight="1" x14ac:dyDescent="0.2">
      <c r="A36" s="52" t="s">
        <v>392</v>
      </c>
      <c r="B36" s="131">
        <v>0.25</v>
      </c>
      <c r="D36" s="83" t="s">
        <v>389</v>
      </c>
      <c r="E36" s="146">
        <f>B80</f>
        <v>1</v>
      </c>
      <c r="G36" s="83" t="s">
        <v>405</v>
      </c>
      <c r="H36" s="138">
        <f>B66</f>
        <v>1</v>
      </c>
      <c r="I36" s="52" t="s">
        <v>80</v>
      </c>
      <c r="J36" s="83" t="s">
        <v>390</v>
      </c>
      <c r="K36" s="141">
        <f>B68</f>
        <v>0.25</v>
      </c>
      <c r="M36" s="121"/>
      <c r="N36" s="121"/>
      <c r="O36" s="121"/>
      <c r="P36" s="121"/>
      <c r="Q36" s="121"/>
      <c r="R36" s="121"/>
      <c r="V36" s="83" t="s">
        <v>256</v>
      </c>
      <c r="W36" s="136">
        <f>B15</f>
        <v>3.2316400000000001</v>
      </c>
      <c r="X36" s="83" t="s">
        <v>343</v>
      </c>
      <c r="Y36" s="83" t="s">
        <v>256</v>
      </c>
      <c r="Z36" s="136">
        <f>B15</f>
        <v>3.2316400000000001</v>
      </c>
      <c r="AA36" s="83" t="s">
        <v>343</v>
      </c>
      <c r="AE36" s="352" t="s">
        <v>226</v>
      </c>
      <c r="AF36" s="352"/>
      <c r="AG36" s="352"/>
      <c r="AI36" s="83"/>
      <c r="AJ36" s="83"/>
      <c r="AK36" s="83"/>
      <c r="AL36" s="83"/>
      <c r="AM36" s="83"/>
      <c r="AN36" s="83"/>
      <c r="AR36" s="83"/>
      <c r="AS36" s="83"/>
      <c r="AT36" s="83"/>
      <c r="AU36" s="83"/>
      <c r="AV36" s="83"/>
      <c r="AW36" s="83"/>
      <c r="BA36" s="83"/>
      <c r="BB36" s="83"/>
      <c r="BC36" s="83"/>
      <c r="BD36" s="83"/>
      <c r="BE36" s="83"/>
      <c r="BF36" s="83"/>
      <c r="BS36" s="100"/>
      <c r="BT36" s="100"/>
      <c r="BU36" s="91"/>
      <c r="BZ36" s="90"/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B168</f>
        <v>350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B87</f>
        <v>5</v>
      </c>
      <c r="HF36" s="52" t="s">
        <v>94</v>
      </c>
    </row>
    <row r="37" spans="1:214" ht="12.75" customHeight="1" x14ac:dyDescent="0.2">
      <c r="A37" s="381" t="s">
        <v>2</v>
      </c>
      <c r="B37" s="382"/>
      <c r="C37" s="383"/>
      <c r="D37" s="83" t="s">
        <v>394</v>
      </c>
      <c r="E37" s="146">
        <f>B44</f>
        <v>54</v>
      </c>
      <c r="F37" s="52" t="s">
        <v>48</v>
      </c>
      <c r="G37" s="83" t="s">
        <v>406</v>
      </c>
      <c r="H37" s="138">
        <f>B67</f>
        <v>1</v>
      </c>
      <c r="I37" s="52" t="s">
        <v>80</v>
      </c>
      <c r="J37" s="83" t="s">
        <v>408</v>
      </c>
      <c r="K37" s="150">
        <f>B78</f>
        <v>1.752</v>
      </c>
      <c r="L37" s="84" t="s">
        <v>194</v>
      </c>
      <c r="V37" s="83" t="s">
        <v>301</v>
      </c>
      <c r="W37" s="142">
        <f>B246</f>
        <v>1</v>
      </c>
      <c r="Y37" s="83" t="s">
        <v>301</v>
      </c>
      <c r="Z37" s="142">
        <f>B270</f>
        <v>1</v>
      </c>
      <c r="AE37" s="352"/>
      <c r="AF37" s="352"/>
      <c r="AG37" s="352"/>
      <c r="BK37" s="352" t="s">
        <v>230</v>
      </c>
      <c r="BL37" s="352"/>
      <c r="BM37" s="352"/>
      <c r="BN37" s="352"/>
      <c r="BO37" s="352"/>
      <c r="BS37" s="91"/>
      <c r="BT37" s="91"/>
      <c r="BU37" s="91"/>
      <c r="BZ37" s="90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12.167999999999999</v>
      </c>
      <c r="CV37" s="84" t="s">
        <v>194</v>
      </c>
      <c r="CZ37" s="92" t="s">
        <v>363</v>
      </c>
      <c r="DA37" s="141">
        <f>B170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4.25" x14ac:dyDescent="0.2">
      <c r="A38" s="83" t="s">
        <v>366</v>
      </c>
      <c r="B38" s="130">
        <v>10</v>
      </c>
      <c r="C38" s="92" t="s">
        <v>407</v>
      </c>
      <c r="D38" s="83" t="s">
        <v>260</v>
      </c>
      <c r="E38" s="152" t="e">
        <f>E33/(E35*E34*E37*E36)</f>
        <v>#DIV/0!</v>
      </c>
      <c r="F38" s="84" t="s">
        <v>10</v>
      </c>
      <c r="H38" s="138">
        <f>1/1000</f>
        <v>1E-3</v>
      </c>
      <c r="I38" s="52" t="s">
        <v>82</v>
      </c>
      <c r="J38" s="83" t="s">
        <v>409</v>
      </c>
      <c r="K38" s="150">
        <f>B79</f>
        <v>16.416</v>
      </c>
      <c r="L38" s="84" t="s">
        <v>194</v>
      </c>
      <c r="V38" s="52" t="s">
        <v>261</v>
      </c>
      <c r="W38" s="143">
        <f>(W27)/((W34/24)*W31*W32*W33*W35)</f>
        <v>1.6</v>
      </c>
      <c r="X38" s="52" t="s">
        <v>15</v>
      </c>
      <c r="Y38" s="52" t="s">
        <v>261</v>
      </c>
      <c r="Z38" s="143">
        <f>(Z27)/((Z34/24)*Z31*Z32*Z33*Z35)</f>
        <v>1.6</v>
      </c>
      <c r="AA38" s="52" t="s">
        <v>15</v>
      </c>
      <c r="AE38" s="352"/>
      <c r="AF38" s="352"/>
      <c r="AG38" s="352"/>
      <c r="BK38" s="352"/>
      <c r="BL38" s="352"/>
      <c r="BM38" s="352"/>
      <c r="BN38" s="352"/>
      <c r="BO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10.007999999999999</v>
      </c>
      <c r="CV38" s="84" t="s">
        <v>194</v>
      </c>
      <c r="CZ38" s="92" t="s">
        <v>364</v>
      </c>
      <c r="DA38" s="141">
        <f>B171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B88</f>
        <v>0.18</v>
      </c>
      <c r="HF38" s="52" t="s">
        <v>355</v>
      </c>
    </row>
    <row r="39" spans="1:214" x14ac:dyDescent="0.2">
      <c r="A39" s="83" t="s">
        <v>367</v>
      </c>
      <c r="B39" s="130">
        <v>20</v>
      </c>
      <c r="C39" s="92" t="s">
        <v>407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(W27)/((W34/24)*W31*W36*(1/365))</f>
        <v>1.3553489868921043</v>
      </c>
      <c r="X39" s="52" t="s">
        <v>15</v>
      </c>
      <c r="Y39" s="52" t="s">
        <v>271</v>
      </c>
      <c r="Z39" s="144">
        <f>(Z27)/((Z34/24)*Z31*Z36*(1/365))</f>
        <v>1.3553489868921043</v>
      </c>
      <c r="AA39" s="52" t="s">
        <v>15</v>
      </c>
      <c r="BK39" s="352"/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B172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B89</f>
        <v>55</v>
      </c>
      <c r="HF39" s="52" t="s">
        <v>97</v>
      </c>
    </row>
    <row r="40" spans="1:214" x14ac:dyDescent="0.2">
      <c r="A40" s="83" t="s">
        <v>368</v>
      </c>
      <c r="B40" s="130">
        <v>200</v>
      </c>
      <c r="C40" s="84" t="s">
        <v>48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(W27*W29*W28)/((W34/24)*(1-EXP(-W29*W32))*W33*W35*W31*W32)</f>
        <v>105.84856771986213</v>
      </c>
      <c r="X40" s="52" t="s">
        <v>16</v>
      </c>
      <c r="Y40" s="52" t="s">
        <v>261</v>
      </c>
      <c r="Z40" s="144">
        <f>(Z27*Z29*Z28)/((Z34/24)*(1-EXP(-Z29*Z32))*Z33*Z35*Z31*Z32)</f>
        <v>105.84856771986213</v>
      </c>
      <c r="AA40" s="52" t="s">
        <v>16</v>
      </c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0.4</v>
      </c>
      <c r="CZ40" s="92" t="s">
        <v>457</v>
      </c>
      <c r="DA40" s="141">
        <f>B181</f>
        <v>1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B90</f>
        <v>5</v>
      </c>
      <c r="HF40" s="52" t="s">
        <v>97</v>
      </c>
    </row>
    <row r="41" spans="1:214" ht="13.5" thickBot="1" x14ac:dyDescent="0.25">
      <c r="A41" s="83" t="s">
        <v>369</v>
      </c>
      <c r="B41" s="130">
        <v>100</v>
      </c>
      <c r="C41" s="84" t="s">
        <v>48</v>
      </c>
      <c r="G41" s="83" t="s">
        <v>390</v>
      </c>
      <c r="H41" s="141">
        <f>B68</f>
        <v>0.25</v>
      </c>
      <c r="I41" s="84"/>
      <c r="J41" s="83" t="s">
        <v>302</v>
      </c>
      <c r="K41" s="141">
        <v>1</v>
      </c>
      <c r="V41" s="52" t="s">
        <v>271</v>
      </c>
      <c r="W41" s="145">
        <f>(W27*W29*W28)/((W34/24)*(1-EXP(-W29*W28))*W36*W31*(1/365))</f>
        <v>89.663593139434639</v>
      </c>
      <c r="X41" s="52" t="s">
        <v>16</v>
      </c>
      <c r="Y41" s="52" t="s">
        <v>271</v>
      </c>
      <c r="Z41" s="145">
        <f>(Z27*Z29*Z28)/((Z34/24)*(1-EXP(-Z29*Z28))*Z36*Z31*(1/365))</f>
        <v>89.663593139434639</v>
      </c>
      <c r="AA41" s="52" t="s">
        <v>16</v>
      </c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41">
        <f t="shared" si="1"/>
        <v>1</v>
      </c>
      <c r="CZ41" s="92" t="s">
        <v>466</v>
      </c>
      <c r="DA41" s="141">
        <f>B182</f>
        <v>1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B91</f>
        <v>5</v>
      </c>
      <c r="HF41" s="52" t="s">
        <v>97</v>
      </c>
    </row>
    <row r="42" spans="1:214" ht="19.5" thickTop="1" thickBot="1" x14ac:dyDescent="0.25">
      <c r="A42" s="83" t="s">
        <v>370</v>
      </c>
      <c r="B42" s="130">
        <v>0.78</v>
      </c>
      <c r="C42" s="83" t="s">
        <v>28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41">
        <v>1</v>
      </c>
      <c r="Y42" s="52" t="s">
        <v>220</v>
      </c>
      <c r="Z42" s="138">
        <f>B278</f>
        <v>50</v>
      </c>
      <c r="AA42" s="52" t="s">
        <v>113</v>
      </c>
      <c r="AI42" s="104"/>
      <c r="AJ42" s="104"/>
      <c r="AK42" s="104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41">
        <f t="shared" si="1"/>
        <v>1</v>
      </c>
      <c r="CW42" s="84"/>
      <c r="CX42" s="84"/>
      <c r="CY42" s="84"/>
      <c r="CZ42" s="52" t="s">
        <v>477</v>
      </c>
      <c r="DA42" s="141">
        <f>B183</f>
        <v>0.54</v>
      </c>
      <c r="DB42" s="92" t="s">
        <v>358</v>
      </c>
      <c r="DW42" s="88"/>
      <c r="DX42" s="88"/>
      <c r="DY42" s="88"/>
      <c r="DZ42" s="88"/>
      <c r="HD42" s="52" t="s">
        <v>225</v>
      </c>
      <c r="HE42" s="138">
        <f>1+((HE35*HE36*HE37)/(HE38*HE39))</f>
        <v>3.1605966718331597</v>
      </c>
    </row>
    <row r="43" spans="1:214" x14ac:dyDescent="0.2">
      <c r="A43" s="83" t="s">
        <v>371</v>
      </c>
      <c r="B43" s="130">
        <v>2.5</v>
      </c>
      <c r="C43" s="52" t="s">
        <v>28</v>
      </c>
      <c r="D43" s="323" t="s">
        <v>530</v>
      </c>
      <c r="E43" s="347" t="e">
        <f>E53</f>
        <v>#DIV/0!</v>
      </c>
      <c r="F43" s="345" t="s">
        <v>11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Y43" s="52" t="s">
        <v>219</v>
      </c>
      <c r="Z43" s="138">
        <f>B277</f>
        <v>5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B184</f>
        <v>0.71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83" t="s">
        <v>310</v>
      </c>
      <c r="B44" s="130">
        <v>54</v>
      </c>
      <c r="C44" s="52" t="s">
        <v>48</v>
      </c>
      <c r="D44" s="324"/>
      <c r="E44" s="348"/>
      <c r="F44" s="346"/>
      <c r="G44" s="52" t="s">
        <v>19</v>
      </c>
      <c r="H44" s="136">
        <f>H46</f>
        <v>0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5.75" thickTop="1" x14ac:dyDescent="0.2">
      <c r="A45" s="83" t="s">
        <v>372</v>
      </c>
      <c r="B45" s="130">
        <v>68.099999999999994</v>
      </c>
      <c r="C45" s="92" t="s">
        <v>221</v>
      </c>
      <c r="D45" s="83" t="s">
        <v>267</v>
      </c>
      <c r="E45" s="136">
        <f>B5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B185</f>
        <v>0.5</v>
      </c>
      <c r="DB45" s="92" t="s">
        <v>145</v>
      </c>
      <c r="DW45" s="88"/>
      <c r="DX45" s="88"/>
      <c r="DY45" s="88"/>
      <c r="DZ45" s="88"/>
    </row>
    <row r="46" spans="1:214" x14ac:dyDescent="0.2">
      <c r="A46" s="83" t="s">
        <v>373</v>
      </c>
      <c r="B46" s="130">
        <v>188.5</v>
      </c>
      <c r="C46" s="92" t="s">
        <v>221</v>
      </c>
      <c r="D46" s="83" t="s">
        <v>382</v>
      </c>
      <c r="E46" s="150">
        <f>B56</f>
        <v>350</v>
      </c>
      <c r="F46" s="83" t="s">
        <v>24</v>
      </c>
      <c r="G46" s="84" t="s">
        <v>32</v>
      </c>
      <c r="H46" s="139">
        <f>B31</f>
        <v>0</v>
      </c>
      <c r="K46" s="146">
        <v>1000</v>
      </c>
      <c r="L46" s="52" t="s">
        <v>23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83" t="s">
        <v>374</v>
      </c>
      <c r="B47" s="130">
        <v>41.7</v>
      </c>
      <c r="C47" s="92" t="s">
        <v>221</v>
      </c>
      <c r="D47" s="83" t="s">
        <v>258</v>
      </c>
      <c r="E47" s="136">
        <f>B17</f>
        <v>0</v>
      </c>
      <c r="F47" s="83" t="s">
        <v>87</v>
      </c>
      <c r="G47" s="83" t="s">
        <v>393</v>
      </c>
      <c r="H47" s="142">
        <f>B35</f>
        <v>0.26</v>
      </c>
      <c r="J47" s="52" t="s">
        <v>19</v>
      </c>
      <c r="K47" s="136">
        <f>K49</f>
        <v>0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B165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83" t="s">
        <v>375</v>
      </c>
      <c r="B48" s="130">
        <v>128.9</v>
      </c>
      <c r="C48" s="92" t="s">
        <v>221</v>
      </c>
      <c r="D48" s="83" t="s">
        <v>379</v>
      </c>
      <c r="E48" s="146">
        <f>B53</f>
        <v>1</v>
      </c>
      <c r="F48" s="52" t="s">
        <v>60</v>
      </c>
      <c r="G48" s="52" t="s">
        <v>17</v>
      </c>
      <c r="H48" s="137">
        <f>((H51*H52*H53)*((1-EXP(-H54*H55))))/(H56*H54)</f>
        <v>0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B166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83" t="s">
        <v>376</v>
      </c>
      <c r="B49" s="130">
        <v>0.23</v>
      </c>
      <c r="D49" s="83" t="s">
        <v>394</v>
      </c>
      <c r="E49" s="146">
        <f>B44</f>
        <v>54</v>
      </c>
      <c r="F49" s="52" t="s">
        <v>48</v>
      </c>
      <c r="G49" s="52" t="s">
        <v>25</v>
      </c>
      <c r="H49" s="137">
        <f>(H51*H52*H57*((1-EXP(-H54*H55))))/(H56*H54)</f>
        <v>5.4084629109509424E-3</v>
      </c>
      <c r="I49" s="52" t="s">
        <v>18</v>
      </c>
      <c r="J49" s="84" t="s">
        <v>32</v>
      </c>
      <c r="K49" s="139">
        <f>B31</f>
        <v>0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Z49" s="83" t="s">
        <v>475</v>
      </c>
      <c r="DA49" s="146">
        <f>B165</f>
        <v>0.15</v>
      </c>
      <c r="DW49" s="88"/>
      <c r="DX49" s="88"/>
      <c r="DY49" s="88"/>
      <c r="DZ49" s="88"/>
    </row>
    <row r="50" spans="1:130" x14ac:dyDescent="0.2">
      <c r="A50" s="83" t="s">
        <v>377</v>
      </c>
      <c r="B50" s="130">
        <v>0.77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0.82362658902748997</v>
      </c>
      <c r="I50" s="52" t="s">
        <v>18</v>
      </c>
      <c r="J50" s="83" t="s">
        <v>393</v>
      </c>
      <c r="K50" s="142">
        <f>B35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Z50" s="83" t="s">
        <v>476</v>
      </c>
      <c r="DA50" s="146">
        <f>B166</f>
        <v>0.85</v>
      </c>
      <c r="DW50" s="88"/>
      <c r="DX50" s="88"/>
      <c r="DY50" s="88"/>
      <c r="DZ50" s="88"/>
    </row>
    <row r="51" spans="1:130" x14ac:dyDescent="0.2">
      <c r="A51" s="52" t="s">
        <v>378</v>
      </c>
      <c r="B51" s="131">
        <v>1</v>
      </c>
      <c r="C51" s="52" t="s">
        <v>60</v>
      </c>
      <c r="D51" s="83" t="s">
        <v>105</v>
      </c>
      <c r="E51" s="150">
        <f>B23</f>
        <v>0</v>
      </c>
      <c r="F51" s="84" t="s">
        <v>18</v>
      </c>
      <c r="G51" s="83" t="s">
        <v>36</v>
      </c>
      <c r="H51" s="138">
        <f>B69</f>
        <v>3.62</v>
      </c>
      <c r="I51" s="52" t="s">
        <v>37</v>
      </c>
      <c r="J51" s="83" t="s">
        <v>376</v>
      </c>
      <c r="K51" s="146">
        <f>B49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DW51" s="88"/>
      <c r="DX51" s="88"/>
      <c r="DY51" s="88"/>
      <c r="DZ51" s="88"/>
    </row>
    <row r="52" spans="1:130" x14ac:dyDescent="0.2">
      <c r="A52" s="52" t="s">
        <v>448</v>
      </c>
      <c r="B52" s="131">
        <v>1</v>
      </c>
      <c r="C52" s="52" t="s">
        <v>60</v>
      </c>
      <c r="D52" s="83" t="s">
        <v>107</v>
      </c>
      <c r="E52" s="138">
        <f>B64</f>
        <v>1</v>
      </c>
      <c r="F52" s="84" t="s">
        <v>108</v>
      </c>
      <c r="G52" s="83" t="s">
        <v>40</v>
      </c>
      <c r="H52" s="138">
        <f>B70</f>
        <v>0.25</v>
      </c>
      <c r="I52" s="52" t="s">
        <v>41</v>
      </c>
      <c r="J52" s="83" t="s">
        <v>377</v>
      </c>
      <c r="K52" s="146">
        <f>B50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DW52" s="88"/>
      <c r="DX52" s="88"/>
      <c r="DY52" s="88"/>
      <c r="DZ52" s="88"/>
    </row>
    <row r="53" spans="1:130" x14ac:dyDescent="0.2">
      <c r="A53" s="52" t="s">
        <v>379</v>
      </c>
      <c r="B53" s="131">
        <v>1</v>
      </c>
      <c r="C53" s="52" t="s">
        <v>60</v>
      </c>
      <c r="D53" s="83" t="s">
        <v>260</v>
      </c>
      <c r="E53" s="152" t="e">
        <f>E45/(E47*E46*E48*E49*E51*E52*(1/E50))</f>
        <v>#DIV/0!</v>
      </c>
      <c r="F53" s="52" t="s">
        <v>11</v>
      </c>
      <c r="G53" s="92" t="s">
        <v>32</v>
      </c>
      <c r="H53" s="136">
        <f>B31</f>
        <v>0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52" t="s">
        <v>380</v>
      </c>
      <c r="B54" s="131">
        <v>350</v>
      </c>
      <c r="C54" s="83" t="s">
        <v>24</v>
      </c>
      <c r="D54" s="95" t="s">
        <v>287</v>
      </c>
      <c r="E54" s="176">
        <v>27.027027027027</v>
      </c>
      <c r="G54" s="92" t="s">
        <v>49</v>
      </c>
      <c r="H54" s="137">
        <f>H62+H63</f>
        <v>0.18127454746551735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52" t="s">
        <v>381</v>
      </c>
      <c r="B55" s="131">
        <v>350</v>
      </c>
      <c r="C55" s="83" t="s">
        <v>24</v>
      </c>
      <c r="G55" s="92" t="s">
        <v>52</v>
      </c>
      <c r="H55" s="138">
        <f>B71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52" t="s">
        <v>382</v>
      </c>
      <c r="B56" s="131">
        <v>350</v>
      </c>
      <c r="C56" s="83" t="s">
        <v>24</v>
      </c>
      <c r="G56" s="92" t="s">
        <v>55</v>
      </c>
      <c r="H56" s="138">
        <f>B72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52" t="s">
        <v>403</v>
      </c>
      <c r="B57" s="131">
        <v>0.54</v>
      </c>
      <c r="C57" s="52" t="s">
        <v>89</v>
      </c>
      <c r="G57" s="92" t="s">
        <v>393</v>
      </c>
      <c r="H57" s="138">
        <f>B35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52" t="s">
        <v>404</v>
      </c>
      <c r="B58" s="131">
        <v>0.71</v>
      </c>
      <c r="C58" s="52" t="s">
        <v>89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52" t="s">
        <v>385</v>
      </c>
      <c r="B59" s="131">
        <v>24</v>
      </c>
      <c r="C59" s="52" t="s">
        <v>194</v>
      </c>
      <c r="G59" s="92" t="s">
        <v>63</v>
      </c>
      <c r="H59" s="151">
        <f>H63+(0.693/H65)</f>
        <v>0.23074754746551734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52" t="s">
        <v>318</v>
      </c>
      <c r="B60" s="131">
        <v>1</v>
      </c>
      <c r="G60" s="92" t="s">
        <v>67</v>
      </c>
      <c r="H60" s="142">
        <f>B73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52" t="s">
        <v>303</v>
      </c>
      <c r="B61" s="131">
        <v>0.4</v>
      </c>
      <c r="G61" s="92" t="s">
        <v>68</v>
      </c>
      <c r="H61" s="142">
        <f>B74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52" t="s">
        <v>302</v>
      </c>
      <c r="B62" s="131">
        <v>1</v>
      </c>
      <c r="G62" s="92" t="s">
        <v>70</v>
      </c>
      <c r="H62" s="138">
        <f>B75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386</v>
      </c>
      <c r="B63" s="131">
        <v>1</v>
      </c>
      <c r="G63" s="92" t="s">
        <v>71</v>
      </c>
      <c r="H63" s="137">
        <f>0.693/H67</f>
        <v>0.18124754746551736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83" t="s">
        <v>107</v>
      </c>
      <c r="B64" s="131">
        <v>1</v>
      </c>
      <c r="C64" s="84" t="s">
        <v>108</v>
      </c>
      <c r="G64" s="92" t="s">
        <v>73</v>
      </c>
      <c r="H64" s="138">
        <f>B76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65</v>
      </c>
      <c r="B65" s="131">
        <v>0.5</v>
      </c>
      <c r="C65" s="52" t="s">
        <v>66</v>
      </c>
      <c r="G65" s="92" t="s">
        <v>74</v>
      </c>
      <c r="H65" s="138">
        <f>B77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79</v>
      </c>
      <c r="B66" s="131">
        <v>1</v>
      </c>
      <c r="C66" s="52" t="s">
        <v>80</v>
      </c>
      <c r="G66" s="52" t="s">
        <v>33</v>
      </c>
      <c r="H66" s="136">
        <f>B32</f>
        <v>0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81</v>
      </c>
      <c r="B67" s="131">
        <v>1</v>
      </c>
      <c r="C67" s="52" t="s">
        <v>80</v>
      </c>
      <c r="G67" s="83" t="s">
        <v>234</v>
      </c>
      <c r="H67" s="136">
        <f>B22</f>
        <v>3.8235000124999998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390</v>
      </c>
      <c r="B68" s="131">
        <v>0.25</v>
      </c>
      <c r="G68" s="83" t="s">
        <v>376</v>
      </c>
      <c r="H68" s="146">
        <f>B49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83" t="s">
        <v>36</v>
      </c>
      <c r="B69" s="131">
        <v>3.62</v>
      </c>
      <c r="C69" s="52" t="s">
        <v>37</v>
      </c>
      <c r="G69" s="83" t="s">
        <v>377</v>
      </c>
      <c r="H69" s="146">
        <f>B50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83" t="s">
        <v>40</v>
      </c>
      <c r="B70" s="131">
        <v>0.25</v>
      </c>
      <c r="C70" s="52" t="s">
        <v>41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92" t="s">
        <v>52</v>
      </c>
      <c r="B71" s="131">
        <v>10950</v>
      </c>
      <c r="C71" s="52" t="s">
        <v>53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92" t="s">
        <v>55</v>
      </c>
      <c r="B72" s="131">
        <v>240</v>
      </c>
      <c r="C72" s="52" t="s">
        <v>56</v>
      </c>
      <c r="AF72" s="109"/>
      <c r="AG72" s="106"/>
      <c r="AH72" s="106"/>
      <c r="AI72" s="106"/>
      <c r="AJ72" s="106"/>
      <c r="AK72" s="106"/>
    </row>
    <row r="73" spans="1:105" x14ac:dyDescent="0.2">
      <c r="A73" s="92" t="s">
        <v>67</v>
      </c>
      <c r="B73" s="131">
        <v>60</v>
      </c>
      <c r="C73" s="83" t="s">
        <v>53</v>
      </c>
      <c r="AF73" s="109"/>
      <c r="AG73" s="106"/>
      <c r="AH73" s="106"/>
      <c r="AI73" s="106"/>
      <c r="AJ73" s="106"/>
      <c r="AK73" s="106"/>
    </row>
    <row r="74" spans="1:105" x14ac:dyDescent="0.2">
      <c r="A74" s="92" t="s">
        <v>68</v>
      </c>
      <c r="B74" s="131">
        <v>2</v>
      </c>
      <c r="C74" s="83" t="s">
        <v>56</v>
      </c>
      <c r="AF74" s="109"/>
      <c r="AG74" s="106"/>
      <c r="AH74" s="106"/>
      <c r="AI74" s="106"/>
      <c r="AJ74" s="106"/>
      <c r="AK74" s="106"/>
    </row>
    <row r="75" spans="1:105" x14ac:dyDescent="0.2">
      <c r="A75" s="92" t="s">
        <v>70</v>
      </c>
      <c r="B75" s="131">
        <v>2.6999999999999999E-5</v>
      </c>
      <c r="C75" s="52" t="s">
        <v>64</v>
      </c>
      <c r="AF75" s="108"/>
      <c r="AG75" s="106"/>
      <c r="AH75" s="106"/>
      <c r="AI75" s="106"/>
      <c r="AJ75" s="106"/>
      <c r="AK75" s="106"/>
    </row>
    <row r="76" spans="1:105" x14ac:dyDescent="0.2">
      <c r="A76" s="92" t="s">
        <v>73</v>
      </c>
      <c r="B76" s="131">
        <v>1</v>
      </c>
      <c r="C76" s="52" t="s">
        <v>41</v>
      </c>
      <c r="AF76" s="109"/>
      <c r="AG76" s="106"/>
      <c r="AH76" s="106"/>
      <c r="AI76" s="106"/>
      <c r="AJ76" s="106"/>
      <c r="AK76" s="106"/>
    </row>
    <row r="77" spans="1:105" x14ac:dyDescent="0.2">
      <c r="A77" s="92" t="s">
        <v>74</v>
      </c>
      <c r="B77" s="131">
        <v>14</v>
      </c>
      <c r="C77" s="52" t="s">
        <v>75</v>
      </c>
      <c r="AF77" s="109"/>
      <c r="AG77" s="106"/>
      <c r="AH77" s="106"/>
      <c r="AI77" s="106"/>
      <c r="AJ77" s="106"/>
      <c r="AK77" s="106"/>
    </row>
    <row r="78" spans="1:105" x14ac:dyDescent="0.2">
      <c r="A78" s="83" t="s">
        <v>408</v>
      </c>
      <c r="B78" s="130">
        <v>1.752</v>
      </c>
      <c r="C78" s="84" t="s">
        <v>194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409</v>
      </c>
      <c r="B79" s="130">
        <v>16.416</v>
      </c>
      <c r="C79" s="84" t="s">
        <v>194</v>
      </c>
      <c r="AF79" s="109"/>
      <c r="AG79" s="106"/>
    </row>
    <row r="80" spans="1:105" x14ac:dyDescent="0.2">
      <c r="A80" s="83" t="s">
        <v>389</v>
      </c>
      <c r="B80" s="130">
        <v>1</v>
      </c>
      <c r="C80" s="84"/>
      <c r="AF80" s="109"/>
      <c r="AG80" s="106"/>
      <c r="AH80" s="106"/>
      <c r="AI80" s="106"/>
      <c r="AJ80" s="106"/>
      <c r="AK80" s="106"/>
    </row>
    <row r="81" spans="1:37" x14ac:dyDescent="0.2">
      <c r="A81" s="385" t="s">
        <v>387</v>
      </c>
      <c r="B81" s="385"/>
      <c r="C81" s="385"/>
      <c r="AF81" s="109"/>
      <c r="AG81" s="106"/>
      <c r="AH81" s="106"/>
      <c r="AI81" s="106"/>
      <c r="AJ81" s="106"/>
      <c r="AK81" s="106"/>
    </row>
    <row r="82" spans="1:37" x14ac:dyDescent="0.2">
      <c r="A82" s="52" t="s">
        <v>34</v>
      </c>
      <c r="B82" s="131">
        <v>70</v>
      </c>
      <c r="C82" s="52" t="s">
        <v>60</v>
      </c>
      <c r="AF82" s="109"/>
      <c r="AG82" s="106"/>
      <c r="AH82" s="106"/>
      <c r="AI82" s="106"/>
      <c r="AJ82" s="106"/>
      <c r="AK82" s="106"/>
    </row>
    <row r="83" spans="1:37" x14ac:dyDescent="0.2">
      <c r="A83" s="84" t="s">
        <v>38</v>
      </c>
      <c r="B83" s="131">
        <v>0.3</v>
      </c>
      <c r="C83" s="52" t="s">
        <v>391</v>
      </c>
      <c r="AF83" s="109"/>
      <c r="AG83" s="106"/>
      <c r="AH83" s="106"/>
      <c r="AI83" s="106"/>
      <c r="AJ83" s="106"/>
      <c r="AK83" s="106"/>
    </row>
    <row r="84" spans="1:37" x14ac:dyDescent="0.2">
      <c r="A84" s="84" t="s">
        <v>42</v>
      </c>
      <c r="B84" s="130">
        <v>1.5</v>
      </c>
      <c r="C84" s="52" t="s">
        <v>286</v>
      </c>
      <c r="AF84" s="108"/>
      <c r="AG84" s="106"/>
    </row>
    <row r="85" spans="1:37" x14ac:dyDescent="0.2">
      <c r="A85" s="84" t="s">
        <v>47</v>
      </c>
      <c r="B85" s="131">
        <v>1</v>
      </c>
      <c r="C85" s="52" t="s">
        <v>60</v>
      </c>
      <c r="AF85" s="108"/>
      <c r="AG85" s="106"/>
      <c r="AH85" s="106"/>
      <c r="AI85" s="106"/>
      <c r="AJ85" s="106"/>
      <c r="AK85" s="106"/>
    </row>
    <row r="86" spans="1:37" x14ac:dyDescent="0.2">
      <c r="A86" s="84" t="s">
        <v>225</v>
      </c>
      <c r="B86" s="130">
        <v>1</v>
      </c>
      <c r="AF86" s="108"/>
      <c r="AG86" s="106"/>
    </row>
    <row r="87" spans="1:37" x14ac:dyDescent="0.2">
      <c r="A87" s="52" t="s">
        <v>93</v>
      </c>
      <c r="B87" s="130">
        <v>5</v>
      </c>
      <c r="C87" s="52" t="s">
        <v>94</v>
      </c>
      <c r="AH87" s="108"/>
      <c r="AI87" s="108"/>
      <c r="AJ87" s="108"/>
      <c r="AK87" s="108"/>
    </row>
    <row r="88" spans="1:37" x14ac:dyDescent="0.2">
      <c r="A88" s="52" t="s">
        <v>98</v>
      </c>
      <c r="B88" s="130">
        <v>0.18</v>
      </c>
      <c r="C88" s="52" t="s">
        <v>355</v>
      </c>
    </row>
    <row r="89" spans="1:37" x14ac:dyDescent="0.2">
      <c r="A89" s="52" t="s">
        <v>100</v>
      </c>
      <c r="B89" s="130">
        <v>55</v>
      </c>
      <c r="C89" s="52" t="s">
        <v>97</v>
      </c>
    </row>
    <row r="90" spans="1:37" x14ac:dyDescent="0.2">
      <c r="A90" s="52" t="s">
        <v>101</v>
      </c>
      <c r="B90" s="130">
        <v>5</v>
      </c>
      <c r="C90" s="52" t="s">
        <v>97</v>
      </c>
    </row>
    <row r="91" spans="1:37" x14ac:dyDescent="0.2">
      <c r="A91" s="52" t="s">
        <v>102</v>
      </c>
      <c r="B91" s="130">
        <v>5</v>
      </c>
      <c r="C91" s="52" t="s">
        <v>97</v>
      </c>
    </row>
    <row r="92" spans="1:37" x14ac:dyDescent="0.2">
      <c r="A92" s="384" t="s">
        <v>5</v>
      </c>
      <c r="B92" s="384"/>
      <c r="C92" s="384"/>
    </row>
    <row r="93" spans="1:37" x14ac:dyDescent="0.2">
      <c r="A93" s="83" t="s">
        <v>429</v>
      </c>
      <c r="B93" s="131">
        <v>10</v>
      </c>
      <c r="C93" s="92" t="s">
        <v>407</v>
      </c>
    </row>
    <row r="94" spans="1:37" x14ac:dyDescent="0.2">
      <c r="A94" s="83" t="s">
        <v>430</v>
      </c>
      <c r="B94" s="131">
        <v>20</v>
      </c>
      <c r="C94" s="92" t="s">
        <v>407</v>
      </c>
    </row>
    <row r="95" spans="1:37" x14ac:dyDescent="0.2">
      <c r="A95" s="83" t="s">
        <v>439</v>
      </c>
      <c r="B95" s="130">
        <v>0.05</v>
      </c>
      <c r="C95" s="83" t="s">
        <v>357</v>
      </c>
    </row>
    <row r="96" spans="1:37" x14ac:dyDescent="0.2">
      <c r="A96" s="83" t="s">
        <v>438</v>
      </c>
      <c r="B96" s="130">
        <v>0.05</v>
      </c>
      <c r="C96" s="83" t="s">
        <v>357</v>
      </c>
    </row>
    <row r="97" spans="1:3" x14ac:dyDescent="0.2">
      <c r="A97" s="83" t="s">
        <v>441</v>
      </c>
      <c r="B97" s="131">
        <v>200</v>
      </c>
      <c r="C97" s="84" t="s">
        <v>48</v>
      </c>
    </row>
    <row r="98" spans="1:3" x14ac:dyDescent="0.2">
      <c r="A98" s="83" t="s">
        <v>442</v>
      </c>
      <c r="B98" s="131">
        <v>100</v>
      </c>
      <c r="C98" s="84" t="s">
        <v>48</v>
      </c>
    </row>
    <row r="99" spans="1:3" x14ac:dyDescent="0.2">
      <c r="A99" s="52" t="s">
        <v>159</v>
      </c>
      <c r="B99" s="131">
        <v>1</v>
      </c>
      <c r="C99" s="52" t="s">
        <v>221</v>
      </c>
    </row>
    <row r="100" spans="1:3" x14ac:dyDescent="0.2">
      <c r="A100" s="52" t="s">
        <v>160</v>
      </c>
      <c r="B100" s="131">
        <v>1</v>
      </c>
      <c r="C100" s="52" t="s">
        <v>221</v>
      </c>
    </row>
    <row r="101" spans="1:3" x14ac:dyDescent="0.2">
      <c r="A101" s="83" t="s">
        <v>308</v>
      </c>
      <c r="B101" s="130">
        <v>0.23</v>
      </c>
    </row>
    <row r="102" spans="1:3" x14ac:dyDescent="0.2">
      <c r="A102" s="83" t="s">
        <v>309</v>
      </c>
      <c r="B102" s="130">
        <v>0.77</v>
      </c>
    </row>
    <row r="103" spans="1:3" x14ac:dyDescent="0.2">
      <c r="A103" s="52" t="s">
        <v>140</v>
      </c>
      <c r="B103" s="131">
        <v>75</v>
      </c>
      <c r="C103" s="52" t="s">
        <v>24</v>
      </c>
    </row>
    <row r="104" spans="1:3" x14ac:dyDescent="0.2">
      <c r="A104" s="52" t="s">
        <v>433</v>
      </c>
      <c r="B104" s="131">
        <v>75</v>
      </c>
      <c r="C104" s="52" t="s">
        <v>24</v>
      </c>
    </row>
    <row r="105" spans="1:3" x14ac:dyDescent="0.2">
      <c r="A105" s="52" t="s">
        <v>434</v>
      </c>
      <c r="B105" s="131">
        <v>75</v>
      </c>
      <c r="C105" s="52" t="s">
        <v>24</v>
      </c>
    </row>
    <row r="106" spans="1:3" x14ac:dyDescent="0.2">
      <c r="A106" s="52" t="s">
        <v>431</v>
      </c>
      <c r="B106" s="130">
        <v>1</v>
      </c>
      <c r="C106" s="52" t="s">
        <v>194</v>
      </c>
    </row>
    <row r="107" spans="1:3" x14ac:dyDescent="0.2">
      <c r="A107" s="52" t="s">
        <v>432</v>
      </c>
      <c r="B107" s="130">
        <v>1</v>
      </c>
      <c r="C107" s="52" t="s">
        <v>194</v>
      </c>
    </row>
    <row r="108" spans="1:3" x14ac:dyDescent="0.2">
      <c r="A108" s="52" t="s">
        <v>90</v>
      </c>
      <c r="B108" s="131">
        <v>1</v>
      </c>
      <c r="C108" s="52" t="s">
        <v>194</v>
      </c>
    </row>
    <row r="109" spans="1:3" x14ac:dyDescent="0.2">
      <c r="A109" s="52" t="s">
        <v>443</v>
      </c>
      <c r="B109" s="131">
        <v>1</v>
      </c>
      <c r="C109" s="52" t="s">
        <v>89</v>
      </c>
    </row>
    <row r="110" spans="1:3" x14ac:dyDescent="0.2">
      <c r="A110" s="52" t="s">
        <v>444</v>
      </c>
      <c r="B110" s="131">
        <v>1</v>
      </c>
      <c r="C110" s="52" t="s">
        <v>89</v>
      </c>
    </row>
    <row r="111" spans="1:3" x14ac:dyDescent="0.2">
      <c r="A111" s="83" t="s">
        <v>301</v>
      </c>
      <c r="B111" s="131">
        <v>1</v>
      </c>
    </row>
    <row r="112" spans="1:3" x14ac:dyDescent="0.2">
      <c r="A112" s="83" t="s">
        <v>433</v>
      </c>
      <c r="B112" s="130">
        <v>45</v>
      </c>
      <c r="C112" s="83" t="s">
        <v>24</v>
      </c>
    </row>
    <row r="113" spans="1:3" x14ac:dyDescent="0.2">
      <c r="A113" s="83" t="s">
        <v>434</v>
      </c>
      <c r="B113" s="130">
        <v>45</v>
      </c>
      <c r="C113" s="83" t="s">
        <v>24</v>
      </c>
    </row>
    <row r="114" spans="1:3" x14ac:dyDescent="0.2">
      <c r="A114" s="83" t="s">
        <v>435</v>
      </c>
      <c r="B114" s="131">
        <v>1</v>
      </c>
      <c r="C114" s="52" t="s">
        <v>80</v>
      </c>
    </row>
    <row r="115" spans="1:3" x14ac:dyDescent="0.2">
      <c r="A115" s="83" t="s">
        <v>436</v>
      </c>
      <c r="B115" s="131">
        <v>1</v>
      </c>
      <c r="C115" s="52" t="s">
        <v>80</v>
      </c>
    </row>
    <row r="116" spans="1:3" x14ac:dyDescent="0.2">
      <c r="A116" s="83" t="s">
        <v>65</v>
      </c>
      <c r="B116" s="130">
        <v>0.5</v>
      </c>
      <c r="C116" s="52" t="s">
        <v>66</v>
      </c>
    </row>
    <row r="117" spans="1:3" x14ac:dyDescent="0.2">
      <c r="A117" s="52" t="s">
        <v>51</v>
      </c>
      <c r="B117" s="131">
        <v>1</v>
      </c>
      <c r="C117" s="52" t="s">
        <v>60</v>
      </c>
    </row>
    <row r="118" spans="1:3" x14ac:dyDescent="0.2">
      <c r="A118" s="52" t="s">
        <v>329</v>
      </c>
      <c r="B118" s="131">
        <v>6.7949999999999997E-2</v>
      </c>
    </row>
    <row r="119" spans="1:3" x14ac:dyDescent="0.2">
      <c r="A119" s="52" t="s">
        <v>330</v>
      </c>
      <c r="B119" s="131">
        <v>0.75568000000000002</v>
      </c>
    </row>
    <row r="120" spans="1:3" x14ac:dyDescent="0.2">
      <c r="A120" s="52" t="s">
        <v>331</v>
      </c>
      <c r="B120" s="131">
        <v>3.7060000000000003E-2</v>
      </c>
    </row>
    <row r="121" spans="1:3" x14ac:dyDescent="0.2">
      <c r="A121" s="52" t="s">
        <v>332</v>
      </c>
      <c r="B121" s="131">
        <v>0.64970000000000006</v>
      </c>
    </row>
    <row r="122" spans="1:3" x14ac:dyDescent="0.2">
      <c r="A122" s="52" t="s">
        <v>333</v>
      </c>
      <c r="B122" s="131">
        <v>4.2700000000000002E-2</v>
      </c>
    </row>
    <row r="123" spans="1:3" x14ac:dyDescent="0.2">
      <c r="A123" s="52" t="s">
        <v>334</v>
      </c>
      <c r="B123" s="131">
        <v>0.72250000000000003</v>
      </c>
    </row>
    <row r="124" spans="1:3" x14ac:dyDescent="0.2">
      <c r="A124" s="52" t="s">
        <v>335</v>
      </c>
      <c r="B124" s="131">
        <v>5.8389999999999997E-2</v>
      </c>
    </row>
    <row r="125" spans="1:3" x14ac:dyDescent="0.2">
      <c r="A125" s="52" t="s">
        <v>336</v>
      </c>
      <c r="B125" s="131">
        <v>0.70089999999999997</v>
      </c>
    </row>
    <row r="126" spans="1:3" x14ac:dyDescent="0.2">
      <c r="A126" s="52" t="s">
        <v>337</v>
      </c>
      <c r="B126" s="131">
        <v>2.249E-2</v>
      </c>
    </row>
    <row r="127" spans="1:3" x14ac:dyDescent="0.2">
      <c r="A127" s="52" t="s">
        <v>338</v>
      </c>
      <c r="B127" s="131">
        <v>0.46279999999999999</v>
      </c>
    </row>
    <row r="128" spans="1:3" x14ac:dyDescent="0.2">
      <c r="A128" s="52" t="s">
        <v>159</v>
      </c>
      <c r="B128" s="130">
        <v>1</v>
      </c>
      <c r="C128" s="52" t="s">
        <v>221</v>
      </c>
    </row>
    <row r="129" spans="1:3" x14ac:dyDescent="0.2">
      <c r="A129" s="84" t="s">
        <v>164</v>
      </c>
      <c r="B129" s="130">
        <v>1</v>
      </c>
      <c r="C129" s="52" t="s">
        <v>246</v>
      </c>
    </row>
    <row r="130" spans="1:3" x14ac:dyDescent="0.2">
      <c r="A130" s="84" t="s">
        <v>161</v>
      </c>
      <c r="B130" s="130">
        <v>1</v>
      </c>
      <c r="C130" s="52" t="s">
        <v>246</v>
      </c>
    </row>
    <row r="131" spans="1:3" x14ac:dyDescent="0.2">
      <c r="A131" s="84" t="s">
        <v>162</v>
      </c>
      <c r="B131" s="130">
        <v>1</v>
      </c>
      <c r="C131" s="52" t="s">
        <v>41</v>
      </c>
    </row>
    <row r="132" spans="1:3" x14ac:dyDescent="0.2">
      <c r="A132" s="84" t="s">
        <v>163</v>
      </c>
      <c r="B132" s="130">
        <v>1</v>
      </c>
      <c r="C132" s="52" t="s">
        <v>41</v>
      </c>
    </row>
    <row r="133" spans="1:3" x14ac:dyDescent="0.2">
      <c r="A133" s="84" t="s">
        <v>169</v>
      </c>
      <c r="B133" s="130">
        <v>1</v>
      </c>
      <c r="C133" s="52" t="s">
        <v>28</v>
      </c>
    </row>
    <row r="134" spans="1:3" x14ac:dyDescent="0.2">
      <c r="A134" s="52" t="s">
        <v>160</v>
      </c>
      <c r="B134" s="130">
        <v>1</v>
      </c>
      <c r="C134" s="52" t="s">
        <v>221</v>
      </c>
    </row>
    <row r="135" spans="1:3" x14ac:dyDescent="0.2">
      <c r="A135" s="52" t="s">
        <v>165</v>
      </c>
      <c r="B135" s="130">
        <v>1</v>
      </c>
      <c r="C135" s="52" t="s">
        <v>246</v>
      </c>
    </row>
    <row r="136" spans="1:3" x14ac:dyDescent="0.2">
      <c r="A136" s="52" t="s">
        <v>166</v>
      </c>
      <c r="B136" s="130">
        <v>1</v>
      </c>
      <c r="C136" s="52" t="s">
        <v>246</v>
      </c>
    </row>
    <row r="137" spans="1:3" x14ac:dyDescent="0.2">
      <c r="A137" s="93" t="s">
        <v>167</v>
      </c>
      <c r="B137" s="130">
        <v>1</v>
      </c>
      <c r="C137" s="52" t="s">
        <v>41</v>
      </c>
    </row>
    <row r="138" spans="1:3" x14ac:dyDescent="0.2">
      <c r="A138" s="83" t="s">
        <v>168</v>
      </c>
      <c r="B138" s="130">
        <v>1</v>
      </c>
      <c r="C138" s="52" t="s">
        <v>41</v>
      </c>
    </row>
    <row r="139" spans="1:3" x14ac:dyDescent="0.2">
      <c r="A139" s="84" t="s">
        <v>170</v>
      </c>
      <c r="B139" s="130">
        <v>1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200</v>
      </c>
      <c r="C141" s="84" t="s">
        <v>48</v>
      </c>
    </row>
    <row r="142" spans="1:3" x14ac:dyDescent="0.2">
      <c r="A142" s="83" t="s">
        <v>458</v>
      </c>
      <c r="B142" s="130">
        <v>100</v>
      </c>
      <c r="C142" s="84" t="s">
        <v>48</v>
      </c>
    </row>
    <row r="143" spans="1:3" x14ac:dyDescent="0.2">
      <c r="A143" s="83" t="s">
        <v>450</v>
      </c>
      <c r="B143" s="130">
        <v>10</v>
      </c>
      <c r="C143" s="92" t="s">
        <v>407</v>
      </c>
    </row>
    <row r="144" spans="1:3" x14ac:dyDescent="0.2">
      <c r="A144" s="83" t="s">
        <v>459</v>
      </c>
      <c r="B144" s="130">
        <v>20</v>
      </c>
      <c r="C144" s="92" t="s">
        <v>407</v>
      </c>
    </row>
    <row r="145" spans="1:3" x14ac:dyDescent="0.2">
      <c r="A145" s="92" t="s">
        <v>451</v>
      </c>
      <c r="B145" s="131">
        <v>0.78</v>
      </c>
      <c r="C145" s="83" t="s">
        <v>28</v>
      </c>
    </row>
    <row r="146" spans="1:3" x14ac:dyDescent="0.2">
      <c r="A146" s="92" t="s">
        <v>460</v>
      </c>
      <c r="B146" s="131">
        <v>2.5</v>
      </c>
      <c r="C146" s="83" t="s">
        <v>28</v>
      </c>
    </row>
    <row r="147" spans="1:3" ht="15" x14ac:dyDescent="0.2">
      <c r="A147" s="92" t="s">
        <v>450</v>
      </c>
      <c r="B147" s="131">
        <v>10</v>
      </c>
      <c r="C147" s="83" t="s">
        <v>143</v>
      </c>
    </row>
    <row r="148" spans="1:3" ht="15" x14ac:dyDescent="0.2">
      <c r="A148" s="92" t="s">
        <v>459</v>
      </c>
      <c r="B148" s="131">
        <v>20</v>
      </c>
      <c r="C148" s="83" t="s">
        <v>143</v>
      </c>
    </row>
    <row r="149" spans="1:3" x14ac:dyDescent="0.2">
      <c r="A149" s="83" t="s">
        <v>467</v>
      </c>
      <c r="B149" s="130">
        <v>68.099999999999994</v>
      </c>
      <c r="C149" s="92" t="s">
        <v>221</v>
      </c>
    </row>
    <row r="150" spans="1:3" x14ac:dyDescent="0.2">
      <c r="A150" s="83" t="s">
        <v>468</v>
      </c>
      <c r="B150" s="130">
        <v>176.8</v>
      </c>
      <c r="C150" s="92" t="s">
        <v>221</v>
      </c>
    </row>
    <row r="151" spans="1:3" x14ac:dyDescent="0.2">
      <c r="A151" s="83" t="s">
        <v>469</v>
      </c>
      <c r="B151" s="130">
        <v>41.7</v>
      </c>
      <c r="C151" s="92" t="s">
        <v>221</v>
      </c>
    </row>
    <row r="152" spans="1:3" x14ac:dyDescent="0.2">
      <c r="A152" s="83" t="s">
        <v>470</v>
      </c>
      <c r="B152" s="130">
        <v>125.7</v>
      </c>
      <c r="C152" s="92" t="s">
        <v>221</v>
      </c>
    </row>
    <row r="153" spans="1:3" x14ac:dyDescent="0.2">
      <c r="A153" s="83" t="s">
        <v>452</v>
      </c>
      <c r="B153" s="130">
        <v>349.5</v>
      </c>
      <c r="C153" s="92" t="s">
        <v>221</v>
      </c>
    </row>
    <row r="154" spans="1:3" x14ac:dyDescent="0.2">
      <c r="A154" s="83" t="s">
        <v>461</v>
      </c>
      <c r="B154" s="130">
        <v>445.6</v>
      </c>
      <c r="C154" s="92" t="s">
        <v>221</v>
      </c>
    </row>
    <row r="155" spans="1:3" x14ac:dyDescent="0.2">
      <c r="A155" s="83" t="s">
        <v>453</v>
      </c>
      <c r="B155" s="132">
        <v>40.1</v>
      </c>
      <c r="C155" s="92" t="s">
        <v>221</v>
      </c>
    </row>
    <row r="156" spans="1:3" x14ac:dyDescent="0.2">
      <c r="A156" s="83" t="s">
        <v>462</v>
      </c>
      <c r="B156" s="132">
        <v>178</v>
      </c>
      <c r="C156" s="92" t="s">
        <v>221</v>
      </c>
    </row>
    <row r="157" spans="1:3" x14ac:dyDescent="0.2">
      <c r="A157" s="83" t="s">
        <v>454</v>
      </c>
      <c r="B157" s="133">
        <v>10.95</v>
      </c>
      <c r="C157" s="92" t="s">
        <v>221</v>
      </c>
    </row>
    <row r="158" spans="1:3" x14ac:dyDescent="0.2">
      <c r="A158" s="83" t="s">
        <v>463</v>
      </c>
      <c r="B158" s="132">
        <v>53.4</v>
      </c>
      <c r="C158" s="92" t="s">
        <v>221</v>
      </c>
    </row>
    <row r="159" spans="1:3" x14ac:dyDescent="0.2">
      <c r="A159" s="83" t="s">
        <v>471</v>
      </c>
      <c r="B159" s="130">
        <v>32.799999999999997</v>
      </c>
      <c r="C159" s="92" t="s">
        <v>221</v>
      </c>
    </row>
    <row r="160" spans="1:3" x14ac:dyDescent="0.2">
      <c r="A160" s="83" t="s">
        <v>472</v>
      </c>
      <c r="B160" s="130">
        <v>155.4</v>
      </c>
      <c r="C160" s="92" t="s">
        <v>221</v>
      </c>
    </row>
    <row r="161" spans="1:3" x14ac:dyDescent="0.2">
      <c r="A161" s="83" t="s">
        <v>473</v>
      </c>
      <c r="B161" s="132">
        <v>23.6</v>
      </c>
      <c r="C161" s="92" t="s">
        <v>221</v>
      </c>
    </row>
    <row r="162" spans="1:3" x14ac:dyDescent="0.2">
      <c r="A162" s="83" t="s">
        <v>474</v>
      </c>
      <c r="B162" s="132">
        <v>106.6</v>
      </c>
      <c r="C162" s="92" t="s">
        <v>221</v>
      </c>
    </row>
    <row r="163" spans="1:3" x14ac:dyDescent="0.2">
      <c r="A163" s="83" t="s">
        <v>455</v>
      </c>
      <c r="B163" s="130">
        <v>18.5</v>
      </c>
      <c r="C163" s="92" t="s">
        <v>221</v>
      </c>
    </row>
    <row r="164" spans="1:3" x14ac:dyDescent="0.2">
      <c r="A164" s="83" t="s">
        <v>464</v>
      </c>
      <c r="B164" s="130">
        <v>97.9</v>
      </c>
      <c r="C164" s="92" t="s">
        <v>221</v>
      </c>
    </row>
    <row r="165" spans="1:3" x14ac:dyDescent="0.2">
      <c r="A165" s="83" t="s">
        <v>475</v>
      </c>
      <c r="B165" s="130">
        <v>0.15</v>
      </c>
      <c r="C165" s="88"/>
    </row>
    <row r="166" spans="1:3" x14ac:dyDescent="0.2">
      <c r="A166" s="83" t="s">
        <v>476</v>
      </c>
      <c r="B166" s="130">
        <v>0.85</v>
      </c>
      <c r="C166" s="88"/>
    </row>
    <row r="167" spans="1:3" x14ac:dyDescent="0.2">
      <c r="A167" s="83" t="s">
        <v>456</v>
      </c>
      <c r="B167" s="130">
        <v>350</v>
      </c>
      <c r="C167" s="83" t="s">
        <v>24</v>
      </c>
    </row>
    <row r="168" spans="1:3" x14ac:dyDescent="0.2">
      <c r="A168" s="83" t="s">
        <v>465</v>
      </c>
      <c r="B168" s="130">
        <v>350</v>
      </c>
      <c r="C168" s="83" t="s">
        <v>24</v>
      </c>
    </row>
    <row r="169" spans="1:3" x14ac:dyDescent="0.2">
      <c r="A169" s="52" t="s">
        <v>362</v>
      </c>
      <c r="B169" s="131">
        <v>350</v>
      </c>
      <c r="C169" s="83" t="s">
        <v>24</v>
      </c>
    </row>
    <row r="170" spans="1:3" x14ac:dyDescent="0.2">
      <c r="A170" s="83" t="s">
        <v>363</v>
      </c>
      <c r="B170" s="130">
        <v>1</v>
      </c>
      <c r="C170" s="92" t="s">
        <v>60</v>
      </c>
    </row>
    <row r="171" spans="1:3" x14ac:dyDescent="0.2">
      <c r="A171" s="83" t="s">
        <v>364</v>
      </c>
      <c r="B171" s="130">
        <v>24</v>
      </c>
      <c r="C171" s="94" t="s">
        <v>194</v>
      </c>
    </row>
    <row r="172" spans="1:3" x14ac:dyDescent="0.2">
      <c r="A172" s="83" t="s">
        <v>365</v>
      </c>
      <c r="B172" s="130">
        <v>24</v>
      </c>
      <c r="C172" s="52" t="s">
        <v>194</v>
      </c>
    </row>
    <row r="173" spans="1:3" x14ac:dyDescent="0.2">
      <c r="A173" s="83" t="s">
        <v>361</v>
      </c>
      <c r="B173" s="130">
        <v>1</v>
      </c>
    </row>
    <row r="174" spans="1:3" x14ac:dyDescent="0.2">
      <c r="A174" s="83" t="s">
        <v>507</v>
      </c>
      <c r="B174" s="130">
        <v>12.167999999999999</v>
      </c>
      <c r="C174" s="84" t="s">
        <v>194</v>
      </c>
    </row>
    <row r="175" spans="1:3" x14ac:dyDescent="0.2">
      <c r="A175" s="83" t="s">
        <v>508</v>
      </c>
      <c r="B175" s="130">
        <v>10.007999999999999</v>
      </c>
      <c r="C175" s="84" t="s">
        <v>194</v>
      </c>
    </row>
    <row r="176" spans="1:3" x14ac:dyDescent="0.2">
      <c r="A176" s="83" t="s">
        <v>88</v>
      </c>
      <c r="B176" s="130">
        <v>0.4</v>
      </c>
    </row>
    <row r="177" spans="1:3" x14ac:dyDescent="0.2">
      <c r="A177" s="83" t="s">
        <v>303</v>
      </c>
      <c r="B177" s="130">
        <v>0.4</v>
      </c>
    </row>
    <row r="178" spans="1:3" x14ac:dyDescent="0.2">
      <c r="A178" s="83" t="s">
        <v>302</v>
      </c>
      <c r="B178" s="130">
        <v>1</v>
      </c>
    </row>
    <row r="179" spans="1:3" x14ac:dyDescent="0.2">
      <c r="A179" s="83" t="s">
        <v>54</v>
      </c>
      <c r="B179" s="130">
        <v>1</v>
      </c>
    </row>
    <row r="180" spans="1:3" x14ac:dyDescent="0.2">
      <c r="A180" s="83" t="s">
        <v>301</v>
      </c>
      <c r="B180" s="131">
        <v>1</v>
      </c>
    </row>
    <row r="181" spans="1:3" x14ac:dyDescent="0.2">
      <c r="A181" s="92" t="s">
        <v>457</v>
      </c>
      <c r="B181" s="130">
        <v>1</v>
      </c>
      <c r="C181" s="92" t="s">
        <v>144</v>
      </c>
    </row>
    <row r="182" spans="1:3" x14ac:dyDescent="0.2">
      <c r="A182" s="92" t="s">
        <v>466</v>
      </c>
      <c r="B182" s="130">
        <v>1</v>
      </c>
      <c r="C182" s="92" t="s">
        <v>144</v>
      </c>
    </row>
    <row r="183" spans="1:3" x14ac:dyDescent="0.2">
      <c r="A183" s="52" t="s">
        <v>477</v>
      </c>
      <c r="B183" s="130">
        <v>0.54</v>
      </c>
      <c r="C183" s="92" t="s">
        <v>358</v>
      </c>
    </row>
    <row r="184" spans="1:3" x14ac:dyDescent="0.2">
      <c r="A184" s="52" t="s">
        <v>478</v>
      </c>
      <c r="B184" s="130">
        <v>0.71</v>
      </c>
      <c r="C184" s="92" t="s">
        <v>358</v>
      </c>
    </row>
    <row r="185" spans="1:3" ht="15" x14ac:dyDescent="0.2">
      <c r="A185" s="84" t="s">
        <v>65</v>
      </c>
      <c r="B185" s="130">
        <v>0.5</v>
      </c>
      <c r="C185" s="92" t="s">
        <v>145</v>
      </c>
    </row>
    <row r="186" spans="1:3" x14ac:dyDescent="0.2">
      <c r="A186" s="92" t="s">
        <v>361</v>
      </c>
      <c r="B186" s="130">
        <v>1</v>
      </c>
    </row>
    <row r="187" spans="1:3" x14ac:dyDescent="0.2">
      <c r="A187" s="92" t="s">
        <v>479</v>
      </c>
      <c r="B187" s="130">
        <v>1</v>
      </c>
    </row>
    <row r="188" spans="1:3" x14ac:dyDescent="0.2">
      <c r="A188" s="92" t="s">
        <v>480</v>
      </c>
      <c r="B188" s="130">
        <v>1</v>
      </c>
    </row>
    <row r="189" spans="1:3" x14ac:dyDescent="0.2">
      <c r="A189" s="92" t="s">
        <v>481</v>
      </c>
      <c r="B189" s="130">
        <v>1</v>
      </c>
    </row>
    <row r="190" spans="1:3" x14ac:dyDescent="0.2">
      <c r="A190" s="92" t="s">
        <v>482</v>
      </c>
      <c r="B190" s="130">
        <v>1</v>
      </c>
    </row>
    <row r="191" spans="1:3" x14ac:dyDescent="0.2">
      <c r="A191" s="92" t="s">
        <v>483</v>
      </c>
      <c r="B191" s="130">
        <v>1</v>
      </c>
    </row>
    <row r="192" spans="1:3" x14ac:dyDescent="0.2">
      <c r="A192" s="92" t="s">
        <v>484</v>
      </c>
      <c r="B192" s="131">
        <v>1</v>
      </c>
    </row>
    <row r="193" spans="1:3" x14ac:dyDescent="0.2">
      <c r="A193" s="83" t="s">
        <v>36</v>
      </c>
      <c r="B193" s="131">
        <v>3.62</v>
      </c>
      <c r="C193" s="52" t="s">
        <v>37</v>
      </c>
    </row>
    <row r="194" spans="1:3" x14ac:dyDescent="0.2">
      <c r="A194" s="83" t="s">
        <v>40</v>
      </c>
      <c r="B194" s="131">
        <v>0.25</v>
      </c>
      <c r="C194" s="52" t="s">
        <v>41</v>
      </c>
    </row>
    <row r="195" spans="1:3" x14ac:dyDescent="0.2">
      <c r="A195" s="92" t="s">
        <v>52</v>
      </c>
      <c r="B195" s="131">
        <v>10950</v>
      </c>
      <c r="C195" s="52" t="s">
        <v>53</v>
      </c>
    </row>
    <row r="196" spans="1:3" x14ac:dyDescent="0.2">
      <c r="A196" s="92" t="s">
        <v>55</v>
      </c>
      <c r="B196" s="131">
        <v>240</v>
      </c>
      <c r="C196" s="52" t="s">
        <v>56</v>
      </c>
    </row>
    <row r="197" spans="1:3" x14ac:dyDescent="0.2">
      <c r="A197" s="92" t="s">
        <v>61</v>
      </c>
      <c r="B197" s="131">
        <v>0.42</v>
      </c>
      <c r="C197" s="52" t="s">
        <v>41</v>
      </c>
    </row>
    <row r="198" spans="1:3" x14ac:dyDescent="0.2">
      <c r="A198" s="92" t="s">
        <v>67</v>
      </c>
      <c r="B198" s="131">
        <v>60</v>
      </c>
      <c r="C198" s="83" t="s">
        <v>53</v>
      </c>
    </row>
    <row r="199" spans="1:3" x14ac:dyDescent="0.2">
      <c r="A199" s="92" t="s">
        <v>68</v>
      </c>
      <c r="B199" s="131">
        <v>2</v>
      </c>
      <c r="C199" s="83" t="s">
        <v>56</v>
      </c>
    </row>
    <row r="200" spans="1:3" x14ac:dyDescent="0.2">
      <c r="A200" s="92" t="s">
        <v>70</v>
      </c>
      <c r="B200" s="131">
        <v>2.6999999999999999E-5</v>
      </c>
      <c r="C200" s="52" t="s">
        <v>64</v>
      </c>
    </row>
    <row r="201" spans="1:3" x14ac:dyDescent="0.2">
      <c r="A201" s="92" t="s">
        <v>73</v>
      </c>
      <c r="B201" s="131">
        <v>1</v>
      </c>
      <c r="C201" s="52" t="s">
        <v>41</v>
      </c>
    </row>
    <row r="202" spans="1:3" x14ac:dyDescent="0.2">
      <c r="A202" s="92" t="s">
        <v>74</v>
      </c>
      <c r="B202" s="131">
        <v>14</v>
      </c>
      <c r="C202" s="52" t="s">
        <v>75</v>
      </c>
    </row>
    <row r="203" spans="1:3" x14ac:dyDescent="0.2">
      <c r="A203" s="83" t="s">
        <v>27</v>
      </c>
      <c r="B203" s="131">
        <v>92</v>
      </c>
      <c r="C203" s="83" t="s">
        <v>28</v>
      </c>
    </row>
    <row r="204" spans="1:3" x14ac:dyDescent="0.2">
      <c r="A204" s="52" t="s">
        <v>285</v>
      </c>
      <c r="B204" s="130">
        <v>1.03</v>
      </c>
      <c r="C204" s="52" t="s">
        <v>286</v>
      </c>
    </row>
    <row r="205" spans="1:3" x14ac:dyDescent="0.2">
      <c r="A205" s="83" t="s">
        <v>498</v>
      </c>
      <c r="B205" s="131">
        <v>20.3</v>
      </c>
      <c r="C205" s="52" t="s">
        <v>246</v>
      </c>
    </row>
    <row r="206" spans="1:3" x14ac:dyDescent="0.2">
      <c r="A206" s="83" t="s">
        <v>499</v>
      </c>
      <c r="B206" s="131">
        <v>0.04</v>
      </c>
      <c r="C206" s="52" t="s">
        <v>246</v>
      </c>
    </row>
    <row r="207" spans="1:3" x14ac:dyDescent="0.2">
      <c r="A207" s="83" t="s">
        <v>500</v>
      </c>
      <c r="B207" s="131">
        <v>1</v>
      </c>
    </row>
    <row r="208" spans="1:3" x14ac:dyDescent="0.2">
      <c r="A208" s="83" t="s">
        <v>501</v>
      </c>
      <c r="B208" s="131">
        <v>1</v>
      </c>
    </row>
    <row r="209" spans="1:3" x14ac:dyDescent="0.2">
      <c r="A209" s="83" t="s">
        <v>29</v>
      </c>
      <c r="B209" s="131">
        <v>53</v>
      </c>
      <c r="C209" s="83" t="s">
        <v>28</v>
      </c>
    </row>
    <row r="210" spans="1:3" x14ac:dyDescent="0.2">
      <c r="A210" s="83" t="s">
        <v>494</v>
      </c>
      <c r="B210" s="131">
        <v>11.77</v>
      </c>
      <c r="C210" s="52" t="s">
        <v>246</v>
      </c>
    </row>
    <row r="211" spans="1:3" x14ac:dyDescent="0.2">
      <c r="A211" s="83" t="s">
        <v>495</v>
      </c>
      <c r="B211" s="131">
        <v>0.5</v>
      </c>
      <c r="C211" s="52" t="s">
        <v>246</v>
      </c>
    </row>
    <row r="212" spans="1:3" x14ac:dyDescent="0.2">
      <c r="A212" s="83" t="s">
        <v>496</v>
      </c>
      <c r="B212" s="131">
        <v>1</v>
      </c>
    </row>
    <row r="213" spans="1:3" x14ac:dyDescent="0.2">
      <c r="A213" s="83" t="s">
        <v>497</v>
      </c>
      <c r="B213" s="131">
        <v>1</v>
      </c>
    </row>
    <row r="214" spans="1:3" x14ac:dyDescent="0.2">
      <c r="A214" s="83" t="s">
        <v>148</v>
      </c>
      <c r="B214" s="130">
        <v>0.4</v>
      </c>
      <c r="C214" s="83" t="s">
        <v>28</v>
      </c>
    </row>
    <row r="215" spans="1:3" x14ac:dyDescent="0.2">
      <c r="A215" s="83" t="s">
        <v>152</v>
      </c>
      <c r="B215" s="131">
        <v>0.2</v>
      </c>
      <c r="C215" s="52" t="s">
        <v>246</v>
      </c>
    </row>
    <row r="216" spans="1:3" x14ac:dyDescent="0.2">
      <c r="A216" s="83" t="s">
        <v>151</v>
      </c>
      <c r="B216" s="131">
        <v>2.1999999999999999E-2</v>
      </c>
      <c r="C216" s="52" t="s">
        <v>246</v>
      </c>
    </row>
    <row r="217" spans="1:3" x14ac:dyDescent="0.2">
      <c r="A217" s="83" t="s">
        <v>153</v>
      </c>
      <c r="B217" s="130">
        <v>1</v>
      </c>
    </row>
    <row r="218" spans="1:3" x14ac:dyDescent="0.2">
      <c r="A218" s="83" t="s">
        <v>154</v>
      </c>
      <c r="B218" s="130">
        <v>1</v>
      </c>
    </row>
    <row r="219" spans="1:3" x14ac:dyDescent="0.2">
      <c r="A219" s="83" t="s">
        <v>485</v>
      </c>
      <c r="B219" s="130">
        <v>0.4</v>
      </c>
      <c r="C219" s="83" t="s">
        <v>28</v>
      </c>
    </row>
    <row r="220" spans="1:3" x14ac:dyDescent="0.2">
      <c r="A220" s="83" t="s">
        <v>486</v>
      </c>
      <c r="B220" s="131">
        <v>0.2</v>
      </c>
      <c r="C220" s="52" t="s">
        <v>246</v>
      </c>
    </row>
    <row r="221" spans="1:3" x14ac:dyDescent="0.2">
      <c r="A221" s="83" t="s">
        <v>487</v>
      </c>
      <c r="B221" s="131">
        <v>2.1999999999999999E-2</v>
      </c>
      <c r="C221" s="52" t="s">
        <v>246</v>
      </c>
    </row>
    <row r="222" spans="1:3" x14ac:dyDescent="0.2">
      <c r="A222" s="83" t="s">
        <v>488</v>
      </c>
      <c r="B222" s="131">
        <v>1</v>
      </c>
    </row>
    <row r="223" spans="1:3" x14ac:dyDescent="0.2">
      <c r="A223" s="83" t="s">
        <v>489</v>
      </c>
      <c r="B223" s="131">
        <v>1</v>
      </c>
    </row>
    <row r="224" spans="1:3" x14ac:dyDescent="0.2">
      <c r="A224" s="83" t="s">
        <v>150</v>
      </c>
      <c r="B224" s="131">
        <v>11.4</v>
      </c>
      <c r="C224" s="83" t="s">
        <v>28</v>
      </c>
    </row>
    <row r="225" spans="1:3" x14ac:dyDescent="0.2">
      <c r="A225" s="83" t="s">
        <v>490</v>
      </c>
      <c r="B225" s="131">
        <v>4.7</v>
      </c>
      <c r="C225" s="52" t="s">
        <v>246</v>
      </c>
    </row>
    <row r="226" spans="1:3" x14ac:dyDescent="0.2">
      <c r="A226" s="83" t="s">
        <v>491</v>
      </c>
      <c r="B226" s="131">
        <v>0.37</v>
      </c>
      <c r="C226" s="52" t="s">
        <v>246</v>
      </c>
    </row>
    <row r="227" spans="1:3" x14ac:dyDescent="0.2">
      <c r="A227" s="83" t="s">
        <v>492</v>
      </c>
      <c r="B227" s="131">
        <v>1</v>
      </c>
    </row>
    <row r="228" spans="1:3" x14ac:dyDescent="0.2">
      <c r="A228" s="83" t="s">
        <v>493</v>
      </c>
      <c r="B228" s="131">
        <v>1</v>
      </c>
    </row>
    <row r="229" spans="1:3" x14ac:dyDescent="0.2">
      <c r="A229" s="370" t="s">
        <v>311</v>
      </c>
      <c r="B229" s="370"/>
      <c r="C229" s="370"/>
    </row>
    <row r="230" spans="1:3" x14ac:dyDescent="0.2">
      <c r="A230" s="52" t="s">
        <v>504</v>
      </c>
      <c r="B230" s="130">
        <v>60</v>
      </c>
      <c r="C230" s="84" t="s">
        <v>407</v>
      </c>
    </row>
    <row r="231" spans="1:3" x14ac:dyDescent="0.2">
      <c r="A231" s="83" t="s">
        <v>316</v>
      </c>
      <c r="B231" s="130">
        <v>250</v>
      </c>
      <c r="C231" s="52" t="s">
        <v>24</v>
      </c>
    </row>
    <row r="232" spans="1:3" x14ac:dyDescent="0.2">
      <c r="A232" s="83" t="s">
        <v>422</v>
      </c>
      <c r="B232" s="131">
        <v>1</v>
      </c>
      <c r="C232" s="52" t="s">
        <v>60</v>
      </c>
    </row>
    <row r="233" spans="1:3" x14ac:dyDescent="0.2">
      <c r="A233" s="83" t="s">
        <v>317</v>
      </c>
      <c r="B233" s="130">
        <v>100</v>
      </c>
      <c r="C233" s="84" t="s">
        <v>48</v>
      </c>
    </row>
    <row r="234" spans="1:3" x14ac:dyDescent="0.2">
      <c r="A234" s="52" t="s">
        <v>318</v>
      </c>
      <c r="B234" s="131">
        <v>1</v>
      </c>
    </row>
    <row r="235" spans="1:3" x14ac:dyDescent="0.2">
      <c r="A235" s="83" t="s">
        <v>300</v>
      </c>
      <c r="B235" s="131">
        <v>1</v>
      </c>
    </row>
    <row r="236" spans="1:3" x14ac:dyDescent="0.2">
      <c r="A236" s="83" t="s">
        <v>299</v>
      </c>
      <c r="B236" s="131">
        <v>0.4</v>
      </c>
    </row>
    <row r="237" spans="1:3" x14ac:dyDescent="0.2">
      <c r="A237" s="83" t="s">
        <v>54</v>
      </c>
      <c r="B237" s="131">
        <v>1</v>
      </c>
    </row>
    <row r="238" spans="1:3" x14ac:dyDescent="0.2">
      <c r="A238" s="83" t="s">
        <v>83</v>
      </c>
      <c r="B238" s="130">
        <v>8</v>
      </c>
      <c r="C238" s="52" t="s">
        <v>194</v>
      </c>
    </row>
    <row r="239" spans="1:3" x14ac:dyDescent="0.2">
      <c r="A239" s="83" t="s">
        <v>85</v>
      </c>
      <c r="B239" s="130">
        <v>8</v>
      </c>
      <c r="C239" s="52" t="s">
        <v>194</v>
      </c>
    </row>
    <row r="240" spans="1:3" x14ac:dyDescent="0.2">
      <c r="A240" s="83" t="s">
        <v>88</v>
      </c>
      <c r="B240" s="130">
        <v>0.4</v>
      </c>
    </row>
    <row r="241" spans="1:3" x14ac:dyDescent="0.2">
      <c r="A241" s="370" t="s">
        <v>312</v>
      </c>
      <c r="B241" s="370"/>
      <c r="C241" s="370"/>
    </row>
    <row r="242" spans="1:3" x14ac:dyDescent="0.2">
      <c r="A242" s="52" t="s">
        <v>304</v>
      </c>
      <c r="B242" s="130">
        <v>60</v>
      </c>
      <c r="C242" s="84" t="s">
        <v>407</v>
      </c>
    </row>
    <row r="243" spans="1:3" x14ac:dyDescent="0.2">
      <c r="A243" s="83" t="s">
        <v>35</v>
      </c>
      <c r="B243" s="130">
        <v>250</v>
      </c>
      <c r="C243" s="52" t="s">
        <v>24</v>
      </c>
    </row>
    <row r="244" spans="1:3" x14ac:dyDescent="0.2">
      <c r="A244" s="83" t="s">
        <v>420</v>
      </c>
      <c r="B244" s="131">
        <v>1</v>
      </c>
      <c r="C244" s="52" t="s">
        <v>60</v>
      </c>
    </row>
    <row r="245" spans="1:3" x14ac:dyDescent="0.2">
      <c r="A245" s="83" t="s">
        <v>62</v>
      </c>
      <c r="B245" s="130">
        <v>50</v>
      </c>
      <c r="C245" s="84" t="s">
        <v>48</v>
      </c>
    </row>
    <row r="246" spans="1:3" x14ac:dyDescent="0.2">
      <c r="A246" s="52" t="s">
        <v>318</v>
      </c>
      <c r="B246" s="131">
        <v>1</v>
      </c>
    </row>
    <row r="247" spans="1:3" x14ac:dyDescent="0.2">
      <c r="A247" s="83" t="s">
        <v>300</v>
      </c>
      <c r="B247" s="131">
        <v>1</v>
      </c>
    </row>
    <row r="248" spans="1:3" x14ac:dyDescent="0.2">
      <c r="A248" s="83" t="s">
        <v>299</v>
      </c>
      <c r="B248" s="131">
        <v>0.4</v>
      </c>
    </row>
    <row r="249" spans="1:3" x14ac:dyDescent="0.2">
      <c r="A249" s="83" t="s">
        <v>54</v>
      </c>
      <c r="B249" s="131">
        <v>1</v>
      </c>
    </row>
    <row r="250" spans="1:3" x14ac:dyDescent="0.2">
      <c r="A250" s="83" t="s">
        <v>83</v>
      </c>
      <c r="B250" s="130">
        <v>0</v>
      </c>
      <c r="C250" s="52" t="s">
        <v>194</v>
      </c>
    </row>
    <row r="251" spans="1:3" x14ac:dyDescent="0.2">
      <c r="A251" s="83" t="s">
        <v>85</v>
      </c>
      <c r="B251" s="130">
        <v>8</v>
      </c>
      <c r="C251" s="52" t="s">
        <v>194</v>
      </c>
    </row>
    <row r="252" spans="1:3" x14ac:dyDescent="0.2">
      <c r="A252" s="83" t="s">
        <v>88</v>
      </c>
      <c r="B252" s="130">
        <v>0.4</v>
      </c>
    </row>
    <row r="253" spans="1:3" x14ac:dyDescent="0.2">
      <c r="A253" s="370" t="s">
        <v>313</v>
      </c>
      <c r="B253" s="370"/>
      <c r="C253" s="370"/>
    </row>
    <row r="254" spans="1:3" x14ac:dyDescent="0.2">
      <c r="A254" s="52" t="s">
        <v>50</v>
      </c>
      <c r="B254" s="130">
        <v>60</v>
      </c>
      <c r="C254" s="84" t="s">
        <v>407</v>
      </c>
    </row>
    <row r="255" spans="1:3" x14ac:dyDescent="0.2">
      <c r="A255" s="83" t="s">
        <v>423</v>
      </c>
      <c r="B255" s="130">
        <v>225</v>
      </c>
      <c r="C255" s="52" t="s">
        <v>24</v>
      </c>
    </row>
    <row r="256" spans="1:3" x14ac:dyDescent="0.2">
      <c r="A256" s="83" t="s">
        <v>424</v>
      </c>
      <c r="B256" s="131">
        <v>1</v>
      </c>
      <c r="C256" s="52" t="s">
        <v>60</v>
      </c>
    </row>
    <row r="257" spans="1:3" x14ac:dyDescent="0.2">
      <c r="A257" s="83" t="s">
        <v>503</v>
      </c>
      <c r="B257" s="130">
        <v>100</v>
      </c>
      <c r="C257" s="84" t="s">
        <v>48</v>
      </c>
    </row>
    <row r="258" spans="1:3" x14ac:dyDescent="0.2">
      <c r="A258" s="52" t="s">
        <v>318</v>
      </c>
      <c r="B258" s="131">
        <v>1</v>
      </c>
    </row>
    <row r="259" spans="1:3" x14ac:dyDescent="0.2">
      <c r="A259" s="83" t="s">
        <v>300</v>
      </c>
      <c r="B259" s="131">
        <v>1</v>
      </c>
    </row>
    <row r="260" spans="1:3" x14ac:dyDescent="0.2">
      <c r="A260" s="83" t="s">
        <v>299</v>
      </c>
      <c r="B260" s="131">
        <v>0.4</v>
      </c>
    </row>
    <row r="261" spans="1:3" x14ac:dyDescent="0.2">
      <c r="A261" s="83" t="s">
        <v>54</v>
      </c>
      <c r="B261" s="131">
        <v>1</v>
      </c>
    </row>
    <row r="262" spans="1:3" x14ac:dyDescent="0.2">
      <c r="A262" s="83" t="s">
        <v>83</v>
      </c>
      <c r="B262" s="130">
        <v>8</v>
      </c>
      <c r="C262" s="52" t="s">
        <v>194</v>
      </c>
    </row>
    <row r="263" spans="1:3" x14ac:dyDescent="0.2">
      <c r="A263" s="83" t="s">
        <v>85</v>
      </c>
      <c r="B263" s="130">
        <v>0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370" t="s">
        <v>314</v>
      </c>
      <c r="B265" s="370"/>
      <c r="C265" s="370"/>
    </row>
    <row r="266" spans="1:3" x14ac:dyDescent="0.2">
      <c r="A266" s="52" t="s">
        <v>348</v>
      </c>
      <c r="B266" s="130">
        <v>60</v>
      </c>
      <c r="C266" s="84" t="s">
        <v>407</v>
      </c>
    </row>
    <row r="267" spans="1:3" x14ac:dyDescent="0.2">
      <c r="A267" s="83" t="s">
        <v>191</v>
      </c>
      <c r="B267" s="130">
        <v>250</v>
      </c>
      <c r="C267" s="52" t="s">
        <v>24</v>
      </c>
    </row>
    <row r="268" spans="1:3" x14ac:dyDescent="0.2">
      <c r="A268" s="83" t="s">
        <v>158</v>
      </c>
      <c r="B268" s="131">
        <v>1</v>
      </c>
      <c r="C268" s="52" t="s">
        <v>60</v>
      </c>
    </row>
    <row r="269" spans="1:3" x14ac:dyDescent="0.2">
      <c r="A269" s="83" t="s">
        <v>502</v>
      </c>
      <c r="B269" s="130">
        <v>330</v>
      </c>
      <c r="C269" s="84" t="s">
        <v>48</v>
      </c>
    </row>
    <row r="270" spans="1:3" x14ac:dyDescent="0.2">
      <c r="A270" s="52" t="s">
        <v>318</v>
      </c>
      <c r="B270" s="131">
        <v>1</v>
      </c>
    </row>
    <row r="271" spans="1:3" x14ac:dyDescent="0.2">
      <c r="A271" s="83" t="s">
        <v>300</v>
      </c>
      <c r="B271" s="131">
        <v>1</v>
      </c>
    </row>
    <row r="272" spans="1:3" x14ac:dyDescent="0.2">
      <c r="A272" s="83" t="s">
        <v>299</v>
      </c>
      <c r="B272" s="131">
        <v>0.4</v>
      </c>
    </row>
    <row r="273" spans="1:3" x14ac:dyDescent="0.2">
      <c r="A273" s="83" t="s">
        <v>54</v>
      </c>
      <c r="B273" s="131">
        <v>1</v>
      </c>
    </row>
    <row r="274" spans="1:3" x14ac:dyDescent="0.2">
      <c r="A274" s="83" t="s">
        <v>83</v>
      </c>
      <c r="B274" s="130">
        <v>8</v>
      </c>
      <c r="C274" s="52" t="s">
        <v>194</v>
      </c>
    </row>
    <row r="275" spans="1:3" x14ac:dyDescent="0.2">
      <c r="A275" s="83" t="s">
        <v>85</v>
      </c>
      <c r="B275" s="130">
        <v>8</v>
      </c>
      <c r="C275" s="52" t="s">
        <v>194</v>
      </c>
    </row>
    <row r="276" spans="1:3" x14ac:dyDescent="0.2">
      <c r="A276" s="83" t="s">
        <v>88</v>
      </c>
      <c r="B276" s="130">
        <v>0.4</v>
      </c>
    </row>
    <row r="277" spans="1:3" x14ac:dyDescent="0.2">
      <c r="A277" s="83" t="s">
        <v>219</v>
      </c>
      <c r="B277" s="130">
        <v>5</v>
      </c>
      <c r="C277" s="52" t="s">
        <v>112</v>
      </c>
    </row>
    <row r="278" spans="1:3" x14ac:dyDescent="0.2">
      <c r="A278" s="83" t="s">
        <v>220</v>
      </c>
      <c r="B278" s="130">
        <v>50</v>
      </c>
      <c r="C278" s="52" t="s">
        <v>113</v>
      </c>
    </row>
    <row r="279" spans="1:3" x14ac:dyDescent="0.2">
      <c r="A279" s="52" t="s">
        <v>319</v>
      </c>
      <c r="B279" s="131">
        <v>6.7949999999999997E-2</v>
      </c>
    </row>
    <row r="280" spans="1:3" x14ac:dyDescent="0.2">
      <c r="A280" s="52" t="s">
        <v>320</v>
      </c>
      <c r="B280" s="131">
        <v>0.75568000000000002</v>
      </c>
    </row>
    <row r="281" spans="1:3" x14ac:dyDescent="0.2">
      <c r="A281" s="52" t="s">
        <v>321</v>
      </c>
      <c r="B281" s="131">
        <v>2.249E-2</v>
      </c>
    </row>
    <row r="282" spans="1:3" x14ac:dyDescent="0.2">
      <c r="A282" s="52" t="s">
        <v>322</v>
      </c>
      <c r="B282" s="131">
        <v>0.46279999999999999</v>
      </c>
    </row>
    <row r="283" spans="1:3" x14ac:dyDescent="0.2">
      <c r="A283" s="52" t="s">
        <v>323</v>
      </c>
      <c r="B283" s="131">
        <v>3.7060000000000003E-2</v>
      </c>
    </row>
    <row r="284" spans="1:3" x14ac:dyDescent="0.2">
      <c r="A284" s="52" t="s">
        <v>324</v>
      </c>
      <c r="B284" s="131">
        <v>0.64970000000000006</v>
      </c>
    </row>
    <row r="285" spans="1:3" x14ac:dyDescent="0.2">
      <c r="A285" s="52" t="s">
        <v>325</v>
      </c>
      <c r="B285" s="131">
        <v>4.2700000000000002E-2</v>
      </c>
    </row>
    <row r="286" spans="1:3" x14ac:dyDescent="0.2">
      <c r="A286" s="52" t="s">
        <v>326</v>
      </c>
      <c r="B286" s="131">
        <v>0.72250000000000003</v>
      </c>
    </row>
    <row r="287" spans="1:3" x14ac:dyDescent="0.2">
      <c r="A287" s="52" t="s">
        <v>327</v>
      </c>
      <c r="B287" s="131">
        <v>5.8389999999999997E-2</v>
      </c>
    </row>
    <row r="288" spans="1:3" x14ac:dyDescent="0.2">
      <c r="A288" s="52" t="s">
        <v>328</v>
      </c>
      <c r="B288" s="131">
        <v>0.70089999999999997</v>
      </c>
    </row>
    <row r="289" spans="1:3" x14ac:dyDescent="0.2">
      <c r="A289" s="370" t="s">
        <v>315</v>
      </c>
      <c r="B289" s="370"/>
      <c r="C289" s="370"/>
    </row>
    <row r="290" spans="1:3" x14ac:dyDescent="0.2">
      <c r="A290" s="52" t="s">
        <v>348</v>
      </c>
      <c r="B290" s="130">
        <v>60</v>
      </c>
      <c r="C290" s="84" t="s">
        <v>407</v>
      </c>
    </row>
    <row r="291" spans="1:3" x14ac:dyDescent="0.2">
      <c r="A291" s="83" t="s">
        <v>191</v>
      </c>
      <c r="B291" s="130">
        <v>250</v>
      </c>
      <c r="C291" s="52" t="s">
        <v>24</v>
      </c>
    </row>
    <row r="292" spans="1:3" x14ac:dyDescent="0.2">
      <c r="A292" s="83" t="s">
        <v>158</v>
      </c>
      <c r="B292" s="131">
        <v>1</v>
      </c>
      <c r="C292" s="52" t="s">
        <v>60</v>
      </c>
    </row>
    <row r="293" spans="1:3" x14ac:dyDescent="0.2">
      <c r="A293" s="83" t="s">
        <v>502</v>
      </c>
      <c r="B293" s="130">
        <v>330</v>
      </c>
      <c r="C293" s="84" t="s">
        <v>48</v>
      </c>
    </row>
    <row r="294" spans="1:3" x14ac:dyDescent="0.2">
      <c r="A294" s="83" t="s">
        <v>300</v>
      </c>
      <c r="B294" s="131">
        <v>1</v>
      </c>
    </row>
    <row r="295" spans="1:3" x14ac:dyDescent="0.2">
      <c r="A295" s="83" t="s">
        <v>299</v>
      </c>
      <c r="B295" s="131">
        <v>0.4</v>
      </c>
    </row>
    <row r="296" spans="1:3" x14ac:dyDescent="0.2">
      <c r="A296" s="83" t="s">
        <v>54</v>
      </c>
      <c r="B296" s="131">
        <v>1</v>
      </c>
    </row>
    <row r="297" spans="1:3" x14ac:dyDescent="0.2">
      <c r="A297" s="83" t="s">
        <v>83</v>
      </c>
      <c r="B297" s="130">
        <v>8</v>
      </c>
      <c r="C297" s="52" t="s">
        <v>194</v>
      </c>
    </row>
    <row r="298" spans="1:3" x14ac:dyDescent="0.2">
      <c r="A298" s="83" t="s">
        <v>85</v>
      </c>
      <c r="B298" s="130">
        <v>8</v>
      </c>
      <c r="C298" s="52" t="s">
        <v>194</v>
      </c>
    </row>
    <row r="299" spans="1:3" x14ac:dyDescent="0.2">
      <c r="A299" s="83" t="s">
        <v>88</v>
      </c>
      <c r="B299" s="130">
        <v>0.4</v>
      </c>
    </row>
    <row r="300" spans="1:3" x14ac:dyDescent="0.2">
      <c r="A300" s="83" t="s">
        <v>219</v>
      </c>
      <c r="B300" s="130">
        <v>5</v>
      </c>
      <c r="C300" s="52" t="s">
        <v>112</v>
      </c>
    </row>
    <row r="301" spans="1:3" x14ac:dyDescent="0.2">
      <c r="A301" s="83" t="s">
        <v>220</v>
      </c>
      <c r="B301" s="130">
        <v>50</v>
      </c>
      <c r="C301" s="52" t="s">
        <v>113</v>
      </c>
    </row>
  </sheetData>
  <mergeCells count="346">
    <mergeCell ref="J2:J4"/>
    <mergeCell ref="K2:K4"/>
    <mergeCell ref="L2:L4"/>
    <mergeCell ref="E43:E44"/>
    <mergeCell ref="F43:F44"/>
    <mergeCell ref="G2:G4"/>
    <mergeCell ref="H2:H4"/>
    <mergeCell ref="I2:I4"/>
    <mergeCell ref="V23:X23"/>
    <mergeCell ref="Y23:AA23"/>
    <mergeCell ref="D30:F30"/>
    <mergeCell ref="D31:D32"/>
    <mergeCell ref="E31:E32"/>
    <mergeCell ref="F31:F32"/>
    <mergeCell ref="N21:N23"/>
    <mergeCell ref="O21:O23"/>
    <mergeCell ref="P21:P23"/>
    <mergeCell ref="Q21:Q23"/>
    <mergeCell ref="R21:R23"/>
    <mergeCell ref="HD21:HF21"/>
    <mergeCell ref="CB19:CB21"/>
    <mergeCell ref="CC19:CC21"/>
    <mergeCell ref="CD19:CD21"/>
    <mergeCell ref="CE19:CE21"/>
    <mergeCell ref="CF19:CF21"/>
    <mergeCell ref="CG19:CG21"/>
    <mergeCell ref="M20:O20"/>
    <mergeCell ref="P20:R20"/>
    <mergeCell ref="M21:M23"/>
    <mergeCell ref="BK21:BK23"/>
    <mergeCell ref="BL21:BL23"/>
    <mergeCell ref="BM21:BM23"/>
    <mergeCell ref="BN21:BN23"/>
    <mergeCell ref="BO21:BO23"/>
    <mergeCell ref="CQ20:CQ22"/>
    <mergeCell ref="CR20:CR22"/>
    <mergeCell ref="CS20:CS22"/>
    <mergeCell ref="AI21:AI23"/>
    <mergeCell ref="AJ21:AJ23"/>
    <mergeCell ref="AK21:AK23"/>
    <mergeCell ref="AL21:AL23"/>
    <mergeCell ref="AM21:AM23"/>
    <mergeCell ref="AN21:AN23"/>
    <mergeCell ref="AR21:AR23"/>
    <mergeCell ref="AS21:AS23"/>
    <mergeCell ref="AT21:AT23"/>
    <mergeCell ref="AU21:AU23"/>
    <mergeCell ref="AV21:AV23"/>
    <mergeCell ref="AW21:AW23"/>
    <mergeCell ref="BA21:BA23"/>
    <mergeCell ref="CQ19:CS19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CK20:CK22"/>
    <mergeCell ref="CK19:CM19"/>
    <mergeCell ref="CN19:CP19"/>
    <mergeCell ref="CL20:CL22"/>
    <mergeCell ref="CM20:CM22"/>
    <mergeCell ref="CN20:CN22"/>
    <mergeCell ref="CO20:CO22"/>
    <mergeCell ref="CP20:CP22"/>
    <mergeCell ref="BB21:BB23"/>
    <mergeCell ref="BC21:BC23"/>
    <mergeCell ref="BD21:BD23"/>
    <mergeCell ref="BE21:BE23"/>
    <mergeCell ref="BF21:BF23"/>
    <mergeCell ref="BJ21:BJ23"/>
    <mergeCell ref="CB18:CD18"/>
    <mergeCell ref="CE18:CG18"/>
    <mergeCell ref="HA2:HA4"/>
    <mergeCell ref="GL2:GL4"/>
    <mergeCell ref="GM2:GM4"/>
    <mergeCell ref="GN2:GN4"/>
    <mergeCell ref="GO2:GO4"/>
    <mergeCell ref="GP2:GP4"/>
    <mergeCell ref="GG2:GG4"/>
    <mergeCell ref="GH2:GH4"/>
    <mergeCell ref="GI2:GI4"/>
    <mergeCell ref="GJ2:GJ4"/>
    <mergeCell ref="GK2:GK4"/>
    <mergeCell ref="GB2:GB4"/>
    <mergeCell ref="GC2:GC4"/>
    <mergeCell ref="GD2:GD4"/>
    <mergeCell ref="GE2:GE4"/>
    <mergeCell ref="GF2:GF4"/>
    <mergeCell ref="HB2:HB4"/>
    <mergeCell ref="HC2:HC4"/>
    <mergeCell ref="GV2:GV4"/>
    <mergeCell ref="GW2:GW4"/>
    <mergeCell ref="GX2:GX4"/>
    <mergeCell ref="GY2:GY4"/>
    <mergeCell ref="GZ2:GZ4"/>
    <mergeCell ref="GQ2:GQ4"/>
    <mergeCell ref="GR2:GR4"/>
    <mergeCell ref="GS2:GS4"/>
    <mergeCell ref="GT2:GT4"/>
    <mergeCell ref="GU2:GU4"/>
    <mergeCell ref="FW2:FW4"/>
    <mergeCell ref="FX2:FX4"/>
    <mergeCell ref="FY2:FY4"/>
    <mergeCell ref="FZ2:FZ4"/>
    <mergeCell ref="GA2:GA4"/>
    <mergeCell ref="FR2:FR4"/>
    <mergeCell ref="FS2:FS4"/>
    <mergeCell ref="FT2:FT4"/>
    <mergeCell ref="FU2:FU4"/>
    <mergeCell ref="FV2:FV4"/>
    <mergeCell ref="FM2:FM4"/>
    <mergeCell ref="FN2:FN4"/>
    <mergeCell ref="FO2:FO4"/>
    <mergeCell ref="FP2:FP4"/>
    <mergeCell ref="FQ2:FQ4"/>
    <mergeCell ref="FH2:FH4"/>
    <mergeCell ref="FI2:FI4"/>
    <mergeCell ref="FJ2:FJ4"/>
    <mergeCell ref="FK2:FK4"/>
    <mergeCell ref="FL2:FL4"/>
    <mergeCell ref="FC2:FC4"/>
    <mergeCell ref="FD2:FD4"/>
    <mergeCell ref="FE2:FE4"/>
    <mergeCell ref="FF2:FF4"/>
    <mergeCell ref="FG2:FG4"/>
    <mergeCell ref="EX2:EX4"/>
    <mergeCell ref="EY2:EY4"/>
    <mergeCell ref="EZ2:EZ4"/>
    <mergeCell ref="FA2:FA4"/>
    <mergeCell ref="FB2:FB4"/>
    <mergeCell ref="ES2:ES4"/>
    <mergeCell ref="ET2:ET4"/>
    <mergeCell ref="EU2:EU4"/>
    <mergeCell ref="EV2:EV4"/>
    <mergeCell ref="EW2:EW4"/>
    <mergeCell ref="EN2:EN4"/>
    <mergeCell ref="EO2:EO4"/>
    <mergeCell ref="EP2:EP4"/>
    <mergeCell ref="EQ2:EQ4"/>
    <mergeCell ref="ER2:ER4"/>
    <mergeCell ref="EI2:EI4"/>
    <mergeCell ref="EJ2:EJ4"/>
    <mergeCell ref="EK2:EK4"/>
    <mergeCell ref="EL2:EL4"/>
    <mergeCell ref="EM2:EM4"/>
    <mergeCell ref="ED2:ED4"/>
    <mergeCell ref="EE2:EE4"/>
    <mergeCell ref="EF2:EF4"/>
    <mergeCell ref="EG2:EG4"/>
    <mergeCell ref="EH2:EH4"/>
    <mergeCell ref="DY2:DY4"/>
    <mergeCell ref="DZ2:DZ4"/>
    <mergeCell ref="EA2:EA4"/>
    <mergeCell ref="EB2:EB4"/>
    <mergeCell ref="EC2:EC4"/>
    <mergeCell ref="DT2:DT4"/>
    <mergeCell ref="DU2:DU4"/>
    <mergeCell ref="DV2:DV4"/>
    <mergeCell ref="DW2:DW4"/>
    <mergeCell ref="DX2:DX4"/>
    <mergeCell ref="DO2:DO4"/>
    <mergeCell ref="DP2:DP4"/>
    <mergeCell ref="DQ2:DQ4"/>
    <mergeCell ref="DR2:DR4"/>
    <mergeCell ref="DS2:DS4"/>
    <mergeCell ref="DJ2:DJ4"/>
    <mergeCell ref="DK2:DK4"/>
    <mergeCell ref="DL2:DL4"/>
    <mergeCell ref="DM2:DM4"/>
    <mergeCell ref="DN2:DN4"/>
    <mergeCell ref="DE2:DE4"/>
    <mergeCell ref="DF2:DF4"/>
    <mergeCell ref="DG2:DG4"/>
    <mergeCell ref="DH2:DH4"/>
    <mergeCell ref="DI2:DI4"/>
    <mergeCell ref="CZ2:CZ4"/>
    <mergeCell ref="DA2:DA4"/>
    <mergeCell ref="DB2:DB4"/>
    <mergeCell ref="DC2:DC4"/>
    <mergeCell ref="DD2:DD4"/>
    <mergeCell ref="CR2:CR4"/>
    <mergeCell ref="CS2:CS4"/>
    <mergeCell ref="CT2:CT4"/>
    <mergeCell ref="CU2:CU4"/>
    <mergeCell ref="CV2:CV4"/>
    <mergeCell ref="CM2:CM4"/>
    <mergeCell ref="CN2:CN4"/>
    <mergeCell ref="CO2:CO4"/>
    <mergeCell ref="CP2:CP4"/>
    <mergeCell ref="CQ2:CQ4"/>
    <mergeCell ref="CH2:CH4"/>
    <mergeCell ref="CI2:CI4"/>
    <mergeCell ref="CJ2:CJ4"/>
    <mergeCell ref="CK2:CK4"/>
    <mergeCell ref="CL2:CL4"/>
    <mergeCell ref="CC2:CC4"/>
    <mergeCell ref="CD2:CD4"/>
    <mergeCell ref="CE2:CE4"/>
    <mergeCell ref="CF2:CF4"/>
    <mergeCell ref="CG2:CG4"/>
    <mergeCell ref="BY2:BY4"/>
    <mergeCell ref="BZ2:BZ4"/>
    <mergeCell ref="CA2:CA4"/>
    <mergeCell ref="CB2:CB4"/>
    <mergeCell ref="BP2:BP4"/>
    <mergeCell ref="BQ2:BQ4"/>
    <mergeCell ref="BR2:BR4"/>
    <mergeCell ref="BV2:BV4"/>
    <mergeCell ref="BW2:BW4"/>
    <mergeCell ref="BM2:BM4"/>
    <mergeCell ref="BN2:BN4"/>
    <mergeCell ref="BO2:BO4"/>
    <mergeCell ref="BF2:BF4"/>
    <mergeCell ref="BG2:BG4"/>
    <mergeCell ref="BH2:BH4"/>
    <mergeCell ref="BI2:BI4"/>
    <mergeCell ref="BJ2:BJ4"/>
    <mergeCell ref="BX2:BX4"/>
    <mergeCell ref="BD2:BD4"/>
    <mergeCell ref="BE2:BE4"/>
    <mergeCell ref="AV2:AV4"/>
    <mergeCell ref="AW2:AW4"/>
    <mergeCell ref="AX2:AX4"/>
    <mergeCell ref="AY2:AY4"/>
    <mergeCell ref="AZ2:AZ4"/>
    <mergeCell ref="BK2:BK4"/>
    <mergeCell ref="BL2:BL4"/>
    <mergeCell ref="AU2:AU4"/>
    <mergeCell ref="AL2:AL4"/>
    <mergeCell ref="AM2:AM4"/>
    <mergeCell ref="AN2:AN4"/>
    <mergeCell ref="AO2:AO4"/>
    <mergeCell ref="AP2:AP4"/>
    <mergeCell ref="BA2:BA4"/>
    <mergeCell ref="BB2:BB4"/>
    <mergeCell ref="BC2:BC4"/>
    <mergeCell ref="AK2:AK4"/>
    <mergeCell ref="GX1:GZ1"/>
    <mergeCell ref="HA1:HC1"/>
    <mergeCell ref="HD1:HF1"/>
    <mergeCell ref="M2:M4"/>
    <mergeCell ref="N2:N4"/>
    <mergeCell ref="O2:O4"/>
    <mergeCell ref="P2:P4"/>
    <mergeCell ref="Q2:Q4"/>
    <mergeCell ref="R2:R4"/>
    <mergeCell ref="S2:S4"/>
    <mergeCell ref="T2:T4"/>
    <mergeCell ref="U2:U4"/>
    <mergeCell ref="AC2:AC4"/>
    <mergeCell ref="AD2:AD4"/>
    <mergeCell ref="AE2:AE4"/>
    <mergeCell ref="AF2:AF4"/>
    <mergeCell ref="GI1:GK1"/>
    <mergeCell ref="GL1:GN1"/>
    <mergeCell ref="GO1:GQ1"/>
    <mergeCell ref="AQ2:AQ4"/>
    <mergeCell ref="AR2:AR4"/>
    <mergeCell ref="AS2:AS4"/>
    <mergeCell ref="AT2:AT4"/>
    <mergeCell ref="GR1:GT1"/>
    <mergeCell ref="GU1:GW1"/>
    <mergeCell ref="FT1:FV1"/>
    <mergeCell ref="FW1:FX1"/>
    <mergeCell ref="FZ1:GB1"/>
    <mergeCell ref="GC1:GE1"/>
    <mergeCell ref="GF1:GH1"/>
    <mergeCell ref="FE1:FG1"/>
    <mergeCell ref="FH1:FJ1"/>
    <mergeCell ref="FK1:FM1"/>
    <mergeCell ref="FN1:FP1"/>
    <mergeCell ref="FQ1:FS1"/>
    <mergeCell ref="ES1:EU1"/>
    <mergeCell ref="EV1:EX1"/>
    <mergeCell ref="EY1:FA1"/>
    <mergeCell ref="FB1:FD1"/>
    <mergeCell ref="EA1:EC1"/>
    <mergeCell ref="ED1:EF1"/>
    <mergeCell ref="EG1:EI1"/>
    <mergeCell ref="EJ1:EL1"/>
    <mergeCell ref="EM1:EO1"/>
    <mergeCell ref="DR1:DT1"/>
    <mergeCell ref="DU1:DW1"/>
    <mergeCell ref="DX1:DZ1"/>
    <mergeCell ref="CW1:CY1"/>
    <mergeCell ref="CZ1:DB1"/>
    <mergeCell ref="DC1:DE1"/>
    <mergeCell ref="DF1:DH1"/>
    <mergeCell ref="DI1:DK1"/>
    <mergeCell ref="EP1:ER1"/>
    <mergeCell ref="CQ1:CS1"/>
    <mergeCell ref="CT1:CV1"/>
    <mergeCell ref="BS1:BU1"/>
    <mergeCell ref="BV1:BX1"/>
    <mergeCell ref="BY1:CA1"/>
    <mergeCell ref="CB1:CD1"/>
    <mergeCell ref="CE1:CG1"/>
    <mergeCell ref="DL1:DN1"/>
    <mergeCell ref="DO1:DQ1"/>
    <mergeCell ref="BP1:BR1"/>
    <mergeCell ref="AO1:AQ1"/>
    <mergeCell ref="AR1:AT1"/>
    <mergeCell ref="AU1:AW1"/>
    <mergeCell ref="AX1:AZ1"/>
    <mergeCell ref="BA1:BC1"/>
    <mergeCell ref="CH1:CJ1"/>
    <mergeCell ref="CK1:CM1"/>
    <mergeCell ref="CN1:CP1"/>
    <mergeCell ref="A289:C289"/>
    <mergeCell ref="A37:C37"/>
    <mergeCell ref="AE36:AG38"/>
    <mergeCell ref="A81:C81"/>
    <mergeCell ref="A92:C92"/>
    <mergeCell ref="A140:C140"/>
    <mergeCell ref="A229:C229"/>
    <mergeCell ref="A241:C241"/>
    <mergeCell ref="CC35:CG38"/>
    <mergeCell ref="D42:F42"/>
    <mergeCell ref="D43:D44"/>
    <mergeCell ref="A2:C4"/>
    <mergeCell ref="A1:C1"/>
    <mergeCell ref="BK37:BO40"/>
    <mergeCell ref="A253:C253"/>
    <mergeCell ref="A265:C265"/>
    <mergeCell ref="D1:F1"/>
    <mergeCell ref="G1:I1"/>
    <mergeCell ref="J1:L1"/>
    <mergeCell ref="M1:O1"/>
    <mergeCell ref="P1:R1"/>
    <mergeCell ref="S1:U1"/>
    <mergeCell ref="V1:X1"/>
    <mergeCell ref="Y1:AA1"/>
    <mergeCell ref="AB1:AB4"/>
    <mergeCell ref="AI1:AK1"/>
    <mergeCell ref="AL1:AN1"/>
    <mergeCell ref="BD1:BF1"/>
    <mergeCell ref="BG1:BI1"/>
    <mergeCell ref="BJ1:BL1"/>
    <mergeCell ref="BM1:BO1"/>
    <mergeCell ref="AG2:AG4"/>
    <mergeCell ref="AH2:AH4"/>
    <mergeCell ref="AI2:AI4"/>
    <mergeCell ref="AJ2:AJ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301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HE4" sqref="HE4"/>
    </sheetView>
  </sheetViews>
  <sheetFormatPr defaultRowHeight="12.75" x14ac:dyDescent="0.2"/>
  <cols>
    <col min="1" max="1" width="15" style="52" bestFit="1" customWidth="1"/>
    <col min="2" max="2" width="10.85546875" style="52" bestFit="1" customWidth="1"/>
    <col min="3" max="3" width="21.425781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85546875" style="52" bestFit="1" customWidth="1"/>
    <col min="79" max="79" width="18.85546875" style="52" bestFit="1" customWidth="1"/>
    <col min="80" max="80" width="11" style="52" bestFit="1" customWidth="1"/>
    <col min="81" max="81" width="10.85546875" style="52" bestFit="1" customWidth="1"/>
    <col min="82" max="82" width="20.28515625" style="52" bestFit="1" customWidth="1"/>
    <col min="83" max="83" width="12.42578125" style="52" bestFit="1" customWidth="1"/>
    <col min="84" max="84" width="9.85546875" style="52" bestFit="1" customWidth="1"/>
    <col min="85" max="85" width="20.28515625" style="52" bestFit="1" customWidth="1"/>
    <col min="86" max="86" width="13.5703125" style="52" bestFit="1" customWidth="1"/>
    <col min="87" max="87" width="9.8554687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5.57031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8.85546875" style="52" bestFit="1" customWidth="1"/>
    <col min="142" max="142" width="7" style="52" bestFit="1" customWidth="1"/>
    <col min="143" max="143" width="12" style="52" bestFit="1" customWidth="1"/>
    <col min="144" max="144" width="9.28515625" style="52" bestFit="1" customWidth="1"/>
    <col min="145" max="145" width="7" style="52" bestFit="1" customWidth="1"/>
    <col min="146" max="146" width="12" style="52" bestFit="1" customWidth="1"/>
    <col min="147" max="147" width="8.85546875" style="52" bestFit="1" customWidth="1"/>
    <col min="148" max="148" width="7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7" style="52" bestFit="1" customWidth="1"/>
    <col min="158" max="158" width="12" style="52" bestFit="1" customWidth="1"/>
    <col min="159" max="159" width="9.28515625" style="52" bestFit="1" customWidth="1"/>
    <col min="160" max="160" width="7" style="52" bestFit="1" customWidth="1"/>
    <col min="161" max="161" width="12" style="52" bestFit="1" customWidth="1"/>
    <col min="162" max="162" width="8.85546875" style="52" bestFit="1" customWidth="1"/>
    <col min="163" max="163" width="7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5.57031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5.57031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9.28515625" style="52" bestFit="1" customWidth="1"/>
    <col min="187" max="187" width="6" style="52" bestFit="1" customWidth="1"/>
    <col min="188" max="188" width="12" style="52" bestFit="1" customWidth="1"/>
    <col min="189" max="189" width="9.28515625" style="52" bestFit="1" customWidth="1"/>
    <col min="190" max="190" width="7" style="52" bestFit="1" customWidth="1"/>
    <col min="191" max="191" width="12" style="52" bestFit="1" customWidth="1"/>
    <col min="192" max="192" width="9.28515625" style="52" bestFit="1" customWidth="1"/>
    <col min="193" max="193" width="7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7" style="52" bestFit="1" customWidth="1"/>
    <col min="203" max="203" width="12" style="52" bestFit="1" customWidth="1"/>
    <col min="204" max="204" width="9.28515625" style="52" bestFit="1" customWidth="1"/>
    <col min="205" max="205" width="7" style="52" bestFit="1" customWidth="1"/>
    <col min="206" max="206" width="12" style="52" bestFit="1" customWidth="1"/>
    <col min="207" max="207" width="9.28515625" style="52" bestFit="1" customWidth="1"/>
    <col min="208" max="208" width="7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13" style="52" bestFit="1" customWidth="1"/>
    <col min="214" max="214" width="20.5703125" style="52" bestFit="1" customWidth="1"/>
    <col min="215" max="16384" width="9.140625" style="52"/>
  </cols>
  <sheetData>
    <row r="1" spans="1:214" ht="21.75" customHeight="1" thickTop="1" thickBot="1" x14ac:dyDescent="0.25">
      <c r="A1" s="349" t="s">
        <v>0</v>
      </c>
      <c r="B1" s="350"/>
      <c r="C1" s="351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532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658" t="s">
        <v>557</v>
      </c>
      <c r="AJ1" s="659"/>
      <c r="AK1" s="660"/>
      <c r="AL1" s="661" t="s">
        <v>546</v>
      </c>
      <c r="AM1" s="659"/>
      <c r="AN1" s="660"/>
      <c r="AO1" s="661" t="s">
        <v>547</v>
      </c>
      <c r="AP1" s="659"/>
      <c r="AQ1" s="662"/>
      <c r="AR1" s="658" t="s">
        <v>559</v>
      </c>
      <c r="AS1" s="659"/>
      <c r="AT1" s="660"/>
      <c r="AU1" s="661" t="s">
        <v>548</v>
      </c>
      <c r="AV1" s="659"/>
      <c r="AW1" s="660"/>
      <c r="AX1" s="661" t="s">
        <v>549</v>
      </c>
      <c r="AY1" s="659"/>
      <c r="AZ1" s="662"/>
      <c r="BA1" s="658" t="s">
        <v>561</v>
      </c>
      <c r="BB1" s="659"/>
      <c r="BC1" s="660"/>
      <c r="BD1" s="661" t="s">
        <v>551</v>
      </c>
      <c r="BE1" s="659"/>
      <c r="BF1" s="660"/>
      <c r="BG1" s="661" t="s">
        <v>552</v>
      </c>
      <c r="BH1" s="659"/>
      <c r="BI1" s="662"/>
      <c r="BJ1" s="658" t="s">
        <v>564</v>
      </c>
      <c r="BK1" s="659"/>
      <c r="BL1" s="660"/>
      <c r="BM1" s="661" t="s">
        <v>554</v>
      </c>
      <c r="BN1" s="659"/>
      <c r="BO1" s="660"/>
      <c r="BP1" s="661" t="s">
        <v>555</v>
      </c>
      <c r="BQ1" s="659"/>
      <c r="BR1" s="662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675" t="s">
        <v>569</v>
      </c>
      <c r="CC1" s="673"/>
      <c r="CD1" s="673"/>
      <c r="CE1" s="676" t="s">
        <v>570</v>
      </c>
      <c r="CF1" s="673"/>
      <c r="CG1" s="677"/>
      <c r="CH1" s="673" t="s">
        <v>571</v>
      </c>
      <c r="CI1" s="673"/>
      <c r="CJ1" s="674"/>
      <c r="CK1" s="675" t="s">
        <v>575</v>
      </c>
      <c r="CL1" s="673"/>
      <c r="CM1" s="673"/>
      <c r="CN1" s="676" t="s">
        <v>575</v>
      </c>
      <c r="CO1" s="673"/>
      <c r="CP1" s="677"/>
      <c r="CQ1" s="673" t="s">
        <v>575</v>
      </c>
      <c r="CR1" s="673"/>
      <c r="CS1" s="674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3.5" customHeight="1" thickTop="1" x14ac:dyDescent="0.2">
      <c r="A2" s="372" t="s">
        <v>233</v>
      </c>
      <c r="B2" s="373"/>
      <c r="C2" s="374"/>
      <c r="D2" s="193"/>
      <c r="E2" s="194"/>
      <c r="F2" s="194"/>
      <c r="G2" s="363" t="s">
        <v>531</v>
      </c>
      <c r="H2" s="360">
        <f>1/((1/H10)+(1/H12)+(1/H13))</f>
        <v>4.0184506175934671E-2</v>
      </c>
      <c r="I2" s="625" t="s">
        <v>291</v>
      </c>
      <c r="J2" s="622" t="s">
        <v>531</v>
      </c>
      <c r="K2" s="360">
        <f>1/((1/K14)+(1/K15)+(1/K16)+(1/K17))</f>
        <v>6.7889190119362159E-3</v>
      </c>
      <c r="L2" s="345" t="s">
        <v>290</v>
      </c>
      <c r="M2" s="330" t="s">
        <v>537</v>
      </c>
      <c r="N2" s="333">
        <f>((N5*N6*N7)/((1-EXP(-N7*N6))*N15*N13*(N9/365)*(((N14/24)*N12)+((N16/24)*N11))))/N17</f>
        <v>2.9972041916145007</v>
      </c>
      <c r="O2" s="336" t="s">
        <v>290</v>
      </c>
      <c r="P2" s="339" t="s">
        <v>537</v>
      </c>
      <c r="Q2" s="333">
        <f>((Q5*Q6*Q7)/((1-EXP(-Q7*Q6))*Q15*Q13*(Q9/365)*(((Q14/24)*Q12)+((Q16/24)*Q11))))/Q17</f>
        <v>6.0861595319518953</v>
      </c>
      <c r="R2" s="336" t="s">
        <v>290</v>
      </c>
      <c r="S2" s="339" t="s">
        <v>537</v>
      </c>
      <c r="T2" s="333">
        <f>((T5*T6*T7)/((1-EXP(-T7*T6))*T15*T13*(T9/365)*(((T14/24)*T12)+((T16/24)*T11))))/T17</f>
        <v>2.9972041916145007</v>
      </c>
      <c r="U2" s="342" t="s">
        <v>290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1.2905870963174704</v>
      </c>
      <c r="AD2" s="315">
        <f>1/((1/AD29)+(1/AD30)+(1/AD31))</f>
        <v>2.6141852308888942</v>
      </c>
      <c r="AE2" s="315">
        <f>1/((1/AE29)+(1/AE30)+(1/AE31))</f>
        <v>1.4339856625749674</v>
      </c>
      <c r="AF2" s="315">
        <f>1/((1/AF29)+(1/AF30)+(1/AF31))</f>
        <v>1.5425135305962354E-2</v>
      </c>
      <c r="AG2" s="320">
        <f>1/((1/AG29)+(1/AG31)+(1/AG30))</f>
        <v>0.41905907192646752</v>
      </c>
      <c r="AH2" s="318" t="s">
        <v>290</v>
      </c>
      <c r="AI2" s="307" t="s">
        <v>537</v>
      </c>
      <c r="AJ2" s="304">
        <f>((AJ5*AJ6*AJ7)/((1-EXP(-AJ7*AJ6))*AJ15*(AJ9/365)*AJ10*(AJ16/24)*AJ11*AJ13))/AJ17</f>
        <v>10.907725214542653</v>
      </c>
      <c r="AK2" s="291" t="s">
        <v>290</v>
      </c>
      <c r="AL2" s="288" t="s">
        <v>537</v>
      </c>
      <c r="AM2" s="304">
        <f>((AM5*AM6*AM7)/((1-EXP(-AM7*AM6))*AM15*(AM9/365)*AM10*(AM16/24)*AM11*AM13))/AM17</f>
        <v>22.149360384632534</v>
      </c>
      <c r="AN2" s="291" t="s">
        <v>290</v>
      </c>
      <c r="AO2" s="288" t="s">
        <v>537</v>
      </c>
      <c r="AP2" s="304">
        <f>((AP5*AP6*AP7)/((1-EXP(-AP7*AP6))*AP15*(AP9/365)*AP10*(AP16/24)*AP11*AP13))/AP17</f>
        <v>10.907725214542653</v>
      </c>
      <c r="AQ2" s="282" t="s">
        <v>290</v>
      </c>
      <c r="AR2" s="665" t="s">
        <v>537</v>
      </c>
      <c r="AS2" s="304">
        <f>((AS5*AS6*AS7)/((1-EXP(-AS7*AS6))*AS15*(AS9/365)*AS10*(AS14/24)*AS12*AS13))/AS17</f>
        <v>4.8478778731300682</v>
      </c>
      <c r="AT2" s="667" t="s">
        <v>290</v>
      </c>
      <c r="AU2" s="663" t="s">
        <v>537</v>
      </c>
      <c r="AV2" s="304">
        <f>((AV5*AV6*AV7)/((1-EXP(-AV7*AV6))*AV15*(AV9/365)*AV10*(AV14/24)*AV12*AV13))/AV17</f>
        <v>9.8441601709477915</v>
      </c>
      <c r="AW2" s="671" t="s">
        <v>290</v>
      </c>
      <c r="AX2" s="663" t="s">
        <v>537</v>
      </c>
      <c r="AY2" s="304">
        <f>((AY5*AY6*AY7)/((1-EXP(-AY7*AY6))*AY15*(AY9/365)*AY10*(AY14/24)*AY12*AY13))/AY17</f>
        <v>4.8478778731300682</v>
      </c>
      <c r="AZ2" s="669" t="s">
        <v>290</v>
      </c>
      <c r="BA2" s="665" t="s">
        <v>537</v>
      </c>
      <c r="BB2" s="304">
        <f>((BB5*BB6*BB7)/((1-EXP(-BB7*BB6))*BB15*(BB9/365)*(BB14/24)*BB12*BB13))/BB17</f>
        <v>4.3630900858170616</v>
      </c>
      <c r="BC2" s="667" t="s">
        <v>290</v>
      </c>
      <c r="BD2" s="663" t="s">
        <v>537</v>
      </c>
      <c r="BE2" s="304">
        <f>((BE5*BE6*BE7)/((1-EXP(-BE7*BE6))*BE15*(BE9/365)*(BE14/24)*BE12*BE13))/BE17</f>
        <v>8.8597441538530131</v>
      </c>
      <c r="BF2" s="667" t="s">
        <v>290</v>
      </c>
      <c r="BG2" s="663" t="s">
        <v>537</v>
      </c>
      <c r="BH2" s="304">
        <f>((BH5*BH6*BH7)/((1-EXP(-BH7*BH6))*BH15*(BH9/365)*(BH14/24)*BH12*BH13))/BH17</f>
        <v>4.3630900858170616</v>
      </c>
      <c r="BI2" s="669" t="s">
        <v>290</v>
      </c>
      <c r="BJ2" s="665" t="s">
        <v>537</v>
      </c>
      <c r="BK2" s="285">
        <f>((BK5*BK6*BK7)/((1-EXP(-BK7*BK6))*BK16*(BK9/365)*(BK15/24)*BK13*BK14))/BK17</f>
        <v>24042.640424840396</v>
      </c>
      <c r="BL2" s="667" t="s">
        <v>290</v>
      </c>
      <c r="BM2" s="663" t="s">
        <v>537</v>
      </c>
      <c r="BN2" s="285">
        <f>((BN5*BN6*BN7)/((1-EXP(-BN7*BN6))*BN16*(BN9/365)*(BN15/24)*BN13*BN14))/BN17</f>
        <v>101916.9704001221</v>
      </c>
      <c r="BO2" s="667" t="s">
        <v>290</v>
      </c>
      <c r="BP2" s="663" t="s">
        <v>537</v>
      </c>
      <c r="BQ2" s="285">
        <f>((BQ5*BQ6*BQ7)/((1-EXP(-BQ7*BQ6))*BQ16*(BQ9/365)*(BQ15/24)*BQ13*BQ14))/BQ17</f>
        <v>29162.701426470212</v>
      </c>
      <c r="BR2" s="669" t="s">
        <v>290</v>
      </c>
      <c r="BS2" s="214"/>
      <c r="BT2" s="120"/>
      <c r="BU2" s="215"/>
      <c r="BV2" s="258" t="s">
        <v>531</v>
      </c>
      <c r="BW2" s="261">
        <f>1/((1/BW10)+(1/BW12))</f>
        <v>10.69637097596565</v>
      </c>
      <c r="BX2" s="278" t="s">
        <v>291</v>
      </c>
      <c r="BY2" s="258" t="s">
        <v>531</v>
      </c>
      <c r="BZ2" s="261">
        <f>1/((1/BZ13)+(1/BZ14)+(1/BZ15))</f>
        <v>4.5500168280666013</v>
      </c>
      <c r="CA2" s="264" t="s">
        <v>290</v>
      </c>
      <c r="CB2" s="268" t="s">
        <v>537</v>
      </c>
      <c r="CC2" s="262">
        <f>((CC5*CC6*CC7)/((1-EXP(-CC7*CC6))*CC14*(CC9/365)*CC12*(CC13/24)*CC11))/CC15</f>
        <v>641137.07799574395</v>
      </c>
      <c r="CD2" s="279" t="s">
        <v>290</v>
      </c>
      <c r="CE2" s="259" t="s">
        <v>537</v>
      </c>
      <c r="CF2" s="262">
        <f>((CF5*CF6*CF7)/((1-EXP(-CF7*CF6))*CF14*(CF9/365)*CF12*(CF13/24)*CF11))/CF15</f>
        <v>2717785.8773365887</v>
      </c>
      <c r="CG2" s="279" t="s">
        <v>290</v>
      </c>
      <c r="CH2" s="259" t="s">
        <v>537</v>
      </c>
      <c r="CI2" s="262">
        <f>((CI5*CI6*CI7)/((1-EXP(-CI7*CI6))*CI14*(CI9/365)*CI12*(CI13/24)*CI11))/CI15</f>
        <v>777672.0380392056</v>
      </c>
      <c r="CJ2" s="265" t="s">
        <v>290</v>
      </c>
      <c r="CK2" s="268" t="s">
        <v>530</v>
      </c>
      <c r="CL2" s="262">
        <f>(CL5/(CL6*CL7*CL8))/CL9</f>
        <v>0.5602240896358549</v>
      </c>
      <c r="CM2" s="279" t="s">
        <v>290</v>
      </c>
      <c r="CN2" s="259" t="s">
        <v>7</v>
      </c>
      <c r="CO2" s="262">
        <f>(CL2/(CO5*((CO10*CO12*CO13*(CO6+CO7))+(CO11*CO12))))*CO17</f>
        <v>74.755158466386376</v>
      </c>
      <c r="CP2" s="279" t="s">
        <v>290</v>
      </c>
      <c r="CQ2" s="259" t="s">
        <v>6</v>
      </c>
      <c r="CR2" s="262">
        <f>CL2/(CR5*CR6*(1/CR7))</f>
        <v>93370.681605975813</v>
      </c>
      <c r="CS2" s="265" t="s">
        <v>290</v>
      </c>
      <c r="CT2" s="395" t="s">
        <v>531</v>
      </c>
      <c r="CU2" s="392">
        <f>1/((1/CU14)+(1/CU15)+(1/CU16)+(1/CU17)+(1/CU19)+(1/CU20)+(1/CU21)+(1/CU22)+(1/CU23)+(1/CU24))</f>
        <v>1.4488690744359367E-5</v>
      </c>
      <c r="CV2" s="389" t="s">
        <v>290</v>
      </c>
      <c r="CW2" s="218"/>
      <c r="CX2" s="219"/>
      <c r="CY2" s="219"/>
      <c r="CZ2" s="407" t="s">
        <v>531</v>
      </c>
      <c r="DA2" s="404">
        <f>1/((1/DA13)+(1/DA15)+(1/DA16))</f>
        <v>2.0878945611952235E-2</v>
      </c>
      <c r="DB2" s="401" t="s">
        <v>291</v>
      </c>
      <c r="DC2" s="442" t="s">
        <v>530</v>
      </c>
      <c r="DD2" s="439">
        <f>DD7</f>
        <v>4.3878001866877393E-4</v>
      </c>
      <c r="DE2" s="436" t="s">
        <v>290</v>
      </c>
      <c r="DF2" s="433" t="s">
        <v>530</v>
      </c>
      <c r="DG2" s="424">
        <f>DD7/((1/DG24)*(DG5+DG6+DG7))</f>
        <v>3.447485957151989E-2</v>
      </c>
      <c r="DH2" s="430" t="s">
        <v>291</v>
      </c>
      <c r="DI2" s="427" t="s">
        <v>530</v>
      </c>
      <c r="DJ2" s="424">
        <f>(DD7/(DJ5+DJ6))*DJ12</f>
        <v>1.6888451015694553E-3</v>
      </c>
      <c r="DK2" s="430" t="s">
        <v>290</v>
      </c>
      <c r="DL2" s="427" t="s">
        <v>581</v>
      </c>
      <c r="DM2" s="424">
        <f>((DD7)/(DM5+DM6))*DJ12</f>
        <v>1.6888451015694553E-3</v>
      </c>
      <c r="DN2" s="430" t="s">
        <v>290</v>
      </c>
      <c r="DO2" s="427" t="s">
        <v>582</v>
      </c>
      <c r="DP2" s="424">
        <f>-(DP5+DP6+DP7)/(DP23+DP24)</f>
        <v>-49.75468846311847</v>
      </c>
      <c r="DQ2" s="421" t="s">
        <v>18</v>
      </c>
      <c r="DR2" s="574" t="s">
        <v>530</v>
      </c>
      <c r="DS2" s="445">
        <f>DS7</f>
        <v>2.784141823293556E-4</v>
      </c>
      <c r="DT2" s="484" t="s">
        <v>290</v>
      </c>
      <c r="DU2" s="481" t="s">
        <v>530</v>
      </c>
      <c r="DV2" s="463">
        <f>(DS7*DV8)/(DV5*DV6*(1/1000))</f>
        <v>7421.4960610568396</v>
      </c>
      <c r="DW2" s="466" t="s">
        <v>291</v>
      </c>
      <c r="DX2" s="478" t="s">
        <v>530</v>
      </c>
      <c r="DY2" s="463">
        <f>(DS7*DY14)/(DY9*((DY10*DY12*DY13*(DY5+DY6))+(DY11*DY12)))*DY18</f>
        <v>124.79811758178157</v>
      </c>
      <c r="DZ2" s="466" t="s">
        <v>290</v>
      </c>
      <c r="EA2" s="478" t="s">
        <v>581</v>
      </c>
      <c r="EB2" s="463">
        <f>(DS7*DY14)/(EB9*((EB10*EB12*EB13*(EB5+EB6))+(EB11*EB12)))*DY18</f>
        <v>124.79811758178157</v>
      </c>
      <c r="EC2" s="466" t="s">
        <v>290</v>
      </c>
      <c r="ED2" s="478" t="s">
        <v>582</v>
      </c>
      <c r="EE2" s="463">
        <f>-EE15/((EE10*EE12*EE13*(EE5+EE6))+(EE11*EE12))</f>
        <v>-16.802282392818878</v>
      </c>
      <c r="EF2" s="460" t="s">
        <v>18</v>
      </c>
      <c r="EG2" s="475" t="s">
        <v>530</v>
      </c>
      <c r="EH2" s="469">
        <f>EH7</f>
        <v>7.6310599248439863E-4</v>
      </c>
      <c r="EI2" s="457" t="s">
        <v>290</v>
      </c>
      <c r="EJ2" s="472" t="s">
        <v>530</v>
      </c>
      <c r="EK2" s="454">
        <f>EH7/(EK5*EK6)</f>
        <v>2.8796452546581083E-2</v>
      </c>
      <c r="EL2" s="451" t="s">
        <v>291</v>
      </c>
      <c r="EM2" s="448" t="s">
        <v>530</v>
      </c>
      <c r="EN2" s="454">
        <f>(EH7/(EN9*((EN10*EN12*EN13*(EN5+EN6))+(EN11*EN12))))*EN17</f>
        <v>0.44366639897677596</v>
      </c>
      <c r="EO2" s="451" t="s">
        <v>290</v>
      </c>
      <c r="EP2" s="448" t="s">
        <v>581</v>
      </c>
      <c r="EQ2" s="454">
        <f>(EH7/(EQ9*((EQ10*EQ12*EQ13*(EQ5+EQ6))+(EQ11*EQ12))))*EN17</f>
        <v>0.44366639897677596</v>
      </c>
      <c r="ER2" s="451" t="s">
        <v>290</v>
      </c>
      <c r="ES2" s="448" t="s">
        <v>582</v>
      </c>
      <c r="ET2" s="454">
        <f>-ET15/((ET10*ET12*ET13*(ET5+ET6))+(ET11*ET12))</f>
        <v>-15.39462998242915</v>
      </c>
      <c r="EU2" s="499" t="s">
        <v>18</v>
      </c>
      <c r="EV2" s="496" t="s">
        <v>530</v>
      </c>
      <c r="EW2" s="493">
        <f>EW7</f>
        <v>2.5524481838661178E-3</v>
      </c>
      <c r="EX2" s="490" t="s">
        <v>290</v>
      </c>
      <c r="EY2" s="487" t="s">
        <v>530</v>
      </c>
      <c r="EZ2" s="586">
        <f>EW7/(EZ5*EZ6*(1/EZ7))</f>
        <v>2127.0401532217647</v>
      </c>
      <c r="FA2" s="592" t="s">
        <v>291</v>
      </c>
      <c r="FB2" s="589" t="s">
        <v>530</v>
      </c>
      <c r="FC2" s="586">
        <f>(EW7/(FC9*((FC10*FC12*FC13*(FC5+FC6))+(FC11*FC12))))*FC17</f>
        <v>11.825647726044135</v>
      </c>
      <c r="FD2" s="595" t="s">
        <v>290</v>
      </c>
      <c r="FE2" s="589" t="s">
        <v>581</v>
      </c>
      <c r="FF2" s="586">
        <f>(EW7/(FF9*((FF10*FF12*FF13*(FF5+FF6))+(FF11*FF12))))*FC17</f>
        <v>11.825647726044135</v>
      </c>
      <c r="FG2" s="592" t="s">
        <v>290</v>
      </c>
      <c r="FH2" s="589" t="s">
        <v>582</v>
      </c>
      <c r="FI2" s="586">
        <f>-FI15/((FI10*FI12*FI13*(FI5+FI6))+(FI11*FI12))</f>
        <v>-5.5552160701290481</v>
      </c>
      <c r="FJ2" s="583" t="s">
        <v>18</v>
      </c>
      <c r="FK2" s="580" t="s">
        <v>530</v>
      </c>
      <c r="FL2" s="577">
        <f>FL7</f>
        <v>8.7619895779638855E-4</v>
      </c>
      <c r="FM2" s="571" t="s">
        <v>290</v>
      </c>
      <c r="FN2" s="568" t="s">
        <v>530</v>
      </c>
      <c r="FO2" s="505">
        <f>FL7/(FO5*(1/FO6))</f>
        <v>3.6508289908182856E-3</v>
      </c>
      <c r="FP2" s="511" t="s">
        <v>291</v>
      </c>
      <c r="FQ2" s="508" t="s">
        <v>530</v>
      </c>
      <c r="FR2" s="505">
        <f>((FL7*FR6)/FR5)*FR10</f>
        <v>1.4615032171239205E-5</v>
      </c>
      <c r="FS2" s="511" t="s">
        <v>290</v>
      </c>
      <c r="FT2" s="508" t="s">
        <v>581</v>
      </c>
      <c r="FU2" s="505">
        <f>((FL7*FU6)/FU5)*FR10</f>
        <v>1.4615032171239205E-5</v>
      </c>
      <c r="FV2" s="511" t="s">
        <v>290</v>
      </c>
      <c r="FW2" s="508" t="s">
        <v>582</v>
      </c>
      <c r="FX2" s="505">
        <f>-FX5/FX6</f>
        <v>-4.0000000000000001E-3</v>
      </c>
      <c r="FY2" s="502" t="s">
        <v>18</v>
      </c>
      <c r="FZ2" s="556" t="s">
        <v>530</v>
      </c>
      <c r="GA2" s="553">
        <f>GA7</f>
        <v>1.2750718981166561E-3</v>
      </c>
      <c r="GB2" s="550" t="s">
        <v>290</v>
      </c>
      <c r="GC2" s="559" t="s">
        <v>530</v>
      </c>
      <c r="GD2" s="538">
        <f>GA7/(GD5*GD6*(1/GD7))</f>
        <v>531.2799575486066</v>
      </c>
      <c r="GE2" s="544" t="s">
        <v>291</v>
      </c>
      <c r="GF2" s="541" t="s">
        <v>530</v>
      </c>
      <c r="GG2" s="538">
        <f>(GA7/((GG9)*((GG10*GG12*GG13*(GG5+GG6))+(GG11*GG12))))*GG17</f>
        <v>2.9537428394857712</v>
      </c>
      <c r="GH2" s="544" t="s">
        <v>290</v>
      </c>
      <c r="GI2" s="541" t="s">
        <v>581</v>
      </c>
      <c r="GJ2" s="538">
        <f>(GA7/((GJ9)*((GJ10*GJ12*GJ13*(GJ5+GJ6))+(GJ11*GJ12))))*GG17</f>
        <v>2.9537428394857712</v>
      </c>
      <c r="GK2" s="544" t="s">
        <v>290</v>
      </c>
      <c r="GL2" s="541" t="s">
        <v>582</v>
      </c>
      <c r="GM2" s="538">
        <f>-GM15/((GM10*GM12*GM13*(GM5+GM6))+(GM11*GM12))</f>
        <v>-5.5552160701290481</v>
      </c>
      <c r="GN2" s="535" t="s">
        <v>18</v>
      </c>
      <c r="GO2" s="532" t="s">
        <v>530</v>
      </c>
      <c r="GP2" s="529">
        <f>GP7</f>
        <v>1.3960695337560554E-3</v>
      </c>
      <c r="GQ2" s="526" t="s">
        <v>290</v>
      </c>
      <c r="GR2" s="523" t="s">
        <v>530</v>
      </c>
      <c r="GS2" s="517">
        <f>GP7/(GS5*GS6*(1/GS7))</f>
        <v>720.36611648919256</v>
      </c>
      <c r="GT2" s="514" t="s">
        <v>291</v>
      </c>
      <c r="GU2" s="520" t="s">
        <v>530</v>
      </c>
      <c r="GV2" s="517">
        <f>(GP7/((GV9)*((GV10*GV12*GV13*(GV5+GV6))+(GV11*GV12))))*GV17</f>
        <v>5.3192312803926427</v>
      </c>
      <c r="GW2" s="514" t="s">
        <v>290</v>
      </c>
      <c r="GX2" s="520" t="s">
        <v>581</v>
      </c>
      <c r="GY2" s="517">
        <f>(GP7/((GY9*((GY10*GY12*GY13*(GY5+GY6))+(GY11*GY12)))))*GV17</f>
        <v>5.3192312803926427</v>
      </c>
      <c r="GZ2" s="514" t="s">
        <v>290</v>
      </c>
      <c r="HA2" s="520" t="s">
        <v>582</v>
      </c>
      <c r="HB2" s="517">
        <f>-HB15/((HB10*HB12*HB13*(HB5+HB6))+(HB11*HB12))</f>
        <v>-7.3781469900331578</v>
      </c>
      <c r="HC2" s="547" t="s">
        <v>18</v>
      </c>
      <c r="HD2" s="54"/>
      <c r="HE2" s="55"/>
      <c r="HF2" s="56"/>
    </row>
    <row r="3" spans="1:214" ht="12.75" customHeight="1" x14ac:dyDescent="0.2">
      <c r="A3" s="375"/>
      <c r="B3" s="376"/>
      <c r="C3" s="377"/>
      <c r="D3" s="189" t="s">
        <v>15</v>
      </c>
      <c r="E3" s="134">
        <f>1/((1/E19)+(1/E20))</f>
        <v>1.5618602181833334E-5</v>
      </c>
      <c r="F3" s="58" t="s">
        <v>289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2.2318349549973529E-5</v>
      </c>
      <c r="X3" s="62" t="s">
        <v>289</v>
      </c>
      <c r="Y3" s="202" t="s">
        <v>16</v>
      </c>
      <c r="Z3" s="187">
        <f>1/((1/Z18)+(1/Z19))</f>
        <v>2.0086514594976183E-5</v>
      </c>
      <c r="AA3" s="63" t="s">
        <v>289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665"/>
      <c r="AS3" s="304"/>
      <c r="AT3" s="667"/>
      <c r="AU3" s="663"/>
      <c r="AV3" s="304"/>
      <c r="AW3" s="671"/>
      <c r="AX3" s="663"/>
      <c r="AY3" s="304"/>
      <c r="AZ3" s="669"/>
      <c r="BA3" s="665"/>
      <c r="BB3" s="304"/>
      <c r="BC3" s="667"/>
      <c r="BD3" s="663"/>
      <c r="BE3" s="304"/>
      <c r="BF3" s="667"/>
      <c r="BG3" s="663"/>
      <c r="BH3" s="304"/>
      <c r="BI3" s="669"/>
      <c r="BJ3" s="665"/>
      <c r="BK3" s="285"/>
      <c r="BL3" s="667"/>
      <c r="BM3" s="663"/>
      <c r="BN3" s="285"/>
      <c r="BO3" s="667"/>
      <c r="BP3" s="663"/>
      <c r="BQ3" s="285"/>
      <c r="BR3" s="669"/>
      <c r="BS3" s="212" t="s">
        <v>15</v>
      </c>
      <c r="BT3" s="64">
        <f>1/((1/BT18)+(1/BT19))</f>
        <v>1.7492834443653331E-3</v>
      </c>
      <c r="BU3" s="53" t="s">
        <v>289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79"/>
      <c r="CN3" s="259"/>
      <c r="CO3" s="262"/>
      <c r="CP3" s="279"/>
      <c r="CQ3" s="259"/>
      <c r="CR3" s="262"/>
      <c r="CS3" s="265"/>
      <c r="CT3" s="396"/>
      <c r="CU3" s="393"/>
      <c r="CV3" s="390"/>
      <c r="CW3" s="216" t="s">
        <v>15</v>
      </c>
      <c r="CX3" s="65">
        <f>1/((1/CX19)+(1/CX20))</f>
        <v>1.4976109466721646E-5</v>
      </c>
      <c r="CY3" s="66" t="s">
        <v>289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222">
        <f>(HE5*HE14)*(10^-3)*(HE13+(HE10/HE11))*((HE12*HE7)/HE8)</f>
        <v>2.3328724889957676E-3</v>
      </c>
      <c r="HF3" s="220" t="s">
        <v>595</v>
      </c>
    </row>
    <row r="4" spans="1:214" ht="13.5" customHeight="1" thickBot="1" x14ac:dyDescent="0.25">
      <c r="A4" s="378"/>
      <c r="B4" s="379"/>
      <c r="C4" s="380"/>
      <c r="D4" s="190" t="s">
        <v>16</v>
      </c>
      <c r="E4" s="135">
        <f>1/((1/E21)+(1/E22))</f>
        <v>1.563113295167778E-5</v>
      </c>
      <c r="F4" s="68" t="s">
        <v>289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2.2300457942091803E-5</v>
      </c>
      <c r="X4" s="76" t="s">
        <v>289</v>
      </c>
      <c r="Y4" s="203" t="s">
        <v>15</v>
      </c>
      <c r="Z4" s="186">
        <f>1/((1/Z16)+(1/Z17))</f>
        <v>2.0070412147882625E-5</v>
      </c>
      <c r="AA4" s="77" t="s">
        <v>289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666"/>
      <c r="AS4" s="305"/>
      <c r="AT4" s="668"/>
      <c r="AU4" s="664"/>
      <c r="AV4" s="305"/>
      <c r="AW4" s="672"/>
      <c r="AX4" s="664"/>
      <c r="AY4" s="305"/>
      <c r="AZ4" s="670"/>
      <c r="BA4" s="666"/>
      <c r="BB4" s="305"/>
      <c r="BC4" s="668"/>
      <c r="BD4" s="664"/>
      <c r="BE4" s="305"/>
      <c r="BF4" s="668"/>
      <c r="BG4" s="664"/>
      <c r="BH4" s="305"/>
      <c r="BI4" s="670"/>
      <c r="BJ4" s="666"/>
      <c r="BK4" s="286"/>
      <c r="BL4" s="668"/>
      <c r="BM4" s="664"/>
      <c r="BN4" s="286"/>
      <c r="BO4" s="668"/>
      <c r="BP4" s="664"/>
      <c r="BQ4" s="286"/>
      <c r="BR4" s="670"/>
      <c r="BS4" s="213" t="s">
        <v>16</v>
      </c>
      <c r="BT4" s="78">
        <f>1/((1/BT20)+(1/BT21))</f>
        <v>1.7506868905879111E-3</v>
      </c>
      <c r="BU4" s="79" t="s">
        <v>289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80"/>
      <c r="CN4" s="260"/>
      <c r="CO4" s="263"/>
      <c r="CP4" s="280"/>
      <c r="CQ4" s="260"/>
      <c r="CR4" s="263"/>
      <c r="CS4" s="266"/>
      <c r="CT4" s="397"/>
      <c r="CU4" s="394"/>
      <c r="CV4" s="391"/>
      <c r="CW4" s="217" t="s">
        <v>16</v>
      </c>
      <c r="CX4" s="80">
        <f>1/((1/CX21)+(1/CX22))</f>
        <v>1.4988124766087618E-5</v>
      </c>
      <c r="CY4" s="81" t="s">
        <v>289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224">
        <f>(HE6*HE14)*10^-3*(HE13+(HE10/HE11))*((HE12*HE7)/(HE8))</f>
        <v>1.6891033368718843E-4</v>
      </c>
      <c r="HF4" s="221" t="s">
        <v>596</v>
      </c>
    </row>
    <row r="5" spans="1:214" ht="13.5" thickTop="1" x14ac:dyDescent="0.2">
      <c r="A5" s="52" t="s">
        <v>267</v>
      </c>
      <c r="B5" s="129">
        <v>1</v>
      </c>
      <c r="C5" s="52" t="s">
        <v>344</v>
      </c>
      <c r="D5" s="52" t="s">
        <v>267</v>
      </c>
      <c r="E5" s="136">
        <f>B5</f>
        <v>1</v>
      </c>
      <c r="F5" s="52" t="s">
        <v>344</v>
      </c>
      <c r="G5" s="83" t="s">
        <v>267</v>
      </c>
      <c r="H5" s="136">
        <f>B5</f>
        <v>1</v>
      </c>
      <c r="I5" s="52" t="s">
        <v>344</v>
      </c>
      <c r="J5" s="83" t="s">
        <v>267</v>
      </c>
      <c r="K5" s="136">
        <f>B5</f>
        <v>1</v>
      </c>
      <c r="L5" s="52" t="s">
        <v>344</v>
      </c>
      <c r="M5" s="52" t="s">
        <v>267</v>
      </c>
      <c r="N5" s="136">
        <f>B5</f>
        <v>1</v>
      </c>
      <c r="O5" s="52" t="s">
        <v>344</v>
      </c>
      <c r="P5" s="52" t="s">
        <v>267</v>
      </c>
      <c r="Q5" s="136">
        <f>B5</f>
        <v>1</v>
      </c>
      <c r="R5" s="52" t="s">
        <v>344</v>
      </c>
      <c r="S5" s="52" t="s">
        <v>267</v>
      </c>
      <c r="T5" s="136">
        <f>B5</f>
        <v>1</v>
      </c>
      <c r="U5" s="52" t="s">
        <v>344</v>
      </c>
      <c r="V5" s="52" t="s">
        <v>267</v>
      </c>
      <c r="W5" s="136">
        <f>B5</f>
        <v>1</v>
      </c>
      <c r="X5" s="52" t="s">
        <v>344</v>
      </c>
      <c r="Y5" s="52" t="s">
        <v>267</v>
      </c>
      <c r="Z5" s="136">
        <f>B5</f>
        <v>1</v>
      </c>
      <c r="AA5" s="52" t="s">
        <v>344</v>
      </c>
      <c r="AB5" s="83" t="s">
        <v>267</v>
      </c>
      <c r="AC5" s="136">
        <f>B5</f>
        <v>1</v>
      </c>
      <c r="AD5" s="136">
        <f>B5</f>
        <v>1</v>
      </c>
      <c r="AE5" s="136">
        <f>B5</f>
        <v>1</v>
      </c>
      <c r="AF5" s="136">
        <f>B5</f>
        <v>1</v>
      </c>
      <c r="AG5" s="136">
        <f>B5</f>
        <v>1</v>
      </c>
      <c r="AH5" s="52" t="s">
        <v>344</v>
      </c>
      <c r="AI5" s="52" t="s">
        <v>267</v>
      </c>
      <c r="AJ5" s="136">
        <f>B5</f>
        <v>1</v>
      </c>
      <c r="AK5" s="52" t="s">
        <v>344</v>
      </c>
      <c r="AL5" s="52" t="s">
        <v>267</v>
      </c>
      <c r="AM5" s="136">
        <f>B5</f>
        <v>1</v>
      </c>
      <c r="AN5" s="52" t="s">
        <v>344</v>
      </c>
      <c r="AO5" s="52" t="s">
        <v>267</v>
      </c>
      <c r="AP5" s="136">
        <f>B5</f>
        <v>1</v>
      </c>
      <c r="AQ5" s="52" t="s">
        <v>344</v>
      </c>
      <c r="AR5" s="52" t="s">
        <v>267</v>
      </c>
      <c r="AS5" s="136">
        <f>B5</f>
        <v>1</v>
      </c>
      <c r="AT5" s="52" t="s">
        <v>344</v>
      </c>
      <c r="AU5" s="52" t="s">
        <v>267</v>
      </c>
      <c r="AV5" s="136">
        <f>B5</f>
        <v>1</v>
      </c>
      <c r="AW5" s="52" t="s">
        <v>344</v>
      </c>
      <c r="AX5" s="52" t="s">
        <v>267</v>
      </c>
      <c r="AY5" s="136">
        <f>B5</f>
        <v>1</v>
      </c>
      <c r="AZ5" s="52" t="s">
        <v>344</v>
      </c>
      <c r="BA5" s="52" t="s">
        <v>267</v>
      </c>
      <c r="BB5" s="136">
        <f>B5</f>
        <v>1</v>
      </c>
      <c r="BC5" s="52" t="s">
        <v>344</v>
      </c>
      <c r="BD5" s="52" t="s">
        <v>267</v>
      </c>
      <c r="BE5" s="136">
        <f>B5</f>
        <v>1</v>
      </c>
      <c r="BF5" s="52" t="s">
        <v>344</v>
      </c>
      <c r="BG5" s="52" t="s">
        <v>267</v>
      </c>
      <c r="BH5" s="136">
        <f>B5</f>
        <v>1</v>
      </c>
      <c r="BI5" s="52" t="s">
        <v>344</v>
      </c>
      <c r="BJ5" s="52" t="s">
        <v>267</v>
      </c>
      <c r="BK5" s="136">
        <f>B5</f>
        <v>1</v>
      </c>
      <c r="BL5" s="52" t="s">
        <v>344</v>
      </c>
      <c r="BM5" s="52" t="s">
        <v>267</v>
      </c>
      <c r="BN5" s="136">
        <f>B5</f>
        <v>1</v>
      </c>
      <c r="BO5" s="52" t="s">
        <v>344</v>
      </c>
      <c r="BP5" s="52" t="s">
        <v>267</v>
      </c>
      <c r="BQ5" s="136">
        <f>B5</f>
        <v>1</v>
      </c>
      <c r="BR5" s="52" t="s">
        <v>344</v>
      </c>
      <c r="BS5" s="52" t="s">
        <v>267</v>
      </c>
      <c r="BT5" s="136">
        <f>B5</f>
        <v>1</v>
      </c>
      <c r="BU5" s="52" t="s">
        <v>344</v>
      </c>
      <c r="BV5" s="83" t="s">
        <v>267</v>
      </c>
      <c r="BW5" s="136">
        <f>B5</f>
        <v>1</v>
      </c>
      <c r="BX5" s="52" t="s">
        <v>344</v>
      </c>
      <c r="BY5" s="83" t="s">
        <v>267</v>
      </c>
      <c r="BZ5" s="136">
        <f>B5</f>
        <v>1</v>
      </c>
      <c r="CA5" s="52" t="s">
        <v>344</v>
      </c>
      <c r="CB5" s="52" t="s">
        <v>267</v>
      </c>
      <c r="CC5" s="136">
        <f>B5</f>
        <v>1</v>
      </c>
      <c r="CD5" s="52" t="s">
        <v>344</v>
      </c>
      <c r="CE5" s="52" t="s">
        <v>267</v>
      </c>
      <c r="CF5" s="136">
        <f>B5</f>
        <v>1</v>
      </c>
      <c r="CG5" s="52" t="s">
        <v>344</v>
      </c>
      <c r="CH5" s="52" t="s">
        <v>267</v>
      </c>
      <c r="CI5" s="136">
        <f>B5</f>
        <v>1</v>
      </c>
      <c r="CJ5" s="52" t="s">
        <v>344</v>
      </c>
      <c r="CK5" s="52" t="s">
        <v>267</v>
      </c>
      <c r="CL5" s="136">
        <f>B5</f>
        <v>1</v>
      </c>
      <c r="CM5" s="52" t="s">
        <v>344</v>
      </c>
      <c r="CN5" s="83" t="s">
        <v>228</v>
      </c>
      <c r="CO5" s="136">
        <f>B30</f>
        <v>6.0000000000000001E-3</v>
      </c>
      <c r="CP5" s="52" t="s">
        <v>268</v>
      </c>
      <c r="CQ5" s="83" t="s">
        <v>228</v>
      </c>
      <c r="CR5" s="136">
        <f>CO5</f>
        <v>6.0000000000000001E-3</v>
      </c>
      <c r="CS5" s="52" t="s">
        <v>268</v>
      </c>
      <c r="CT5" s="83" t="s">
        <v>267</v>
      </c>
      <c r="CU5" s="136">
        <f>B5</f>
        <v>1</v>
      </c>
      <c r="CV5" s="52" t="s">
        <v>344</v>
      </c>
      <c r="CW5" s="52" t="s">
        <v>267</v>
      </c>
      <c r="CX5" s="136">
        <f>B5</f>
        <v>1</v>
      </c>
      <c r="CY5" s="52" t="s">
        <v>344</v>
      </c>
      <c r="CZ5" s="83" t="s">
        <v>267</v>
      </c>
      <c r="DA5" s="136">
        <f>B5</f>
        <v>1</v>
      </c>
      <c r="DB5" s="52" t="s">
        <v>344</v>
      </c>
      <c r="DC5" s="83" t="s">
        <v>267</v>
      </c>
      <c r="DD5" s="136">
        <f>B5</f>
        <v>1</v>
      </c>
      <c r="DE5" s="52" t="s">
        <v>344</v>
      </c>
      <c r="DF5" s="52" t="s">
        <v>17</v>
      </c>
      <c r="DG5" s="137">
        <f>(DG8*DG9*DG10*((1-EXP(-DG11*DG12))))/(DG13*DG11)</f>
        <v>6.6877504027585484E-4</v>
      </c>
      <c r="DH5" s="52" t="s">
        <v>18</v>
      </c>
      <c r="DI5" s="83" t="s">
        <v>19</v>
      </c>
      <c r="DJ5" s="161">
        <f>DJ7</f>
        <v>1.914E-5</v>
      </c>
      <c r="DK5" s="83"/>
      <c r="DL5" s="83" t="s">
        <v>19</v>
      </c>
      <c r="DM5" s="161">
        <f>DM7</f>
        <v>1.914E-5</v>
      </c>
      <c r="DO5" s="52" t="s">
        <v>17</v>
      </c>
      <c r="DP5" s="137">
        <f>(DP8*DP9*DP10*((1-EXP(-DP11*DP12))))/(DP13*DP11)</f>
        <v>6.8418630199139872E-4</v>
      </c>
      <c r="DQ5" s="52" t="s">
        <v>18</v>
      </c>
      <c r="DR5" s="83" t="s">
        <v>267</v>
      </c>
      <c r="DS5" s="136">
        <f>B5</f>
        <v>1</v>
      </c>
      <c r="DT5" s="52" t="s">
        <v>344</v>
      </c>
      <c r="DU5" s="83" t="s">
        <v>239</v>
      </c>
      <c r="DV5" s="169">
        <f>B24</f>
        <v>4.2E-7</v>
      </c>
      <c r="DW5" s="52" t="s">
        <v>601</v>
      </c>
      <c r="DX5" s="83" t="s">
        <v>20</v>
      </c>
      <c r="DY5" s="161">
        <f>DY7</f>
        <v>2.1999999999999999E-5</v>
      </c>
      <c r="DZ5" s="83"/>
      <c r="EA5" s="83" t="s">
        <v>20</v>
      </c>
      <c r="EB5" s="161">
        <f>EB7</f>
        <v>2.1999999999999999E-5</v>
      </c>
      <c r="EC5" s="84"/>
      <c r="ED5" s="83" t="s">
        <v>20</v>
      </c>
      <c r="EE5" s="161">
        <f>EE7</f>
        <v>2.1999999999999999E-5</v>
      </c>
      <c r="EF5" s="84"/>
      <c r="EG5" s="83" t="s">
        <v>267</v>
      </c>
      <c r="EH5" s="136">
        <f>B5</f>
        <v>1</v>
      </c>
      <c r="EI5" s="52" t="s">
        <v>344</v>
      </c>
      <c r="EJ5" s="83" t="s">
        <v>236</v>
      </c>
      <c r="EK5" s="169">
        <f>B25</f>
        <v>5.0000000000000001E-4</v>
      </c>
      <c r="EL5" s="52" t="s">
        <v>388</v>
      </c>
      <c r="EM5" s="83" t="s">
        <v>20</v>
      </c>
      <c r="EN5" s="161">
        <f>EN7</f>
        <v>2.1999999999999999E-5</v>
      </c>
      <c r="EO5" s="83"/>
      <c r="EP5" s="83" t="s">
        <v>20</v>
      </c>
      <c r="EQ5" s="161">
        <f>EQ7</f>
        <v>2.1999999999999999E-5</v>
      </c>
      <c r="ER5" s="84"/>
      <c r="ES5" s="83" t="s">
        <v>20</v>
      </c>
      <c r="ET5" s="161">
        <f>ET7</f>
        <v>2.1999999999999999E-5</v>
      </c>
      <c r="EU5" s="84"/>
      <c r="EV5" s="83" t="s">
        <v>267</v>
      </c>
      <c r="EW5" s="136">
        <f>B5</f>
        <v>1</v>
      </c>
      <c r="EX5" s="52" t="s">
        <v>344</v>
      </c>
      <c r="EY5" s="83" t="s">
        <v>171</v>
      </c>
      <c r="EZ5" s="169">
        <f>B27</f>
        <v>3.0000000000000001E-3</v>
      </c>
      <c r="FA5" s="52" t="s">
        <v>388</v>
      </c>
      <c r="FB5" s="83" t="s">
        <v>20</v>
      </c>
      <c r="FC5" s="161">
        <f>FC7</f>
        <v>2.1999999999999999E-5</v>
      </c>
      <c r="FD5" s="83"/>
      <c r="FE5" s="83" t="s">
        <v>20</v>
      </c>
      <c r="FF5" s="161">
        <f>FF7</f>
        <v>2.1999999999999999E-5</v>
      </c>
      <c r="FG5" s="83"/>
      <c r="FH5" s="83" t="s">
        <v>20</v>
      </c>
      <c r="FI5" s="161">
        <f>FI7</f>
        <v>2.1999999999999999E-5</v>
      </c>
      <c r="FJ5" s="84"/>
      <c r="FK5" s="83" t="s">
        <v>267</v>
      </c>
      <c r="FL5" s="136">
        <f>B5</f>
        <v>1</v>
      </c>
      <c r="FM5" s="52" t="s">
        <v>344</v>
      </c>
      <c r="FN5" s="83" t="s">
        <v>105</v>
      </c>
      <c r="FO5" s="161">
        <f>B23</f>
        <v>240</v>
      </c>
      <c r="FP5" s="52" t="s">
        <v>286</v>
      </c>
      <c r="FQ5" s="83" t="s">
        <v>105</v>
      </c>
      <c r="FR5" s="161">
        <f>B23</f>
        <v>240</v>
      </c>
      <c r="FS5" s="52" t="s">
        <v>286</v>
      </c>
      <c r="FT5" s="83" t="s">
        <v>105</v>
      </c>
      <c r="FU5" s="161">
        <f>B23</f>
        <v>240</v>
      </c>
      <c r="FV5" s="52" t="s">
        <v>286</v>
      </c>
      <c r="FW5" s="83" t="s">
        <v>156</v>
      </c>
      <c r="FX5" s="161">
        <f>B33</f>
        <v>4</v>
      </c>
      <c r="FY5" s="88" t="s">
        <v>18</v>
      </c>
      <c r="FZ5" s="83" t="s">
        <v>267</v>
      </c>
      <c r="GA5" s="136">
        <f>B5</f>
        <v>1</v>
      </c>
      <c r="GB5" s="52" t="s">
        <v>344</v>
      </c>
      <c r="GC5" s="83" t="s">
        <v>237</v>
      </c>
      <c r="GD5" s="169">
        <f>B26</f>
        <v>6.0000000000000001E-3</v>
      </c>
      <c r="GE5" s="83"/>
      <c r="GF5" s="83" t="s">
        <v>20</v>
      </c>
      <c r="GG5" s="161">
        <f>GG7</f>
        <v>2.1999999999999999E-5</v>
      </c>
      <c r="GH5" s="83"/>
      <c r="GI5" s="83" t="s">
        <v>20</v>
      </c>
      <c r="GJ5" s="161">
        <f>GJ7</f>
        <v>2.1999999999999999E-5</v>
      </c>
      <c r="GK5" s="83"/>
      <c r="GL5" s="83" t="s">
        <v>20</v>
      </c>
      <c r="GM5" s="161">
        <f>GM7</f>
        <v>2.1999999999999999E-5</v>
      </c>
      <c r="GN5" s="84"/>
      <c r="GO5" s="83" t="s">
        <v>267</v>
      </c>
      <c r="GP5" s="136">
        <f>B5</f>
        <v>1</v>
      </c>
      <c r="GQ5" s="52" t="s">
        <v>344</v>
      </c>
      <c r="GR5" s="83" t="s">
        <v>238</v>
      </c>
      <c r="GS5" s="169">
        <f>B28</f>
        <v>1.7000000000000001E-4</v>
      </c>
      <c r="GT5" s="52" t="s">
        <v>388</v>
      </c>
      <c r="GU5" s="83" t="s">
        <v>20</v>
      </c>
      <c r="GV5" s="161">
        <f>GV7</f>
        <v>2.1999999999999999E-5</v>
      </c>
      <c r="GW5" s="83"/>
      <c r="GX5" s="83" t="s">
        <v>20</v>
      </c>
      <c r="GY5" s="161">
        <f>GY7</f>
        <v>2.1999999999999999E-5</v>
      </c>
      <c r="GZ5" s="83"/>
      <c r="HA5" s="83" t="s">
        <v>20</v>
      </c>
      <c r="HB5" s="161">
        <f>HB7</f>
        <v>2.1999999999999999E-5</v>
      </c>
      <c r="HC5" s="84"/>
      <c r="HD5" s="89" t="s">
        <v>21</v>
      </c>
      <c r="HE5" s="225">
        <f>B34</f>
        <v>0.55500055500055501</v>
      </c>
      <c r="HF5" s="83" t="s">
        <v>291</v>
      </c>
    </row>
    <row r="6" spans="1:214" x14ac:dyDescent="0.2">
      <c r="A6" s="83" t="s">
        <v>247</v>
      </c>
      <c r="B6" s="184">
        <v>0.36297000000000001</v>
      </c>
      <c r="C6" s="84" t="s">
        <v>259</v>
      </c>
      <c r="D6" s="83" t="s">
        <v>22</v>
      </c>
      <c r="E6" s="137">
        <f>0.693/E7</f>
        <v>1.6041666666666665E-3</v>
      </c>
      <c r="G6" s="83" t="s">
        <v>248</v>
      </c>
      <c r="H6" s="136">
        <f>B7</f>
        <v>8.8060000000000005E-4</v>
      </c>
      <c r="I6" s="83" t="s">
        <v>259</v>
      </c>
      <c r="J6" s="83" t="s">
        <v>249</v>
      </c>
      <c r="K6" s="136">
        <f>B8</f>
        <v>8.8060000000000005E-4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1.6041666666666665E-3</v>
      </c>
      <c r="BV6" s="83" t="s">
        <v>248</v>
      </c>
      <c r="BW6" s="136">
        <f>B7</f>
        <v>8.8060000000000005E-4</v>
      </c>
      <c r="BX6" s="83" t="s">
        <v>259</v>
      </c>
      <c r="BY6" s="83" t="s">
        <v>249</v>
      </c>
      <c r="BZ6" s="136">
        <f>B8</f>
        <v>8.8060000000000005E-4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B17</f>
        <v>8.8060000000000005E-4</v>
      </c>
      <c r="CM6" s="92" t="s">
        <v>259</v>
      </c>
      <c r="CN6" s="84" t="s">
        <v>20</v>
      </c>
      <c r="CO6" s="139">
        <f>CO8</f>
        <v>2.1999999999999999E-5</v>
      </c>
      <c r="CQ6" s="84" t="s">
        <v>169</v>
      </c>
      <c r="CR6" s="162">
        <f>B133</f>
        <v>1</v>
      </c>
      <c r="CS6" s="52" t="s">
        <v>28</v>
      </c>
      <c r="CT6" s="83" t="s">
        <v>249</v>
      </c>
      <c r="CU6" s="136">
        <f>B8</f>
        <v>8.8060000000000005E-4</v>
      </c>
      <c r="CV6" s="83" t="s">
        <v>259</v>
      </c>
      <c r="CW6" s="83" t="s">
        <v>22</v>
      </c>
      <c r="CX6" s="137">
        <f>0.693/CX7</f>
        <v>1.6041666666666665E-3</v>
      </c>
      <c r="CZ6" s="83" t="s">
        <v>248</v>
      </c>
      <c r="DA6" s="136">
        <f>B7</f>
        <v>8.8060000000000005E-4</v>
      </c>
      <c r="DB6" s="83" t="s">
        <v>259</v>
      </c>
      <c r="DC6" s="83" t="s">
        <v>258</v>
      </c>
      <c r="DD6" s="136">
        <f>B17</f>
        <v>8.8060000000000005E-4</v>
      </c>
      <c r="DE6" s="92" t="s">
        <v>259</v>
      </c>
      <c r="DF6" s="52" t="s">
        <v>25</v>
      </c>
      <c r="DG6" s="137">
        <f>(DG8*DG9*DG14*((1-EXP(-DG11*DG12))))/(DG13*DG11)</f>
        <v>9.0847184154504852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B17</f>
        <v>8.8060000000000005E-4</v>
      </c>
      <c r="DT6" s="83" t="s">
        <v>259</v>
      </c>
      <c r="DU6" s="83" t="s">
        <v>27</v>
      </c>
      <c r="DV6" s="142">
        <f>B203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B17</f>
        <v>8.8060000000000005E-4</v>
      </c>
      <c r="EI6" s="83" t="s">
        <v>259</v>
      </c>
      <c r="EJ6" s="83" t="s">
        <v>29</v>
      </c>
      <c r="EK6" s="142">
        <f>B209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B17</f>
        <v>8.8060000000000005E-4</v>
      </c>
      <c r="EX6" s="83" t="s">
        <v>259</v>
      </c>
      <c r="EY6" s="83" t="s">
        <v>148</v>
      </c>
      <c r="EZ6" s="164">
        <f>B214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B17</f>
        <v>8.8060000000000005E-4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B33</f>
        <v>4</v>
      </c>
      <c r="FS6" s="83" t="s">
        <v>18</v>
      </c>
      <c r="FT6" s="83" t="s">
        <v>156</v>
      </c>
      <c r="FU6" s="161">
        <f>B33</f>
        <v>4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B17</f>
        <v>8.8060000000000005E-4</v>
      </c>
      <c r="GB6" s="83" t="s">
        <v>259</v>
      </c>
      <c r="GC6" s="83" t="s">
        <v>485</v>
      </c>
      <c r="GD6" s="164">
        <f>B219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B17</f>
        <v>8.8060000000000005E-4</v>
      </c>
      <c r="GQ6" s="83" t="s">
        <v>259</v>
      </c>
      <c r="GR6" s="83" t="s">
        <v>150</v>
      </c>
      <c r="GS6" s="142">
        <f>B224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4.0184506175934671E-2</v>
      </c>
      <c r="HF6" s="83" t="s">
        <v>291</v>
      </c>
    </row>
    <row r="7" spans="1:214" x14ac:dyDescent="0.2">
      <c r="A7" s="83" t="s">
        <v>248</v>
      </c>
      <c r="B7" s="183">
        <v>8.8060000000000005E-4</v>
      </c>
      <c r="C7" s="84" t="s">
        <v>259</v>
      </c>
      <c r="D7" s="91" t="s">
        <v>231</v>
      </c>
      <c r="E7" s="136">
        <f>B18</f>
        <v>432</v>
      </c>
      <c r="F7" s="52" t="s">
        <v>60</v>
      </c>
      <c r="G7" s="83" t="s">
        <v>247</v>
      </c>
      <c r="H7" s="139">
        <f>B6</f>
        <v>0.36297000000000001</v>
      </c>
      <c r="I7" s="84" t="s">
        <v>259</v>
      </c>
      <c r="J7" s="83" t="s">
        <v>247</v>
      </c>
      <c r="K7" s="136">
        <f>B6</f>
        <v>0.36297000000000001</v>
      </c>
      <c r="L7" s="84" t="s">
        <v>259</v>
      </c>
      <c r="M7" s="83" t="s">
        <v>22</v>
      </c>
      <c r="N7" s="137">
        <f>0.693/N8</f>
        <v>1.6041666666666665E-3</v>
      </c>
      <c r="P7" s="83" t="s">
        <v>22</v>
      </c>
      <c r="Q7" s="137">
        <f>0.693/Q8</f>
        <v>1.6041666666666665E-3</v>
      </c>
      <c r="S7" s="83" t="s">
        <v>22</v>
      </c>
      <c r="T7" s="137">
        <f>0.693/T8</f>
        <v>1.6041666666666665E-3</v>
      </c>
      <c r="V7" s="83" t="s">
        <v>22</v>
      </c>
      <c r="W7" s="137">
        <f>0.693/W8</f>
        <v>1.6041666666666665E-3</v>
      </c>
      <c r="Y7" s="83" t="s">
        <v>22</v>
      </c>
      <c r="Z7" s="137">
        <f>0.693/Z8</f>
        <v>1.6041666666666665E-3</v>
      </c>
      <c r="AB7" s="83" t="s">
        <v>425</v>
      </c>
      <c r="AC7" s="150">
        <f>B231</f>
        <v>250</v>
      </c>
      <c r="AD7" s="150">
        <f>B243</f>
        <v>250</v>
      </c>
      <c r="AE7" s="150">
        <f>B255</f>
        <v>225</v>
      </c>
      <c r="AF7" s="150">
        <f>B267</f>
        <v>250</v>
      </c>
      <c r="AG7" s="150">
        <f>B291</f>
        <v>250</v>
      </c>
      <c r="AH7" s="83" t="s">
        <v>24</v>
      </c>
      <c r="AI7" s="83" t="s">
        <v>22</v>
      </c>
      <c r="AJ7" s="137">
        <f>0.693/AJ8</f>
        <v>1.6041666666666665E-3</v>
      </c>
      <c r="AL7" s="83" t="s">
        <v>22</v>
      </c>
      <c r="AM7" s="137">
        <f>0.693/AM8</f>
        <v>1.6041666666666665E-3</v>
      </c>
      <c r="AO7" s="83" t="s">
        <v>22</v>
      </c>
      <c r="AP7" s="137">
        <f>0.693/AP8</f>
        <v>1.6041666666666665E-3</v>
      </c>
      <c r="AR7" s="83" t="s">
        <v>22</v>
      </c>
      <c r="AS7" s="137">
        <f>0.693/AS8</f>
        <v>1.6041666666666665E-3</v>
      </c>
      <c r="AU7" s="83" t="s">
        <v>22</v>
      </c>
      <c r="AV7" s="137">
        <f>0.693/AV8</f>
        <v>1.6041666666666665E-3</v>
      </c>
      <c r="AX7" s="83" t="s">
        <v>22</v>
      </c>
      <c r="AY7" s="137">
        <f>0.693/AY8</f>
        <v>1.6041666666666665E-3</v>
      </c>
      <c r="BA7" s="83" t="s">
        <v>22</v>
      </c>
      <c r="BB7" s="137">
        <f>0.693/BB8</f>
        <v>1.6041666666666665E-3</v>
      </c>
      <c r="BD7" s="83" t="s">
        <v>22</v>
      </c>
      <c r="BE7" s="137">
        <f>0.693/BE8</f>
        <v>1.6041666666666665E-3</v>
      </c>
      <c r="BG7" s="83" t="s">
        <v>22</v>
      </c>
      <c r="BH7" s="137">
        <f>0.693/BH8</f>
        <v>1.6041666666666665E-3</v>
      </c>
      <c r="BJ7" s="83" t="s">
        <v>22</v>
      </c>
      <c r="BK7" s="137">
        <f>0.693/BK8</f>
        <v>1.6041666666666665E-3</v>
      </c>
      <c r="BM7" s="83" t="s">
        <v>22</v>
      </c>
      <c r="BN7" s="137">
        <f>0.693/BN8</f>
        <v>1.6041666666666665E-3</v>
      </c>
      <c r="BP7" s="83" t="s">
        <v>22</v>
      </c>
      <c r="BQ7" s="137">
        <f>0.693/BQ8</f>
        <v>1.6041666666666665E-3</v>
      </c>
      <c r="BS7" s="91" t="s">
        <v>231</v>
      </c>
      <c r="BT7" s="136">
        <f>B18</f>
        <v>432</v>
      </c>
      <c r="BU7" s="52" t="s">
        <v>60</v>
      </c>
      <c r="BV7" s="83" t="s">
        <v>247</v>
      </c>
      <c r="BW7" s="139">
        <f>B6</f>
        <v>0.36297000000000001</v>
      </c>
      <c r="BX7" s="84" t="s">
        <v>259</v>
      </c>
      <c r="BY7" s="83" t="s">
        <v>247</v>
      </c>
      <c r="BZ7" s="139">
        <f>B6</f>
        <v>0.36297000000000001</v>
      </c>
      <c r="CA7" s="84" t="s">
        <v>259</v>
      </c>
      <c r="CB7" s="83" t="s">
        <v>22</v>
      </c>
      <c r="CC7" s="137">
        <f>0.693/CC8</f>
        <v>1.6041666666666665E-3</v>
      </c>
      <c r="CE7" s="83" t="s">
        <v>22</v>
      </c>
      <c r="CF7" s="137">
        <f>0.693/CF8</f>
        <v>1.6041666666666665E-3</v>
      </c>
      <c r="CH7" s="83" t="s">
        <v>22</v>
      </c>
      <c r="CI7" s="137">
        <f>0.693/CI8</f>
        <v>1.6041666666666665E-3</v>
      </c>
      <c r="CK7" s="52" t="s">
        <v>140</v>
      </c>
      <c r="CL7" s="138">
        <f>B103</f>
        <v>75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B6</f>
        <v>0.36297000000000001</v>
      </c>
      <c r="CV7" s="84" t="s">
        <v>259</v>
      </c>
      <c r="CW7" s="91" t="s">
        <v>231</v>
      </c>
      <c r="CX7" s="136">
        <f>B18</f>
        <v>432</v>
      </c>
      <c r="CY7" s="52" t="s">
        <v>60</v>
      </c>
      <c r="CZ7" s="84" t="s">
        <v>247</v>
      </c>
      <c r="DA7" s="139">
        <f>B6</f>
        <v>0.36297000000000001</v>
      </c>
      <c r="DB7" s="84" t="s">
        <v>259</v>
      </c>
      <c r="DC7" s="83" t="s">
        <v>260</v>
      </c>
      <c r="DD7" s="166">
        <f>((DD5)/(DD6*(DD8+DD11)*DD19))/DD22</f>
        <v>4.3878001866877393E-4</v>
      </c>
      <c r="DE7" s="92" t="s">
        <v>290</v>
      </c>
      <c r="DF7" s="52" t="s">
        <v>31</v>
      </c>
      <c r="DG7" s="137">
        <f>(DG8*DG9*DG15*DG21*((1-EXP(-DG16*DG17))))/(DG18*DG16)</f>
        <v>3.6421488784670224</v>
      </c>
      <c r="DH7" s="52" t="s">
        <v>18</v>
      </c>
      <c r="DI7" s="83" t="s">
        <v>32</v>
      </c>
      <c r="DJ7" s="136">
        <f>B31</f>
        <v>1.914E-5</v>
      </c>
      <c r="DL7" s="83" t="s">
        <v>32</v>
      </c>
      <c r="DM7" s="136">
        <f>B31</f>
        <v>1.914E-5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(DS5/(DS6*DS8*DS15))/DS19</f>
        <v>2.784141823293556E-4</v>
      </c>
      <c r="DT7" s="52" t="s">
        <v>290</v>
      </c>
      <c r="DV7" s="138"/>
      <c r="DX7" s="83" t="s">
        <v>33</v>
      </c>
      <c r="DY7" s="136">
        <f>B32</f>
        <v>2.1999999999999999E-5</v>
      </c>
      <c r="EA7" s="83" t="s">
        <v>33</v>
      </c>
      <c r="EB7" s="136">
        <f>B32</f>
        <v>2.1999999999999999E-5</v>
      </c>
      <c r="EC7" s="84"/>
      <c r="ED7" s="83" t="s">
        <v>33</v>
      </c>
      <c r="EE7" s="136">
        <f>B32</f>
        <v>2.1999999999999999E-5</v>
      </c>
      <c r="EF7" s="84"/>
      <c r="EG7" s="83" t="s">
        <v>260</v>
      </c>
      <c r="EH7" s="168">
        <f>(EH5/(EH6*EH8*EH15))/EH19</f>
        <v>7.6310599248439863E-4</v>
      </c>
      <c r="EI7" s="52" t="s">
        <v>290</v>
      </c>
      <c r="EJ7" s="95"/>
      <c r="EK7" s="176"/>
      <c r="EM7" s="83" t="s">
        <v>33</v>
      </c>
      <c r="EN7" s="136">
        <f>B32</f>
        <v>2.1999999999999999E-5</v>
      </c>
      <c r="EP7" s="83" t="s">
        <v>33</v>
      </c>
      <c r="EQ7" s="136">
        <f>B32</f>
        <v>2.1999999999999999E-5</v>
      </c>
      <c r="ER7" s="84"/>
      <c r="ES7" s="83" t="s">
        <v>33</v>
      </c>
      <c r="ET7" s="136">
        <f>B32</f>
        <v>2.1999999999999999E-5</v>
      </c>
      <c r="EU7" s="84"/>
      <c r="EV7" s="83" t="s">
        <v>260</v>
      </c>
      <c r="EW7" s="168">
        <f>(EW5/(EW6*EW8*EW15))/EW19</f>
        <v>2.5524481838661178E-3</v>
      </c>
      <c r="EX7" s="52" t="s">
        <v>290</v>
      </c>
      <c r="EY7" s="83"/>
      <c r="EZ7" s="142">
        <v>1000</v>
      </c>
      <c r="FA7" s="83" t="s">
        <v>132</v>
      </c>
      <c r="FB7" s="83" t="s">
        <v>33</v>
      </c>
      <c r="FC7" s="161">
        <f>B32</f>
        <v>2.1999999999999999E-5</v>
      </c>
      <c r="FD7" s="83"/>
      <c r="FE7" s="83" t="s">
        <v>33</v>
      </c>
      <c r="FF7" s="161">
        <f>B32</f>
        <v>2.1999999999999999E-5</v>
      </c>
      <c r="FG7" s="83"/>
      <c r="FH7" s="83" t="s">
        <v>33</v>
      </c>
      <c r="FI7" s="161">
        <f>B32</f>
        <v>2.1999999999999999E-5</v>
      </c>
      <c r="FJ7" s="84"/>
      <c r="FK7" s="83" t="s">
        <v>260</v>
      </c>
      <c r="FL7" s="168">
        <f>(FL5/(FL6*FL8*FL15))/FL19</f>
        <v>8.7619895779638855E-4</v>
      </c>
      <c r="FM7" s="52" t="s">
        <v>290</v>
      </c>
      <c r="FN7" s="95"/>
      <c r="FO7" s="176"/>
      <c r="FQ7" s="52" t="s">
        <v>350</v>
      </c>
      <c r="FR7" s="164">
        <f>B170</f>
        <v>1</v>
      </c>
      <c r="FT7" s="95"/>
      <c r="FU7" s="176"/>
      <c r="FV7" s="83"/>
      <c r="FW7" s="95"/>
      <c r="FX7" s="176"/>
      <c r="FZ7" s="83" t="s">
        <v>260</v>
      </c>
      <c r="GA7" s="168">
        <f>(GA5/(GA6*GA8*GA15))/GA19</f>
        <v>1.2750718981166561E-3</v>
      </c>
      <c r="GB7" s="52" t="s">
        <v>290</v>
      </c>
      <c r="GC7" s="83"/>
      <c r="GD7" s="142">
        <v>1000</v>
      </c>
      <c r="GE7" s="83" t="s">
        <v>132</v>
      </c>
      <c r="GF7" s="83" t="s">
        <v>33</v>
      </c>
      <c r="GG7" s="161">
        <f>B32</f>
        <v>2.1999999999999999E-5</v>
      </c>
      <c r="GH7" s="83"/>
      <c r="GI7" s="83" t="s">
        <v>33</v>
      </c>
      <c r="GJ7" s="161">
        <f>B32</f>
        <v>2.1999999999999999E-5</v>
      </c>
      <c r="GK7" s="83"/>
      <c r="GL7" s="83" t="s">
        <v>33</v>
      </c>
      <c r="GM7" s="161">
        <f>B32</f>
        <v>2.1999999999999999E-5</v>
      </c>
      <c r="GN7" s="84"/>
      <c r="GO7" s="83" t="s">
        <v>260</v>
      </c>
      <c r="GP7" s="168">
        <f>(GP5/(GP6*GP8*GP14))/GP18</f>
        <v>1.3960695337560554E-3</v>
      </c>
      <c r="GQ7" s="52" t="s">
        <v>290</v>
      </c>
      <c r="GR7" s="88"/>
      <c r="GS7" s="142">
        <v>1000</v>
      </c>
      <c r="GT7" s="83" t="s">
        <v>132</v>
      </c>
      <c r="GU7" s="83" t="s">
        <v>33</v>
      </c>
      <c r="GV7" s="161">
        <f>B32</f>
        <v>2.1999999999999999E-5</v>
      </c>
      <c r="GW7" s="83"/>
      <c r="GX7" s="83" t="s">
        <v>33</v>
      </c>
      <c r="GY7" s="161">
        <f>B32</f>
        <v>2.1999999999999999E-5</v>
      </c>
      <c r="GZ7" s="83"/>
      <c r="HA7" s="83" t="s">
        <v>33</v>
      </c>
      <c r="HB7" s="161">
        <f>B32</f>
        <v>2.1999999999999999E-5</v>
      </c>
      <c r="HC7" s="84"/>
      <c r="HD7" s="83" t="s">
        <v>22</v>
      </c>
      <c r="HE7" s="137">
        <f>0.693/HE9</f>
        <v>1.6041666666666665E-3</v>
      </c>
    </row>
    <row r="8" spans="1:214" x14ac:dyDescent="0.2">
      <c r="A8" s="83" t="s">
        <v>249</v>
      </c>
      <c r="B8" s="183">
        <v>8.8060000000000005E-4</v>
      </c>
      <c r="C8" s="83" t="s">
        <v>259</v>
      </c>
      <c r="D8" s="52" t="s">
        <v>382</v>
      </c>
      <c r="E8" s="138">
        <f>B56</f>
        <v>350</v>
      </c>
      <c r="F8" s="52" t="s">
        <v>24</v>
      </c>
      <c r="G8" s="91" t="s">
        <v>257</v>
      </c>
      <c r="H8" s="136">
        <f>B16</f>
        <v>0.28767199999999998</v>
      </c>
      <c r="I8" s="84" t="s">
        <v>259</v>
      </c>
      <c r="J8" s="83" t="s">
        <v>269</v>
      </c>
      <c r="K8" s="136">
        <f>B10</f>
        <v>3.7173200000000003E-2</v>
      </c>
      <c r="L8" s="83" t="s">
        <v>351</v>
      </c>
      <c r="M8" s="91" t="s">
        <v>231</v>
      </c>
      <c r="N8" s="136">
        <f>B18</f>
        <v>432</v>
      </c>
      <c r="O8" s="52" t="s">
        <v>60</v>
      </c>
      <c r="P8" s="91" t="s">
        <v>231</v>
      </c>
      <c r="Q8" s="136">
        <f>B18</f>
        <v>432</v>
      </c>
      <c r="R8" s="52" t="s">
        <v>60</v>
      </c>
      <c r="S8" s="91" t="s">
        <v>231</v>
      </c>
      <c r="T8" s="136">
        <f>B18</f>
        <v>432</v>
      </c>
      <c r="U8" s="52" t="s">
        <v>60</v>
      </c>
      <c r="V8" s="91" t="s">
        <v>231</v>
      </c>
      <c r="W8" s="136">
        <f>B18</f>
        <v>432</v>
      </c>
      <c r="X8" s="52" t="s">
        <v>60</v>
      </c>
      <c r="Y8" s="91" t="s">
        <v>231</v>
      </c>
      <c r="Z8" s="136">
        <f>B18</f>
        <v>432</v>
      </c>
      <c r="AA8" s="52" t="s">
        <v>60</v>
      </c>
      <c r="AB8" s="83" t="s">
        <v>249</v>
      </c>
      <c r="AC8" s="136">
        <f>B9</f>
        <v>7.5480000000000002E-4</v>
      </c>
      <c r="AD8" s="136">
        <f>B9</f>
        <v>7.5480000000000002E-4</v>
      </c>
      <c r="AE8" s="136">
        <f>B9</f>
        <v>7.5480000000000002E-4</v>
      </c>
      <c r="AF8" s="136">
        <f>B9</f>
        <v>7.5480000000000002E-4</v>
      </c>
      <c r="AG8" s="136">
        <f>B9</f>
        <v>7.5480000000000002E-4</v>
      </c>
      <c r="AH8" s="83" t="s">
        <v>259</v>
      </c>
      <c r="AI8" s="91" t="s">
        <v>231</v>
      </c>
      <c r="AJ8" s="136">
        <f>B18</f>
        <v>432</v>
      </c>
      <c r="AK8" s="52" t="s">
        <v>60</v>
      </c>
      <c r="AL8" s="91" t="s">
        <v>231</v>
      </c>
      <c r="AM8" s="136">
        <f>B18</f>
        <v>432</v>
      </c>
      <c r="AN8" s="52" t="s">
        <v>60</v>
      </c>
      <c r="AO8" s="91" t="s">
        <v>231</v>
      </c>
      <c r="AP8" s="136">
        <f>B18</f>
        <v>432</v>
      </c>
      <c r="AQ8" s="52" t="s">
        <v>60</v>
      </c>
      <c r="AR8" s="91" t="s">
        <v>231</v>
      </c>
      <c r="AS8" s="136">
        <f>B18</f>
        <v>432</v>
      </c>
      <c r="AT8" s="52" t="s">
        <v>60</v>
      </c>
      <c r="AU8" s="91" t="s">
        <v>231</v>
      </c>
      <c r="AV8" s="136">
        <f>B18</f>
        <v>432</v>
      </c>
      <c r="AW8" s="52" t="s">
        <v>60</v>
      </c>
      <c r="AX8" s="91" t="s">
        <v>231</v>
      </c>
      <c r="AY8" s="136">
        <f>B18</f>
        <v>432</v>
      </c>
      <c r="AZ8" s="52" t="s">
        <v>60</v>
      </c>
      <c r="BA8" s="91" t="s">
        <v>231</v>
      </c>
      <c r="BB8" s="136">
        <f>B18</f>
        <v>432</v>
      </c>
      <c r="BC8" s="52" t="s">
        <v>60</v>
      </c>
      <c r="BD8" s="91" t="s">
        <v>231</v>
      </c>
      <c r="BE8" s="136">
        <f>B18</f>
        <v>432</v>
      </c>
      <c r="BF8" s="52" t="s">
        <v>60</v>
      </c>
      <c r="BG8" s="91" t="s">
        <v>231</v>
      </c>
      <c r="BH8" s="136">
        <f>B18</f>
        <v>432</v>
      </c>
      <c r="BI8" s="52" t="s">
        <v>60</v>
      </c>
      <c r="BJ8" s="91" t="s">
        <v>231</v>
      </c>
      <c r="BK8" s="136">
        <f>B18</f>
        <v>432</v>
      </c>
      <c r="BL8" s="52" t="s">
        <v>60</v>
      </c>
      <c r="BM8" s="91" t="s">
        <v>231</v>
      </c>
      <c r="BN8" s="136">
        <f>B18</f>
        <v>432</v>
      </c>
      <c r="BO8" s="52" t="s">
        <v>60</v>
      </c>
      <c r="BP8" s="91" t="s">
        <v>231</v>
      </c>
      <c r="BQ8" s="136">
        <f>B18</f>
        <v>432</v>
      </c>
      <c r="BR8" s="52" t="s">
        <v>60</v>
      </c>
      <c r="BS8" s="52" t="s">
        <v>140</v>
      </c>
      <c r="BT8" s="138">
        <f>B103</f>
        <v>75</v>
      </c>
      <c r="BU8" s="52" t="s">
        <v>24</v>
      </c>
      <c r="BV8" s="91" t="s">
        <v>257</v>
      </c>
      <c r="BW8" s="136">
        <f>B16</f>
        <v>0.28767199999999998</v>
      </c>
      <c r="BX8" s="84" t="s">
        <v>259</v>
      </c>
      <c r="BY8" s="83" t="s">
        <v>269</v>
      </c>
      <c r="BZ8" s="136">
        <f>B10</f>
        <v>3.7173200000000003E-2</v>
      </c>
      <c r="CA8" s="83" t="s">
        <v>351</v>
      </c>
      <c r="CB8" s="91" t="s">
        <v>231</v>
      </c>
      <c r="CC8" s="136">
        <f>B18</f>
        <v>432</v>
      </c>
      <c r="CD8" s="52" t="s">
        <v>60</v>
      </c>
      <c r="CE8" s="91" t="s">
        <v>231</v>
      </c>
      <c r="CF8" s="136">
        <f>B18</f>
        <v>432</v>
      </c>
      <c r="CG8" s="52" t="s">
        <v>60</v>
      </c>
      <c r="CH8" s="91" t="s">
        <v>231</v>
      </c>
      <c r="CI8" s="136">
        <f>B18</f>
        <v>432</v>
      </c>
      <c r="CJ8" s="52" t="s">
        <v>60</v>
      </c>
      <c r="CK8" s="52" t="s">
        <v>159</v>
      </c>
      <c r="CL8" s="162">
        <f>B128</f>
        <v>1</v>
      </c>
      <c r="CM8" s="52" t="s">
        <v>221</v>
      </c>
      <c r="CN8" s="84" t="s">
        <v>33</v>
      </c>
      <c r="CO8" s="136">
        <f>B32</f>
        <v>2.1999999999999999E-5</v>
      </c>
      <c r="CT8" s="83" t="s">
        <v>269</v>
      </c>
      <c r="CU8" s="136">
        <f>B10</f>
        <v>3.7173200000000003E-2</v>
      </c>
      <c r="CV8" s="83" t="s">
        <v>351</v>
      </c>
      <c r="CW8" s="52" t="s">
        <v>362</v>
      </c>
      <c r="CX8" s="138">
        <f>B169</f>
        <v>350</v>
      </c>
      <c r="CY8" s="52" t="s">
        <v>24</v>
      </c>
      <c r="CZ8" s="83" t="s">
        <v>270</v>
      </c>
      <c r="DA8" s="165">
        <f>B16</f>
        <v>0.28767199999999998</v>
      </c>
      <c r="DB8" s="83" t="s">
        <v>259</v>
      </c>
      <c r="DC8" s="83" t="s">
        <v>516</v>
      </c>
      <c r="DD8" s="149">
        <f>(DD9*DD15*DD20)+(DD10*DD14*DD21)</f>
        <v>39585</v>
      </c>
      <c r="DE8" s="92" t="s">
        <v>347</v>
      </c>
      <c r="DF8" s="83" t="s">
        <v>36</v>
      </c>
      <c r="DG8" s="138">
        <f>B193</f>
        <v>3.62</v>
      </c>
      <c r="DH8" s="52" t="s">
        <v>37</v>
      </c>
      <c r="DI8" s="83" t="s">
        <v>393</v>
      </c>
      <c r="DJ8" s="138">
        <f>B35</f>
        <v>0.26</v>
      </c>
      <c r="DL8" s="83" t="s">
        <v>393</v>
      </c>
      <c r="DM8" s="138">
        <f>B35</f>
        <v>0.26</v>
      </c>
      <c r="DO8" s="83" t="s">
        <v>36</v>
      </c>
      <c r="DP8" s="138">
        <f>B193</f>
        <v>3.62</v>
      </c>
      <c r="DQ8" s="52" t="s">
        <v>37</v>
      </c>
      <c r="DR8" s="83" t="s">
        <v>147</v>
      </c>
      <c r="DS8" s="149">
        <f>(DS11*DS9*DS17)+(DS12*DS10*DS18)</f>
        <v>150914.75</v>
      </c>
      <c r="DT8" s="92" t="s">
        <v>347</v>
      </c>
      <c r="DU8" s="52" t="s">
        <v>518</v>
      </c>
      <c r="DV8" s="146">
        <f>B204</f>
        <v>1.03</v>
      </c>
      <c r="DW8" s="52" t="s">
        <v>286</v>
      </c>
      <c r="DX8" s="83" t="s">
        <v>392</v>
      </c>
      <c r="DY8" s="138">
        <f>B36</f>
        <v>0.25</v>
      </c>
      <c r="EA8" s="83" t="s">
        <v>392</v>
      </c>
      <c r="EB8" s="138">
        <f>B36</f>
        <v>0.25</v>
      </c>
      <c r="EC8" s="84"/>
      <c r="ED8" s="83" t="s">
        <v>392</v>
      </c>
      <c r="EE8" s="138">
        <f>B36</f>
        <v>0.25</v>
      </c>
      <c r="EF8" s="84"/>
      <c r="EG8" s="83" t="s">
        <v>519</v>
      </c>
      <c r="EH8" s="149">
        <f>(EH11*EH9*EH17)+(EH12*EH10*EH18)</f>
        <v>55060.25</v>
      </c>
      <c r="EI8" s="92" t="s">
        <v>347</v>
      </c>
      <c r="EJ8" s="83"/>
      <c r="EM8" s="83" t="s">
        <v>392</v>
      </c>
      <c r="EN8" s="138">
        <f>B36</f>
        <v>0.25</v>
      </c>
      <c r="EP8" s="83" t="s">
        <v>392</v>
      </c>
      <c r="EQ8" s="138">
        <f>B36</f>
        <v>0.25</v>
      </c>
      <c r="ER8" s="84"/>
      <c r="ES8" s="83" t="s">
        <v>392</v>
      </c>
      <c r="ET8" s="138">
        <f>B36</f>
        <v>0.25</v>
      </c>
      <c r="EU8" s="84"/>
      <c r="EV8" s="83" t="s">
        <v>520</v>
      </c>
      <c r="EW8" s="149">
        <f>(EW11*EW9*EW17)+(EW12*EW10*EW18)</f>
        <v>16461.375</v>
      </c>
      <c r="EX8" s="92" t="s">
        <v>347</v>
      </c>
      <c r="EY8" s="95"/>
      <c r="EZ8" s="176"/>
      <c r="FA8" s="83"/>
      <c r="FB8" s="83" t="s">
        <v>392</v>
      </c>
      <c r="FC8" s="142">
        <f>B36</f>
        <v>0.25</v>
      </c>
      <c r="FD8" s="83"/>
      <c r="FE8" s="83" t="s">
        <v>392</v>
      </c>
      <c r="FF8" s="142">
        <f>B36</f>
        <v>0.25</v>
      </c>
      <c r="FG8" s="83"/>
      <c r="FH8" s="83" t="s">
        <v>392</v>
      </c>
      <c r="FI8" s="142">
        <f>B36</f>
        <v>0.25</v>
      </c>
      <c r="FJ8" s="84"/>
      <c r="FK8" s="83" t="s">
        <v>521</v>
      </c>
      <c r="FL8" s="173">
        <f>(FL9*FL11*FL17)+(FL10*FL12*FL18)</f>
        <v>47953.5</v>
      </c>
      <c r="FM8" s="92" t="s">
        <v>347</v>
      </c>
      <c r="FN8" s="83"/>
      <c r="FO8" s="83"/>
      <c r="FP8" s="83"/>
      <c r="FQ8" s="83" t="s">
        <v>22</v>
      </c>
      <c r="FR8" s="137">
        <f>0.693/FR9</f>
        <v>1.6041666666666665E-3</v>
      </c>
      <c r="FT8" s="83"/>
      <c r="FU8" s="83"/>
      <c r="FV8" s="83"/>
      <c r="FZ8" s="83" t="s">
        <v>522</v>
      </c>
      <c r="GA8" s="173">
        <f>(GA11*GA9*GA17)+(GA10*GA12*GA18)</f>
        <v>32952.5</v>
      </c>
      <c r="GB8" s="92" t="s">
        <v>347</v>
      </c>
      <c r="GC8" s="95"/>
      <c r="GD8" s="176"/>
      <c r="GE8" s="83"/>
      <c r="GF8" s="83" t="s">
        <v>392</v>
      </c>
      <c r="GG8" s="142">
        <f>B36</f>
        <v>0.25</v>
      </c>
      <c r="GH8" s="83"/>
      <c r="GI8" s="83" t="s">
        <v>392</v>
      </c>
      <c r="GJ8" s="142">
        <f>B36</f>
        <v>0.25</v>
      </c>
      <c r="GK8" s="83"/>
      <c r="GL8" s="83" t="s">
        <v>392</v>
      </c>
      <c r="GM8" s="142">
        <f>B36</f>
        <v>0.25</v>
      </c>
      <c r="GN8" s="84"/>
      <c r="GO8" s="83" t="s">
        <v>523</v>
      </c>
      <c r="GP8" s="149">
        <f>(GP9*GP11*GP16)+(GP10*GP12*GP17)</f>
        <v>30096.5</v>
      </c>
      <c r="GQ8" s="92" t="s">
        <v>347</v>
      </c>
      <c r="GR8" s="95"/>
      <c r="GS8" s="176"/>
      <c r="GT8" s="83"/>
      <c r="GU8" s="83" t="s">
        <v>392</v>
      </c>
      <c r="GV8" s="142">
        <f>B36</f>
        <v>0.25</v>
      </c>
      <c r="GW8" s="83"/>
      <c r="GX8" s="83" t="s">
        <v>392</v>
      </c>
      <c r="GY8" s="142">
        <f>B36</f>
        <v>0.25</v>
      </c>
      <c r="GZ8" s="83"/>
      <c r="HA8" s="83" t="s">
        <v>392</v>
      </c>
      <c r="HB8" s="142">
        <f>B36</f>
        <v>0.25</v>
      </c>
      <c r="HC8" s="84"/>
      <c r="HD8" s="52" t="s">
        <v>16</v>
      </c>
      <c r="HE8" s="137">
        <f>1-EXP(-HE7*HE12)</f>
        <v>1.6028806790575612E-3</v>
      </c>
    </row>
    <row r="9" spans="1:214" x14ac:dyDescent="0.2">
      <c r="A9" s="83" t="s">
        <v>250</v>
      </c>
      <c r="B9" s="183">
        <v>7.5480000000000002E-4</v>
      </c>
      <c r="C9" s="83" t="s">
        <v>259</v>
      </c>
      <c r="D9" s="52" t="s">
        <v>379</v>
      </c>
      <c r="E9" s="138">
        <f>B53</f>
        <v>1</v>
      </c>
      <c r="F9" s="52" t="s">
        <v>146</v>
      </c>
      <c r="G9" s="83" t="s">
        <v>258</v>
      </c>
      <c r="H9" s="136">
        <f>B17</f>
        <v>8.8060000000000005E-4</v>
      </c>
      <c r="I9" s="92" t="s">
        <v>259</v>
      </c>
      <c r="J9" s="83" t="s">
        <v>258</v>
      </c>
      <c r="K9" s="136">
        <f>B17</f>
        <v>8.8060000000000005E-4</v>
      </c>
      <c r="L9" s="92" t="s">
        <v>259</v>
      </c>
      <c r="M9" s="52" t="s">
        <v>382</v>
      </c>
      <c r="N9" s="138">
        <f>B56</f>
        <v>350</v>
      </c>
      <c r="O9" s="52" t="s">
        <v>24</v>
      </c>
      <c r="P9" s="52" t="s">
        <v>382</v>
      </c>
      <c r="Q9" s="138">
        <f>B56</f>
        <v>350</v>
      </c>
      <c r="R9" s="52" t="s">
        <v>24</v>
      </c>
      <c r="S9" s="52" t="s">
        <v>382</v>
      </c>
      <c r="T9" s="138">
        <f>B56</f>
        <v>350</v>
      </c>
      <c r="U9" s="52" t="s">
        <v>24</v>
      </c>
      <c r="V9" s="52" t="s">
        <v>423</v>
      </c>
      <c r="W9" s="138">
        <f>B255</f>
        <v>225</v>
      </c>
      <c r="X9" s="52" t="s">
        <v>24</v>
      </c>
      <c r="Y9" s="52" t="s">
        <v>316</v>
      </c>
      <c r="Z9" s="138">
        <f>B231</f>
        <v>250</v>
      </c>
      <c r="AA9" s="52" t="s">
        <v>24</v>
      </c>
      <c r="AB9" s="83" t="s">
        <v>34</v>
      </c>
      <c r="AC9" s="146">
        <f>B232</f>
        <v>1</v>
      </c>
      <c r="AD9" s="146">
        <f>B244</f>
        <v>1</v>
      </c>
      <c r="AE9" s="146">
        <f>B256</f>
        <v>1</v>
      </c>
      <c r="AF9" s="146">
        <f>B268</f>
        <v>1</v>
      </c>
      <c r="AG9" s="146">
        <f>B292</f>
        <v>1</v>
      </c>
      <c r="AH9" s="83" t="s">
        <v>60</v>
      </c>
      <c r="AI9" s="52" t="s">
        <v>35</v>
      </c>
      <c r="AJ9" s="138">
        <f>B243</f>
        <v>250</v>
      </c>
      <c r="AK9" s="52" t="s">
        <v>24</v>
      </c>
      <c r="AL9" s="52" t="s">
        <v>35</v>
      </c>
      <c r="AM9" s="138">
        <f>B243</f>
        <v>250</v>
      </c>
      <c r="AN9" s="52" t="s">
        <v>24</v>
      </c>
      <c r="AO9" s="52" t="s">
        <v>35</v>
      </c>
      <c r="AP9" s="138">
        <f>B243</f>
        <v>250</v>
      </c>
      <c r="AQ9" s="52" t="s">
        <v>24</v>
      </c>
      <c r="AR9" s="52" t="s">
        <v>423</v>
      </c>
      <c r="AS9" s="138">
        <f>B255</f>
        <v>225</v>
      </c>
      <c r="AT9" s="52" t="s">
        <v>24</v>
      </c>
      <c r="AU9" s="52" t="s">
        <v>423</v>
      </c>
      <c r="AV9" s="138">
        <f>B255</f>
        <v>225</v>
      </c>
      <c r="AW9" s="52" t="s">
        <v>24</v>
      </c>
      <c r="AX9" s="52" t="s">
        <v>423</v>
      </c>
      <c r="AY9" s="138">
        <f>B255</f>
        <v>225</v>
      </c>
      <c r="AZ9" s="52" t="s">
        <v>24</v>
      </c>
      <c r="BA9" s="52" t="s">
        <v>316</v>
      </c>
      <c r="BB9" s="138">
        <f>B231</f>
        <v>250</v>
      </c>
      <c r="BC9" s="52" t="s">
        <v>24</v>
      </c>
      <c r="BD9" s="52" t="s">
        <v>316</v>
      </c>
      <c r="BE9" s="138">
        <f>B231</f>
        <v>250</v>
      </c>
      <c r="BF9" s="52" t="s">
        <v>24</v>
      </c>
      <c r="BG9" s="52" t="s">
        <v>316</v>
      </c>
      <c r="BH9" s="138">
        <f>B231</f>
        <v>250</v>
      </c>
      <c r="BI9" s="52" t="s">
        <v>24</v>
      </c>
      <c r="BJ9" s="52" t="s">
        <v>191</v>
      </c>
      <c r="BK9" s="138">
        <f>BK10*BK11</f>
        <v>250</v>
      </c>
      <c r="BL9" s="52" t="s">
        <v>24</v>
      </c>
      <c r="BM9" s="52" t="s">
        <v>191</v>
      </c>
      <c r="BN9" s="138">
        <f>BN10*BN11</f>
        <v>250</v>
      </c>
      <c r="BO9" s="52" t="s">
        <v>24</v>
      </c>
      <c r="BP9" s="52" t="s">
        <v>191</v>
      </c>
      <c r="BQ9" s="138">
        <f>BQ10*BQ11</f>
        <v>250</v>
      </c>
      <c r="BR9" s="52" t="s">
        <v>24</v>
      </c>
      <c r="BS9" s="52" t="s">
        <v>247</v>
      </c>
      <c r="BT9" s="139">
        <f>E11</f>
        <v>0.36297000000000001</v>
      </c>
      <c r="BU9" s="84" t="s">
        <v>259</v>
      </c>
      <c r="BV9" s="83" t="s">
        <v>258</v>
      </c>
      <c r="BW9" s="136">
        <f>B17</f>
        <v>8.8060000000000005E-4</v>
      </c>
      <c r="BX9" s="92" t="s">
        <v>259</v>
      </c>
      <c r="BY9" s="83" t="s">
        <v>77</v>
      </c>
      <c r="BZ9" s="136">
        <f>B19</f>
        <v>1359344473.5814338</v>
      </c>
      <c r="CA9" s="83" t="s">
        <v>78</v>
      </c>
      <c r="CB9" s="52" t="s">
        <v>140</v>
      </c>
      <c r="CC9" s="138">
        <f>B103</f>
        <v>75</v>
      </c>
      <c r="CD9" s="52" t="s">
        <v>24</v>
      </c>
      <c r="CE9" s="52" t="s">
        <v>140</v>
      </c>
      <c r="CF9" s="138">
        <f>B103</f>
        <v>75</v>
      </c>
      <c r="CG9" s="52" t="s">
        <v>24</v>
      </c>
      <c r="CH9" s="52" t="s">
        <v>140</v>
      </c>
      <c r="CI9" s="138">
        <f>B103</f>
        <v>75</v>
      </c>
      <c r="CJ9" s="52" t="s">
        <v>24</v>
      </c>
      <c r="CK9" s="95" t="s">
        <v>287</v>
      </c>
      <c r="CL9" s="176">
        <v>27.027027027027</v>
      </c>
      <c r="CM9" s="52" t="s">
        <v>288</v>
      </c>
      <c r="CN9" s="84" t="s">
        <v>392</v>
      </c>
      <c r="CO9" s="162">
        <f>B36</f>
        <v>0.25</v>
      </c>
      <c r="CT9" s="83" t="s">
        <v>258</v>
      </c>
      <c r="CU9" s="136">
        <f>B17</f>
        <v>8.8060000000000005E-4</v>
      </c>
      <c r="CV9" s="92" t="s">
        <v>259</v>
      </c>
      <c r="CW9" s="52" t="s">
        <v>363</v>
      </c>
      <c r="CX9" s="138">
        <f>B170</f>
        <v>1</v>
      </c>
      <c r="CY9" s="52" t="s">
        <v>146</v>
      </c>
      <c r="CZ9" s="83" t="s">
        <v>258</v>
      </c>
      <c r="DA9" s="136">
        <f>B17</f>
        <v>8.8060000000000005E-4</v>
      </c>
      <c r="DB9" s="84" t="s">
        <v>259</v>
      </c>
      <c r="DC9" s="83" t="s">
        <v>513</v>
      </c>
      <c r="DD9" s="146">
        <f>B151</f>
        <v>41.7</v>
      </c>
      <c r="DE9" s="92" t="s">
        <v>221</v>
      </c>
      <c r="DF9" s="83" t="s">
        <v>40</v>
      </c>
      <c r="DG9" s="138">
        <f>B194</f>
        <v>0.25</v>
      </c>
      <c r="DH9" s="52" t="s">
        <v>41</v>
      </c>
      <c r="DI9" s="52" t="s">
        <v>350</v>
      </c>
      <c r="DJ9" s="164">
        <f>B170</f>
        <v>1</v>
      </c>
      <c r="DL9" s="95"/>
      <c r="DM9" s="176"/>
      <c r="DO9" s="83" t="s">
        <v>40</v>
      </c>
      <c r="DP9" s="138">
        <f>B194</f>
        <v>0.25</v>
      </c>
      <c r="DQ9" s="52" t="s">
        <v>41</v>
      </c>
      <c r="DR9" s="83" t="s">
        <v>452</v>
      </c>
      <c r="DS9" s="146">
        <f>B153</f>
        <v>349.5</v>
      </c>
      <c r="DT9" s="92" t="s">
        <v>221</v>
      </c>
      <c r="DU9" s="95"/>
      <c r="DV9" s="176"/>
      <c r="DX9" s="83" t="s">
        <v>517</v>
      </c>
      <c r="DY9" s="136">
        <f>B24</f>
        <v>4.2E-7</v>
      </c>
      <c r="DZ9" s="52" t="s">
        <v>601</v>
      </c>
      <c r="EA9" s="83" t="s">
        <v>517</v>
      </c>
      <c r="EB9" s="136">
        <f>B24</f>
        <v>4.2E-7</v>
      </c>
      <c r="EC9" s="52" t="s">
        <v>601</v>
      </c>
      <c r="ED9" s="83" t="s">
        <v>517</v>
      </c>
      <c r="EE9" s="136">
        <f>B24</f>
        <v>4.2E-7</v>
      </c>
      <c r="EF9" s="52" t="s">
        <v>601</v>
      </c>
      <c r="EG9" s="83" t="s">
        <v>453</v>
      </c>
      <c r="EH9" s="170">
        <f>B155</f>
        <v>40.1</v>
      </c>
      <c r="EI9" s="92" t="s">
        <v>221</v>
      </c>
      <c r="EJ9" s="83"/>
      <c r="EM9" s="83" t="s">
        <v>236</v>
      </c>
      <c r="EN9" s="136">
        <f>B25</f>
        <v>5.0000000000000001E-4</v>
      </c>
      <c r="EO9" s="52" t="s">
        <v>388</v>
      </c>
      <c r="EP9" s="83" t="s">
        <v>236</v>
      </c>
      <c r="EQ9" s="169">
        <f>B25</f>
        <v>5.0000000000000001E-4</v>
      </c>
      <c r="ER9" s="52" t="s">
        <v>388</v>
      </c>
      <c r="ES9" s="83" t="s">
        <v>236</v>
      </c>
      <c r="ET9" s="169">
        <f>B25</f>
        <v>5.0000000000000001E-4</v>
      </c>
      <c r="EU9" s="52" t="s">
        <v>388</v>
      </c>
      <c r="EV9" s="83" t="s">
        <v>454</v>
      </c>
      <c r="EW9" s="171">
        <f>B157</f>
        <v>10.95</v>
      </c>
      <c r="EX9" s="92" t="s">
        <v>221</v>
      </c>
      <c r="EY9" s="83"/>
      <c r="EZ9" s="83"/>
      <c r="FA9" s="83"/>
      <c r="FB9" s="83" t="s">
        <v>171</v>
      </c>
      <c r="FC9" s="169">
        <f>B27</f>
        <v>3.0000000000000001E-3</v>
      </c>
      <c r="FD9" s="52" t="s">
        <v>388</v>
      </c>
      <c r="FE9" s="83" t="s">
        <v>171</v>
      </c>
      <c r="FF9" s="169">
        <f>B27</f>
        <v>3.0000000000000001E-3</v>
      </c>
      <c r="FG9" s="52" t="s">
        <v>388</v>
      </c>
      <c r="FH9" s="83" t="s">
        <v>171</v>
      </c>
      <c r="FI9" s="169">
        <f>B27</f>
        <v>3.0000000000000001E-3</v>
      </c>
      <c r="FJ9" s="52" t="s">
        <v>388</v>
      </c>
      <c r="FK9" s="83" t="s">
        <v>471</v>
      </c>
      <c r="FL9" s="150">
        <f>B159</f>
        <v>32.799999999999997</v>
      </c>
      <c r="FM9" s="92" t="s">
        <v>221</v>
      </c>
      <c r="FN9" s="83"/>
      <c r="FO9" s="83"/>
      <c r="FP9" s="83"/>
      <c r="FQ9" s="91" t="s">
        <v>231</v>
      </c>
      <c r="FR9" s="136">
        <f>B18</f>
        <v>432</v>
      </c>
      <c r="FS9" s="52" t="s">
        <v>60</v>
      </c>
      <c r="FT9" s="83"/>
      <c r="FU9" s="93"/>
      <c r="FV9" s="83"/>
      <c r="FW9" s="83"/>
      <c r="FX9" s="93"/>
      <c r="FY9" s="83"/>
      <c r="FZ9" s="83" t="s">
        <v>473</v>
      </c>
      <c r="GA9" s="174">
        <f>B161</f>
        <v>23.6</v>
      </c>
      <c r="GB9" s="92" t="s">
        <v>221</v>
      </c>
      <c r="GC9" s="83"/>
      <c r="GD9" s="83"/>
      <c r="GE9" s="83"/>
      <c r="GF9" s="83" t="s">
        <v>237</v>
      </c>
      <c r="GG9" s="169">
        <f>B26</f>
        <v>6.0000000000000001E-3</v>
      </c>
      <c r="GH9" s="52" t="s">
        <v>388</v>
      </c>
      <c r="GI9" s="83" t="s">
        <v>237</v>
      </c>
      <c r="GJ9" s="169">
        <f>B26</f>
        <v>6.0000000000000001E-3</v>
      </c>
      <c r="GK9" s="52" t="s">
        <v>388</v>
      </c>
      <c r="GL9" s="83" t="s">
        <v>237</v>
      </c>
      <c r="GM9" s="169">
        <f>B26</f>
        <v>6.0000000000000001E-3</v>
      </c>
      <c r="GN9" s="84"/>
      <c r="GO9" s="83" t="s">
        <v>455</v>
      </c>
      <c r="GP9" s="150">
        <f>B163</f>
        <v>18.5</v>
      </c>
      <c r="GQ9" s="92" t="s">
        <v>221</v>
      </c>
      <c r="GR9" s="83"/>
      <c r="GS9" s="83"/>
      <c r="GT9" s="83"/>
      <c r="GU9" s="83" t="s">
        <v>238</v>
      </c>
      <c r="GV9" s="169">
        <f>B28</f>
        <v>1.7000000000000001E-4</v>
      </c>
      <c r="GW9" s="52" t="s">
        <v>388</v>
      </c>
      <c r="GX9" s="83" t="s">
        <v>238</v>
      </c>
      <c r="GY9" s="169">
        <f>B28</f>
        <v>1.7000000000000001E-4</v>
      </c>
      <c r="GZ9" s="52" t="s">
        <v>388</v>
      </c>
      <c r="HA9" s="83" t="s">
        <v>238</v>
      </c>
      <c r="HB9" s="169">
        <f>B28</f>
        <v>1.7000000000000001E-4</v>
      </c>
      <c r="HC9" s="52" t="s">
        <v>388</v>
      </c>
      <c r="HD9" s="91" t="s">
        <v>231</v>
      </c>
      <c r="HE9" s="136">
        <f>B18</f>
        <v>432</v>
      </c>
      <c r="HF9" s="52" t="s">
        <v>60</v>
      </c>
    </row>
    <row r="10" spans="1:214" x14ac:dyDescent="0.2">
      <c r="A10" s="83" t="s">
        <v>251</v>
      </c>
      <c r="B10" s="183">
        <v>3.7173200000000003E-2</v>
      </c>
      <c r="C10" s="83" t="s">
        <v>351</v>
      </c>
      <c r="D10" s="52" t="s">
        <v>92</v>
      </c>
      <c r="E10" s="138">
        <f>E9</f>
        <v>1</v>
      </c>
      <c r="G10" s="83" t="s">
        <v>260</v>
      </c>
      <c r="H10" s="143">
        <f>(H5/(H6*H15))/H70</f>
        <v>5.7046198064856106E-2</v>
      </c>
      <c r="I10" s="92" t="s">
        <v>291</v>
      </c>
      <c r="J10" s="83" t="s">
        <v>77</v>
      </c>
      <c r="K10" s="136">
        <f>B19</f>
        <v>1359344473.5814338</v>
      </c>
      <c r="L10" s="83" t="s">
        <v>78</v>
      </c>
      <c r="M10" s="52" t="s">
        <v>379</v>
      </c>
      <c r="N10" s="138">
        <f>B53</f>
        <v>1</v>
      </c>
      <c r="O10" s="52" t="s">
        <v>146</v>
      </c>
      <c r="P10" s="52" t="s">
        <v>379</v>
      </c>
      <c r="Q10" s="138">
        <f>B53</f>
        <v>1</v>
      </c>
      <c r="R10" s="52" t="s">
        <v>146</v>
      </c>
      <c r="S10" s="52" t="s">
        <v>379</v>
      </c>
      <c r="T10" s="138">
        <f>B53</f>
        <v>1</v>
      </c>
      <c r="U10" s="52" t="s">
        <v>146</v>
      </c>
      <c r="V10" s="52" t="s">
        <v>424</v>
      </c>
      <c r="W10" s="138">
        <f>B256</f>
        <v>1</v>
      </c>
      <c r="X10" s="52" t="s">
        <v>146</v>
      </c>
      <c r="Y10" s="52" t="s">
        <v>422</v>
      </c>
      <c r="Z10" s="138">
        <f>B232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B277</f>
        <v>5</v>
      </c>
      <c r="AG10" s="146">
        <f>B300</f>
        <v>5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B244</f>
        <v>1</v>
      </c>
      <c r="AN10" s="52" t="s">
        <v>146</v>
      </c>
      <c r="AO10" s="52" t="s">
        <v>420</v>
      </c>
      <c r="AP10" s="138">
        <f>B244</f>
        <v>1</v>
      </c>
      <c r="AQ10" s="52" t="s">
        <v>146</v>
      </c>
      <c r="AR10" s="52" t="s">
        <v>424</v>
      </c>
      <c r="AS10" s="138">
        <f>B256</f>
        <v>1</v>
      </c>
      <c r="AT10" s="52" t="s">
        <v>146</v>
      </c>
      <c r="AU10" s="52" t="s">
        <v>424</v>
      </c>
      <c r="AV10" s="138">
        <f>B256</f>
        <v>1</v>
      </c>
      <c r="AW10" s="52" t="s">
        <v>146</v>
      </c>
      <c r="AX10" s="52" t="s">
        <v>424</v>
      </c>
      <c r="AY10" s="138">
        <f>B256</f>
        <v>1</v>
      </c>
      <c r="AZ10" s="52" t="s">
        <v>146</v>
      </c>
      <c r="BA10" s="52" t="s">
        <v>422</v>
      </c>
      <c r="BB10" s="138">
        <f>B232</f>
        <v>1</v>
      </c>
      <c r="BC10" s="52" t="s">
        <v>146</v>
      </c>
      <c r="BD10" s="52" t="s">
        <v>422</v>
      </c>
      <c r="BE10" s="138">
        <f>B232</f>
        <v>1</v>
      </c>
      <c r="BF10" s="52" t="s">
        <v>146</v>
      </c>
      <c r="BG10" s="52" t="s">
        <v>422</v>
      </c>
      <c r="BH10" s="138">
        <f>B232</f>
        <v>1</v>
      </c>
      <c r="BI10" s="52" t="s">
        <v>146</v>
      </c>
      <c r="BJ10" s="52" t="s">
        <v>220</v>
      </c>
      <c r="BK10" s="138">
        <f>B278</f>
        <v>50</v>
      </c>
      <c r="BL10" s="52" t="s">
        <v>113</v>
      </c>
      <c r="BM10" s="52" t="s">
        <v>220</v>
      </c>
      <c r="BN10" s="138">
        <f>B278</f>
        <v>50</v>
      </c>
      <c r="BO10" s="52" t="s">
        <v>113</v>
      </c>
      <c r="BP10" s="52" t="s">
        <v>220</v>
      </c>
      <c r="BQ10" s="138">
        <f>B278</f>
        <v>50</v>
      </c>
      <c r="BR10" s="52" t="s">
        <v>113</v>
      </c>
      <c r="BS10" s="83" t="s">
        <v>428</v>
      </c>
      <c r="BT10" s="149">
        <f>(BT22*BT13*(1/24)*BT11*BT25)+(BT23*BT14*(1/24)*BT12*BT26)</f>
        <v>55.3125</v>
      </c>
      <c r="BU10" s="52" t="s">
        <v>426</v>
      </c>
      <c r="BV10" s="83" t="s">
        <v>260</v>
      </c>
      <c r="BW10" s="143">
        <f>(BW5/(BW6*BW13))/BW32</f>
        <v>18.67413632119516</v>
      </c>
      <c r="BX10" s="92" t="s">
        <v>291</v>
      </c>
      <c r="BY10" s="84" t="s">
        <v>16</v>
      </c>
      <c r="BZ10" s="137">
        <f>(BZ30*BZ11)/(1-EXP(-BZ11*BZ30))</f>
        <v>1.0008022977791844</v>
      </c>
      <c r="CB10" s="52" t="s">
        <v>51</v>
      </c>
      <c r="CC10" s="138">
        <f>B117</f>
        <v>1</v>
      </c>
      <c r="CD10" s="52" t="s">
        <v>146</v>
      </c>
      <c r="CE10" s="52" t="s">
        <v>51</v>
      </c>
      <c r="CF10" s="138">
        <f>B117</f>
        <v>1</v>
      </c>
      <c r="CG10" s="52" t="s">
        <v>146</v>
      </c>
      <c r="CH10" s="52" t="s">
        <v>51</v>
      </c>
      <c r="CI10" s="138">
        <f>B117</f>
        <v>1</v>
      </c>
      <c r="CJ10" s="52" t="s">
        <v>146</v>
      </c>
      <c r="CN10" s="84" t="s">
        <v>164</v>
      </c>
      <c r="CO10" s="162">
        <f>B129</f>
        <v>1</v>
      </c>
      <c r="CP10" s="52" t="s">
        <v>246</v>
      </c>
      <c r="CT10" s="83" t="s">
        <v>77</v>
      </c>
      <c r="CU10" s="136">
        <f>B19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1.0008022977791844</v>
      </c>
      <c r="DC10" s="83" t="s">
        <v>514</v>
      </c>
      <c r="DD10" s="146">
        <f>B152</f>
        <v>125.7</v>
      </c>
      <c r="DE10" s="92" t="s">
        <v>221</v>
      </c>
      <c r="DF10" s="92" t="s">
        <v>32</v>
      </c>
      <c r="DG10" s="136">
        <f>B31</f>
        <v>1.914E-5</v>
      </c>
      <c r="DI10" s="83" t="s">
        <v>22</v>
      </c>
      <c r="DJ10" s="137">
        <f>0.693/DJ11</f>
        <v>1.6041666666666665E-3</v>
      </c>
      <c r="DL10" s="92"/>
      <c r="DO10" s="92" t="s">
        <v>32</v>
      </c>
      <c r="DP10" s="136">
        <f>B31</f>
        <v>1.914E-5</v>
      </c>
      <c r="DR10" s="83" t="s">
        <v>461</v>
      </c>
      <c r="DS10" s="146">
        <f>B154</f>
        <v>445.6</v>
      </c>
      <c r="DT10" s="92" t="s">
        <v>221</v>
      </c>
      <c r="DU10" s="92"/>
      <c r="DX10" s="83" t="s">
        <v>498</v>
      </c>
      <c r="DY10" s="138">
        <f>B205</f>
        <v>20.3</v>
      </c>
      <c r="DZ10" s="52" t="s">
        <v>246</v>
      </c>
      <c r="EA10" s="83" t="s">
        <v>498</v>
      </c>
      <c r="EB10" s="138">
        <f>B205</f>
        <v>20.3</v>
      </c>
      <c r="EC10" s="52" t="s">
        <v>246</v>
      </c>
      <c r="ED10" s="83" t="s">
        <v>498</v>
      </c>
      <c r="EE10" s="138">
        <f>B205</f>
        <v>20.3</v>
      </c>
      <c r="EF10" s="52" t="s">
        <v>246</v>
      </c>
      <c r="EG10" s="83" t="s">
        <v>462</v>
      </c>
      <c r="EH10" s="170">
        <f>B156</f>
        <v>178</v>
      </c>
      <c r="EI10" s="92" t="s">
        <v>221</v>
      </c>
      <c r="EJ10" s="92"/>
      <c r="EM10" s="83" t="s">
        <v>494</v>
      </c>
      <c r="EN10" s="138">
        <f>B210</f>
        <v>11.77</v>
      </c>
      <c r="EO10" s="52" t="s">
        <v>246</v>
      </c>
      <c r="EP10" s="83" t="s">
        <v>494</v>
      </c>
      <c r="EQ10" s="138">
        <f>B210</f>
        <v>11.77</v>
      </c>
      <c r="ER10" s="52" t="s">
        <v>246</v>
      </c>
      <c r="ES10" s="83" t="s">
        <v>494</v>
      </c>
      <c r="ET10" s="138">
        <f>B210</f>
        <v>11.77</v>
      </c>
      <c r="EU10" s="52" t="s">
        <v>246</v>
      </c>
      <c r="EV10" s="83" t="s">
        <v>463</v>
      </c>
      <c r="EW10" s="170">
        <f>B158</f>
        <v>53.4</v>
      </c>
      <c r="EX10" s="92" t="s">
        <v>221</v>
      </c>
      <c r="EY10" s="83"/>
      <c r="EZ10" s="83"/>
      <c r="FA10" s="83"/>
      <c r="FB10" s="83" t="s">
        <v>152</v>
      </c>
      <c r="FC10" s="142">
        <f>B215</f>
        <v>0.2</v>
      </c>
      <c r="FD10" s="52" t="s">
        <v>246</v>
      </c>
      <c r="FE10" s="83" t="s">
        <v>152</v>
      </c>
      <c r="FF10" s="142">
        <f>B215</f>
        <v>0.2</v>
      </c>
      <c r="FG10" s="52" t="s">
        <v>246</v>
      </c>
      <c r="FH10" s="83" t="s">
        <v>152</v>
      </c>
      <c r="FI10" s="142">
        <f>B215</f>
        <v>0.2</v>
      </c>
      <c r="FJ10" s="52" t="s">
        <v>246</v>
      </c>
      <c r="FK10" s="83" t="s">
        <v>472</v>
      </c>
      <c r="FL10" s="150">
        <f>B160</f>
        <v>155.4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1.0008022977791844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B162</f>
        <v>106.6</v>
      </c>
      <c r="GB10" s="92" t="s">
        <v>221</v>
      </c>
      <c r="GC10" s="83"/>
      <c r="GD10" s="83"/>
      <c r="GE10" s="83"/>
      <c r="GF10" s="83" t="s">
        <v>486</v>
      </c>
      <c r="GG10" s="142">
        <f>B220</f>
        <v>0.2</v>
      </c>
      <c r="GH10" s="52" t="s">
        <v>246</v>
      </c>
      <c r="GI10" s="83" t="s">
        <v>486</v>
      </c>
      <c r="GJ10" s="142">
        <f>B220</f>
        <v>0.2</v>
      </c>
      <c r="GK10" s="52" t="s">
        <v>246</v>
      </c>
      <c r="GL10" s="83" t="s">
        <v>486</v>
      </c>
      <c r="GM10" s="142">
        <f>B220</f>
        <v>0.2</v>
      </c>
      <c r="GN10" s="52" t="s">
        <v>246</v>
      </c>
      <c r="GO10" s="83" t="s">
        <v>464</v>
      </c>
      <c r="GP10" s="150">
        <f>B164</f>
        <v>97.9</v>
      </c>
      <c r="GQ10" s="92" t="s">
        <v>221</v>
      </c>
      <c r="GR10" s="83"/>
      <c r="GS10" s="83"/>
      <c r="GT10" s="83"/>
      <c r="GU10" s="83" t="s">
        <v>490</v>
      </c>
      <c r="GV10" s="142">
        <f>B225</f>
        <v>4.7</v>
      </c>
      <c r="GW10" s="52" t="s">
        <v>246</v>
      </c>
      <c r="GX10" s="83" t="s">
        <v>490</v>
      </c>
      <c r="GY10" s="142">
        <f>B225</f>
        <v>4.7</v>
      </c>
      <c r="GZ10" s="52" t="s">
        <v>246</v>
      </c>
      <c r="HA10" s="83" t="s">
        <v>490</v>
      </c>
      <c r="HB10" s="142">
        <f>B225</f>
        <v>4.7</v>
      </c>
      <c r="HC10" s="52" t="s">
        <v>246</v>
      </c>
      <c r="HD10" s="84" t="s">
        <v>38</v>
      </c>
      <c r="HE10" s="163">
        <f>B83</f>
        <v>0.3</v>
      </c>
    </row>
    <row r="11" spans="1:214" x14ac:dyDescent="0.2">
      <c r="A11" s="83" t="s">
        <v>252</v>
      </c>
      <c r="B11" s="183">
        <v>2.5484199999999999E-2</v>
      </c>
      <c r="C11" s="83" t="s">
        <v>352</v>
      </c>
      <c r="D11" s="52" t="s">
        <v>247</v>
      </c>
      <c r="E11" s="139">
        <f>B6</f>
        <v>0.36297000000000001</v>
      </c>
      <c r="F11" s="84" t="s">
        <v>259</v>
      </c>
      <c r="G11" s="83" t="s">
        <v>261</v>
      </c>
      <c r="H11" s="144">
        <f>(H5/(H7*H16*H28))/H70</f>
        <v>3.2909378267798452E-5</v>
      </c>
      <c r="I11" s="92" t="s">
        <v>291</v>
      </c>
      <c r="J11" s="84" t="s">
        <v>16</v>
      </c>
      <c r="K11" s="137">
        <f>(K43*K12)/(1-EXP(-K12*K43))</f>
        <v>1.0008022977791844</v>
      </c>
      <c r="M11" s="52" t="s">
        <v>299</v>
      </c>
      <c r="N11" s="138">
        <f>B61</f>
        <v>0.4</v>
      </c>
      <c r="P11" s="52" t="s">
        <v>299</v>
      </c>
      <c r="Q11" s="138">
        <f>B61</f>
        <v>0.4</v>
      </c>
      <c r="S11" s="52" t="s">
        <v>299</v>
      </c>
      <c r="T11" s="138">
        <f>B61</f>
        <v>0.4</v>
      </c>
      <c r="V11" s="52" t="s">
        <v>247</v>
      </c>
      <c r="W11" s="139">
        <f>B6</f>
        <v>0.36297000000000001</v>
      </c>
      <c r="X11" s="84" t="s">
        <v>39</v>
      </c>
      <c r="Y11" s="52" t="s">
        <v>247</v>
      </c>
      <c r="Z11" s="139">
        <f>B6</f>
        <v>0.36297000000000001</v>
      </c>
      <c r="AA11" s="84" t="s">
        <v>39</v>
      </c>
      <c r="AB11" s="83" t="s">
        <v>220</v>
      </c>
      <c r="AC11" s="146"/>
      <c r="AD11" s="146"/>
      <c r="AE11" s="146"/>
      <c r="AF11" s="146">
        <f>B278</f>
        <v>50</v>
      </c>
      <c r="AG11" s="146">
        <f>B301</f>
        <v>50</v>
      </c>
      <c r="AH11" s="83" t="s">
        <v>113</v>
      </c>
      <c r="AI11" s="52" t="s">
        <v>299</v>
      </c>
      <c r="AJ11" s="138">
        <f>B248</f>
        <v>0.4</v>
      </c>
      <c r="AL11" s="52" t="s">
        <v>299</v>
      </c>
      <c r="AM11" s="138">
        <f>B248</f>
        <v>0.4</v>
      </c>
      <c r="AO11" s="52" t="s">
        <v>299</v>
      </c>
      <c r="AP11" s="138">
        <f>B248</f>
        <v>0.4</v>
      </c>
      <c r="AR11" s="52" t="s">
        <v>299</v>
      </c>
      <c r="AS11" s="138">
        <f>B260</f>
        <v>0.4</v>
      </c>
      <c r="AU11" s="52" t="s">
        <v>299</v>
      </c>
      <c r="AV11" s="138">
        <f>B260</f>
        <v>0.4</v>
      </c>
      <c r="AX11" s="52" t="s">
        <v>299</v>
      </c>
      <c r="AY11" s="138">
        <f>B260</f>
        <v>0.4</v>
      </c>
      <c r="BA11" s="52" t="s">
        <v>299</v>
      </c>
      <c r="BB11" s="138">
        <f>B236</f>
        <v>0.4</v>
      </c>
      <c r="BD11" s="52" t="s">
        <v>299</v>
      </c>
      <c r="BE11" s="138">
        <f>B236</f>
        <v>0.4</v>
      </c>
      <c r="BG11" s="52" t="s">
        <v>299</v>
      </c>
      <c r="BH11" s="138">
        <f>B236</f>
        <v>0.4</v>
      </c>
      <c r="BJ11" s="52" t="s">
        <v>219</v>
      </c>
      <c r="BK11" s="138">
        <f>B277</f>
        <v>5</v>
      </c>
      <c r="BL11" s="52" t="s">
        <v>112</v>
      </c>
      <c r="BM11" s="52" t="s">
        <v>219</v>
      </c>
      <c r="BN11" s="138">
        <f>B277</f>
        <v>5</v>
      </c>
      <c r="BO11" s="52" t="s">
        <v>112</v>
      </c>
      <c r="BP11" s="52" t="s">
        <v>219</v>
      </c>
      <c r="BQ11" s="138">
        <f>B277</f>
        <v>5</v>
      </c>
      <c r="BR11" s="52" t="s">
        <v>112</v>
      </c>
      <c r="BS11" s="83" t="s">
        <v>429</v>
      </c>
      <c r="BT11" s="141">
        <f>B93</f>
        <v>10</v>
      </c>
      <c r="BU11" s="92" t="s">
        <v>407</v>
      </c>
      <c r="BV11" s="83" t="s">
        <v>261</v>
      </c>
      <c r="BW11" s="159"/>
      <c r="BX11" s="92" t="s">
        <v>291</v>
      </c>
      <c r="BY11" s="83" t="s">
        <v>22</v>
      </c>
      <c r="BZ11" s="137">
        <f>0.693/BZ12</f>
        <v>1.6041666666666665E-3</v>
      </c>
      <c r="CB11" s="52" t="s">
        <v>300</v>
      </c>
      <c r="CC11" s="138">
        <f>B118</f>
        <v>2.41E-4</v>
      </c>
      <c r="CE11" s="52" t="s">
        <v>300</v>
      </c>
      <c r="CF11" s="138">
        <f>B120</f>
        <v>1.17E-4</v>
      </c>
      <c r="CH11" s="52" t="s">
        <v>300</v>
      </c>
      <c r="CI11" s="138">
        <f>B124</f>
        <v>2.2599999999999999E-4</v>
      </c>
      <c r="CN11" s="84" t="s">
        <v>161</v>
      </c>
      <c r="CO11" s="162">
        <f>B130</f>
        <v>1</v>
      </c>
      <c r="CP11" s="52" t="s">
        <v>246</v>
      </c>
      <c r="CT11" s="84" t="s">
        <v>16</v>
      </c>
      <c r="CU11" s="137">
        <f>(CU43*CU12)/(1-EXP(-CU12*CU43))</f>
        <v>1.0008022977791844</v>
      </c>
      <c r="CW11" s="52" t="s">
        <v>247</v>
      </c>
      <c r="CX11" s="139">
        <f>B6</f>
        <v>0.36297000000000001</v>
      </c>
      <c r="CY11" s="84" t="s">
        <v>259</v>
      </c>
      <c r="CZ11" s="83" t="s">
        <v>22</v>
      </c>
      <c r="DA11" s="137">
        <f>0.693/DA12</f>
        <v>1.6041666666666665E-3</v>
      </c>
      <c r="DC11" s="83" t="s">
        <v>515</v>
      </c>
      <c r="DD11" s="149">
        <f>(DD12*DD15*DD20)+(DD13*DD14*DD21)</f>
        <v>56173.250000000007</v>
      </c>
      <c r="DE11" s="92" t="s">
        <v>347</v>
      </c>
      <c r="DF11" s="92" t="s">
        <v>49</v>
      </c>
      <c r="DG11" s="137">
        <f>DG19+DG20</f>
        <v>3.1394977168949772E-5</v>
      </c>
      <c r="DI11" s="91" t="s">
        <v>231</v>
      </c>
      <c r="DJ11" s="136">
        <f>B18</f>
        <v>432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B168</f>
        <v>350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B168</f>
        <v>350</v>
      </c>
      <c r="EI11" s="83" t="s">
        <v>24</v>
      </c>
      <c r="EJ11" s="92"/>
      <c r="EM11" s="83" t="s">
        <v>495</v>
      </c>
      <c r="EN11" s="138">
        <f>B211</f>
        <v>0.5</v>
      </c>
      <c r="EO11" s="52" t="s">
        <v>246</v>
      </c>
      <c r="EP11" s="83" t="s">
        <v>495</v>
      </c>
      <c r="EQ11" s="138">
        <f>B211</f>
        <v>0.5</v>
      </c>
      <c r="ER11" s="52" t="s">
        <v>246</v>
      </c>
      <c r="ES11" s="83" t="s">
        <v>495</v>
      </c>
      <c r="ET11" s="138">
        <f>B211</f>
        <v>0.5</v>
      </c>
      <c r="EU11" s="52" t="s">
        <v>246</v>
      </c>
      <c r="EV11" s="83" t="s">
        <v>456</v>
      </c>
      <c r="EW11" s="150">
        <f>B168</f>
        <v>350</v>
      </c>
      <c r="EX11" s="83" t="s">
        <v>24</v>
      </c>
      <c r="EY11" s="83"/>
      <c r="EZ11" s="83"/>
      <c r="FA11" s="83"/>
      <c r="FB11" s="83" t="s">
        <v>151</v>
      </c>
      <c r="FC11" s="142">
        <f>B216</f>
        <v>2.1999999999999999E-2</v>
      </c>
      <c r="FD11" s="52" t="s">
        <v>246</v>
      </c>
      <c r="FE11" s="83" t="s">
        <v>151</v>
      </c>
      <c r="FF11" s="142">
        <f>B216</f>
        <v>2.1999999999999999E-2</v>
      </c>
      <c r="FG11" s="52" t="s">
        <v>246</v>
      </c>
      <c r="FH11" s="83" t="s">
        <v>151</v>
      </c>
      <c r="FI11" s="142">
        <f>B216</f>
        <v>2.1999999999999999E-2</v>
      </c>
      <c r="FJ11" s="52" t="s">
        <v>246</v>
      </c>
      <c r="FK11" s="83" t="s">
        <v>456</v>
      </c>
      <c r="FL11" s="150">
        <f>B168</f>
        <v>350</v>
      </c>
      <c r="FM11" s="83" t="s">
        <v>24</v>
      </c>
      <c r="FN11" s="83"/>
      <c r="FO11" s="83"/>
      <c r="FP11" s="83"/>
      <c r="FQ11" s="95"/>
      <c r="FR11" s="176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B168</f>
        <v>350</v>
      </c>
      <c r="GB11" s="83" t="s">
        <v>24</v>
      </c>
      <c r="GC11" s="83"/>
      <c r="GD11" s="83"/>
      <c r="GE11" s="83"/>
      <c r="GF11" s="83" t="s">
        <v>487</v>
      </c>
      <c r="GG11" s="142">
        <f>B221</f>
        <v>2.1999999999999999E-2</v>
      </c>
      <c r="GH11" s="52" t="s">
        <v>246</v>
      </c>
      <c r="GI11" s="83" t="s">
        <v>487</v>
      </c>
      <c r="GJ11" s="142">
        <f>B221</f>
        <v>2.1999999999999999E-2</v>
      </c>
      <c r="GK11" s="52" t="s">
        <v>246</v>
      </c>
      <c r="GL11" s="83" t="s">
        <v>487</v>
      </c>
      <c r="GM11" s="142">
        <f>B221</f>
        <v>2.1999999999999999E-2</v>
      </c>
      <c r="GN11" s="52" t="s">
        <v>246</v>
      </c>
      <c r="GO11" s="83" t="s">
        <v>456</v>
      </c>
      <c r="GP11" s="150">
        <f>B168</f>
        <v>350</v>
      </c>
      <c r="GQ11" s="83" t="s">
        <v>24</v>
      </c>
      <c r="GR11" s="83"/>
      <c r="GS11" s="83"/>
      <c r="GT11" s="83"/>
      <c r="GU11" s="83" t="s">
        <v>491</v>
      </c>
      <c r="GV11" s="142">
        <f>B226</f>
        <v>0.37</v>
      </c>
      <c r="GW11" s="52" t="s">
        <v>246</v>
      </c>
      <c r="GX11" s="83" t="s">
        <v>491</v>
      </c>
      <c r="GY11" s="142">
        <f>B226</f>
        <v>0.37</v>
      </c>
      <c r="GZ11" s="52" t="s">
        <v>246</v>
      </c>
      <c r="HA11" s="83" t="s">
        <v>491</v>
      </c>
      <c r="HB11" s="142">
        <f>B226</f>
        <v>0.37</v>
      </c>
      <c r="HC11" s="52" t="s">
        <v>246</v>
      </c>
      <c r="HD11" s="84" t="s">
        <v>42</v>
      </c>
      <c r="HE11" s="150">
        <f>B84</f>
        <v>1.5</v>
      </c>
    </row>
    <row r="12" spans="1:214" x14ac:dyDescent="0.2">
      <c r="A12" s="83" t="s">
        <v>253</v>
      </c>
      <c r="B12" s="183">
        <v>1.83064E-2</v>
      </c>
      <c r="C12" s="83" t="s">
        <v>351</v>
      </c>
      <c r="D12" s="83" t="s">
        <v>43</v>
      </c>
      <c r="E12" s="140">
        <f>((E15/E16)*E23*E13*E25)+((E15/E16)*E24*E14*E26)</f>
        <v>6195</v>
      </c>
      <c r="F12" s="52" t="s">
        <v>426</v>
      </c>
      <c r="G12" s="83" t="s">
        <v>266</v>
      </c>
      <c r="H12" s="144">
        <f>(H5/(H8*(1/H43)*H21))/H70</f>
        <v>4.7982447995652677</v>
      </c>
      <c r="I12" s="92" t="s">
        <v>291</v>
      </c>
      <c r="J12" s="83" t="s">
        <v>22</v>
      </c>
      <c r="K12" s="137">
        <f>0.693/K13</f>
        <v>1.6041666666666665E-3</v>
      </c>
      <c r="M12" s="52" t="s">
        <v>300</v>
      </c>
      <c r="N12" s="138">
        <f>B62</f>
        <v>1</v>
      </c>
      <c r="P12" s="52" t="s">
        <v>300</v>
      </c>
      <c r="Q12" s="138">
        <f>B62</f>
        <v>1</v>
      </c>
      <c r="S12" s="52" t="s">
        <v>300</v>
      </c>
      <c r="T12" s="138">
        <f>B62</f>
        <v>1</v>
      </c>
      <c r="V12" s="52" t="s">
        <v>44</v>
      </c>
      <c r="W12" s="150">
        <f>B262</f>
        <v>8</v>
      </c>
      <c r="X12" s="84" t="s">
        <v>194</v>
      </c>
      <c r="Y12" s="52" t="s">
        <v>44</v>
      </c>
      <c r="Z12" s="150">
        <f>B239</f>
        <v>8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B274</f>
        <v>8</v>
      </c>
      <c r="AG12" s="150">
        <f>B297</f>
        <v>8</v>
      </c>
      <c r="AH12" s="83" t="s">
        <v>194</v>
      </c>
      <c r="AI12" s="52" t="s">
        <v>300</v>
      </c>
      <c r="AJ12" s="138">
        <f>B235</f>
        <v>1</v>
      </c>
      <c r="AL12" s="52" t="s">
        <v>300</v>
      </c>
      <c r="AM12" s="138">
        <f>B235</f>
        <v>1</v>
      </c>
      <c r="AO12" s="52" t="s">
        <v>300</v>
      </c>
      <c r="AP12" s="138">
        <f>B247</f>
        <v>1</v>
      </c>
      <c r="AR12" s="52" t="s">
        <v>300</v>
      </c>
      <c r="AS12" s="138">
        <f>B259</f>
        <v>1</v>
      </c>
      <c r="AU12" s="52" t="s">
        <v>300</v>
      </c>
      <c r="AV12" s="138">
        <f>B259</f>
        <v>1</v>
      </c>
      <c r="AX12" s="52" t="s">
        <v>300</v>
      </c>
      <c r="AY12" s="138">
        <f>B259</f>
        <v>1</v>
      </c>
      <c r="BA12" s="52" t="s">
        <v>300</v>
      </c>
      <c r="BB12" s="138">
        <f>B235</f>
        <v>1</v>
      </c>
      <c r="BD12" s="52" t="s">
        <v>300</v>
      </c>
      <c r="BE12" s="138">
        <f>B235</f>
        <v>1</v>
      </c>
      <c r="BG12" s="52" t="s">
        <v>300</v>
      </c>
      <c r="BH12" s="138">
        <f>B235</f>
        <v>1</v>
      </c>
      <c r="BJ12" s="52" t="s">
        <v>158</v>
      </c>
      <c r="BK12" s="138">
        <f>B268</f>
        <v>1</v>
      </c>
      <c r="BL12" s="52" t="s">
        <v>146</v>
      </c>
      <c r="BM12" s="52" t="s">
        <v>158</v>
      </c>
      <c r="BN12" s="138">
        <f>B268</f>
        <v>1</v>
      </c>
      <c r="BO12" s="52" t="s">
        <v>146</v>
      </c>
      <c r="BP12" s="52" t="s">
        <v>158</v>
      </c>
      <c r="BQ12" s="138">
        <f>B268</f>
        <v>1</v>
      </c>
      <c r="BR12" s="52" t="s">
        <v>146</v>
      </c>
      <c r="BS12" s="83" t="s">
        <v>430</v>
      </c>
      <c r="BT12" s="141">
        <f>B94</f>
        <v>20</v>
      </c>
      <c r="BU12" s="92" t="s">
        <v>407</v>
      </c>
      <c r="BV12" s="83" t="s">
        <v>266</v>
      </c>
      <c r="BW12" s="145">
        <f>(BW5/(BW8*(1/BW29)*BW16))/BW32</f>
        <v>25.037774502442627</v>
      </c>
      <c r="BX12" s="92" t="s">
        <v>291</v>
      </c>
      <c r="BY12" s="91" t="s">
        <v>231</v>
      </c>
      <c r="BZ12" s="136">
        <f>B18</f>
        <v>432</v>
      </c>
      <c r="CA12" s="52" t="s">
        <v>60</v>
      </c>
      <c r="CB12" s="52" t="s">
        <v>413</v>
      </c>
      <c r="CC12" s="138">
        <f>B119</f>
        <v>0.753</v>
      </c>
      <c r="CE12" s="52" t="s">
        <v>414</v>
      </c>
      <c r="CF12" s="138">
        <f>B121</f>
        <v>0.74299999999999999</v>
      </c>
      <c r="CH12" s="52" t="s">
        <v>416</v>
      </c>
      <c r="CI12" s="138">
        <f>B125</f>
        <v>0.66200000000000003</v>
      </c>
      <c r="CN12" s="84" t="s">
        <v>162</v>
      </c>
      <c r="CO12" s="162">
        <f>B131</f>
        <v>1</v>
      </c>
      <c r="CP12" s="52" t="s">
        <v>41</v>
      </c>
      <c r="CT12" s="83" t="s">
        <v>22</v>
      </c>
      <c r="CU12" s="137">
        <f>0.693/CU13</f>
        <v>1.6041666666666665E-3</v>
      </c>
      <c r="CW12" s="83" t="s">
        <v>506</v>
      </c>
      <c r="CX12" s="140">
        <f>((CX16/24)*CX23*CX13*CX25)+((CX15/24)*CX24*CX14*CX26)</f>
        <v>6475</v>
      </c>
      <c r="CY12" s="52" t="s">
        <v>426</v>
      </c>
      <c r="CZ12" s="91" t="s">
        <v>231</v>
      </c>
      <c r="DA12" s="136">
        <f>B18</f>
        <v>432</v>
      </c>
      <c r="DB12" s="52" t="s">
        <v>60</v>
      </c>
      <c r="DC12" s="83" t="s">
        <v>467</v>
      </c>
      <c r="DD12" s="146">
        <f>B149</f>
        <v>68.099999999999994</v>
      </c>
      <c r="DE12" s="92" t="s">
        <v>221</v>
      </c>
      <c r="DF12" s="92" t="s">
        <v>52</v>
      </c>
      <c r="DG12" s="138">
        <f>B195</f>
        <v>10950</v>
      </c>
      <c r="DH12" s="52" t="s">
        <v>53</v>
      </c>
      <c r="DI12" s="84" t="s">
        <v>16</v>
      </c>
      <c r="DJ12" s="137">
        <f>(DJ9*DJ10)/(1-EXP(-DJ10*DJ9))</f>
        <v>1.0008022977791844</v>
      </c>
      <c r="DL12" s="92"/>
      <c r="DO12" s="92" t="s">
        <v>52</v>
      </c>
      <c r="DP12" s="138">
        <f>B195</f>
        <v>10950</v>
      </c>
      <c r="DQ12" s="52" t="s">
        <v>53</v>
      </c>
      <c r="DR12" s="83" t="s">
        <v>465</v>
      </c>
      <c r="DS12" s="150">
        <f>B168</f>
        <v>350</v>
      </c>
      <c r="DT12" s="83" t="s">
        <v>24</v>
      </c>
      <c r="DU12" s="92"/>
      <c r="DX12" s="83" t="s">
        <v>500</v>
      </c>
      <c r="DY12" s="138">
        <f>B207</f>
        <v>1</v>
      </c>
      <c r="EA12" s="83" t="s">
        <v>500</v>
      </c>
      <c r="EB12" s="138">
        <f>B207</f>
        <v>1</v>
      </c>
      <c r="EC12" s="84"/>
      <c r="ED12" s="83" t="s">
        <v>500</v>
      </c>
      <c r="EE12" s="138">
        <f>B207</f>
        <v>1</v>
      </c>
      <c r="EF12" s="84"/>
      <c r="EG12" s="83" t="s">
        <v>465</v>
      </c>
      <c r="EH12" s="150">
        <f>B168</f>
        <v>350</v>
      </c>
      <c r="EI12" s="83" t="s">
        <v>24</v>
      </c>
      <c r="EJ12" s="92"/>
      <c r="EM12" s="83" t="s">
        <v>496</v>
      </c>
      <c r="EN12" s="138">
        <f>B212</f>
        <v>1</v>
      </c>
      <c r="EP12" s="83" t="s">
        <v>496</v>
      </c>
      <c r="EQ12" s="138">
        <f>B212</f>
        <v>1</v>
      </c>
      <c r="ER12" s="84"/>
      <c r="ES12" s="83" t="s">
        <v>496</v>
      </c>
      <c r="ET12" s="138">
        <f>B212</f>
        <v>1</v>
      </c>
      <c r="EU12" s="84"/>
      <c r="EV12" s="83" t="s">
        <v>465</v>
      </c>
      <c r="EW12" s="150">
        <f>B168</f>
        <v>350</v>
      </c>
      <c r="EX12" s="83" t="s">
        <v>24</v>
      </c>
      <c r="EY12" s="83"/>
      <c r="EZ12" s="83"/>
      <c r="FA12" s="83"/>
      <c r="FB12" s="83" t="s">
        <v>153</v>
      </c>
      <c r="FC12" s="164">
        <f>B217</f>
        <v>1</v>
      </c>
      <c r="FD12" s="83"/>
      <c r="FE12" s="83" t="s">
        <v>153</v>
      </c>
      <c r="FF12" s="164">
        <f>B217</f>
        <v>1</v>
      </c>
      <c r="FG12" s="83"/>
      <c r="FH12" s="83" t="s">
        <v>153</v>
      </c>
      <c r="FI12" s="164">
        <f>B217</f>
        <v>1</v>
      </c>
      <c r="FJ12" s="84"/>
      <c r="FK12" s="83" t="s">
        <v>465</v>
      </c>
      <c r="FL12" s="150">
        <f>B168</f>
        <v>350</v>
      </c>
      <c r="FM12" s="83" t="s">
        <v>24</v>
      </c>
      <c r="FN12" s="83"/>
      <c r="FO12" s="83"/>
      <c r="FP12" s="83"/>
      <c r="FQ12" s="88"/>
      <c r="FR12" s="88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B168</f>
        <v>350</v>
      </c>
      <c r="GB12" s="83" t="s">
        <v>24</v>
      </c>
      <c r="GC12" s="83"/>
      <c r="GD12" s="83"/>
      <c r="GE12" s="83"/>
      <c r="GF12" s="83" t="s">
        <v>488</v>
      </c>
      <c r="GG12" s="142">
        <f>B222</f>
        <v>1</v>
      </c>
      <c r="GH12" s="83"/>
      <c r="GI12" s="83" t="s">
        <v>488</v>
      </c>
      <c r="GJ12" s="142">
        <f>B222</f>
        <v>1</v>
      </c>
      <c r="GK12" s="83"/>
      <c r="GL12" s="83" t="s">
        <v>488</v>
      </c>
      <c r="GM12" s="142">
        <f>B222</f>
        <v>1</v>
      </c>
      <c r="GN12" s="84"/>
      <c r="GO12" s="83" t="s">
        <v>465</v>
      </c>
      <c r="GP12" s="150">
        <f>B168</f>
        <v>350</v>
      </c>
      <c r="GQ12" s="83" t="s">
        <v>24</v>
      </c>
      <c r="GR12" s="83"/>
      <c r="GS12" s="83"/>
      <c r="GT12" s="83"/>
      <c r="GU12" s="83" t="s">
        <v>492</v>
      </c>
      <c r="GV12" s="142">
        <f>B227</f>
        <v>1</v>
      </c>
      <c r="GW12" s="83"/>
      <c r="GX12" s="83" t="s">
        <v>492</v>
      </c>
      <c r="GY12" s="142">
        <f>B227</f>
        <v>1</v>
      </c>
      <c r="GZ12" s="83"/>
      <c r="HA12" s="83" t="s">
        <v>492</v>
      </c>
      <c r="HB12" s="142">
        <f>B227</f>
        <v>1</v>
      </c>
      <c r="HC12" s="84"/>
      <c r="HD12" s="84" t="s">
        <v>47</v>
      </c>
      <c r="HE12" s="163">
        <v>1</v>
      </c>
    </row>
    <row r="13" spans="1:214" x14ac:dyDescent="0.2">
      <c r="A13" s="83" t="s">
        <v>254</v>
      </c>
      <c r="B13" s="183">
        <v>3.4557999999999998E-2</v>
      </c>
      <c r="C13" s="83" t="s">
        <v>351</v>
      </c>
      <c r="D13" s="83" t="s">
        <v>366</v>
      </c>
      <c r="E13" s="141">
        <f>B38</f>
        <v>10</v>
      </c>
      <c r="F13" s="92" t="s">
        <v>407</v>
      </c>
      <c r="G13" s="83" t="s">
        <v>263</v>
      </c>
      <c r="H13" s="144">
        <f>(H14/((1/H40)*(H48+H49+H50)))</f>
        <v>0.13991587979276968</v>
      </c>
      <c r="I13" s="92" t="s">
        <v>291</v>
      </c>
      <c r="J13" s="91" t="s">
        <v>231</v>
      </c>
      <c r="K13" s="136">
        <f>B18</f>
        <v>432</v>
      </c>
      <c r="L13" s="52" t="s">
        <v>60</v>
      </c>
      <c r="M13" s="52" t="s">
        <v>54</v>
      </c>
      <c r="N13" s="138">
        <f>B63</f>
        <v>1</v>
      </c>
      <c r="P13" s="52" t="s">
        <v>54</v>
      </c>
      <c r="Q13" s="138">
        <f>B63</f>
        <v>1</v>
      </c>
      <c r="S13" s="52" t="s">
        <v>54</v>
      </c>
      <c r="T13" s="138">
        <f>B63</f>
        <v>1</v>
      </c>
      <c r="V13" s="52" t="s">
        <v>50</v>
      </c>
      <c r="W13" s="146">
        <f>B254</f>
        <v>60</v>
      </c>
      <c r="X13" s="84" t="s">
        <v>407</v>
      </c>
      <c r="Y13" s="52" t="s">
        <v>50</v>
      </c>
      <c r="Z13" s="146">
        <f>B230</f>
        <v>60</v>
      </c>
      <c r="AA13" s="84" t="s">
        <v>407</v>
      </c>
      <c r="AB13" s="83" t="s">
        <v>349</v>
      </c>
      <c r="AC13" s="146">
        <f>B233</f>
        <v>100</v>
      </c>
      <c r="AD13" s="146">
        <f>B245</f>
        <v>50</v>
      </c>
      <c r="AE13" s="146">
        <f>B257</f>
        <v>100</v>
      </c>
      <c r="AF13" s="146">
        <f>B269</f>
        <v>330</v>
      </c>
      <c r="AG13" s="146">
        <f>B293</f>
        <v>330</v>
      </c>
      <c r="AH13" s="52" t="s">
        <v>48</v>
      </c>
      <c r="AI13" s="52" t="s">
        <v>54</v>
      </c>
      <c r="AJ13" s="138">
        <f>B249</f>
        <v>1</v>
      </c>
      <c r="AL13" s="52" t="s">
        <v>54</v>
      </c>
      <c r="AM13" s="138">
        <f>B249</f>
        <v>1</v>
      </c>
      <c r="AO13" s="52" t="s">
        <v>54</v>
      </c>
      <c r="AP13" s="138">
        <f>B249</f>
        <v>1</v>
      </c>
      <c r="AR13" s="52" t="s">
        <v>54</v>
      </c>
      <c r="AS13" s="138">
        <f>B261</f>
        <v>1</v>
      </c>
      <c r="AU13" s="52" t="s">
        <v>54</v>
      </c>
      <c r="AV13" s="138">
        <f>B261</f>
        <v>1</v>
      </c>
      <c r="AX13" s="52" t="s">
        <v>54</v>
      </c>
      <c r="AY13" s="138">
        <f>B261</f>
        <v>1</v>
      </c>
      <c r="BA13" s="52" t="s">
        <v>54</v>
      </c>
      <c r="BB13" s="138">
        <f>B237</f>
        <v>1</v>
      </c>
      <c r="BD13" s="52" t="s">
        <v>54</v>
      </c>
      <c r="BE13" s="138">
        <f>B237</f>
        <v>1</v>
      </c>
      <c r="BG13" s="52" t="s">
        <v>54</v>
      </c>
      <c r="BH13" s="138">
        <f>B237</f>
        <v>1</v>
      </c>
      <c r="BJ13" s="52" t="s">
        <v>300</v>
      </c>
      <c r="BK13" s="136">
        <f>B279</f>
        <v>2.41E-4</v>
      </c>
      <c r="BM13" s="52" t="s">
        <v>300</v>
      </c>
      <c r="BN13" s="136">
        <f>B283</f>
        <v>1.17E-4</v>
      </c>
      <c r="BP13" s="52" t="s">
        <v>300</v>
      </c>
      <c r="BQ13" s="136">
        <f>B287</f>
        <v>2.2599999999999999E-4</v>
      </c>
      <c r="BS13" s="52" t="s">
        <v>431</v>
      </c>
      <c r="BT13" s="141">
        <f>B106</f>
        <v>1</v>
      </c>
      <c r="BU13" s="52" t="s">
        <v>194</v>
      </c>
      <c r="BV13" s="83" t="s">
        <v>440</v>
      </c>
      <c r="BW13" s="160">
        <f>((BW18*BW20*BW23*BW14*BW30)+(BW19*BW21*BW24*BW15*BW31))</f>
        <v>2.25</v>
      </c>
      <c r="BX13" s="83" t="s">
        <v>345</v>
      </c>
      <c r="BY13" s="83" t="s">
        <v>260</v>
      </c>
      <c r="BZ13" s="143">
        <f>((BZ5/(BZ6*BZ16*(1/BZ33)))*BZ10)/BZ36</f>
        <v>4.5583215949497173</v>
      </c>
      <c r="CA13" s="92" t="s">
        <v>290</v>
      </c>
      <c r="CB13" s="52" t="s">
        <v>90</v>
      </c>
      <c r="CC13" s="138">
        <f>B108</f>
        <v>1</v>
      </c>
      <c r="CD13" s="52" t="s">
        <v>194</v>
      </c>
      <c r="CE13" s="52" t="s">
        <v>90</v>
      </c>
      <c r="CF13" s="138">
        <f>B108</f>
        <v>1</v>
      </c>
      <c r="CG13" s="52" t="s">
        <v>194</v>
      </c>
      <c r="CH13" s="52" t="s">
        <v>90</v>
      </c>
      <c r="CI13" s="138">
        <f>B108</f>
        <v>1</v>
      </c>
      <c r="CJ13" s="52" t="s">
        <v>194</v>
      </c>
      <c r="CN13" s="84" t="s">
        <v>163</v>
      </c>
      <c r="CO13" s="162">
        <f>B132</f>
        <v>1</v>
      </c>
      <c r="CP13" s="52" t="s">
        <v>41</v>
      </c>
      <c r="CT13" s="91" t="s">
        <v>231</v>
      </c>
      <c r="CU13" s="136">
        <f>B18</f>
        <v>432</v>
      </c>
      <c r="CV13" s="52" t="s">
        <v>60</v>
      </c>
      <c r="CW13" s="83" t="s">
        <v>450</v>
      </c>
      <c r="CX13" s="141">
        <f>B147</f>
        <v>10</v>
      </c>
      <c r="CY13" s="92" t="s">
        <v>407</v>
      </c>
      <c r="CZ13" s="83" t="s">
        <v>260</v>
      </c>
      <c r="DA13" s="143">
        <f>(DA5/(DA6*DA24))/DA51</f>
        <v>5.3545057630545581E-2</v>
      </c>
      <c r="DB13" s="83" t="s">
        <v>291</v>
      </c>
      <c r="DC13" s="83" t="s">
        <v>468</v>
      </c>
      <c r="DD13" s="146">
        <f>B150</f>
        <v>176.8</v>
      </c>
      <c r="DE13" s="92" t="s">
        <v>221</v>
      </c>
      <c r="DF13" s="92" t="s">
        <v>55</v>
      </c>
      <c r="DG13" s="138">
        <f>B196</f>
        <v>240</v>
      </c>
      <c r="DH13" s="52" t="s">
        <v>56</v>
      </c>
      <c r="DI13" s="95"/>
      <c r="DJ13" s="176"/>
      <c r="DL13" s="92"/>
      <c r="DO13" s="92" t="s">
        <v>55</v>
      </c>
      <c r="DP13" s="138">
        <f>B196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B208</f>
        <v>1</v>
      </c>
      <c r="EA13" s="83" t="s">
        <v>501</v>
      </c>
      <c r="EB13" s="138">
        <f>B208</f>
        <v>1</v>
      </c>
      <c r="EC13" s="84"/>
      <c r="ED13" s="83" t="s">
        <v>501</v>
      </c>
      <c r="EE13" s="138">
        <f>B208</f>
        <v>1</v>
      </c>
      <c r="EF13" s="84"/>
      <c r="EG13" s="83" t="s">
        <v>363</v>
      </c>
      <c r="EH13" s="150">
        <f>B170</f>
        <v>1</v>
      </c>
      <c r="EI13" s="84" t="s">
        <v>60</v>
      </c>
      <c r="EJ13" s="92"/>
      <c r="EM13" s="83" t="s">
        <v>497</v>
      </c>
      <c r="EN13" s="138">
        <f>B213</f>
        <v>1</v>
      </c>
      <c r="EP13" s="83" t="s">
        <v>497</v>
      </c>
      <c r="EQ13" s="138">
        <f>B213</f>
        <v>1</v>
      </c>
      <c r="ER13" s="84"/>
      <c r="ES13" s="83" t="s">
        <v>497</v>
      </c>
      <c r="ET13" s="138">
        <f>B213</f>
        <v>1</v>
      </c>
      <c r="EU13" s="84"/>
      <c r="EV13" s="83" t="s">
        <v>363</v>
      </c>
      <c r="EW13" s="150">
        <f>B170</f>
        <v>1</v>
      </c>
      <c r="EX13" s="84" t="s">
        <v>60</v>
      </c>
      <c r="EY13" s="83"/>
      <c r="EZ13" s="83"/>
      <c r="FA13" s="83"/>
      <c r="FB13" s="83" t="s">
        <v>154</v>
      </c>
      <c r="FC13" s="164">
        <f>B218</f>
        <v>1</v>
      </c>
      <c r="FD13" s="83"/>
      <c r="FE13" s="83" t="s">
        <v>154</v>
      </c>
      <c r="FF13" s="164">
        <f>B218</f>
        <v>1</v>
      </c>
      <c r="FG13" s="83"/>
      <c r="FH13" s="83" t="s">
        <v>154</v>
      </c>
      <c r="FI13" s="164">
        <f>B218</f>
        <v>1</v>
      </c>
      <c r="FJ13" s="84"/>
      <c r="FK13" s="83" t="s">
        <v>363</v>
      </c>
      <c r="FL13" s="141">
        <f>B170</f>
        <v>1</v>
      </c>
      <c r="FM13" s="92" t="s">
        <v>60</v>
      </c>
      <c r="FN13" s="83"/>
      <c r="FO13" s="83"/>
      <c r="FP13" s="83"/>
      <c r="FQ13" s="88"/>
      <c r="FR13" s="88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B170</f>
        <v>1</v>
      </c>
      <c r="GB13" s="92" t="s">
        <v>60</v>
      </c>
      <c r="GC13" s="83"/>
      <c r="GD13" s="83"/>
      <c r="GE13" s="83"/>
      <c r="GF13" s="83" t="s">
        <v>489</v>
      </c>
      <c r="GG13" s="142">
        <f>B223</f>
        <v>1</v>
      </c>
      <c r="GH13" s="83"/>
      <c r="GI13" s="83" t="s">
        <v>489</v>
      </c>
      <c r="GJ13" s="142">
        <f>B223</f>
        <v>1</v>
      </c>
      <c r="GK13" s="83"/>
      <c r="GL13" s="83" t="s">
        <v>489</v>
      </c>
      <c r="GM13" s="142">
        <f>B223</f>
        <v>1</v>
      </c>
      <c r="GN13" s="84"/>
      <c r="GO13" s="83" t="s">
        <v>363</v>
      </c>
      <c r="GP13" s="141">
        <f>B170</f>
        <v>1</v>
      </c>
      <c r="GQ13" s="92" t="s">
        <v>60</v>
      </c>
      <c r="GR13" s="83"/>
      <c r="GS13" s="83"/>
      <c r="GT13" s="83"/>
      <c r="GU13" s="83" t="s">
        <v>493</v>
      </c>
      <c r="GV13" s="142">
        <f>B228</f>
        <v>1</v>
      </c>
      <c r="GW13" s="83"/>
      <c r="GX13" s="83" t="s">
        <v>493</v>
      </c>
      <c r="GY13" s="142">
        <f>B228</f>
        <v>1</v>
      </c>
      <c r="GZ13" s="83"/>
      <c r="HA13" s="83" t="s">
        <v>493</v>
      </c>
      <c r="HB13" s="142">
        <f>B228</f>
        <v>1</v>
      </c>
      <c r="HC13" s="84"/>
      <c r="HD13" s="84" t="s">
        <v>59</v>
      </c>
      <c r="HE13" s="150">
        <f>B33</f>
        <v>4</v>
      </c>
    </row>
    <row r="14" spans="1:214" x14ac:dyDescent="0.2">
      <c r="A14" s="83" t="s">
        <v>255</v>
      </c>
      <c r="B14" s="183">
        <v>3.7173200000000003E-2</v>
      </c>
      <c r="C14" s="83" t="s">
        <v>351</v>
      </c>
      <c r="D14" s="83" t="s">
        <v>367</v>
      </c>
      <c r="E14" s="141">
        <f>B39</f>
        <v>20</v>
      </c>
      <c r="F14" s="92" t="s">
        <v>407</v>
      </c>
      <c r="G14" s="83" t="s">
        <v>264</v>
      </c>
      <c r="H14" s="145">
        <f>(H5/(H9*(H22+H25)*H41))/H70</f>
        <v>1.7807844066824376E-3</v>
      </c>
      <c r="I14" s="92" t="s">
        <v>290</v>
      </c>
      <c r="J14" s="83" t="s">
        <v>260</v>
      </c>
      <c r="K14" s="143">
        <f>((K5/(K6*K19*(1/K46)))*K11)/K53</f>
        <v>0.97678319891779686</v>
      </c>
      <c r="L14" s="92" t="s">
        <v>290</v>
      </c>
      <c r="M14" s="52" t="s">
        <v>408</v>
      </c>
      <c r="N14" s="150">
        <f>B78</f>
        <v>1.752</v>
      </c>
      <c r="O14" s="52" t="s">
        <v>194</v>
      </c>
      <c r="P14" s="52" t="s">
        <v>408</v>
      </c>
      <c r="Q14" s="150">
        <f>B78</f>
        <v>1.752</v>
      </c>
      <c r="R14" s="52" t="s">
        <v>194</v>
      </c>
      <c r="S14" s="52" t="s">
        <v>408</v>
      </c>
      <c r="T14" s="150">
        <f>B78</f>
        <v>1.752</v>
      </c>
      <c r="U14" s="52" t="s">
        <v>194</v>
      </c>
      <c r="V14" s="83" t="s">
        <v>256</v>
      </c>
      <c r="W14" s="136">
        <f>B15</f>
        <v>125.5296</v>
      </c>
      <c r="X14" s="83" t="s">
        <v>343</v>
      </c>
      <c r="Y14" s="83" t="s">
        <v>256</v>
      </c>
      <c r="Z14" s="136">
        <f>B15</f>
        <v>125.5296</v>
      </c>
      <c r="AA14" s="83" t="s">
        <v>343</v>
      </c>
      <c r="AB14" s="83" t="s">
        <v>300</v>
      </c>
      <c r="AC14" s="141">
        <f>B235</f>
        <v>1</v>
      </c>
      <c r="AD14" s="141">
        <f>B247</f>
        <v>1</v>
      </c>
      <c r="AE14" s="141">
        <f>B259</f>
        <v>1</v>
      </c>
      <c r="AF14" s="141">
        <f>B279</f>
        <v>2.41E-4</v>
      </c>
      <c r="AG14" s="141">
        <f>B279</f>
        <v>2.41E-4</v>
      </c>
      <c r="AH14" s="92"/>
      <c r="AI14" s="52" t="s">
        <v>57</v>
      </c>
      <c r="AJ14" s="136">
        <f>B250</f>
        <v>0</v>
      </c>
      <c r="AK14" s="52" t="s">
        <v>194</v>
      </c>
      <c r="AL14" s="52" t="s">
        <v>57</v>
      </c>
      <c r="AM14" s="136">
        <f>B250</f>
        <v>0</v>
      </c>
      <c r="AN14" s="52" t="s">
        <v>194</v>
      </c>
      <c r="AO14" s="52" t="s">
        <v>57</v>
      </c>
      <c r="AP14" s="136">
        <f>B250</f>
        <v>0</v>
      </c>
      <c r="AQ14" s="52" t="s">
        <v>194</v>
      </c>
      <c r="AR14" s="52" t="s">
        <v>57</v>
      </c>
      <c r="AS14" s="136">
        <f>B262</f>
        <v>8</v>
      </c>
      <c r="AT14" s="52" t="s">
        <v>194</v>
      </c>
      <c r="AU14" s="52" t="s">
        <v>57</v>
      </c>
      <c r="AV14" s="136">
        <f>B262</f>
        <v>8</v>
      </c>
      <c r="AW14" s="52" t="s">
        <v>194</v>
      </c>
      <c r="AX14" s="52" t="s">
        <v>57</v>
      </c>
      <c r="AY14" s="136">
        <f>B262</f>
        <v>8</v>
      </c>
      <c r="AZ14" s="52" t="s">
        <v>194</v>
      </c>
      <c r="BA14" s="52" t="s">
        <v>57</v>
      </c>
      <c r="BB14" s="136">
        <f>B238</f>
        <v>8</v>
      </c>
      <c r="BC14" s="52" t="s">
        <v>194</v>
      </c>
      <c r="BD14" s="52" t="s">
        <v>57</v>
      </c>
      <c r="BE14" s="136">
        <f>B238</f>
        <v>8</v>
      </c>
      <c r="BF14" s="52" t="s">
        <v>194</v>
      </c>
      <c r="BG14" s="52" t="s">
        <v>58</v>
      </c>
      <c r="BH14" s="136">
        <f>B238</f>
        <v>8</v>
      </c>
      <c r="BI14" s="52" t="s">
        <v>194</v>
      </c>
      <c r="BJ14" s="52" t="s">
        <v>413</v>
      </c>
      <c r="BK14" s="136">
        <f>B280</f>
        <v>0.753</v>
      </c>
      <c r="BM14" s="52" t="s">
        <v>414</v>
      </c>
      <c r="BN14" s="136">
        <f>B284</f>
        <v>0.74299999999999999</v>
      </c>
      <c r="BP14" s="52" t="s">
        <v>416</v>
      </c>
      <c r="BQ14" s="136">
        <f>B288</f>
        <v>0.66200000000000003</v>
      </c>
      <c r="BS14" s="52" t="s">
        <v>432</v>
      </c>
      <c r="BT14" s="141">
        <f>B107</f>
        <v>1</v>
      </c>
      <c r="BU14" s="52" t="s">
        <v>194</v>
      </c>
      <c r="BV14" s="83" t="s">
        <v>439</v>
      </c>
      <c r="BW14" s="146">
        <f>B95</f>
        <v>0.05</v>
      </c>
      <c r="BX14" s="83" t="s">
        <v>357</v>
      </c>
      <c r="BY14" s="83" t="s">
        <v>261</v>
      </c>
      <c r="BZ14" s="144">
        <f>((BZ5/(BZ7*BZ17*(1/BZ9)*BZ32))*BZ10)/BZ36</f>
        <v>2507.1800551886727</v>
      </c>
      <c r="CA14" s="92" t="s">
        <v>290</v>
      </c>
      <c r="CB14" s="52" t="s">
        <v>412</v>
      </c>
      <c r="CC14" s="139">
        <f>B10</f>
        <v>3.7173200000000003E-2</v>
      </c>
      <c r="CD14" s="84" t="s">
        <v>353</v>
      </c>
      <c r="CE14" s="52" t="s">
        <v>415</v>
      </c>
      <c r="CF14" s="139">
        <f>B12</f>
        <v>1.83064E-2</v>
      </c>
      <c r="CG14" s="84" t="s">
        <v>353</v>
      </c>
      <c r="CH14" s="52" t="s">
        <v>417</v>
      </c>
      <c r="CI14" s="139">
        <f>B14</f>
        <v>3.7173200000000003E-2</v>
      </c>
      <c r="CJ14" s="84" t="s">
        <v>353</v>
      </c>
      <c r="CK14" s="84"/>
      <c r="CL14" s="84"/>
      <c r="CM14" s="84"/>
      <c r="CN14" s="52" t="s">
        <v>95</v>
      </c>
      <c r="CO14" s="164">
        <f>B117</f>
        <v>1</v>
      </c>
      <c r="CQ14" s="84"/>
      <c r="CR14" s="84"/>
      <c r="CS14" s="84"/>
      <c r="CT14" s="83" t="s">
        <v>260</v>
      </c>
      <c r="CU14" s="143">
        <f>((CU5/(CU6*CU25*(1/CU46)))*CU11)/CU49</f>
        <v>1.044733334494687</v>
      </c>
      <c r="CV14" s="92" t="s">
        <v>290</v>
      </c>
      <c r="CW14" s="83" t="s">
        <v>459</v>
      </c>
      <c r="CX14" s="141">
        <f>B148</f>
        <v>20</v>
      </c>
      <c r="CY14" s="92" t="s">
        <v>407</v>
      </c>
      <c r="CZ14" s="83" t="s">
        <v>261</v>
      </c>
      <c r="DA14" s="144">
        <f>(DA5/(DA7*DA25*DA45))/DA51</f>
        <v>3.1486270018380142E-5</v>
      </c>
      <c r="DB14" s="83" t="s">
        <v>291</v>
      </c>
      <c r="DC14" s="83" t="s">
        <v>465</v>
      </c>
      <c r="DD14" s="146">
        <f>B168</f>
        <v>350</v>
      </c>
      <c r="DE14" s="83" t="s">
        <v>24</v>
      </c>
      <c r="DF14" s="92" t="s">
        <v>393</v>
      </c>
      <c r="DG14" s="138">
        <f>B35</f>
        <v>0.26</v>
      </c>
      <c r="DL14" s="92"/>
      <c r="DO14" s="92" t="s">
        <v>393</v>
      </c>
      <c r="DP14" s="138">
        <f>B35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B204</f>
        <v>1.03</v>
      </c>
      <c r="DZ14" s="52" t="s">
        <v>286</v>
      </c>
      <c r="EA14" s="52" t="s">
        <v>518</v>
      </c>
      <c r="EB14" s="146">
        <f>B204</f>
        <v>1.03</v>
      </c>
      <c r="EC14" s="52" t="s">
        <v>286</v>
      </c>
      <c r="ED14" s="92" t="s">
        <v>392</v>
      </c>
      <c r="EE14" s="163">
        <f>B36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B170</f>
        <v>1</v>
      </c>
      <c r="EP14" s="95"/>
      <c r="EQ14" s="176"/>
      <c r="ER14" s="84"/>
      <c r="ES14" s="92" t="s">
        <v>392</v>
      </c>
      <c r="ET14" s="163">
        <f>B36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B170</f>
        <v>1</v>
      </c>
      <c r="FE14" s="95"/>
      <c r="FF14" s="176"/>
      <c r="FG14" s="83"/>
      <c r="FH14" s="83" t="s">
        <v>392</v>
      </c>
      <c r="FI14" s="142">
        <f>B36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88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B170</f>
        <v>1</v>
      </c>
      <c r="GI14" s="95"/>
      <c r="GJ14" s="176"/>
      <c r="GK14" s="83"/>
      <c r="GL14" s="83" t="s">
        <v>392</v>
      </c>
      <c r="GM14" s="142">
        <f>B36</f>
        <v>0.25</v>
      </c>
      <c r="GN14" s="84"/>
      <c r="GO14" s="92" t="s">
        <v>484</v>
      </c>
      <c r="GP14" s="146">
        <f>B192</f>
        <v>1</v>
      </c>
      <c r="GR14" s="83"/>
      <c r="GS14" s="83"/>
      <c r="GT14" s="83"/>
      <c r="GU14" s="52" t="s">
        <v>350</v>
      </c>
      <c r="GV14" s="164">
        <f>B170</f>
        <v>1</v>
      </c>
      <c r="GX14" s="95"/>
      <c r="GY14" s="176"/>
      <c r="GZ14" s="83"/>
      <c r="HA14" s="83" t="s">
        <v>392</v>
      </c>
      <c r="HB14" s="142">
        <f>B36</f>
        <v>0.25</v>
      </c>
      <c r="HC14" s="84"/>
      <c r="HD14" s="52" t="s">
        <v>225</v>
      </c>
      <c r="HE14" s="138">
        <v>1</v>
      </c>
    </row>
    <row r="15" spans="1:214" x14ac:dyDescent="0.2">
      <c r="A15" s="83" t="s">
        <v>256</v>
      </c>
      <c r="B15" s="183">
        <v>125.5296</v>
      </c>
      <c r="C15" s="83" t="s">
        <v>351</v>
      </c>
      <c r="D15" s="52" t="s">
        <v>384</v>
      </c>
      <c r="E15" s="138">
        <f>B59</f>
        <v>24</v>
      </c>
      <c r="F15" s="52" t="s">
        <v>194</v>
      </c>
      <c r="G15" s="83" t="s">
        <v>395</v>
      </c>
      <c r="H15" s="147">
        <f>(H29*H17*H68)+(H30*H18*H69)</f>
        <v>736.54</v>
      </c>
      <c r="I15" s="83" t="s">
        <v>345</v>
      </c>
      <c r="J15" s="83" t="s">
        <v>261</v>
      </c>
      <c r="K15" s="144">
        <f>((K5/(K7*K20*(1/K10)*K45))*K11)/K53</f>
        <v>22.385536207041724</v>
      </c>
      <c r="L15" s="92" t="s">
        <v>290</v>
      </c>
      <c r="M15" s="52" t="s">
        <v>412</v>
      </c>
      <c r="N15" s="139">
        <f>B10</f>
        <v>3.7173200000000003E-2</v>
      </c>
      <c r="O15" s="84" t="s">
        <v>353</v>
      </c>
      <c r="P15" s="52" t="s">
        <v>415</v>
      </c>
      <c r="Q15" s="139">
        <f>B12</f>
        <v>1.83064E-2</v>
      </c>
      <c r="R15" s="84" t="s">
        <v>353</v>
      </c>
      <c r="S15" s="52" t="s">
        <v>417</v>
      </c>
      <c r="T15" s="139">
        <f>B14</f>
        <v>3.7173200000000003E-2</v>
      </c>
      <c r="U15" s="84" t="s">
        <v>353</v>
      </c>
      <c r="V15" s="83" t="s">
        <v>301</v>
      </c>
      <c r="W15" s="142">
        <f>B258</f>
        <v>1</v>
      </c>
      <c r="Y15" s="83" t="s">
        <v>301</v>
      </c>
      <c r="Z15" s="142">
        <f>B234</f>
        <v>1</v>
      </c>
      <c r="AB15" s="83" t="s">
        <v>232</v>
      </c>
      <c r="AC15" s="141">
        <f>B230</f>
        <v>60</v>
      </c>
      <c r="AD15" s="141">
        <f>B242</f>
        <v>60</v>
      </c>
      <c r="AE15" s="141">
        <f>B254</f>
        <v>60</v>
      </c>
      <c r="AF15" s="141">
        <f>B266</f>
        <v>60</v>
      </c>
      <c r="AG15" s="141">
        <f>B290</f>
        <v>60</v>
      </c>
      <c r="AH15" s="92" t="s">
        <v>407</v>
      </c>
      <c r="AI15" s="52" t="s">
        <v>412</v>
      </c>
      <c r="AJ15" s="139">
        <f>B10</f>
        <v>3.7173200000000003E-2</v>
      </c>
      <c r="AK15" s="84" t="s">
        <v>353</v>
      </c>
      <c r="AL15" s="52" t="s">
        <v>415</v>
      </c>
      <c r="AM15" s="139">
        <f>B12</f>
        <v>1.83064E-2</v>
      </c>
      <c r="AN15" s="84" t="s">
        <v>353</v>
      </c>
      <c r="AO15" s="52" t="s">
        <v>417</v>
      </c>
      <c r="AP15" s="139">
        <f>B14</f>
        <v>3.7173200000000003E-2</v>
      </c>
      <c r="AQ15" s="84" t="s">
        <v>353</v>
      </c>
      <c r="AR15" s="52" t="s">
        <v>412</v>
      </c>
      <c r="AS15" s="139">
        <f>B10</f>
        <v>3.7173200000000003E-2</v>
      </c>
      <c r="AT15" s="84" t="s">
        <v>353</v>
      </c>
      <c r="AU15" s="52" t="s">
        <v>415</v>
      </c>
      <c r="AV15" s="139">
        <f>B12</f>
        <v>1.83064E-2</v>
      </c>
      <c r="AW15" s="84" t="s">
        <v>353</v>
      </c>
      <c r="AX15" s="52" t="s">
        <v>417</v>
      </c>
      <c r="AY15" s="139">
        <f>B14</f>
        <v>3.7173200000000003E-2</v>
      </c>
      <c r="AZ15" s="84" t="s">
        <v>353</v>
      </c>
      <c r="BA15" s="52" t="s">
        <v>412</v>
      </c>
      <c r="BB15" s="139">
        <f>B10</f>
        <v>3.7173200000000003E-2</v>
      </c>
      <c r="BC15" s="84" t="s">
        <v>353</v>
      </c>
      <c r="BD15" s="52" t="s">
        <v>415</v>
      </c>
      <c r="BE15" s="139">
        <f>B12</f>
        <v>1.83064E-2</v>
      </c>
      <c r="BF15" s="84" t="s">
        <v>353</v>
      </c>
      <c r="BG15" s="52" t="s">
        <v>417</v>
      </c>
      <c r="BH15" s="139">
        <f>B14</f>
        <v>3.7173200000000003E-2</v>
      </c>
      <c r="BI15" s="84" t="s">
        <v>353</v>
      </c>
      <c r="BJ15" s="52" t="s">
        <v>57</v>
      </c>
      <c r="BK15" s="136">
        <f>B274</f>
        <v>8</v>
      </c>
      <c r="BL15" s="52" t="s">
        <v>194</v>
      </c>
      <c r="BM15" s="52" t="s">
        <v>57</v>
      </c>
      <c r="BN15" s="136">
        <f>B274</f>
        <v>8</v>
      </c>
      <c r="BO15" s="52" t="s">
        <v>194</v>
      </c>
      <c r="BP15" s="52" t="s">
        <v>57</v>
      </c>
      <c r="BQ15" s="136">
        <f>B274</f>
        <v>8</v>
      </c>
      <c r="BR15" s="52" t="s">
        <v>194</v>
      </c>
      <c r="BS15" s="52" t="s">
        <v>90</v>
      </c>
      <c r="BT15" s="138">
        <f>B108</f>
        <v>1</v>
      </c>
      <c r="BU15" s="52" t="s">
        <v>194</v>
      </c>
      <c r="BV15" s="83" t="s">
        <v>438</v>
      </c>
      <c r="BW15" s="146">
        <f>B96</f>
        <v>0.05</v>
      </c>
      <c r="BX15" s="83" t="s">
        <v>357</v>
      </c>
      <c r="BY15" s="83" t="s">
        <v>262</v>
      </c>
      <c r="BZ15" s="145">
        <f>(((BZ5)/(BZ8*BZ22*(1/BZ31)*BZ25*(1/24)*BZ28*BZ29))*BZ10)/BZ36</f>
        <v>641137.07799574395</v>
      </c>
      <c r="CA15" s="92" t="s">
        <v>290</v>
      </c>
      <c r="CB15" s="95" t="s">
        <v>287</v>
      </c>
      <c r="CC15" s="176">
        <v>27.027027027027</v>
      </c>
      <c r="CD15" s="52" t="s">
        <v>288</v>
      </c>
      <c r="CE15" s="95" t="s">
        <v>287</v>
      </c>
      <c r="CF15" s="176">
        <v>27.027027027027</v>
      </c>
      <c r="CG15" s="52" t="s">
        <v>288</v>
      </c>
      <c r="CH15" s="95" t="s">
        <v>287</v>
      </c>
      <c r="CI15" s="176">
        <v>27.027027027027</v>
      </c>
      <c r="CJ15" s="52" t="s">
        <v>288</v>
      </c>
      <c r="CN15" s="83" t="s">
        <v>22</v>
      </c>
      <c r="CO15" s="137">
        <f>0.693/CO16</f>
        <v>1.6041666666666665E-3</v>
      </c>
      <c r="CT15" s="83" t="s">
        <v>261</v>
      </c>
      <c r="CU15" s="144">
        <f>((CU5/(CU7*CU26*(1/CU10)*CU45))*CU11)/CU49</f>
        <v>21.417513019710185</v>
      </c>
      <c r="CV15" s="92" t="s">
        <v>290</v>
      </c>
      <c r="CW15" s="52" t="s">
        <v>365</v>
      </c>
      <c r="CX15" s="138">
        <f>B172</f>
        <v>24</v>
      </c>
      <c r="CY15" s="52" t="s">
        <v>194</v>
      </c>
      <c r="CZ15" s="83" t="s">
        <v>266</v>
      </c>
      <c r="DA15" s="153">
        <f>(DA5/(DA8*DA26*(DA46/DA47)))/DA51</f>
        <v>4.7029107903993239</v>
      </c>
      <c r="DB15" s="83" t="s">
        <v>291</v>
      </c>
      <c r="DC15" s="83" t="s">
        <v>456</v>
      </c>
      <c r="DD15" s="146">
        <f>B167</f>
        <v>350</v>
      </c>
      <c r="DE15" s="83" t="s">
        <v>24</v>
      </c>
      <c r="DF15" s="92" t="s">
        <v>61</v>
      </c>
      <c r="DG15" s="138">
        <f>B197</f>
        <v>0.42</v>
      </c>
      <c r="DH15" s="52" t="s">
        <v>41</v>
      </c>
      <c r="DL15" s="92"/>
      <c r="DO15" s="92" t="s">
        <v>61</v>
      </c>
      <c r="DP15" s="138">
        <f>B197</f>
        <v>0.42</v>
      </c>
      <c r="DQ15" s="52" t="s">
        <v>41</v>
      </c>
      <c r="DR15" s="92" t="s">
        <v>479</v>
      </c>
      <c r="DS15" s="146">
        <f>B187</f>
        <v>1</v>
      </c>
      <c r="DU15" s="92"/>
      <c r="DX15" s="52" t="s">
        <v>350</v>
      </c>
      <c r="DY15" s="164">
        <f>B170</f>
        <v>1</v>
      </c>
      <c r="EA15" s="95"/>
      <c r="EB15" s="176"/>
      <c r="EC15" s="84"/>
      <c r="ED15" s="83" t="s">
        <v>27</v>
      </c>
      <c r="EE15" s="142">
        <f>B203</f>
        <v>92</v>
      </c>
      <c r="EF15" s="83" t="s">
        <v>28</v>
      </c>
      <c r="EG15" s="92" t="s">
        <v>480</v>
      </c>
      <c r="EH15" s="146">
        <f>B188</f>
        <v>1</v>
      </c>
      <c r="EJ15" s="92"/>
      <c r="EM15" s="83" t="s">
        <v>22</v>
      </c>
      <c r="EN15" s="137">
        <f>0.693/EN16</f>
        <v>1.6041666666666665E-3</v>
      </c>
      <c r="EP15" s="92"/>
      <c r="EQ15" s="84"/>
      <c r="ER15" s="84"/>
      <c r="ES15" s="83" t="s">
        <v>29</v>
      </c>
      <c r="ET15" s="142">
        <f>B209</f>
        <v>53</v>
      </c>
      <c r="EU15" s="83" t="s">
        <v>28</v>
      </c>
      <c r="EV15" s="92" t="s">
        <v>481</v>
      </c>
      <c r="EW15" s="146">
        <f>B189</f>
        <v>1</v>
      </c>
      <c r="EY15" s="83"/>
      <c r="EZ15" s="83"/>
      <c r="FA15" s="83"/>
      <c r="FB15" s="83" t="s">
        <v>22</v>
      </c>
      <c r="FC15" s="137">
        <f>0.693/FC16</f>
        <v>1.6041666666666665E-3</v>
      </c>
      <c r="FE15" s="83"/>
      <c r="FF15" s="83"/>
      <c r="FG15" s="83"/>
      <c r="FH15" s="83" t="s">
        <v>148</v>
      </c>
      <c r="FI15" s="164">
        <f>B214</f>
        <v>0.4</v>
      </c>
      <c r="FJ15" s="83" t="s">
        <v>28</v>
      </c>
      <c r="FK15" s="92" t="s">
        <v>482</v>
      </c>
      <c r="FL15" s="146">
        <f>B190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B191</f>
        <v>1</v>
      </c>
      <c r="GC15" s="83"/>
      <c r="GD15" s="83"/>
      <c r="GE15" s="83"/>
      <c r="GF15" s="83" t="s">
        <v>22</v>
      </c>
      <c r="GG15" s="137">
        <f>0.693/GG16</f>
        <v>1.6041666666666665E-3</v>
      </c>
      <c r="GI15" s="83"/>
      <c r="GJ15" s="83"/>
      <c r="GK15" s="83"/>
      <c r="GL15" s="83" t="s">
        <v>149</v>
      </c>
      <c r="GM15" s="164">
        <f>B219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1.6041666666666665E-3</v>
      </c>
      <c r="GX15" s="83"/>
      <c r="GY15" s="83"/>
      <c r="GZ15" s="83"/>
      <c r="HA15" s="83" t="s">
        <v>150</v>
      </c>
      <c r="HB15" s="142">
        <f>B224</f>
        <v>11.4</v>
      </c>
      <c r="HC15" s="83" t="s">
        <v>28</v>
      </c>
      <c r="HD15" s="84"/>
    </row>
    <row r="16" spans="1:214" s="83" customFormat="1" x14ac:dyDescent="0.2">
      <c r="A16" s="91" t="s">
        <v>257</v>
      </c>
      <c r="B16" s="183">
        <v>0.28767199999999998</v>
      </c>
      <c r="C16" s="84" t="s">
        <v>259</v>
      </c>
      <c r="D16" s="52"/>
      <c r="E16" s="138">
        <v>24</v>
      </c>
      <c r="F16" s="52" t="s">
        <v>194</v>
      </c>
      <c r="G16" s="83" t="s">
        <v>396</v>
      </c>
      <c r="H16" s="137">
        <f>(H29*H19*H68)+(H30*H20*H69)</f>
        <v>6195</v>
      </c>
      <c r="I16" s="83" t="s">
        <v>426</v>
      </c>
      <c r="J16" s="83" t="s">
        <v>262</v>
      </c>
      <c r="K16" s="144">
        <f>((K5/(K8*K42*((K37*K41*(1/K35))+(K38*K40*(1/K35)))*K32*(1/K44)*K33))*K11)/K53</f>
        <v>2.9972041916144998</v>
      </c>
      <c r="L16" s="92" t="s">
        <v>290</v>
      </c>
      <c r="M16" s="52" t="s">
        <v>409</v>
      </c>
      <c r="N16" s="150">
        <f>B79</f>
        <v>16.416</v>
      </c>
      <c r="O16" s="52" t="s">
        <v>194</v>
      </c>
      <c r="P16" s="52" t="s">
        <v>409</v>
      </c>
      <c r="Q16" s="150">
        <f>B79</f>
        <v>16.416</v>
      </c>
      <c r="R16" s="52" t="s">
        <v>194</v>
      </c>
      <c r="S16" s="52" t="s">
        <v>409</v>
      </c>
      <c r="T16" s="150">
        <f>B79</f>
        <v>16.416</v>
      </c>
      <c r="U16" s="52" t="s">
        <v>194</v>
      </c>
      <c r="V16" s="52" t="s">
        <v>261</v>
      </c>
      <c r="W16" s="143">
        <f>((W5)/((W12/24)*W9*W10*W11*W13))/W20</f>
        <v>2.2652622041001268E-5</v>
      </c>
      <c r="X16" s="52" t="s">
        <v>15</v>
      </c>
      <c r="Y16" s="52" t="s">
        <v>261</v>
      </c>
      <c r="Z16" s="143">
        <f>((Z5)/((Z12/24)*Z9*Z10*Z11*Z13))/Z20</f>
        <v>2.0387359836901144E-5</v>
      </c>
      <c r="AA16" s="52" t="s">
        <v>15</v>
      </c>
      <c r="AB16" s="83" t="s">
        <v>299</v>
      </c>
      <c r="AC16" s="141">
        <f>B236</f>
        <v>0.4</v>
      </c>
      <c r="AD16" s="141">
        <f>B248</f>
        <v>0.4</v>
      </c>
      <c r="AE16" s="141">
        <f>B260</f>
        <v>0.4</v>
      </c>
      <c r="AF16" s="141">
        <f>B272</f>
        <v>0.4</v>
      </c>
      <c r="AG16" s="141">
        <f>B295</f>
        <v>0.4</v>
      </c>
      <c r="AH16" s="92"/>
      <c r="AI16" s="52" t="s">
        <v>69</v>
      </c>
      <c r="AJ16" s="136">
        <f>B251</f>
        <v>8</v>
      </c>
      <c r="AK16" s="52" t="s">
        <v>194</v>
      </c>
      <c r="AL16" s="52" t="s">
        <v>69</v>
      </c>
      <c r="AM16" s="136">
        <f>B251</f>
        <v>8</v>
      </c>
      <c r="AN16" s="52" t="s">
        <v>194</v>
      </c>
      <c r="AO16" s="52" t="s">
        <v>69</v>
      </c>
      <c r="AP16" s="136">
        <f>B251</f>
        <v>8</v>
      </c>
      <c r="AQ16" s="52" t="s">
        <v>194</v>
      </c>
      <c r="AR16" s="52" t="s">
        <v>69</v>
      </c>
      <c r="AS16" s="136">
        <f>B263</f>
        <v>0</v>
      </c>
      <c r="AT16" s="52" t="s">
        <v>194</v>
      </c>
      <c r="AU16" s="52" t="s">
        <v>69</v>
      </c>
      <c r="AV16" s="136">
        <f>B263</f>
        <v>0</v>
      </c>
      <c r="AW16" s="52" t="s">
        <v>194</v>
      </c>
      <c r="AX16" s="52" t="s">
        <v>69</v>
      </c>
      <c r="AY16" s="136">
        <f>B263</f>
        <v>0</v>
      </c>
      <c r="AZ16" s="52" t="s">
        <v>194</v>
      </c>
      <c r="BA16" s="52" t="s">
        <v>69</v>
      </c>
      <c r="BB16" s="136">
        <f>B239</f>
        <v>8</v>
      </c>
      <c r="BC16" s="52" t="s">
        <v>194</v>
      </c>
      <c r="BD16" s="52" t="s">
        <v>69</v>
      </c>
      <c r="BE16" s="136">
        <f>B239</f>
        <v>8</v>
      </c>
      <c r="BF16" s="52" t="s">
        <v>194</v>
      </c>
      <c r="BG16" s="52" t="s">
        <v>69</v>
      </c>
      <c r="BH16" s="136">
        <f>B239</f>
        <v>8</v>
      </c>
      <c r="BI16" s="52" t="s">
        <v>194</v>
      </c>
      <c r="BJ16" s="52" t="s">
        <v>412</v>
      </c>
      <c r="BK16" s="139">
        <f>B10</f>
        <v>3.7173200000000003E-2</v>
      </c>
      <c r="BL16" s="84" t="s">
        <v>353</v>
      </c>
      <c r="BM16" s="52" t="s">
        <v>415</v>
      </c>
      <c r="BN16" s="139">
        <f>B12</f>
        <v>1.83064E-2</v>
      </c>
      <c r="BO16" s="84" t="s">
        <v>353</v>
      </c>
      <c r="BP16" s="52" t="s">
        <v>417</v>
      </c>
      <c r="BQ16" s="139">
        <f>B14</f>
        <v>3.7173200000000003E-2</v>
      </c>
      <c r="BR16" s="84" t="s">
        <v>353</v>
      </c>
      <c r="BS16" s="83" t="s">
        <v>256</v>
      </c>
      <c r="BT16" s="136">
        <f>E17</f>
        <v>125.5296</v>
      </c>
      <c r="BU16" s="83" t="s">
        <v>343</v>
      </c>
      <c r="BV16" s="83" t="s">
        <v>437</v>
      </c>
      <c r="BW16" s="140">
        <f>((BW18*BW20*BW23*BW30)+(BW19*BW21*BW24*BW31))</f>
        <v>45</v>
      </c>
      <c r="BX16" s="83" t="s">
        <v>356</v>
      </c>
      <c r="BY16" s="83" t="s">
        <v>46</v>
      </c>
      <c r="BZ16" s="149">
        <f>(BZ18*BZ22*BZ34)+(BZ19*BZ23*BZ35)</f>
        <v>9225</v>
      </c>
      <c r="CA16" s="83" t="s">
        <v>346</v>
      </c>
      <c r="CN16" s="91" t="s">
        <v>231</v>
      </c>
      <c r="CO16" s="136">
        <f>B18</f>
        <v>432</v>
      </c>
      <c r="CP16" s="52" t="s">
        <v>60</v>
      </c>
      <c r="CT16" s="83" t="s">
        <v>262</v>
      </c>
      <c r="CU16" s="144">
        <f>((CU5/(CU8*CU42*((CU37*CU41*(1/24))+(CU38*CU40*(1/24)))*CU32*(1/CU44)))*CU11)/CU49</f>
        <v>1.541749737034114</v>
      </c>
      <c r="CV16" s="92" t="s">
        <v>290</v>
      </c>
      <c r="CW16" s="52" t="s">
        <v>364</v>
      </c>
      <c r="CX16" s="138">
        <f>B171</f>
        <v>24</v>
      </c>
      <c r="CY16" s="52" t="s">
        <v>194</v>
      </c>
      <c r="CZ16" s="83" t="s">
        <v>512</v>
      </c>
      <c r="DA16" s="153">
        <f>DG2</f>
        <v>3.447485957151989E-2</v>
      </c>
      <c r="DB16" s="83" t="s">
        <v>291</v>
      </c>
      <c r="DC16" s="83" t="s">
        <v>363</v>
      </c>
      <c r="DD16" s="146">
        <f>B170</f>
        <v>1</v>
      </c>
      <c r="DE16" s="83" t="s">
        <v>60</v>
      </c>
      <c r="DF16" s="92" t="s">
        <v>63</v>
      </c>
      <c r="DG16" s="151">
        <f>DG20+(0.693/DG22)</f>
        <v>4.9504394977168943E-2</v>
      </c>
      <c r="DH16" s="83" t="s">
        <v>64</v>
      </c>
      <c r="DL16" s="92"/>
      <c r="DO16" s="92" t="s">
        <v>63</v>
      </c>
      <c r="DP16" s="167">
        <f>DP20+(0.693/DP22)</f>
        <v>4.9499999999999995E-2</v>
      </c>
      <c r="DQ16" s="83" t="s">
        <v>64</v>
      </c>
      <c r="DS16" s="146">
        <v>365</v>
      </c>
      <c r="DT16" s="52" t="s">
        <v>24</v>
      </c>
      <c r="DU16" s="92"/>
      <c r="DX16" s="83" t="s">
        <v>22</v>
      </c>
      <c r="DY16" s="137">
        <f>0.693/DY17</f>
        <v>1.6041666666666665E-3</v>
      </c>
      <c r="DZ16" s="52"/>
      <c r="EA16" s="92"/>
      <c r="ED16" s="92" t="s">
        <v>63</v>
      </c>
      <c r="EE16" s="167">
        <f>EE20+(0.693/EE22)</f>
        <v>4.9499999999999995E-2</v>
      </c>
      <c r="EF16" s="83" t="s">
        <v>64</v>
      </c>
      <c r="EG16" s="52"/>
      <c r="EH16" s="146">
        <v>365</v>
      </c>
      <c r="EI16" s="52" t="s">
        <v>24</v>
      </c>
      <c r="EJ16" s="92"/>
      <c r="EM16" s="91" t="s">
        <v>231</v>
      </c>
      <c r="EN16" s="136">
        <f>B18</f>
        <v>432</v>
      </c>
      <c r="EO16" s="52" t="s">
        <v>60</v>
      </c>
      <c r="EP16" s="92"/>
      <c r="ES16" s="92" t="s">
        <v>63</v>
      </c>
      <c r="ET16" s="167">
        <f>ET20+(0.693/ET22)</f>
        <v>4.9499999999999995E-2</v>
      </c>
      <c r="EU16" s="83" t="s">
        <v>64</v>
      </c>
      <c r="EW16" s="146">
        <v>365</v>
      </c>
      <c r="EX16" s="52" t="s">
        <v>24</v>
      </c>
      <c r="FB16" s="91" t="s">
        <v>231</v>
      </c>
      <c r="FC16" s="136">
        <f>B18</f>
        <v>432</v>
      </c>
      <c r="FD16" s="52" t="s">
        <v>60</v>
      </c>
      <c r="FH16" s="83" t="s">
        <v>63</v>
      </c>
      <c r="FI16" s="167">
        <f>FI20+(0.693/FI22)</f>
        <v>4.9499999999999995E-2</v>
      </c>
      <c r="FJ16" s="83" t="s">
        <v>64</v>
      </c>
      <c r="FL16" s="146">
        <v>365</v>
      </c>
      <c r="FM16" s="52" t="s">
        <v>24</v>
      </c>
      <c r="GA16" s="146">
        <v>365</v>
      </c>
      <c r="GB16" s="52" t="s">
        <v>24</v>
      </c>
      <c r="GF16" s="91" t="s">
        <v>231</v>
      </c>
      <c r="GG16" s="136">
        <f>B18</f>
        <v>432</v>
      </c>
      <c r="GH16" s="52" t="s">
        <v>60</v>
      </c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B165</f>
        <v>0.15</v>
      </c>
      <c r="GQ16" s="52"/>
      <c r="GU16" s="91" t="s">
        <v>231</v>
      </c>
      <c r="GV16" s="136">
        <f>B18</f>
        <v>432</v>
      </c>
      <c r="GW16" s="52" t="s">
        <v>60</v>
      </c>
      <c r="HA16" s="83" t="s">
        <v>63</v>
      </c>
      <c r="HB16" s="167">
        <f>HB20+(0.693/HB22)</f>
        <v>4.9499999999999995E-2</v>
      </c>
      <c r="HC16" s="83" t="s">
        <v>64</v>
      </c>
    </row>
    <row r="17" spans="1:214" ht="13.5" thickBot="1" x14ac:dyDescent="0.25">
      <c r="A17" s="83" t="s">
        <v>258</v>
      </c>
      <c r="B17" s="183">
        <v>8.8060000000000005E-4</v>
      </c>
      <c r="C17" s="92" t="s">
        <v>259</v>
      </c>
      <c r="D17" s="83" t="s">
        <v>256</v>
      </c>
      <c r="E17" s="136">
        <f>B15</f>
        <v>125.5296</v>
      </c>
      <c r="F17" s="83" t="s">
        <v>343</v>
      </c>
      <c r="G17" s="83" t="s">
        <v>370</v>
      </c>
      <c r="H17" s="146">
        <f>B42</f>
        <v>0.78</v>
      </c>
      <c r="I17" s="52" t="s">
        <v>28</v>
      </c>
      <c r="J17" s="83" t="s">
        <v>263</v>
      </c>
      <c r="K17" s="153">
        <f>((K18/(K47+K48))*K11)</f>
        <v>6.8541612977303336E-3</v>
      </c>
      <c r="L17" s="92" t="s">
        <v>290</v>
      </c>
      <c r="M17" s="95" t="s">
        <v>287</v>
      </c>
      <c r="N17" s="176">
        <v>27.027027027027</v>
      </c>
      <c r="O17" s="52" t="s">
        <v>602</v>
      </c>
      <c r="P17" s="95" t="s">
        <v>287</v>
      </c>
      <c r="Q17" s="176">
        <v>27.027027027027</v>
      </c>
      <c r="R17" s="52" t="s">
        <v>602</v>
      </c>
      <c r="S17" s="95" t="s">
        <v>287</v>
      </c>
      <c r="T17" s="176">
        <v>27.027027027027</v>
      </c>
      <c r="U17" s="52" t="s">
        <v>602</v>
      </c>
      <c r="V17" s="52" t="s">
        <v>271</v>
      </c>
      <c r="W17" s="144">
        <f>((W5)/((W12/24)*W9*W14*(1/365)))/W20</f>
        <v>1.4344558308691088E-3</v>
      </c>
      <c r="X17" s="52" t="s">
        <v>15</v>
      </c>
      <c r="Y17" s="52" t="s">
        <v>271</v>
      </c>
      <c r="Z17" s="144">
        <f>((Z5)/((Z12/24)*Z9*Z14*(1/365)))/Z20</f>
        <v>1.291010247782198E-3</v>
      </c>
      <c r="AA17" s="52" t="s">
        <v>15</v>
      </c>
      <c r="AB17" s="83" t="s">
        <v>413</v>
      </c>
      <c r="AC17" s="141">
        <f>B237</f>
        <v>1</v>
      </c>
      <c r="AD17" s="141">
        <f>B249</f>
        <v>1</v>
      </c>
      <c r="AE17" s="141">
        <f>B261</f>
        <v>1</v>
      </c>
      <c r="AF17" s="141">
        <f>B280</f>
        <v>0.753</v>
      </c>
      <c r="AG17" s="141">
        <f>B280</f>
        <v>0.753</v>
      </c>
      <c r="AH17" s="92"/>
      <c r="AI17" s="95" t="s">
        <v>287</v>
      </c>
      <c r="AJ17" s="176">
        <v>27.027027027027</v>
      </c>
      <c r="AK17" s="52" t="s">
        <v>288</v>
      </c>
      <c r="AL17" s="95" t="s">
        <v>287</v>
      </c>
      <c r="AM17" s="176">
        <v>27.027027027027</v>
      </c>
      <c r="AN17" s="52" t="s">
        <v>288</v>
      </c>
      <c r="AO17" s="95" t="s">
        <v>287</v>
      </c>
      <c r="AP17" s="176">
        <v>27.027027027027</v>
      </c>
      <c r="AQ17" s="52" t="s">
        <v>288</v>
      </c>
      <c r="AR17" s="95" t="s">
        <v>287</v>
      </c>
      <c r="AS17" s="176">
        <v>27.027027027027</v>
      </c>
      <c r="AT17" s="52" t="s">
        <v>288</v>
      </c>
      <c r="AU17" s="95" t="s">
        <v>287</v>
      </c>
      <c r="AV17" s="176">
        <v>27.027027027027</v>
      </c>
      <c r="AW17" s="52" t="s">
        <v>288</v>
      </c>
      <c r="AX17" s="95" t="s">
        <v>287</v>
      </c>
      <c r="AY17" s="176">
        <v>27.027027027027</v>
      </c>
      <c r="AZ17" s="52" t="s">
        <v>288</v>
      </c>
      <c r="BA17" s="95" t="s">
        <v>287</v>
      </c>
      <c r="BB17" s="176">
        <v>27.027027027027</v>
      </c>
      <c r="BC17" s="52" t="s">
        <v>288</v>
      </c>
      <c r="BD17" s="95" t="s">
        <v>287</v>
      </c>
      <c r="BE17" s="176">
        <v>27.027027027027</v>
      </c>
      <c r="BF17" s="52" t="s">
        <v>288</v>
      </c>
      <c r="BG17" s="95" t="s">
        <v>287</v>
      </c>
      <c r="BH17" s="176">
        <v>27.027027027027</v>
      </c>
      <c r="BI17" s="52" t="s">
        <v>288</v>
      </c>
      <c r="BJ17" s="95" t="s">
        <v>287</v>
      </c>
      <c r="BK17" s="176">
        <v>27.027027027027</v>
      </c>
      <c r="BL17" s="52" t="s">
        <v>288</v>
      </c>
      <c r="BM17" s="95" t="s">
        <v>287</v>
      </c>
      <c r="BN17" s="176">
        <v>27.027027027027</v>
      </c>
      <c r="BO17" s="52" t="s">
        <v>288</v>
      </c>
      <c r="BP17" s="95" t="s">
        <v>287</v>
      </c>
      <c r="BQ17" s="176">
        <v>27.027027027027</v>
      </c>
      <c r="BR17" s="52" t="s">
        <v>288</v>
      </c>
      <c r="BS17" s="83" t="s">
        <v>301</v>
      </c>
      <c r="BT17" s="142">
        <f>B111</f>
        <v>1</v>
      </c>
      <c r="BV17" s="83" t="s">
        <v>65</v>
      </c>
      <c r="BW17" s="141">
        <f>B116</f>
        <v>0.5</v>
      </c>
      <c r="BX17" s="52" t="s">
        <v>66</v>
      </c>
      <c r="BY17" s="83" t="s">
        <v>43</v>
      </c>
      <c r="BZ17" s="149">
        <f>(BZ24*BZ20*(BZ26/24)*BZ34)+(BZ23*BZ21*(BZ27/24)*BZ35)</f>
        <v>55.3125</v>
      </c>
      <c r="CA17" s="52" t="s">
        <v>426</v>
      </c>
      <c r="CN17" s="84" t="s">
        <v>16</v>
      </c>
      <c r="CO17" s="137">
        <f>(CO14*CO15)/(1-EXP(-CO15*CO14))</f>
        <v>1.0008022977791844</v>
      </c>
      <c r="CT17" s="83" t="s">
        <v>263</v>
      </c>
      <c r="CU17" s="153">
        <f>DJ2</f>
        <v>1.6888451015694553E-3</v>
      </c>
      <c r="CV17" s="92" t="s">
        <v>290</v>
      </c>
      <c r="CW17" s="83" t="s">
        <v>256</v>
      </c>
      <c r="CX17" s="136">
        <f>B15</f>
        <v>125.5296</v>
      </c>
      <c r="CY17" s="83" t="s">
        <v>343</v>
      </c>
      <c r="CZ17" s="83" t="s">
        <v>511</v>
      </c>
      <c r="DA17" s="153">
        <f>DD2</f>
        <v>4.3878001866877393E-4</v>
      </c>
      <c r="DB17" s="83" t="s">
        <v>290</v>
      </c>
      <c r="DC17" s="93"/>
      <c r="DD17" s="136">
        <v>9.9999999999999995E-7</v>
      </c>
      <c r="DE17" s="88"/>
      <c r="DF17" s="92" t="s">
        <v>67</v>
      </c>
      <c r="DG17" s="142">
        <f>B198</f>
        <v>60</v>
      </c>
      <c r="DH17" s="83" t="s">
        <v>53</v>
      </c>
      <c r="DL17" s="92"/>
      <c r="DM17" s="83"/>
      <c r="DN17" s="83"/>
      <c r="DO17" s="92" t="s">
        <v>67</v>
      </c>
      <c r="DP17" s="142">
        <f>B198</f>
        <v>60</v>
      </c>
      <c r="DQ17" s="83" t="s">
        <v>53</v>
      </c>
      <c r="DR17" s="83" t="s">
        <v>475</v>
      </c>
      <c r="DS17" s="146">
        <f>B165</f>
        <v>0.15</v>
      </c>
      <c r="DU17" s="92"/>
      <c r="DV17" s="87"/>
      <c r="DW17" s="83"/>
      <c r="DX17" s="91" t="s">
        <v>231</v>
      </c>
      <c r="DY17" s="136">
        <f>B18</f>
        <v>432</v>
      </c>
      <c r="DZ17" s="52" t="s">
        <v>60</v>
      </c>
      <c r="EA17" s="92"/>
      <c r="EB17" s="83"/>
      <c r="EC17" s="83"/>
      <c r="ED17" s="92" t="s">
        <v>67</v>
      </c>
      <c r="EE17" s="142">
        <f>B198</f>
        <v>60</v>
      </c>
      <c r="EF17" s="83" t="s">
        <v>53</v>
      </c>
      <c r="EG17" s="83" t="s">
        <v>475</v>
      </c>
      <c r="EH17" s="146">
        <f>B165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1.0008022977791844</v>
      </c>
      <c r="EP17" s="92"/>
      <c r="EQ17" s="83"/>
      <c r="ER17" s="83"/>
      <c r="ES17" s="92" t="s">
        <v>67</v>
      </c>
      <c r="ET17" s="142">
        <f>B198</f>
        <v>60</v>
      </c>
      <c r="EU17" s="83" t="s">
        <v>53</v>
      </c>
      <c r="EV17" s="83" t="s">
        <v>475</v>
      </c>
      <c r="EW17" s="141">
        <f>B165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1.0008022977791844</v>
      </c>
      <c r="FE17" s="83"/>
      <c r="FF17" s="83"/>
      <c r="FG17" s="83"/>
      <c r="FH17" s="83" t="s">
        <v>67</v>
      </c>
      <c r="FI17" s="142">
        <f>B198</f>
        <v>60</v>
      </c>
      <c r="FJ17" s="83" t="s">
        <v>53</v>
      </c>
      <c r="FK17" s="83" t="s">
        <v>475</v>
      </c>
      <c r="FL17" s="141">
        <f>B165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B165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1.0008022977791844</v>
      </c>
      <c r="GI17" s="83"/>
      <c r="GJ17" s="83"/>
      <c r="GK17" s="83"/>
      <c r="GL17" s="83" t="s">
        <v>67</v>
      </c>
      <c r="GM17" s="142">
        <f>B198</f>
        <v>60</v>
      </c>
      <c r="GN17" s="83" t="s">
        <v>53</v>
      </c>
      <c r="GO17" s="83" t="s">
        <v>476</v>
      </c>
      <c r="GP17" s="141">
        <f>B166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1.0008022977791844</v>
      </c>
      <c r="GX17" s="83"/>
      <c r="GY17" s="83"/>
      <c r="GZ17" s="83"/>
      <c r="HA17" s="83" t="s">
        <v>67</v>
      </c>
      <c r="HB17" s="142">
        <f>B198</f>
        <v>60</v>
      </c>
      <c r="HC17" s="83" t="s">
        <v>53</v>
      </c>
      <c r="HD17" s="84"/>
      <c r="HE17" s="84"/>
    </row>
    <row r="18" spans="1:214" ht="19.5" thickTop="1" thickBot="1" x14ac:dyDescent="0.25">
      <c r="A18" s="91" t="s">
        <v>231</v>
      </c>
      <c r="B18" s="183">
        <v>432</v>
      </c>
      <c r="C18" s="52" t="s">
        <v>235</v>
      </c>
      <c r="D18" s="83" t="s">
        <v>301</v>
      </c>
      <c r="E18" s="142">
        <f>B60</f>
        <v>1</v>
      </c>
      <c r="G18" s="83" t="s">
        <v>371</v>
      </c>
      <c r="H18" s="146">
        <f>B43</f>
        <v>2.5</v>
      </c>
      <c r="I18" s="52" t="s">
        <v>28</v>
      </c>
      <c r="J18" s="83" t="s">
        <v>264</v>
      </c>
      <c r="K18" s="154">
        <f>(K5/(K9*(K25+K28)*K36))/K53</f>
        <v>1.7807844066824376E-3</v>
      </c>
      <c r="L18" s="92" t="s">
        <v>290</v>
      </c>
      <c r="V18" s="52" t="s">
        <v>261</v>
      </c>
      <c r="W18" s="144">
        <f>((W5*W7*W6)/((W12/24)*(1-EXP(-W7*W10))*W11*W13*W9*W10))/W20</f>
        <v>2.2670796189357463E-5</v>
      </c>
      <c r="X18" s="52" t="s">
        <v>16</v>
      </c>
      <c r="Y18" s="52" t="s">
        <v>261</v>
      </c>
      <c r="Z18" s="144">
        <f>((Z5*Z7*Z6)/((Z12/24)*(1-EXP(-Z7*Z10))*Z11*Z13*Z9*Z10))/Z20</f>
        <v>2.0403716570421721E-5</v>
      </c>
      <c r="AA18" s="52" t="s">
        <v>16</v>
      </c>
      <c r="AB18" s="83" t="s">
        <v>412</v>
      </c>
      <c r="AC18" s="136">
        <f>B10</f>
        <v>3.7173200000000003E-2</v>
      </c>
      <c r="AD18" s="136">
        <f>B10</f>
        <v>3.7173200000000003E-2</v>
      </c>
      <c r="AE18" s="136">
        <f>B10</f>
        <v>3.7173200000000003E-2</v>
      </c>
      <c r="AF18" s="136">
        <f>B10</f>
        <v>3.7173200000000003E-2</v>
      </c>
      <c r="AG18" s="136">
        <f>B10</f>
        <v>3.7173200000000003E-2</v>
      </c>
      <c r="AH18" s="83" t="s">
        <v>351</v>
      </c>
      <c r="BS18" s="52" t="s">
        <v>261</v>
      </c>
      <c r="BT18" s="143">
        <f>((BT5)/(BT9*BT10))/BT27</f>
        <v>1.8429251829967133E-3</v>
      </c>
      <c r="BU18" s="52" t="s">
        <v>15</v>
      </c>
      <c r="BV18" s="83" t="s">
        <v>433</v>
      </c>
      <c r="BW18" s="150">
        <f>B112</f>
        <v>45</v>
      </c>
      <c r="BX18" s="83" t="s">
        <v>24</v>
      </c>
      <c r="BY18" s="83" t="s">
        <v>441</v>
      </c>
      <c r="BZ18" s="146">
        <f>B97</f>
        <v>200</v>
      </c>
      <c r="CA18" s="84" t="s">
        <v>48</v>
      </c>
      <c r="CB18" s="675" t="s">
        <v>572</v>
      </c>
      <c r="CC18" s="673"/>
      <c r="CD18" s="673"/>
      <c r="CE18" s="676" t="s">
        <v>573</v>
      </c>
      <c r="CF18" s="673"/>
      <c r="CG18" s="674"/>
      <c r="CJ18" s="83"/>
      <c r="CT18" s="83" t="s">
        <v>264</v>
      </c>
      <c r="CU18" s="153">
        <f>DD2</f>
        <v>4.3878001866877393E-4</v>
      </c>
      <c r="CV18" s="92" t="s">
        <v>290</v>
      </c>
      <c r="CW18" s="83" t="s">
        <v>301</v>
      </c>
      <c r="CX18" s="142">
        <f>B180</f>
        <v>1</v>
      </c>
      <c r="CZ18" s="91" t="s">
        <v>272</v>
      </c>
      <c r="DA18" s="144">
        <f>EZ2</f>
        <v>2127.0401532217647</v>
      </c>
      <c r="DB18" s="83" t="s">
        <v>290</v>
      </c>
      <c r="DC18" s="88"/>
      <c r="DD18" s="136">
        <v>1000</v>
      </c>
      <c r="DE18" s="92" t="s">
        <v>99</v>
      </c>
      <c r="DF18" s="92" t="s">
        <v>68</v>
      </c>
      <c r="DG18" s="142">
        <f>B199</f>
        <v>2</v>
      </c>
      <c r="DH18" s="83" t="s">
        <v>56</v>
      </c>
      <c r="DL18" s="92"/>
      <c r="DM18" s="83"/>
      <c r="DN18" s="83"/>
      <c r="DO18" s="92" t="s">
        <v>68</v>
      </c>
      <c r="DP18" s="142">
        <f>B199</f>
        <v>2</v>
      </c>
      <c r="DQ18" s="83" t="s">
        <v>56</v>
      </c>
      <c r="DR18" s="83" t="s">
        <v>476</v>
      </c>
      <c r="DS18" s="146">
        <f>B166</f>
        <v>0.85</v>
      </c>
      <c r="DU18" s="92"/>
      <c r="DV18" s="83"/>
      <c r="DW18" s="83"/>
      <c r="DX18" s="84" t="s">
        <v>16</v>
      </c>
      <c r="DY18" s="137">
        <f>(DY15*DY16)/(1-EXP(-DY16*DY15))</f>
        <v>1.0008022977791844</v>
      </c>
      <c r="EA18" s="92"/>
      <c r="EB18" s="83"/>
      <c r="EC18" s="83"/>
      <c r="ED18" s="92" t="s">
        <v>68</v>
      </c>
      <c r="EE18" s="142">
        <f>B199</f>
        <v>2</v>
      </c>
      <c r="EF18" s="83" t="s">
        <v>56</v>
      </c>
      <c r="EG18" s="83" t="s">
        <v>476</v>
      </c>
      <c r="EH18" s="146">
        <f>B166</f>
        <v>0.85</v>
      </c>
      <c r="EJ18" s="92"/>
      <c r="EK18" s="83"/>
      <c r="EL18" s="83"/>
      <c r="EM18" s="95"/>
      <c r="EN18" s="176"/>
      <c r="EP18" s="92"/>
      <c r="EQ18" s="83"/>
      <c r="ER18" s="83"/>
      <c r="ES18" s="92" t="s">
        <v>68</v>
      </c>
      <c r="ET18" s="142">
        <f>B199</f>
        <v>2</v>
      </c>
      <c r="EU18" s="83" t="s">
        <v>56</v>
      </c>
      <c r="EV18" s="83" t="s">
        <v>476</v>
      </c>
      <c r="EW18" s="141">
        <f>B166</f>
        <v>0.85</v>
      </c>
      <c r="EX18" s="92"/>
      <c r="EY18" s="83"/>
      <c r="EZ18" s="83"/>
      <c r="FA18" s="83"/>
      <c r="FB18" s="95"/>
      <c r="FC18" s="176"/>
      <c r="FD18" s="83"/>
      <c r="FE18" s="83"/>
      <c r="FF18" s="83"/>
      <c r="FG18" s="83"/>
      <c r="FH18" s="83" t="s">
        <v>68</v>
      </c>
      <c r="FI18" s="142">
        <f>B199</f>
        <v>2</v>
      </c>
      <c r="FJ18" s="83" t="s">
        <v>56</v>
      </c>
      <c r="FK18" s="83" t="s">
        <v>476</v>
      </c>
      <c r="FL18" s="141">
        <f>B166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B166</f>
        <v>0.85</v>
      </c>
      <c r="GB18" s="92"/>
      <c r="GC18" s="83"/>
      <c r="GD18" s="83"/>
      <c r="GE18" s="83"/>
      <c r="GF18" s="95"/>
      <c r="GG18" s="176"/>
      <c r="GH18" s="83"/>
      <c r="GI18" s="83"/>
      <c r="GJ18" s="83"/>
      <c r="GK18" s="83"/>
      <c r="GL18" s="83" t="s">
        <v>68</v>
      </c>
      <c r="GM18" s="142">
        <f>B199</f>
        <v>2</v>
      </c>
      <c r="GN18" s="83" t="s">
        <v>56</v>
      </c>
      <c r="GO18" s="95" t="s">
        <v>287</v>
      </c>
      <c r="GP18" s="176">
        <v>27.027027027027</v>
      </c>
      <c r="GQ18" s="52" t="s">
        <v>288</v>
      </c>
      <c r="GR18" s="83"/>
      <c r="GS18" s="83"/>
      <c r="GT18" s="83"/>
      <c r="GU18" s="95"/>
      <c r="GV18" s="176"/>
      <c r="GW18" s="83"/>
      <c r="GX18" s="83"/>
      <c r="GY18" s="83"/>
      <c r="GZ18" s="83"/>
      <c r="HA18" s="83" t="s">
        <v>68</v>
      </c>
      <c r="HB18" s="142">
        <f>B199</f>
        <v>2</v>
      </c>
      <c r="HC18" s="83" t="s">
        <v>56</v>
      </c>
    </row>
    <row r="19" spans="1:214" ht="19.5" thickTop="1" thickBot="1" x14ac:dyDescent="0.25">
      <c r="A19" s="91" t="s">
        <v>77</v>
      </c>
      <c r="B19" s="183">
        <f>PEF!D3</f>
        <v>1359344473.5814338</v>
      </c>
      <c r="C19" s="52" t="s">
        <v>524</v>
      </c>
      <c r="D19" s="52" t="s">
        <v>261</v>
      </c>
      <c r="E19" s="143">
        <f>((E5)/((E15/E16)*E11*E12))/E27</f>
        <v>1.6454689133899226E-5</v>
      </c>
      <c r="F19" s="52" t="s">
        <v>15</v>
      </c>
      <c r="G19" s="83" t="s">
        <v>366</v>
      </c>
      <c r="H19" s="146">
        <f>B38</f>
        <v>10</v>
      </c>
      <c r="I19" s="52" t="s">
        <v>407</v>
      </c>
      <c r="J19" s="83" t="s">
        <v>445</v>
      </c>
      <c r="K19" s="155">
        <f>K21*K31*K51+K22*K32*K52</f>
        <v>43050</v>
      </c>
      <c r="L19" s="83" t="s">
        <v>346</v>
      </c>
      <c r="V19" s="52" t="s">
        <v>271</v>
      </c>
      <c r="W19" s="145">
        <f>((W5*W7*W6)/((W12/24)*(1-EXP(-W7*W6))*W14*W9*(1/365)))/W20</f>
        <v>1.4356066915965529E-3</v>
      </c>
      <c r="X19" s="52" t="s">
        <v>16</v>
      </c>
      <c r="Y19" s="52" t="s">
        <v>271</v>
      </c>
      <c r="Z19" s="145">
        <f>((Z5*Z7*Z6)/((Z12/24)*(1-EXP(-Z7*Z6))*Z14*Z9*(1/365)))/Z20</f>
        <v>1.2920460224368976E-3</v>
      </c>
      <c r="AA19" s="52" t="s">
        <v>16</v>
      </c>
      <c r="AB19" s="83" t="s">
        <v>247</v>
      </c>
      <c r="AC19" s="139">
        <f>B6</f>
        <v>0.36297000000000001</v>
      </c>
      <c r="AD19" s="139">
        <f>B6</f>
        <v>0.36297000000000001</v>
      </c>
      <c r="AE19" s="139">
        <f>B6</f>
        <v>0.36297000000000001</v>
      </c>
      <c r="AF19" s="139">
        <f>B6</f>
        <v>0.36297000000000001</v>
      </c>
      <c r="AG19" s="139">
        <f>B6</f>
        <v>0.36297000000000001</v>
      </c>
      <c r="AH19" s="84" t="s">
        <v>259</v>
      </c>
      <c r="BS19" s="52" t="s">
        <v>271</v>
      </c>
      <c r="BT19" s="144">
        <f>((BT5)/(BT16*BT8*(1/365)*BT15*(1/24)*BT17))/BT27</f>
        <v>3.442693994085861E-2</v>
      </c>
      <c r="BU19" s="52" t="s">
        <v>15</v>
      </c>
      <c r="BV19" s="83" t="s">
        <v>434</v>
      </c>
      <c r="BW19" s="150">
        <f>B113</f>
        <v>45</v>
      </c>
      <c r="BX19" s="83" t="s">
        <v>24</v>
      </c>
      <c r="BY19" s="83" t="s">
        <v>442</v>
      </c>
      <c r="BZ19" s="146">
        <f>B98</f>
        <v>100</v>
      </c>
      <c r="CA19" s="84" t="s">
        <v>48</v>
      </c>
      <c r="CB19" s="268" t="s">
        <v>537</v>
      </c>
      <c r="CC19" s="262">
        <f>((CC22*CC23*CC24)/((1-EXP(-CC24*CC23))*CC31*(CC26/365)*CC29*(CC30/24)*CC28))/CC32</f>
        <v>13362068.132074146</v>
      </c>
      <c r="CD19" s="279" t="s">
        <v>290</v>
      </c>
      <c r="CE19" s="259" t="s">
        <v>537</v>
      </c>
      <c r="CF19" s="262">
        <f>((CF22*CF23*CF24)/((1-EXP(-CF24*CF23))*CF31*(CF26/365)*CF29*(CF30/24)*CF28))/CF32</f>
        <v>1303889.8094758168</v>
      </c>
      <c r="CG19" s="265" t="s">
        <v>290</v>
      </c>
      <c r="CH19" s="83"/>
      <c r="CI19" s="83"/>
      <c r="CK19" s="675" t="s">
        <v>576</v>
      </c>
      <c r="CL19" s="673"/>
      <c r="CM19" s="673"/>
      <c r="CN19" s="676" t="s">
        <v>576</v>
      </c>
      <c r="CO19" s="673"/>
      <c r="CP19" s="677"/>
      <c r="CQ19" s="673" t="s">
        <v>576</v>
      </c>
      <c r="CR19" s="673"/>
      <c r="CS19" s="674"/>
      <c r="CT19" s="91" t="s">
        <v>272</v>
      </c>
      <c r="CU19" s="144">
        <f>FC2</f>
        <v>11.825647726044135</v>
      </c>
      <c r="CV19" s="92" t="s">
        <v>290</v>
      </c>
      <c r="CW19" s="52" t="s">
        <v>261</v>
      </c>
      <c r="CX19" s="143">
        <f>((CX5)/((CX15/CX16)*CX11*CX12))/CX27</f>
        <v>1.5743135009190071E-5</v>
      </c>
      <c r="CY19" s="52" t="s">
        <v>15</v>
      </c>
      <c r="CZ19" s="91" t="s">
        <v>273</v>
      </c>
      <c r="DA19" s="144">
        <f>GS2</f>
        <v>720.36611648919256</v>
      </c>
      <c r="DB19" s="83" t="s">
        <v>290</v>
      </c>
      <c r="DC19" s="92" t="s">
        <v>72</v>
      </c>
      <c r="DD19" s="146">
        <f>B186</f>
        <v>1</v>
      </c>
      <c r="DE19" s="93"/>
      <c r="DF19" s="92" t="s">
        <v>70</v>
      </c>
      <c r="DG19" s="138">
        <f>B200</f>
        <v>2.6999999999999999E-5</v>
      </c>
      <c r="DH19" s="52" t="s">
        <v>64</v>
      </c>
      <c r="DL19" s="92"/>
      <c r="DO19" s="92" t="s">
        <v>70</v>
      </c>
      <c r="DP19" s="138">
        <f>B200</f>
        <v>2.6999999999999999E-5</v>
      </c>
      <c r="DQ19" s="52" t="s">
        <v>64</v>
      </c>
      <c r="DR19" s="95" t="s">
        <v>287</v>
      </c>
      <c r="DS19" s="176">
        <v>27.027027027027</v>
      </c>
      <c r="DT19" s="52" t="s">
        <v>288</v>
      </c>
      <c r="DU19" s="92"/>
      <c r="DX19" s="95"/>
      <c r="DY19" s="176"/>
      <c r="EA19" s="92"/>
      <c r="EB19" s="84"/>
      <c r="EC19" s="84"/>
      <c r="ED19" s="92" t="s">
        <v>70</v>
      </c>
      <c r="EE19" s="163">
        <f>B200</f>
        <v>2.6999999999999999E-5</v>
      </c>
      <c r="EF19" s="84" t="s">
        <v>64</v>
      </c>
      <c r="EG19" s="95" t="s">
        <v>287</v>
      </c>
      <c r="EH19" s="176">
        <v>27.027027027027</v>
      </c>
      <c r="EI19" s="52" t="s">
        <v>288</v>
      </c>
      <c r="EJ19" s="92"/>
      <c r="EP19" s="92"/>
      <c r="EQ19" s="84"/>
      <c r="ER19" s="84"/>
      <c r="ES19" s="92" t="s">
        <v>70</v>
      </c>
      <c r="ET19" s="163">
        <f>B200</f>
        <v>2.6999999999999999E-5</v>
      </c>
      <c r="EU19" s="84" t="s">
        <v>64</v>
      </c>
      <c r="EV19" s="95" t="s">
        <v>287</v>
      </c>
      <c r="EW19" s="176">
        <v>27.027027027027</v>
      </c>
      <c r="EX19" s="52" t="s">
        <v>288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B200</f>
        <v>2.6999999999999999E-5</v>
      </c>
      <c r="FJ19" s="84" t="s">
        <v>64</v>
      </c>
      <c r="FK19" s="95" t="s">
        <v>287</v>
      </c>
      <c r="FL19" s="176">
        <v>27.027027027027</v>
      </c>
      <c r="FM19" s="52" t="s">
        <v>288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95" t="s">
        <v>287</v>
      </c>
      <c r="GA19" s="176">
        <v>27.027027027027</v>
      </c>
      <c r="GB19" s="52" t="s">
        <v>288</v>
      </c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B200</f>
        <v>2.6999999999999999E-5</v>
      </c>
      <c r="GN19" s="84" t="s">
        <v>64</v>
      </c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B200</f>
        <v>2.6999999999999999E-5</v>
      </c>
      <c r="HC19" s="84" t="s">
        <v>64</v>
      </c>
    </row>
    <row r="20" spans="1:214" ht="19.5" thickTop="1" thickBot="1" x14ac:dyDescent="0.25">
      <c r="A20" s="91" t="s">
        <v>103</v>
      </c>
      <c r="B20" s="183">
        <f>PEF!G3</f>
        <v>776129.4078035407</v>
      </c>
      <c r="C20" s="52" t="s">
        <v>524</v>
      </c>
      <c r="D20" s="52" t="s">
        <v>271</v>
      </c>
      <c r="E20" s="144">
        <f>((E5)/((E15/E16)*E8*E17*(1/365)*E18))/E27</f>
        <v>3.0738339232909472E-4</v>
      </c>
      <c r="F20" s="52" t="s">
        <v>15</v>
      </c>
      <c r="G20" s="83" t="s">
        <v>367</v>
      </c>
      <c r="H20" s="146">
        <f>B39</f>
        <v>20</v>
      </c>
      <c r="I20" s="52" t="s">
        <v>407</v>
      </c>
      <c r="J20" s="83" t="s">
        <v>396</v>
      </c>
      <c r="K20" s="155">
        <f>(K31*K23*(K34/24)*K51)+(K32*K24*(K35/24)*K52)</f>
        <v>6195</v>
      </c>
      <c r="L20" s="52" t="s">
        <v>407</v>
      </c>
      <c r="M20" s="325" t="s">
        <v>533</v>
      </c>
      <c r="N20" s="326"/>
      <c r="O20" s="326"/>
      <c r="P20" s="327" t="s">
        <v>536</v>
      </c>
      <c r="Q20" s="326"/>
      <c r="R20" s="329"/>
      <c r="V20" s="95" t="s">
        <v>287</v>
      </c>
      <c r="W20" s="176">
        <v>27.027027027027</v>
      </c>
      <c r="X20" s="52" t="s">
        <v>288</v>
      </c>
      <c r="Y20" s="95" t="s">
        <v>287</v>
      </c>
      <c r="Z20" s="176">
        <v>27.027027027027</v>
      </c>
      <c r="AA20" s="52" t="s">
        <v>288</v>
      </c>
      <c r="AB20" s="83" t="s">
        <v>83</v>
      </c>
      <c r="AC20" s="139">
        <f>B238</f>
        <v>8</v>
      </c>
      <c r="AD20" s="139">
        <f>B250</f>
        <v>0</v>
      </c>
      <c r="AE20" s="139">
        <f>B262</f>
        <v>8</v>
      </c>
      <c r="AF20" s="139">
        <f>B274</f>
        <v>8</v>
      </c>
      <c r="AG20" s="139">
        <f>B297</f>
        <v>8</v>
      </c>
      <c r="AH20" s="84" t="s">
        <v>194</v>
      </c>
      <c r="AI20" s="658" t="s">
        <v>558</v>
      </c>
      <c r="AJ20" s="659"/>
      <c r="AK20" s="660"/>
      <c r="AL20" s="661" t="s">
        <v>545</v>
      </c>
      <c r="AM20" s="659"/>
      <c r="AN20" s="662"/>
      <c r="AR20" s="658" t="s">
        <v>560</v>
      </c>
      <c r="AS20" s="659"/>
      <c r="AT20" s="660"/>
      <c r="AU20" s="661" t="s">
        <v>550</v>
      </c>
      <c r="AV20" s="659"/>
      <c r="AW20" s="662"/>
      <c r="BA20" s="658" t="s">
        <v>562</v>
      </c>
      <c r="BB20" s="659"/>
      <c r="BC20" s="660"/>
      <c r="BD20" s="661" t="s">
        <v>553</v>
      </c>
      <c r="BE20" s="659"/>
      <c r="BF20" s="662"/>
      <c r="BJ20" s="658" t="s">
        <v>563</v>
      </c>
      <c r="BK20" s="659"/>
      <c r="BL20" s="660"/>
      <c r="BM20" s="661" t="s">
        <v>556</v>
      </c>
      <c r="BN20" s="659"/>
      <c r="BO20" s="662"/>
      <c r="BS20" s="52" t="s">
        <v>261</v>
      </c>
      <c r="BT20" s="144">
        <f>((BT5*BT24*BT6)/((1-EXP(-BT6*BT24))*BT9*BT10))/BT27</f>
        <v>1.8444037577782339E-3</v>
      </c>
      <c r="BU20" s="52" t="s">
        <v>16</v>
      </c>
      <c r="BV20" s="52" t="s">
        <v>443</v>
      </c>
      <c r="BW20" s="138">
        <f>B109</f>
        <v>1</v>
      </c>
      <c r="BX20" s="52" t="s">
        <v>89</v>
      </c>
      <c r="BY20" s="83" t="s">
        <v>429</v>
      </c>
      <c r="BZ20" s="141">
        <f>B93</f>
        <v>10</v>
      </c>
      <c r="CA20" s="92" t="s">
        <v>407</v>
      </c>
      <c r="CB20" s="268"/>
      <c r="CC20" s="262"/>
      <c r="CD20" s="279"/>
      <c r="CE20" s="259"/>
      <c r="CF20" s="262"/>
      <c r="CG20" s="265"/>
      <c r="CK20" s="268" t="s">
        <v>530</v>
      </c>
      <c r="CL20" s="262">
        <f>(CL23/(CL24*CL25*CL26))/CL27</f>
        <v>0.5602240896358549</v>
      </c>
      <c r="CM20" s="279" t="s">
        <v>290</v>
      </c>
      <c r="CN20" s="259" t="s">
        <v>7</v>
      </c>
      <c r="CO20" s="262">
        <f>(CL20/(CO23*((CO28*CO30*CO31*(CO24+CO25))+(CO29*CO30))))*CO34</f>
        <v>897.06190159663652</v>
      </c>
      <c r="CP20" s="279" t="s">
        <v>290</v>
      </c>
      <c r="CQ20" s="259" t="s">
        <v>6</v>
      </c>
      <c r="CR20" s="262">
        <f>CL20/(CR23*CR24*(1/CR25))</f>
        <v>1120448.1792717099</v>
      </c>
      <c r="CS20" s="265" t="s">
        <v>290</v>
      </c>
      <c r="CT20" s="91" t="s">
        <v>273</v>
      </c>
      <c r="CU20" s="144">
        <f>GV2</f>
        <v>5.3192312803926427</v>
      </c>
      <c r="CV20" s="92" t="s">
        <v>290</v>
      </c>
      <c r="CW20" s="52" t="s">
        <v>271</v>
      </c>
      <c r="CX20" s="144">
        <f>((CX5)/((CX15/CX16)*CX8*CX17*(1/365)*CX18))/CX27</f>
        <v>3.0738339232909472E-4</v>
      </c>
      <c r="CY20" s="52" t="s">
        <v>15</v>
      </c>
      <c r="CZ20" s="91" t="s">
        <v>274</v>
      </c>
      <c r="DA20" s="144">
        <f>EK2</f>
        <v>2.8796452546581083E-2</v>
      </c>
      <c r="DB20" s="83" t="s">
        <v>290</v>
      </c>
      <c r="DC20" s="83" t="s">
        <v>475</v>
      </c>
      <c r="DD20" s="146">
        <f>B165</f>
        <v>0.15</v>
      </c>
      <c r="DF20" s="92" t="s">
        <v>71</v>
      </c>
      <c r="DG20" s="137">
        <f>0.693/DG23</f>
        <v>4.3949771689497717E-6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91" t="s">
        <v>104</v>
      </c>
      <c r="B21" s="183">
        <f>PEF!J3</f>
        <v>69557565.807898715</v>
      </c>
      <c r="C21" s="52" t="s">
        <v>524</v>
      </c>
      <c r="D21" s="52" t="s">
        <v>261</v>
      </c>
      <c r="E21" s="144">
        <f>((E5*E10*E6)/((1-EXP(-E6*E10))*E11*E12))/E27</f>
        <v>1.6467890694448522E-5</v>
      </c>
      <c r="F21" s="52" t="s">
        <v>16</v>
      </c>
      <c r="G21" s="83" t="s">
        <v>397</v>
      </c>
      <c r="H21" s="148">
        <f>(H29*H36*H32*H68)+(H30*H37*H33*H69)</f>
        <v>234.815</v>
      </c>
      <c r="I21" s="83" t="s">
        <v>356</v>
      </c>
      <c r="J21" s="83" t="s">
        <v>368</v>
      </c>
      <c r="K21" s="146">
        <f>B40</f>
        <v>200</v>
      </c>
      <c r="L21" s="84" t="s">
        <v>48</v>
      </c>
      <c r="M21" s="330" t="s">
        <v>537</v>
      </c>
      <c r="N21" s="333">
        <f>((N24*N25*N26)/((1-EXP(-N26*N25))*N34*N32*(N28/365)*(((N33/24)*N31)+((N35/24)*N30))))/N36</f>
        <v>4.371950889403009</v>
      </c>
      <c r="O21" s="336" t="s">
        <v>292</v>
      </c>
      <c r="P21" s="339" t="s">
        <v>537</v>
      </c>
      <c r="Q21" s="333">
        <f>((Q24*Q25*Q26)/((1-EXP(-Q26*Q25))*Q34*Q32*(Q28/365)*(((Q33/24)*Q31)+((Q35/24)*Q30))))/Q36</f>
        <v>3.2240196439528956</v>
      </c>
      <c r="R21" s="342" t="s">
        <v>290</v>
      </c>
      <c r="AB21" s="83" t="s">
        <v>85</v>
      </c>
      <c r="AC21" s="139">
        <f>B239</f>
        <v>8</v>
      </c>
      <c r="AD21" s="139">
        <f>B251</f>
        <v>8</v>
      </c>
      <c r="AE21" s="139">
        <f>B263</f>
        <v>0</v>
      </c>
      <c r="AF21" s="139">
        <f>B275</f>
        <v>8</v>
      </c>
      <c r="AG21" s="139">
        <f>B298</f>
        <v>8</v>
      </c>
      <c r="AH21" s="84" t="s">
        <v>194</v>
      </c>
      <c r="AI21" s="307" t="s">
        <v>537</v>
      </c>
      <c r="AJ21" s="304">
        <f>((AJ24*AJ25*AJ26)/((1-EXP(-AJ26*AJ25))*AJ34*(AJ28/365)*AJ29*(AJ35/24)*AJ30*AJ32))/AJ36</f>
        <v>15.910840871804371</v>
      </c>
      <c r="AK21" s="291" t="s">
        <v>292</v>
      </c>
      <c r="AL21" s="288" t="s">
        <v>537</v>
      </c>
      <c r="AM21" s="304">
        <f>((AM24*AM25*AM26)/((1-EXP(-AM26*AM25))*AM34*(AM28/365)*AM29*(AM35/24)*AM30*AM32))/AM36</f>
        <v>11.733174690237774</v>
      </c>
      <c r="AN21" s="282" t="s">
        <v>290</v>
      </c>
      <c r="AR21" s="665" t="s">
        <v>537</v>
      </c>
      <c r="AS21" s="304">
        <f>((AS24*AS25*AS26)/((1-EXP(-AS26*AS25))*AS34*(AS28/365)*AS29*(AS33/24)*AS31*AS32))/AS36</f>
        <v>7.0714848319130548</v>
      </c>
      <c r="AT21" s="667" t="s">
        <v>292</v>
      </c>
      <c r="AU21" s="663" t="s">
        <v>537</v>
      </c>
      <c r="AV21" s="304">
        <f>((AV24*AV25*AV26)/((1-EXP(-AV26*AV25))*AV34*(AV28/365)*AV29*(AV33/24)*AV31*AV32))/AV36</f>
        <v>5.2147443067723449</v>
      </c>
      <c r="AW21" s="669" t="s">
        <v>290</v>
      </c>
      <c r="BA21" s="665" t="s">
        <v>537</v>
      </c>
      <c r="BB21" s="304">
        <f>((BB24*BB25*BB26)/((1-EXP(-BB26*BB25))*BB34*(BB28/365)*(BB33/24)*BB31*BB32))/BB36</f>
        <v>6.364336348721749</v>
      </c>
      <c r="BC21" s="667" t="s">
        <v>292</v>
      </c>
      <c r="BD21" s="663" t="s">
        <v>537</v>
      </c>
      <c r="BE21" s="304">
        <f>((BE24*BE25*BE26)/((1-EXP(-BE26*BE25))*BE34*(BE28/365)*(BE33/24)*BE31*BE32))/BE36</f>
        <v>4.6932698760951093</v>
      </c>
      <c r="BF21" s="669" t="s">
        <v>290</v>
      </c>
      <c r="BJ21" s="665" t="s">
        <v>537</v>
      </c>
      <c r="BK21" s="285">
        <f>((BK24*BK25*BK26)/((1-EXP(-BK26*BK25))*BK35*(BK28/365)*(BK34/24)*BK32*BK33))/BK36</f>
        <v>501077.55495278043</v>
      </c>
      <c r="BL21" s="667" t="s">
        <v>292</v>
      </c>
      <c r="BM21" s="663" t="s">
        <v>537</v>
      </c>
      <c r="BN21" s="285">
        <f>((BN24*BN25*BN26)/((1-EXP(-BN26*BN25))*BN35*(BN28/365)*(BN34/24)*BN32*BN33))/BN36</f>
        <v>48895.867855343124</v>
      </c>
      <c r="BO21" s="669" t="s">
        <v>290</v>
      </c>
      <c r="BS21" s="52" t="s">
        <v>271</v>
      </c>
      <c r="BT21" s="145">
        <f>((BT5*BT24*BT6)/((1-EXP(-BT6*BT24))*BT16*BT8*(1/365)*BT15*(1/24)*BT17))/BT27</f>
        <v>3.4454560598317266E-2</v>
      </c>
      <c r="BU21" s="52" t="s">
        <v>16</v>
      </c>
      <c r="BV21" s="52" t="s">
        <v>444</v>
      </c>
      <c r="BW21" s="138">
        <f>B110</f>
        <v>1</v>
      </c>
      <c r="BX21" s="52" t="s">
        <v>89</v>
      </c>
      <c r="BY21" s="83" t="s">
        <v>430</v>
      </c>
      <c r="BZ21" s="141">
        <f>B94</f>
        <v>20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79"/>
      <c r="CN21" s="259"/>
      <c r="CO21" s="262"/>
      <c r="CP21" s="279"/>
      <c r="CQ21" s="259"/>
      <c r="CR21" s="262"/>
      <c r="CS21" s="265"/>
      <c r="CT21" s="91" t="s">
        <v>274</v>
      </c>
      <c r="CU21" s="144">
        <f>EN2</f>
        <v>0.44366639897677596</v>
      </c>
      <c r="CV21" s="92" t="s">
        <v>290</v>
      </c>
      <c r="CW21" s="52" t="s">
        <v>261</v>
      </c>
      <c r="CX21" s="144">
        <f>((CX5*CX10*CX6)/((CX15/CX16)*(1-EXP(-CX6*CX9))*CX11*CX12))/CX27</f>
        <v>1.5755765691445341E-5</v>
      </c>
      <c r="CY21" s="52" t="s">
        <v>16</v>
      </c>
      <c r="CZ21" s="91" t="s">
        <v>509</v>
      </c>
      <c r="DA21" s="144">
        <f>DV2</f>
        <v>7421.4960610568396</v>
      </c>
      <c r="DB21" s="83" t="s">
        <v>290</v>
      </c>
      <c r="DC21" s="83" t="s">
        <v>476</v>
      </c>
      <c r="DD21" s="146">
        <f>B166</f>
        <v>0.85</v>
      </c>
      <c r="DF21" s="92" t="s">
        <v>73</v>
      </c>
      <c r="DG21" s="138">
        <f>B201</f>
        <v>1</v>
      </c>
      <c r="DH21" s="52" t="s">
        <v>41</v>
      </c>
      <c r="DL21" s="92"/>
      <c r="DO21" s="92" t="s">
        <v>73</v>
      </c>
      <c r="DP21" s="138">
        <f>B201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B201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B201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B201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B201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B201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91" t="s">
        <v>231</v>
      </c>
      <c r="B22" s="183">
        <f>B18*365</f>
        <v>157680</v>
      </c>
      <c r="C22" s="52" t="s">
        <v>222</v>
      </c>
      <c r="D22" s="52" t="s">
        <v>271</v>
      </c>
      <c r="E22" s="145">
        <f>((E5*E10*E6)/((E15/E16)*E8*(1-EXP(-E6*E10))*E17*(1/365)*E18))/E27</f>
        <v>3.0763000534211849E-4</v>
      </c>
      <c r="F22" s="52" t="s">
        <v>16</v>
      </c>
      <c r="G22" s="83" t="s">
        <v>398</v>
      </c>
      <c r="H22" s="149">
        <f>(H29*H23*H68)+(H30*H24*H69)</f>
        <v>56282.8</v>
      </c>
      <c r="I22" s="92" t="s">
        <v>347</v>
      </c>
      <c r="J22" s="83" t="s">
        <v>369</v>
      </c>
      <c r="K22" s="146">
        <f>B41</f>
        <v>100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B240</f>
        <v>0.4</v>
      </c>
      <c r="AD22" s="150">
        <f>B252</f>
        <v>0.4</v>
      </c>
      <c r="AE22" s="150">
        <f>B264</f>
        <v>0.4</v>
      </c>
      <c r="AF22" s="150">
        <f>B276</f>
        <v>0.4</v>
      </c>
      <c r="AG22" s="150">
        <f>B299</f>
        <v>0.4</v>
      </c>
      <c r="AI22" s="307"/>
      <c r="AJ22" s="304"/>
      <c r="AK22" s="291"/>
      <c r="AL22" s="288"/>
      <c r="AM22" s="304"/>
      <c r="AN22" s="282"/>
      <c r="AR22" s="665"/>
      <c r="AS22" s="304"/>
      <c r="AT22" s="667"/>
      <c r="AU22" s="663"/>
      <c r="AV22" s="304"/>
      <c r="AW22" s="669"/>
      <c r="BA22" s="665"/>
      <c r="BB22" s="304"/>
      <c r="BC22" s="667"/>
      <c r="BD22" s="663"/>
      <c r="BE22" s="304"/>
      <c r="BF22" s="669"/>
      <c r="BJ22" s="665"/>
      <c r="BK22" s="285"/>
      <c r="BL22" s="667"/>
      <c r="BM22" s="663"/>
      <c r="BN22" s="285"/>
      <c r="BO22" s="669"/>
      <c r="BS22" s="52" t="s">
        <v>433</v>
      </c>
      <c r="BT22" s="138">
        <f>B104</f>
        <v>75</v>
      </c>
      <c r="BU22" s="52" t="s">
        <v>24</v>
      </c>
      <c r="BV22" s="83" t="s">
        <v>90</v>
      </c>
      <c r="BW22" s="150">
        <f>B108</f>
        <v>1</v>
      </c>
      <c r="BX22" s="52" t="s">
        <v>194</v>
      </c>
      <c r="BY22" s="83" t="s">
        <v>140</v>
      </c>
      <c r="BZ22" s="150">
        <f>B103</f>
        <v>75</v>
      </c>
      <c r="CA22" s="83" t="s">
        <v>24</v>
      </c>
      <c r="CB22" s="52" t="s">
        <v>267</v>
      </c>
      <c r="CC22" s="136">
        <f>B5</f>
        <v>1</v>
      </c>
      <c r="CD22" s="52" t="s">
        <v>344</v>
      </c>
      <c r="CE22" s="52" t="s">
        <v>267</v>
      </c>
      <c r="CF22" s="136">
        <f>B5</f>
        <v>1</v>
      </c>
      <c r="CG22" s="52" t="s">
        <v>344</v>
      </c>
      <c r="CK22" s="269"/>
      <c r="CL22" s="263"/>
      <c r="CM22" s="280"/>
      <c r="CN22" s="260"/>
      <c r="CO22" s="263"/>
      <c r="CP22" s="280"/>
      <c r="CQ22" s="260"/>
      <c r="CR22" s="263"/>
      <c r="CS22" s="266"/>
      <c r="CT22" s="91" t="s">
        <v>275</v>
      </c>
      <c r="CU22" s="144">
        <f>DY2</f>
        <v>124.79811758178157</v>
      </c>
      <c r="CV22" s="92" t="s">
        <v>290</v>
      </c>
      <c r="CW22" s="52" t="s">
        <v>271</v>
      </c>
      <c r="CX22" s="145">
        <f>((CX5*CX10*CX6)/((CX15/CX16)*CX8*(1-EXP(-CX6*CX10))*CX17*(1/365)*CX18))/CX27</f>
        <v>3.0763000534211849E-4</v>
      </c>
      <c r="CY22" s="52" t="s">
        <v>16</v>
      </c>
      <c r="CZ22" s="91" t="s">
        <v>510</v>
      </c>
      <c r="DA22" s="144">
        <f>GD2</f>
        <v>531.2799575486066</v>
      </c>
      <c r="DB22" s="83" t="s">
        <v>290</v>
      </c>
      <c r="DC22" s="95" t="s">
        <v>287</v>
      </c>
      <c r="DD22" s="176">
        <v>27.027027027027</v>
      </c>
      <c r="DE22" s="52" t="s">
        <v>288</v>
      </c>
      <c r="DF22" s="92" t="s">
        <v>74</v>
      </c>
      <c r="DG22" s="138">
        <f>B202</f>
        <v>14</v>
      </c>
      <c r="DH22" s="52" t="s">
        <v>75</v>
      </c>
      <c r="DL22" s="92"/>
      <c r="DO22" s="92" t="s">
        <v>74</v>
      </c>
      <c r="DP22" s="138">
        <f>B202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B202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B202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B202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B202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B202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105</v>
      </c>
      <c r="B23" s="182">
        <v>240</v>
      </c>
      <c r="C23" s="84" t="s">
        <v>18</v>
      </c>
      <c r="D23" s="52" t="s">
        <v>380</v>
      </c>
      <c r="E23" s="138">
        <f>B54</f>
        <v>350</v>
      </c>
      <c r="F23" s="52" t="s">
        <v>24</v>
      </c>
      <c r="G23" s="83" t="s">
        <v>399</v>
      </c>
      <c r="H23" s="146">
        <f>B149</f>
        <v>68.099999999999994</v>
      </c>
      <c r="I23" s="92" t="s">
        <v>221</v>
      </c>
      <c r="J23" s="83" t="s">
        <v>366</v>
      </c>
      <c r="K23" s="141">
        <f>B38</f>
        <v>10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666"/>
      <c r="AS23" s="305"/>
      <c r="AT23" s="668"/>
      <c r="AU23" s="664"/>
      <c r="AV23" s="305"/>
      <c r="AW23" s="670"/>
      <c r="BA23" s="666"/>
      <c r="BB23" s="305"/>
      <c r="BC23" s="668"/>
      <c r="BD23" s="664"/>
      <c r="BE23" s="305"/>
      <c r="BF23" s="670"/>
      <c r="BJ23" s="666"/>
      <c r="BK23" s="286"/>
      <c r="BL23" s="668"/>
      <c r="BM23" s="664"/>
      <c r="BN23" s="286"/>
      <c r="BO23" s="670"/>
      <c r="BS23" s="52" t="s">
        <v>434</v>
      </c>
      <c r="BT23" s="138">
        <f>B105</f>
        <v>75</v>
      </c>
      <c r="BU23" s="52" t="s">
        <v>24</v>
      </c>
      <c r="BV23" s="83" t="s">
        <v>435</v>
      </c>
      <c r="BW23" s="138">
        <f>B114</f>
        <v>1</v>
      </c>
      <c r="BX23" s="52" t="s">
        <v>80</v>
      </c>
      <c r="BY23" s="83" t="s">
        <v>434</v>
      </c>
      <c r="BZ23" s="150">
        <f>B105</f>
        <v>75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B5</f>
        <v>1</v>
      </c>
      <c r="CM23" s="52" t="s">
        <v>344</v>
      </c>
      <c r="CN23" s="52" t="s">
        <v>229</v>
      </c>
      <c r="CO23" s="136">
        <f>B29</f>
        <v>5.0000000000000001E-4</v>
      </c>
      <c r="CP23" s="52" t="s">
        <v>268</v>
      </c>
      <c r="CQ23" s="83" t="s">
        <v>229</v>
      </c>
      <c r="CR23" s="136">
        <f>CO23</f>
        <v>5.0000000000000001E-4</v>
      </c>
      <c r="CS23" s="52" t="s">
        <v>268</v>
      </c>
      <c r="CT23" s="91" t="s">
        <v>276</v>
      </c>
      <c r="CU23" s="144">
        <f>GG2</f>
        <v>2.9537428394857712</v>
      </c>
      <c r="CV23" s="92" t="s">
        <v>290</v>
      </c>
      <c r="CW23" s="52" t="s">
        <v>456</v>
      </c>
      <c r="CX23" s="138">
        <f>B167</f>
        <v>350</v>
      </c>
      <c r="CY23" s="52" t="s">
        <v>24</v>
      </c>
      <c r="CZ23" s="91" t="s">
        <v>277</v>
      </c>
      <c r="DA23" s="145">
        <f>FO2</f>
        <v>3.6508289908182856E-3</v>
      </c>
      <c r="DB23" s="83" t="s">
        <v>290</v>
      </c>
      <c r="DF23" s="83" t="s">
        <v>267</v>
      </c>
      <c r="DG23" s="136">
        <f>B22</f>
        <v>157680</v>
      </c>
      <c r="DH23" s="52" t="s">
        <v>222</v>
      </c>
      <c r="DO23" s="83" t="s">
        <v>19</v>
      </c>
      <c r="DP23" s="161">
        <f>DP25</f>
        <v>1.914E-5</v>
      </c>
      <c r="EA23" s="83"/>
      <c r="EB23" s="83"/>
      <c r="EC23" s="84"/>
      <c r="ED23" s="83" t="s">
        <v>19</v>
      </c>
      <c r="EE23" s="161">
        <f>EE25</f>
        <v>2.1999999999999999E-5</v>
      </c>
      <c r="EF23" s="84"/>
      <c r="EP23" s="83"/>
      <c r="EQ23" s="83"/>
      <c r="ER23" s="84"/>
      <c r="ES23" s="83" t="s">
        <v>19</v>
      </c>
      <c r="ET23" s="161">
        <f>ET25</f>
        <v>2.1999999999999999E-5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2.1999999999999999E-5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2.1999999999999999E-5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2.1999999999999999E-5</v>
      </c>
      <c r="HC23" s="84"/>
      <c r="HD23" s="67" t="s">
        <v>14</v>
      </c>
      <c r="HE23" s="222">
        <f>((HE25*HE42)*HE38*HE33*10^-3*HE32*HE27)/(HE31*HE41*(1-EXP(-HE27*HE32)))</f>
        <v>2.9493076098124648E-3</v>
      </c>
      <c r="HF23" s="220" t="s">
        <v>595</v>
      </c>
    </row>
    <row r="24" spans="1:214" ht="14.25" thickTop="1" thickBot="1" x14ac:dyDescent="0.25">
      <c r="A24" s="83" t="s">
        <v>239</v>
      </c>
      <c r="B24" s="183">
        <v>4.2E-7</v>
      </c>
      <c r="C24" s="52" t="s">
        <v>601</v>
      </c>
      <c r="D24" s="52" t="s">
        <v>381</v>
      </c>
      <c r="E24" s="138">
        <f>B55</f>
        <v>350</v>
      </c>
      <c r="F24" s="52" t="s">
        <v>24</v>
      </c>
      <c r="G24" s="83" t="s">
        <v>310</v>
      </c>
      <c r="H24" s="146">
        <f>B46</f>
        <v>188.5</v>
      </c>
      <c r="I24" s="92" t="s">
        <v>221</v>
      </c>
      <c r="J24" s="83" t="s">
        <v>367</v>
      </c>
      <c r="K24" s="141">
        <f>B39</f>
        <v>20</v>
      </c>
      <c r="L24" s="52" t="s">
        <v>407</v>
      </c>
      <c r="M24" s="52" t="s">
        <v>267</v>
      </c>
      <c r="N24" s="136">
        <f>B5</f>
        <v>1</v>
      </c>
      <c r="O24" s="52" t="s">
        <v>344</v>
      </c>
      <c r="P24" s="52" t="s">
        <v>267</v>
      </c>
      <c r="Q24" s="136">
        <f>B5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1.6041666666666665E-3</v>
      </c>
      <c r="AD24" s="137">
        <f>0.693/AD25</f>
        <v>1.6041666666666665E-3</v>
      </c>
      <c r="AE24" s="137">
        <f>0.693/AE25</f>
        <v>1.6041666666666665E-3</v>
      </c>
      <c r="AF24" s="137">
        <f>0.693/AF25</f>
        <v>1.6041666666666665E-3</v>
      </c>
      <c r="AG24" s="137">
        <f>0.693/AG25</f>
        <v>1.6041666666666665E-3</v>
      </c>
      <c r="AI24" s="52" t="s">
        <v>267</v>
      </c>
      <c r="AJ24" s="136">
        <f>B5</f>
        <v>1</v>
      </c>
      <c r="AK24" s="52" t="s">
        <v>344</v>
      </c>
      <c r="AL24" s="52" t="s">
        <v>267</v>
      </c>
      <c r="AM24" s="136">
        <f>B5</f>
        <v>1</v>
      </c>
      <c r="AN24" s="52" t="s">
        <v>344</v>
      </c>
      <c r="AR24" s="52" t="s">
        <v>267</v>
      </c>
      <c r="AS24" s="136">
        <f>B5</f>
        <v>1</v>
      </c>
      <c r="AT24" s="52" t="s">
        <v>344</v>
      </c>
      <c r="AU24" s="52" t="s">
        <v>267</v>
      </c>
      <c r="AV24" s="136">
        <f>B5</f>
        <v>1</v>
      </c>
      <c r="AW24" s="52" t="s">
        <v>344</v>
      </c>
      <c r="BA24" s="52" t="s">
        <v>267</v>
      </c>
      <c r="BB24" s="136">
        <f>B5</f>
        <v>1</v>
      </c>
      <c r="BC24" s="52" t="s">
        <v>344</v>
      </c>
      <c r="BD24" s="52" t="s">
        <v>267</v>
      </c>
      <c r="BE24" s="136">
        <f>B5</f>
        <v>1</v>
      </c>
      <c r="BF24" s="52" t="s">
        <v>344</v>
      </c>
      <c r="BJ24" s="52" t="s">
        <v>267</v>
      </c>
      <c r="BK24" s="136">
        <f>B5</f>
        <v>1</v>
      </c>
      <c r="BL24" s="52" t="s">
        <v>344</v>
      </c>
      <c r="BM24" s="52" t="s">
        <v>267</v>
      </c>
      <c r="BN24" s="136">
        <f>B5</f>
        <v>1</v>
      </c>
      <c r="BO24" s="52" t="s">
        <v>344</v>
      </c>
      <c r="BS24" s="91" t="s">
        <v>95</v>
      </c>
      <c r="BT24" s="158">
        <f>B117</f>
        <v>1</v>
      </c>
      <c r="BU24" s="91" t="s">
        <v>60</v>
      </c>
      <c r="BV24" s="83" t="s">
        <v>436</v>
      </c>
      <c r="BW24" s="138">
        <f>B115</f>
        <v>1</v>
      </c>
      <c r="BX24" s="52" t="s">
        <v>80</v>
      </c>
      <c r="BY24" s="83" t="s">
        <v>433</v>
      </c>
      <c r="BZ24" s="150">
        <f>B104</f>
        <v>75</v>
      </c>
      <c r="CA24" s="83" t="s">
        <v>24</v>
      </c>
      <c r="CB24" s="83" t="s">
        <v>22</v>
      </c>
      <c r="CC24" s="137">
        <f>0.693/CC25</f>
        <v>1.6041666666666665E-3</v>
      </c>
      <c r="CE24" s="83" t="s">
        <v>22</v>
      </c>
      <c r="CF24" s="137">
        <f>0.693/CF25</f>
        <v>1.6041666666666665E-3</v>
      </c>
      <c r="CK24" s="52" t="s">
        <v>258</v>
      </c>
      <c r="CL24" s="136">
        <f>B17</f>
        <v>8.8060000000000005E-4</v>
      </c>
      <c r="CM24" s="92" t="s">
        <v>259</v>
      </c>
      <c r="CN24" s="52" t="s">
        <v>20</v>
      </c>
      <c r="CO24" s="139">
        <f>CO26</f>
        <v>2.1999999999999999E-5</v>
      </c>
      <c r="CQ24" s="84" t="s">
        <v>170</v>
      </c>
      <c r="CR24" s="162">
        <f>B139</f>
        <v>1</v>
      </c>
      <c r="CS24" s="52" t="s">
        <v>28</v>
      </c>
      <c r="CT24" s="91" t="s">
        <v>277</v>
      </c>
      <c r="CU24" s="145">
        <f>FR2</f>
        <v>1.4615032171239205E-5</v>
      </c>
      <c r="CV24" s="92" t="s">
        <v>290</v>
      </c>
      <c r="CW24" s="52" t="s">
        <v>465</v>
      </c>
      <c r="CX24" s="138">
        <f>B168</f>
        <v>350</v>
      </c>
      <c r="CY24" s="52" t="s">
        <v>24</v>
      </c>
      <c r="CZ24" s="83" t="s">
        <v>45</v>
      </c>
      <c r="DA24" s="149">
        <f>(DA35*DA27*DA49)+(DA36*DA28*DA50)</f>
        <v>784.7</v>
      </c>
      <c r="DB24" s="52" t="s">
        <v>345</v>
      </c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223">
        <f>((HE26*HE42)*HE38*HE33*10^-3*HE32*HE27)/(HE31*HE41*(1-EXP(-HE27*HE32)))</f>
        <v>2.1354297539598246E-4</v>
      </c>
      <c r="HF24" s="221" t="s">
        <v>596</v>
      </c>
    </row>
    <row r="25" spans="1:214" ht="15" thickTop="1" x14ac:dyDescent="0.2">
      <c r="A25" s="83" t="s">
        <v>236</v>
      </c>
      <c r="B25" s="183">
        <v>5.0000000000000001E-4</v>
      </c>
      <c r="C25" s="52" t="s">
        <v>388</v>
      </c>
      <c r="D25" s="83" t="s">
        <v>376</v>
      </c>
      <c r="E25" s="146">
        <f>B49</f>
        <v>0.23</v>
      </c>
      <c r="G25" s="83" t="s">
        <v>400</v>
      </c>
      <c r="H25" s="149">
        <f>(H29*H26*H68)+(H30*H27*H69)</f>
        <v>38095.4</v>
      </c>
      <c r="I25" s="92" t="s">
        <v>347</v>
      </c>
      <c r="J25" s="83" t="s">
        <v>446</v>
      </c>
      <c r="K25" s="149">
        <f>(K31*K26*K51)+(K32*K27*K52)</f>
        <v>56282.8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2.0086514594976183E-5</v>
      </c>
      <c r="X25" s="62" t="s">
        <v>289</v>
      </c>
      <c r="Y25" s="202" t="s">
        <v>16</v>
      </c>
      <c r="Z25" s="187">
        <f>1/((1/Z41)+(1/Z40))</f>
        <v>1.0857575456743871E-5</v>
      </c>
      <c r="AA25" s="63" t="s">
        <v>289</v>
      </c>
      <c r="AB25" s="91" t="s">
        <v>231</v>
      </c>
      <c r="AC25" s="136">
        <f>B18</f>
        <v>432</v>
      </c>
      <c r="AD25" s="136">
        <f>B18</f>
        <v>432</v>
      </c>
      <c r="AE25" s="136">
        <f>B18</f>
        <v>432</v>
      </c>
      <c r="AF25" s="136">
        <f>B18</f>
        <v>432</v>
      </c>
      <c r="AG25" s="136">
        <f>B18</f>
        <v>432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B101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B108</f>
        <v>1</v>
      </c>
      <c r="CA25" s="94" t="s">
        <v>194</v>
      </c>
      <c r="CB25" s="91" t="s">
        <v>231</v>
      </c>
      <c r="CC25" s="136">
        <f>B18</f>
        <v>432</v>
      </c>
      <c r="CD25" s="52" t="s">
        <v>60</v>
      </c>
      <c r="CE25" s="91" t="s">
        <v>231</v>
      </c>
      <c r="CF25" s="136">
        <f>B18</f>
        <v>432</v>
      </c>
      <c r="CG25" s="52" t="s">
        <v>60</v>
      </c>
      <c r="CK25" s="52" t="s">
        <v>140</v>
      </c>
      <c r="CL25" s="138">
        <f>B103</f>
        <v>75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40250</v>
      </c>
      <c r="CV25" s="83" t="s">
        <v>346</v>
      </c>
      <c r="CW25" s="83" t="s">
        <v>475</v>
      </c>
      <c r="CX25" s="146">
        <f>B165</f>
        <v>0.15</v>
      </c>
      <c r="CZ25" s="83" t="s">
        <v>43</v>
      </c>
      <c r="DA25" s="140">
        <f>(DA35*DA29*(DA38/24)*DA49)+(DA36*DA30*(DA39/24)*DA50)</f>
        <v>6475</v>
      </c>
      <c r="DB25" s="83" t="s">
        <v>426</v>
      </c>
      <c r="DF25" s="52" t="s">
        <v>33</v>
      </c>
      <c r="DG25" s="136">
        <f>B32</f>
        <v>2.1999999999999999E-5</v>
      </c>
      <c r="DO25" s="83" t="s">
        <v>32</v>
      </c>
      <c r="DP25" s="136">
        <f>B31</f>
        <v>1.914E-5</v>
      </c>
      <c r="EA25" s="83"/>
      <c r="EC25" s="84"/>
      <c r="ED25" s="83" t="s">
        <v>33</v>
      </c>
      <c r="EE25" s="136">
        <f>B32</f>
        <v>2.1999999999999999E-5</v>
      </c>
      <c r="EF25" s="84"/>
      <c r="EP25" s="83"/>
      <c r="ER25" s="84"/>
      <c r="ES25" s="83" t="s">
        <v>33</v>
      </c>
      <c r="ET25" s="136">
        <f>B32</f>
        <v>2.1999999999999999E-5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B32</f>
        <v>2.1999999999999999E-5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B32</f>
        <v>2.1999999999999999E-5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B32</f>
        <v>2.1999999999999999E-5</v>
      </c>
      <c r="HC25" s="84"/>
      <c r="HD25" s="89" t="s">
        <v>21</v>
      </c>
      <c r="HE25" s="150">
        <f>B34</f>
        <v>0.55500055500055501</v>
      </c>
      <c r="HF25" s="83" t="s">
        <v>291</v>
      </c>
    </row>
    <row r="26" spans="1:214" ht="13.5" thickBot="1" x14ac:dyDescent="0.25">
      <c r="A26" s="83" t="s">
        <v>237</v>
      </c>
      <c r="B26" s="183">
        <v>6.0000000000000001E-3</v>
      </c>
      <c r="C26" s="52" t="s">
        <v>388</v>
      </c>
      <c r="D26" s="83" t="s">
        <v>377</v>
      </c>
      <c r="E26" s="146">
        <f>B50</f>
        <v>0.77</v>
      </c>
      <c r="G26" s="83" t="s">
        <v>401</v>
      </c>
      <c r="H26" s="146">
        <f>B151</f>
        <v>41.7</v>
      </c>
      <c r="I26" s="92" t="s">
        <v>221</v>
      </c>
      <c r="J26" s="83" t="s">
        <v>399</v>
      </c>
      <c r="K26" s="146">
        <f>B45</f>
        <v>68.099999999999994</v>
      </c>
      <c r="L26" s="92" t="s">
        <v>221</v>
      </c>
      <c r="M26" s="83" t="s">
        <v>22</v>
      </c>
      <c r="N26" s="137">
        <f>0.693/N27</f>
        <v>1.6041666666666665E-3</v>
      </c>
      <c r="P26" s="83" t="s">
        <v>22</v>
      </c>
      <c r="Q26" s="137">
        <f>0.693/Q27</f>
        <v>1.6041666666666665E-3</v>
      </c>
      <c r="V26" s="201" t="s">
        <v>15</v>
      </c>
      <c r="W26" s="75">
        <f>1/((1/W38)+(1/W39))</f>
        <v>2.0070412147882625E-5</v>
      </c>
      <c r="X26" s="76" t="s">
        <v>289</v>
      </c>
      <c r="Y26" s="203" t="s">
        <v>15</v>
      </c>
      <c r="Z26" s="185">
        <f>1/((1/Z38)+(1/Z39))</f>
        <v>1.0848871431287894E-5</v>
      </c>
      <c r="AA26" s="77" t="s">
        <v>289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1.6041666666666665E-3</v>
      </c>
      <c r="AL26" s="83" t="s">
        <v>22</v>
      </c>
      <c r="AM26" s="137">
        <f>0.693/AM27</f>
        <v>1.6041666666666665E-3</v>
      </c>
      <c r="AR26" s="83" t="s">
        <v>22</v>
      </c>
      <c r="AS26" s="137">
        <f>0.693/AS27</f>
        <v>1.6041666666666665E-3</v>
      </c>
      <c r="AU26" s="83" t="s">
        <v>22</v>
      </c>
      <c r="AV26" s="137">
        <f>0.693/AV27</f>
        <v>1.6041666666666665E-3</v>
      </c>
      <c r="BA26" s="83" t="s">
        <v>22</v>
      </c>
      <c r="BB26" s="137">
        <f>0.693/BB27</f>
        <v>1.6041666666666665E-3</v>
      </c>
      <c r="BD26" s="83" t="s">
        <v>22</v>
      </c>
      <c r="BE26" s="137">
        <f>0.693/BE27</f>
        <v>1.6041666666666665E-3</v>
      </c>
      <c r="BJ26" s="83" t="s">
        <v>22</v>
      </c>
      <c r="BK26" s="137">
        <f>0.693/BK27</f>
        <v>1.6041666666666665E-3</v>
      </c>
      <c r="BM26" s="83" t="s">
        <v>22</v>
      </c>
      <c r="BN26" s="137">
        <f>0.693/BN27</f>
        <v>1.6041666666666665E-3</v>
      </c>
      <c r="BS26" s="91" t="s">
        <v>309</v>
      </c>
      <c r="BT26" s="177">
        <f>B102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B106</f>
        <v>1</v>
      </c>
      <c r="CA26" s="94" t="s">
        <v>194</v>
      </c>
      <c r="CB26" s="52" t="s">
        <v>140</v>
      </c>
      <c r="CC26" s="138">
        <f>B103</f>
        <v>75</v>
      </c>
      <c r="CD26" s="52" t="s">
        <v>24</v>
      </c>
      <c r="CE26" s="52" t="s">
        <v>140</v>
      </c>
      <c r="CF26" s="138">
        <f>B103</f>
        <v>75</v>
      </c>
      <c r="CG26" s="52" t="s">
        <v>24</v>
      </c>
      <c r="CK26" s="52" t="s">
        <v>160</v>
      </c>
      <c r="CL26" s="162">
        <f>B134</f>
        <v>1</v>
      </c>
      <c r="CM26" s="52" t="s">
        <v>221</v>
      </c>
      <c r="CN26" s="52" t="s">
        <v>33</v>
      </c>
      <c r="CO26" s="136">
        <f>B32</f>
        <v>2.1999999999999999E-5</v>
      </c>
      <c r="CT26" s="83" t="s">
        <v>506</v>
      </c>
      <c r="CU26" s="155">
        <f>((CU31*CU29*CU47)+(CU32*CU30*CU48))</f>
        <v>6475</v>
      </c>
      <c r="CV26" s="52" t="s">
        <v>426</v>
      </c>
      <c r="CW26" s="83" t="s">
        <v>476</v>
      </c>
      <c r="CX26" s="141">
        <f>B166</f>
        <v>0.85</v>
      </c>
      <c r="CY26" s="83"/>
      <c r="CZ26" s="83" t="s">
        <v>142</v>
      </c>
      <c r="DA26" s="149">
        <f>(DA35*DA40*DA42*DA49)+(DA36*DA41*DA43*DA50)</f>
        <v>239.57499999999999</v>
      </c>
      <c r="DB26" s="52" t="s">
        <v>356</v>
      </c>
      <c r="DF26" s="95"/>
      <c r="DG26" s="176"/>
      <c r="DO26" s="83" t="s">
        <v>393</v>
      </c>
      <c r="DP26" s="138">
        <f>B35</f>
        <v>0.26</v>
      </c>
      <c r="EA26" s="83"/>
      <c r="EB26" s="84"/>
      <c r="EC26" s="84"/>
      <c r="ED26" s="83" t="s">
        <v>392</v>
      </c>
      <c r="EE26" s="163">
        <f>B36</f>
        <v>0.25</v>
      </c>
      <c r="EF26" s="84"/>
      <c r="EP26" s="83"/>
      <c r="EQ26" s="84"/>
      <c r="ER26" s="84"/>
      <c r="ES26" s="83" t="s">
        <v>392</v>
      </c>
      <c r="ET26" s="163">
        <f>B36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B36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B36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B36</f>
        <v>0.25</v>
      </c>
      <c r="HC26" s="84"/>
      <c r="HD26" s="84" t="s">
        <v>265</v>
      </c>
      <c r="HE26" s="139">
        <f>H2</f>
        <v>4.0184506175934671E-2</v>
      </c>
      <c r="HF26" s="83" t="s">
        <v>291</v>
      </c>
    </row>
    <row r="27" spans="1:214" ht="12.75" customHeight="1" thickTop="1" x14ac:dyDescent="0.2">
      <c r="A27" s="83" t="s">
        <v>171</v>
      </c>
      <c r="B27" s="183">
        <v>3.0000000000000001E-3</v>
      </c>
      <c r="C27" s="52" t="s">
        <v>388</v>
      </c>
      <c r="D27" s="95" t="s">
        <v>287</v>
      </c>
      <c r="E27" s="176">
        <v>27.027027027027</v>
      </c>
      <c r="F27" s="52" t="s">
        <v>602</v>
      </c>
      <c r="G27" s="83" t="s">
        <v>402</v>
      </c>
      <c r="H27" s="146">
        <f>B48</f>
        <v>128.9</v>
      </c>
      <c r="I27" s="92" t="s">
        <v>221</v>
      </c>
      <c r="J27" s="83" t="s">
        <v>310</v>
      </c>
      <c r="K27" s="146">
        <f>B46</f>
        <v>188.5</v>
      </c>
      <c r="L27" s="92" t="s">
        <v>221</v>
      </c>
      <c r="M27" s="91" t="s">
        <v>231</v>
      </c>
      <c r="N27" s="136">
        <f>B18</f>
        <v>432</v>
      </c>
      <c r="O27" s="52" t="s">
        <v>60</v>
      </c>
      <c r="P27" s="91" t="s">
        <v>231</v>
      </c>
      <c r="Q27" s="136">
        <f>B18</f>
        <v>432</v>
      </c>
      <c r="R27" s="52" t="s">
        <v>60</v>
      </c>
      <c r="V27" s="52" t="s">
        <v>267</v>
      </c>
      <c r="W27" s="136">
        <f>B5</f>
        <v>1</v>
      </c>
      <c r="X27" s="52" t="s">
        <v>344</v>
      </c>
      <c r="Y27" s="52" t="s">
        <v>267</v>
      </c>
      <c r="Z27" s="136">
        <f>B5</f>
        <v>1</v>
      </c>
      <c r="AA27" s="52" t="s">
        <v>344</v>
      </c>
      <c r="AB27" s="84" t="s">
        <v>16</v>
      </c>
      <c r="AC27" s="156">
        <f>(AC23*AC24)/(1-EXP(-AC24*AC23))</f>
        <v>1.0008022977791844</v>
      </c>
      <c r="AD27" s="156">
        <f>(AD23*AD24)/(1-EXP(-AD24*AD23))</f>
        <v>1.0008022977791844</v>
      </c>
      <c r="AE27" s="156">
        <f>(AE23*AE24)/(1-EXP(-AE24*AE23))</f>
        <v>1.0008022977791844</v>
      </c>
      <c r="AF27" s="156">
        <f>(AF23*AF24)/(1-EXP(-AF24*AF23))</f>
        <v>1.0008022977791844</v>
      </c>
      <c r="AG27" s="156">
        <f>(AG23*AG24)/(1-EXP(-AG24*AG23))</f>
        <v>1.0008022977791844</v>
      </c>
      <c r="AI27" s="91" t="s">
        <v>231</v>
      </c>
      <c r="AJ27" s="136">
        <f>B18</f>
        <v>432</v>
      </c>
      <c r="AK27" s="52" t="s">
        <v>60</v>
      </c>
      <c r="AL27" s="91" t="s">
        <v>231</v>
      </c>
      <c r="AM27" s="136">
        <f>B18</f>
        <v>432</v>
      </c>
      <c r="AN27" s="52" t="s">
        <v>60</v>
      </c>
      <c r="AR27" s="91" t="s">
        <v>231</v>
      </c>
      <c r="AS27" s="136">
        <f>B18</f>
        <v>432</v>
      </c>
      <c r="AT27" s="52" t="s">
        <v>60</v>
      </c>
      <c r="AU27" s="91" t="s">
        <v>231</v>
      </c>
      <c r="AV27" s="136">
        <f>B18</f>
        <v>432</v>
      </c>
      <c r="AW27" s="52" t="s">
        <v>60</v>
      </c>
      <c r="BA27" s="91" t="s">
        <v>231</v>
      </c>
      <c r="BB27" s="136">
        <f>B18</f>
        <v>432</v>
      </c>
      <c r="BC27" s="52" t="s">
        <v>60</v>
      </c>
      <c r="BD27" s="91" t="s">
        <v>231</v>
      </c>
      <c r="BE27" s="136">
        <f>B18</f>
        <v>432</v>
      </c>
      <c r="BF27" s="52" t="s">
        <v>60</v>
      </c>
      <c r="BJ27" s="91" t="s">
        <v>231</v>
      </c>
      <c r="BK27" s="136">
        <f>B18</f>
        <v>432</v>
      </c>
      <c r="BL27" s="52" t="s">
        <v>60</v>
      </c>
      <c r="BM27" s="91" t="s">
        <v>231</v>
      </c>
      <c r="BN27" s="136">
        <f>B18</f>
        <v>432</v>
      </c>
      <c r="BO27" s="52" t="s">
        <v>60</v>
      </c>
      <c r="BS27" s="95" t="s">
        <v>287</v>
      </c>
      <c r="BT27" s="176">
        <v>27.027027027027</v>
      </c>
      <c r="BU27" s="52" t="s">
        <v>288</v>
      </c>
      <c r="BW27" s="138">
        <v>1000</v>
      </c>
      <c r="BX27" s="52" t="s">
        <v>218</v>
      </c>
      <c r="BY27" s="83" t="s">
        <v>90</v>
      </c>
      <c r="BZ27" s="150">
        <f>B107</f>
        <v>1</v>
      </c>
      <c r="CA27" s="52" t="s">
        <v>194</v>
      </c>
      <c r="CB27" s="52" t="s">
        <v>51</v>
      </c>
      <c r="CC27" s="138">
        <f>B117</f>
        <v>1</v>
      </c>
      <c r="CD27" s="52" t="s">
        <v>146</v>
      </c>
      <c r="CE27" s="52" t="s">
        <v>51</v>
      </c>
      <c r="CF27" s="138">
        <f>B117</f>
        <v>1</v>
      </c>
      <c r="CG27" s="52" t="s">
        <v>146</v>
      </c>
      <c r="CK27" s="95" t="s">
        <v>287</v>
      </c>
      <c r="CL27" s="176">
        <v>27.027027027027</v>
      </c>
      <c r="CM27" s="52" t="s">
        <v>288</v>
      </c>
      <c r="CN27" s="52" t="s">
        <v>392</v>
      </c>
      <c r="CO27" s="162">
        <f>B36</f>
        <v>0.25</v>
      </c>
      <c r="CT27" s="83" t="s">
        <v>449</v>
      </c>
      <c r="CU27" s="146">
        <f>B141</f>
        <v>200</v>
      </c>
      <c r="CV27" s="84" t="s">
        <v>48</v>
      </c>
      <c r="CW27" s="95" t="s">
        <v>287</v>
      </c>
      <c r="CX27" s="176">
        <v>27.027027027027</v>
      </c>
      <c r="CY27" s="52" t="s">
        <v>288</v>
      </c>
      <c r="CZ27" s="92" t="s">
        <v>451</v>
      </c>
      <c r="DA27" s="142">
        <f t="shared" ref="DA27:DA34" si="0">B145</f>
        <v>0.78</v>
      </c>
      <c r="DB27" s="83" t="s">
        <v>28</v>
      </c>
      <c r="DO27" s="95"/>
      <c r="DP27" s="176"/>
      <c r="DW27" s="88"/>
      <c r="DX27" s="88"/>
      <c r="DY27" s="88"/>
      <c r="DZ27" s="88"/>
      <c r="EA27" s="83"/>
      <c r="EB27" s="85"/>
      <c r="ED27" s="83" t="s">
        <v>517</v>
      </c>
      <c r="EE27" s="136">
        <f>B24</f>
        <v>4.2E-7</v>
      </c>
      <c r="EF27" s="52" t="s">
        <v>601</v>
      </c>
      <c r="EP27" s="83"/>
      <c r="EQ27" s="86"/>
      <c r="ES27" s="83" t="s">
        <v>236</v>
      </c>
      <c r="ET27" s="169">
        <f>B25</f>
        <v>5.0000000000000001E-4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B27</f>
        <v>3.0000000000000001E-3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B26</f>
        <v>6.0000000000000001E-3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B28</f>
        <v>1.7000000000000001E-4</v>
      </c>
      <c r="HC27" s="52" t="s">
        <v>388</v>
      </c>
      <c r="HD27" s="83" t="s">
        <v>22</v>
      </c>
      <c r="HE27" s="137">
        <f>0.693/HE29</f>
        <v>1.6041666666666665E-3</v>
      </c>
    </row>
    <row r="28" spans="1:214" x14ac:dyDescent="0.2">
      <c r="A28" s="83" t="s">
        <v>238</v>
      </c>
      <c r="B28" s="183">
        <v>1.7000000000000001E-4</v>
      </c>
      <c r="C28" s="52" t="s">
        <v>388</v>
      </c>
      <c r="G28" s="83" t="s">
        <v>65</v>
      </c>
      <c r="H28" s="141">
        <f>B65</f>
        <v>0.5</v>
      </c>
      <c r="I28" s="52" t="s">
        <v>66</v>
      </c>
      <c r="J28" s="83" t="s">
        <v>447</v>
      </c>
      <c r="K28" s="149">
        <f>(K31*K29*K51)+(K32*K30*K52)</f>
        <v>38095.4</v>
      </c>
      <c r="L28" s="92" t="s">
        <v>347</v>
      </c>
      <c r="M28" s="52" t="s">
        <v>382</v>
      </c>
      <c r="N28" s="138">
        <f>B56</f>
        <v>350</v>
      </c>
      <c r="O28" s="52" t="s">
        <v>24</v>
      </c>
      <c r="P28" s="52" t="s">
        <v>382</v>
      </c>
      <c r="Q28" s="138">
        <f>B56</f>
        <v>350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B243</f>
        <v>250</v>
      </c>
      <c r="AK28" s="52" t="s">
        <v>24</v>
      </c>
      <c r="AL28" s="52" t="s">
        <v>35</v>
      </c>
      <c r="AM28" s="138">
        <f>B243</f>
        <v>250</v>
      </c>
      <c r="AN28" s="52" t="s">
        <v>24</v>
      </c>
      <c r="AR28" s="52" t="s">
        <v>423</v>
      </c>
      <c r="AS28" s="138">
        <f>B255</f>
        <v>225</v>
      </c>
      <c r="AT28" s="52" t="s">
        <v>24</v>
      </c>
      <c r="AU28" s="52" t="s">
        <v>423</v>
      </c>
      <c r="AV28" s="138">
        <f>B255</f>
        <v>225</v>
      </c>
      <c r="AW28" s="52" t="s">
        <v>24</v>
      </c>
      <c r="BA28" s="52" t="s">
        <v>316</v>
      </c>
      <c r="BB28" s="138">
        <f>B231</f>
        <v>250</v>
      </c>
      <c r="BC28" s="52" t="s">
        <v>24</v>
      </c>
      <c r="BD28" s="52" t="s">
        <v>316</v>
      </c>
      <c r="BE28" s="138">
        <f>B231</f>
        <v>250</v>
      </c>
      <c r="BF28" s="52" t="s">
        <v>24</v>
      </c>
      <c r="BJ28" s="52" t="s">
        <v>191</v>
      </c>
      <c r="BK28" s="138">
        <f>BK29*BK30</f>
        <v>250</v>
      </c>
      <c r="BL28" s="52" t="s">
        <v>24</v>
      </c>
      <c r="BM28" s="52" t="s">
        <v>191</v>
      </c>
      <c r="BN28" s="138">
        <f>BN29*BN30</f>
        <v>250</v>
      </c>
      <c r="BO28" s="52" t="s">
        <v>24</v>
      </c>
      <c r="BS28" s="96"/>
      <c r="BV28" s="83"/>
      <c r="BW28" s="146">
        <v>365</v>
      </c>
      <c r="BX28" s="84" t="s">
        <v>24</v>
      </c>
      <c r="BY28" s="83" t="s">
        <v>302</v>
      </c>
      <c r="BZ28" s="141">
        <f>B118</f>
        <v>2.41E-4</v>
      </c>
      <c r="CB28" s="52" t="s">
        <v>300</v>
      </c>
      <c r="CC28" s="138">
        <f>B126</f>
        <v>1.5699999999999999E-5</v>
      </c>
      <c r="CE28" s="52" t="s">
        <v>300</v>
      </c>
      <c r="CF28" s="138">
        <f>B122</f>
        <v>1.35E-4</v>
      </c>
      <c r="CN28" s="52" t="s">
        <v>165</v>
      </c>
      <c r="CO28" s="162">
        <f>B135</f>
        <v>1</v>
      </c>
      <c r="CP28" s="52" t="s">
        <v>246</v>
      </c>
      <c r="CT28" s="83" t="s">
        <v>458</v>
      </c>
      <c r="CU28" s="146">
        <f>B142</f>
        <v>100</v>
      </c>
      <c r="CV28" s="84" t="s">
        <v>48</v>
      </c>
      <c r="CZ28" s="92" t="s">
        <v>460</v>
      </c>
      <c r="DA28" s="142">
        <f t="shared" si="0"/>
        <v>2.5</v>
      </c>
      <c r="DB28" s="83" t="s">
        <v>28</v>
      </c>
      <c r="DW28" s="88"/>
      <c r="DX28" s="88"/>
      <c r="DY28" s="88"/>
      <c r="DZ28" s="88"/>
      <c r="ED28" s="95"/>
      <c r="EE28" s="176"/>
      <c r="ES28" s="95"/>
      <c r="ET28" s="176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95"/>
      <c r="FI28" s="176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95"/>
      <c r="GM28" s="176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95"/>
      <c r="HB28" s="176"/>
      <c r="HD28" s="52" t="s">
        <v>16</v>
      </c>
      <c r="HE28" s="137">
        <f>1-EXP(-HE27*HE32)</f>
        <v>1.6028806790575612E-3</v>
      </c>
    </row>
    <row r="29" spans="1:214" ht="15.75" thickBot="1" x14ac:dyDescent="0.25">
      <c r="A29" s="52" t="s">
        <v>229</v>
      </c>
      <c r="B29" s="183">
        <v>5.0000000000000001E-4</v>
      </c>
      <c r="C29" s="52" t="s">
        <v>388</v>
      </c>
      <c r="G29" s="83" t="s">
        <v>380</v>
      </c>
      <c r="H29" s="150">
        <f>B54</f>
        <v>350</v>
      </c>
      <c r="I29" s="83" t="s">
        <v>24</v>
      </c>
      <c r="J29" s="83" t="s">
        <v>401</v>
      </c>
      <c r="K29" s="146">
        <f>B47</f>
        <v>41.7</v>
      </c>
      <c r="L29" s="92" t="s">
        <v>221</v>
      </c>
      <c r="M29" s="52" t="s">
        <v>379</v>
      </c>
      <c r="N29" s="138">
        <f>B53</f>
        <v>1</v>
      </c>
      <c r="O29" s="52" t="s">
        <v>146</v>
      </c>
      <c r="P29" s="52" t="s">
        <v>379</v>
      </c>
      <c r="Q29" s="138">
        <f>B53</f>
        <v>1</v>
      </c>
      <c r="R29" s="52" t="s">
        <v>146</v>
      </c>
      <c r="V29" s="83" t="s">
        <v>22</v>
      </c>
      <c r="W29" s="137">
        <f>0.693/W30</f>
        <v>1.6041666666666665E-3</v>
      </c>
      <c r="Y29" s="83" t="s">
        <v>22</v>
      </c>
      <c r="Z29" s="137">
        <f>0.693/Z30</f>
        <v>1.6041666666666665E-3</v>
      </c>
      <c r="AB29" s="83" t="s">
        <v>260</v>
      </c>
      <c r="AC29" s="143">
        <f>((AC5/(AC8*AC13*AC7*AC9*(1/AC6)))*AC27)/AC35</f>
        <v>1.9623574466258535</v>
      </c>
      <c r="AD29" s="143">
        <f>((AD5/(AD8*AD13*AD7*AD9*(1/AD6)))*AD27)/AD35</f>
        <v>3.9247148932517071</v>
      </c>
      <c r="AE29" s="143">
        <f>((AE5/(AE8*AE13*AE7*AE9*(1/AE6)))*AE27)/AE35</f>
        <v>2.1803971629176151</v>
      </c>
      <c r="AF29" s="143">
        <f>((AF5*AF23*AF24)/((1-EXP(-AF24*AF23))*AF8*AF7*AF9*AF13*(1/AF28)))/AF35</f>
        <v>0.59465377170480416</v>
      </c>
      <c r="AG29" s="143">
        <f>((AG5*AG23*AG24)/((1-EXP(-AG24*AG23))*AG8*AG7*AG9*AG13*(1/AG28)))/AG35</f>
        <v>0.59465377170480416</v>
      </c>
      <c r="AH29" s="83" t="s">
        <v>290</v>
      </c>
      <c r="AI29" s="52" t="s">
        <v>420</v>
      </c>
      <c r="AJ29" s="138">
        <f>B244</f>
        <v>1</v>
      </c>
      <c r="AK29" s="52" t="s">
        <v>146</v>
      </c>
      <c r="AL29" s="52" t="s">
        <v>420</v>
      </c>
      <c r="AM29" s="138">
        <f>B244</f>
        <v>1</v>
      </c>
      <c r="AN29" s="52" t="s">
        <v>146</v>
      </c>
      <c r="AR29" s="52" t="s">
        <v>424</v>
      </c>
      <c r="AS29" s="138">
        <f>B256</f>
        <v>1</v>
      </c>
      <c r="AT29" s="52" t="s">
        <v>146</v>
      </c>
      <c r="AU29" s="52" t="s">
        <v>424</v>
      </c>
      <c r="AV29" s="138">
        <f>B256</f>
        <v>1</v>
      </c>
      <c r="AW29" s="52" t="s">
        <v>146</v>
      </c>
      <c r="BA29" s="52" t="s">
        <v>422</v>
      </c>
      <c r="BB29" s="138">
        <f>B232</f>
        <v>1</v>
      </c>
      <c r="BC29" s="52" t="s">
        <v>146</v>
      </c>
      <c r="BD29" s="52" t="s">
        <v>422</v>
      </c>
      <c r="BE29" s="138">
        <f>B232</f>
        <v>1</v>
      </c>
      <c r="BF29" s="52" t="s">
        <v>146</v>
      </c>
      <c r="BJ29" s="52" t="s">
        <v>220</v>
      </c>
      <c r="BK29" s="138">
        <f>B278</f>
        <v>50</v>
      </c>
      <c r="BL29" s="52" t="s">
        <v>113</v>
      </c>
      <c r="BM29" s="52" t="s">
        <v>220</v>
      </c>
      <c r="BN29" s="138">
        <f>B278</f>
        <v>50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41">
        <f>B119</f>
        <v>0.753</v>
      </c>
      <c r="CB29" s="52" t="s">
        <v>411</v>
      </c>
      <c r="CC29" s="138">
        <f>B127</f>
        <v>0.80900000000000005</v>
      </c>
      <c r="CE29" s="52" t="s">
        <v>418</v>
      </c>
      <c r="CF29" s="138">
        <f>B123</f>
        <v>0.71099999999999997</v>
      </c>
      <c r="CN29" s="52" t="s">
        <v>166</v>
      </c>
      <c r="CO29" s="162">
        <f>B136</f>
        <v>1</v>
      </c>
      <c r="CP29" s="52" t="s">
        <v>246</v>
      </c>
      <c r="CT29" s="83" t="s">
        <v>450</v>
      </c>
      <c r="CU29" s="141">
        <f>B147</f>
        <v>10</v>
      </c>
      <c r="CV29" s="92" t="s">
        <v>407</v>
      </c>
      <c r="CZ29" s="92" t="s">
        <v>450</v>
      </c>
      <c r="DA29" s="142">
        <f t="shared" si="0"/>
        <v>10</v>
      </c>
      <c r="DB29" s="83" t="s">
        <v>143</v>
      </c>
      <c r="DW29" s="88"/>
      <c r="DX29" s="88"/>
      <c r="DY29" s="88"/>
      <c r="DZ29" s="8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B18</f>
        <v>432</v>
      </c>
      <c r="HF29" s="52" t="s">
        <v>60</v>
      </c>
    </row>
    <row r="30" spans="1:214" ht="19.5" thickTop="1" thickBot="1" x14ac:dyDescent="0.25">
      <c r="A30" s="83" t="s">
        <v>228</v>
      </c>
      <c r="B30" s="183">
        <v>6.0000000000000001E-3</v>
      </c>
      <c r="C30" s="52" t="s">
        <v>388</v>
      </c>
      <c r="D30" s="353" t="s">
        <v>528</v>
      </c>
      <c r="E30" s="354"/>
      <c r="F30" s="355"/>
      <c r="G30" s="83" t="s">
        <v>381</v>
      </c>
      <c r="H30" s="150">
        <f>B55</f>
        <v>350</v>
      </c>
      <c r="I30" s="83" t="s">
        <v>24</v>
      </c>
      <c r="J30" s="83" t="s">
        <v>402</v>
      </c>
      <c r="K30" s="146">
        <f>B48</f>
        <v>128.9</v>
      </c>
      <c r="L30" s="92" t="s">
        <v>221</v>
      </c>
      <c r="M30" s="52" t="s">
        <v>299</v>
      </c>
      <c r="N30" s="138">
        <f>B61</f>
        <v>0.4</v>
      </c>
      <c r="P30" s="52" t="s">
        <v>299</v>
      </c>
      <c r="Q30" s="138">
        <f>B61</f>
        <v>0.4</v>
      </c>
      <c r="V30" s="91" t="s">
        <v>231</v>
      </c>
      <c r="W30" s="136">
        <f>B18</f>
        <v>432</v>
      </c>
      <c r="X30" s="52" t="s">
        <v>60</v>
      </c>
      <c r="Y30" s="91" t="s">
        <v>231</v>
      </c>
      <c r="Z30" s="136">
        <f>B18</f>
        <v>432</v>
      </c>
      <c r="AA30" s="52" t="s">
        <v>60</v>
      </c>
      <c r="AB30" s="83" t="s">
        <v>261</v>
      </c>
      <c r="AC30" s="144">
        <f>((AC5/(AC19*AC15*AC7*AC9*(1/AC32)*((8/1)/(24/1))*AC28))*AC27)/AC35</f>
        <v>27.735679360524689</v>
      </c>
      <c r="AD30" s="144">
        <f>((AD5/(AD19*AD15*AD7*((8/1)/(24/1))*AD9*(1/AD32)*AD28))*AD27)/AD35</f>
        <v>27.735679360524692</v>
      </c>
      <c r="AE30" s="144">
        <f>((AE5/(AE19*AE15*AE7*((8/1)/(24/1))*AE9*(1/AE32)*AE28))*AE27)/AE35</f>
        <v>30.8174215116941</v>
      </c>
      <c r="AF30" s="144">
        <f>((AF5*AF23*AF24)/((1-EXP(-AF24*AF23))*AF19*AF7*AF9*(AF12/24)*AF15*(1/AF33)*AF28))/AF35</f>
        <v>1.5835924458792699E-2</v>
      </c>
      <c r="AG30" s="144">
        <f>((AG5*AG23*AG24)/((1-EXP(-AG24*AG23))*AG19*AG7*AG9*(AG12/24)*AG15*(1/AG34)*AG28))/AG35</f>
        <v>1.4192328580728222</v>
      </c>
      <c r="AH30" s="83" t="s">
        <v>290</v>
      </c>
      <c r="AI30" s="52" t="s">
        <v>299</v>
      </c>
      <c r="AJ30" s="138">
        <f>B248</f>
        <v>0.4</v>
      </c>
      <c r="AL30" s="52" t="s">
        <v>299</v>
      </c>
      <c r="AM30" s="138">
        <f>B248</f>
        <v>0.4</v>
      </c>
      <c r="AR30" s="52" t="s">
        <v>299</v>
      </c>
      <c r="AS30" s="138">
        <f>B260</f>
        <v>0.4</v>
      </c>
      <c r="AV30" s="138"/>
      <c r="BA30" s="52" t="s">
        <v>299</v>
      </c>
      <c r="BB30" s="138">
        <f>B236</f>
        <v>0.4</v>
      </c>
      <c r="BD30" s="52" t="s">
        <v>299</v>
      </c>
      <c r="BE30" s="138">
        <f>B236</f>
        <v>0.4</v>
      </c>
      <c r="BJ30" s="52" t="s">
        <v>219</v>
      </c>
      <c r="BK30" s="138">
        <f>B277</f>
        <v>5</v>
      </c>
      <c r="BL30" s="52" t="s">
        <v>112</v>
      </c>
      <c r="BM30" s="52" t="s">
        <v>219</v>
      </c>
      <c r="BN30" s="138">
        <f>B277</f>
        <v>5</v>
      </c>
      <c r="BO30" s="52" t="s">
        <v>112</v>
      </c>
      <c r="BS30" s="91"/>
      <c r="BT30" s="97"/>
      <c r="BU30" s="91"/>
      <c r="BV30" s="91" t="s">
        <v>308</v>
      </c>
      <c r="BW30" s="146">
        <f>B101</f>
        <v>0.23</v>
      </c>
      <c r="BY30" s="94" t="s">
        <v>95</v>
      </c>
      <c r="BZ30" s="150">
        <f>B117</f>
        <v>1</v>
      </c>
      <c r="CA30" s="94" t="s">
        <v>60</v>
      </c>
      <c r="CB30" s="52" t="s">
        <v>90</v>
      </c>
      <c r="CC30" s="138">
        <f>B108</f>
        <v>1</v>
      </c>
      <c r="CD30" s="52" t="s">
        <v>194</v>
      </c>
      <c r="CE30" s="52" t="s">
        <v>90</v>
      </c>
      <c r="CF30" s="138">
        <f>B108</f>
        <v>1</v>
      </c>
      <c r="CG30" s="52" t="s">
        <v>194</v>
      </c>
      <c r="CM30" s="83"/>
      <c r="CN30" s="93" t="s">
        <v>167</v>
      </c>
      <c r="CO30" s="162">
        <f>B137</f>
        <v>1</v>
      </c>
      <c r="CP30" s="52" t="s">
        <v>41</v>
      </c>
      <c r="CQ30" s="88"/>
      <c r="CR30" s="83"/>
      <c r="CS30" s="83"/>
      <c r="CT30" s="83" t="s">
        <v>459</v>
      </c>
      <c r="CU30" s="141">
        <f>B148</f>
        <v>20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20</v>
      </c>
      <c r="DB30" s="83" t="s">
        <v>143</v>
      </c>
      <c r="DP30" s="52">
        <f>DP5/(0.000669)</f>
        <v>1.0227000029766797</v>
      </c>
      <c r="DQ30" s="52">
        <f>1/DP30</f>
        <v>0.9778038497011744</v>
      </c>
      <c r="DW30" s="88"/>
      <c r="DX30" s="88"/>
      <c r="DY30" s="88"/>
      <c r="DZ30" s="8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B83</f>
        <v>0.3</v>
      </c>
    </row>
    <row r="31" spans="1:214" x14ac:dyDescent="0.2">
      <c r="A31" s="84" t="s">
        <v>32</v>
      </c>
      <c r="B31" s="183">
        <f>0.00001914</f>
        <v>1.914E-5</v>
      </c>
      <c r="D31" s="323" t="s">
        <v>530</v>
      </c>
      <c r="E31" s="347">
        <f>E38</f>
        <v>2.2231114668089477E-3</v>
      </c>
      <c r="F31" s="345" t="s">
        <v>290</v>
      </c>
      <c r="G31" s="83" t="s">
        <v>379</v>
      </c>
      <c r="H31" s="150">
        <f>B53</f>
        <v>1</v>
      </c>
      <c r="I31" s="84" t="s">
        <v>60</v>
      </c>
      <c r="J31" s="83" t="s">
        <v>380</v>
      </c>
      <c r="K31" s="150">
        <f>B54</f>
        <v>350</v>
      </c>
      <c r="L31" s="83" t="s">
        <v>24</v>
      </c>
      <c r="M31" s="52" t="s">
        <v>300</v>
      </c>
      <c r="N31" s="138">
        <f>B62</f>
        <v>1</v>
      </c>
      <c r="P31" s="52" t="s">
        <v>300</v>
      </c>
      <c r="Q31" s="138">
        <f>B62</f>
        <v>1</v>
      </c>
      <c r="V31" s="52" t="s">
        <v>35</v>
      </c>
      <c r="W31" s="138">
        <f>B243</f>
        <v>250</v>
      </c>
      <c r="X31" s="52" t="s">
        <v>24</v>
      </c>
      <c r="Y31" s="52" t="s">
        <v>191</v>
      </c>
      <c r="Z31" s="138">
        <f>B267</f>
        <v>250</v>
      </c>
      <c r="AA31" s="52" t="s">
        <v>24</v>
      </c>
      <c r="AB31" s="83" t="s">
        <v>262</v>
      </c>
      <c r="AC31" s="145">
        <f>((AC5*AC23*AC24)/((1-EXP(-AC24*AC23))*AC18*AC7*(1/365)*AC12*(1/24)*AC14*AC17))/AC35</f>
        <v>4.3630900858170616</v>
      </c>
      <c r="AD31" s="145">
        <f>((AD5*AD23*AD24)/((1-EXP(-AD24*AD23))*AD18*AD7*(1/365)*AD12*(1/24)*AD16*AD17))/AD35</f>
        <v>10.907725214542653</v>
      </c>
      <c r="AE31" s="145">
        <f>((AE5*AE23*AE24)/((1-EXP(-AE24*AE23))*AE18*AE7*(1/365)*AE12*(1/24)*AE14*AE17))/AE35</f>
        <v>4.8478778731300682</v>
      </c>
      <c r="AF31" s="145">
        <f>((AF5*AF23*AF24)/((1-EXP(-AF24*AF23))*AF18*(AF11*AF10)*(1/365)*AF12*(1/24)*AF14*AF17))/AF35</f>
        <v>24042.640424840396</v>
      </c>
      <c r="AG31" s="145">
        <f>((AG5*AG23*AG24)/((1-EXP(-AG24*AG23))*AG18*AG7*(1/365)*AG9*(AG12/24)*AG14*AG17))/AG35</f>
        <v>24042.640424840396</v>
      </c>
      <c r="AH31" s="83" t="s">
        <v>290</v>
      </c>
      <c r="AI31" s="52" t="s">
        <v>300</v>
      </c>
      <c r="AJ31" s="138">
        <f>B235</f>
        <v>1</v>
      </c>
      <c r="AL31" s="52" t="s">
        <v>300</v>
      </c>
      <c r="AM31" s="138">
        <f>B235</f>
        <v>1</v>
      </c>
      <c r="AR31" s="52" t="s">
        <v>300</v>
      </c>
      <c r="AS31" s="138">
        <f>B259</f>
        <v>1</v>
      </c>
      <c r="AU31" s="52" t="s">
        <v>300</v>
      </c>
      <c r="AV31" s="138">
        <f>B259</f>
        <v>1</v>
      </c>
      <c r="BA31" s="52" t="s">
        <v>300</v>
      </c>
      <c r="BB31" s="138">
        <f>B235</f>
        <v>1</v>
      </c>
      <c r="BD31" s="52" t="s">
        <v>300</v>
      </c>
      <c r="BE31" s="138">
        <f>B235</f>
        <v>1</v>
      </c>
      <c r="BJ31" s="52" t="s">
        <v>158</v>
      </c>
      <c r="BK31" s="138">
        <f>B268</f>
        <v>1</v>
      </c>
      <c r="BL31" s="52" t="s">
        <v>146</v>
      </c>
      <c r="BM31" s="52" t="s">
        <v>158</v>
      </c>
      <c r="BN31" s="138">
        <f>B268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B102</f>
        <v>0.77</v>
      </c>
      <c r="BZ31" s="150">
        <v>365</v>
      </c>
      <c r="CA31" s="52" t="s">
        <v>24</v>
      </c>
      <c r="CB31" s="52" t="s">
        <v>410</v>
      </c>
      <c r="CC31" s="139">
        <f>B11</f>
        <v>2.5484199999999999E-2</v>
      </c>
      <c r="CD31" s="84" t="s">
        <v>353</v>
      </c>
      <c r="CE31" s="52" t="s">
        <v>419</v>
      </c>
      <c r="CF31" s="139">
        <f>B13</f>
        <v>3.4557999999999998E-2</v>
      </c>
      <c r="CG31" s="84" t="s">
        <v>353</v>
      </c>
      <c r="CM31" s="83"/>
      <c r="CN31" s="83" t="s">
        <v>168</v>
      </c>
      <c r="CO31" s="162">
        <f>B138</f>
        <v>1</v>
      </c>
      <c r="CP31" s="52" t="s">
        <v>41</v>
      </c>
      <c r="CQ31" s="83"/>
      <c r="CR31" s="83"/>
      <c r="CS31" s="83"/>
      <c r="CT31" s="83" t="s">
        <v>456</v>
      </c>
      <c r="CU31" s="150">
        <f>B167</f>
        <v>350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68.099999999999994</v>
      </c>
      <c r="DB31" s="83" t="s">
        <v>221</v>
      </c>
      <c r="DP31" s="237">
        <f>DP6/(9.08)</f>
        <v>1.0235756385695229</v>
      </c>
      <c r="DQ31" s="52">
        <f>1/DP31</f>
        <v>0.97696737038166459</v>
      </c>
      <c r="DW31" s="88"/>
      <c r="DX31" s="88"/>
      <c r="DY31" s="88"/>
      <c r="DZ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B84</f>
        <v>1.5</v>
      </c>
    </row>
    <row r="32" spans="1:214" ht="13.5" thickBot="1" x14ac:dyDescent="0.25">
      <c r="A32" s="52" t="s">
        <v>33</v>
      </c>
      <c r="B32" s="183">
        <v>2.1999999999999999E-5</v>
      </c>
      <c r="D32" s="324"/>
      <c r="E32" s="348"/>
      <c r="F32" s="346"/>
      <c r="G32" s="52" t="s">
        <v>403</v>
      </c>
      <c r="H32" s="138">
        <f>B57</f>
        <v>0.54</v>
      </c>
      <c r="I32" s="52" t="s">
        <v>89</v>
      </c>
      <c r="J32" s="83" t="s">
        <v>381</v>
      </c>
      <c r="K32" s="150">
        <f>B55</f>
        <v>350</v>
      </c>
      <c r="L32" s="83" t="s">
        <v>24</v>
      </c>
      <c r="M32" s="52" t="s">
        <v>54</v>
      </c>
      <c r="N32" s="138">
        <f>B63</f>
        <v>1</v>
      </c>
      <c r="P32" s="52" t="s">
        <v>54</v>
      </c>
      <c r="Q32" s="138">
        <f>B63</f>
        <v>1</v>
      </c>
      <c r="V32" s="52" t="s">
        <v>420</v>
      </c>
      <c r="W32" s="138">
        <f>B244</f>
        <v>1</v>
      </c>
      <c r="X32" s="52" t="s">
        <v>146</v>
      </c>
      <c r="Y32" s="52" t="s">
        <v>158</v>
      </c>
      <c r="Z32" s="138">
        <f>B268</f>
        <v>1</v>
      </c>
      <c r="AA32" s="52" t="s">
        <v>146</v>
      </c>
      <c r="AB32" s="83" t="s">
        <v>77</v>
      </c>
      <c r="AC32" s="136">
        <f>B19</f>
        <v>1359344473.5814338</v>
      </c>
      <c r="AD32" s="136">
        <f>B19</f>
        <v>1359344473.5814338</v>
      </c>
      <c r="AE32" s="136">
        <f>B19</f>
        <v>1359344473.5814338</v>
      </c>
      <c r="AF32" s="136"/>
      <c r="AG32" s="136"/>
      <c r="AH32" s="104" t="s">
        <v>78</v>
      </c>
      <c r="AI32" s="52" t="s">
        <v>54</v>
      </c>
      <c r="AJ32" s="138">
        <f>B249</f>
        <v>1</v>
      </c>
      <c r="AL32" s="52" t="s">
        <v>54</v>
      </c>
      <c r="AM32" s="138">
        <f>B249</f>
        <v>1</v>
      </c>
      <c r="AR32" s="52" t="s">
        <v>54</v>
      </c>
      <c r="AS32" s="138">
        <f>B261</f>
        <v>1</v>
      </c>
      <c r="AU32" s="52" t="s">
        <v>54</v>
      </c>
      <c r="AV32" s="138">
        <f>B261</f>
        <v>1</v>
      </c>
      <c r="BA32" s="52" t="s">
        <v>54</v>
      </c>
      <c r="BB32" s="138">
        <f>B237</f>
        <v>1</v>
      </c>
      <c r="BD32" s="52" t="s">
        <v>54</v>
      </c>
      <c r="BE32" s="138">
        <f>B237</f>
        <v>1</v>
      </c>
      <c r="BJ32" s="52" t="s">
        <v>300</v>
      </c>
      <c r="BK32" s="136">
        <f>B281</f>
        <v>1.5699999999999999E-5</v>
      </c>
      <c r="BM32" s="52" t="s">
        <v>300</v>
      </c>
      <c r="BN32" s="136">
        <f>B285</f>
        <v>1.35E-4</v>
      </c>
      <c r="BS32" s="91"/>
      <c r="BT32" s="99"/>
      <c r="BU32" s="100"/>
      <c r="BV32" s="95" t="s">
        <v>287</v>
      </c>
      <c r="BW32" s="176">
        <v>27.027027027027</v>
      </c>
      <c r="BX32" s="52" t="s">
        <v>288</v>
      </c>
      <c r="BZ32" s="138">
        <v>1000</v>
      </c>
      <c r="CA32" s="52" t="s">
        <v>99</v>
      </c>
      <c r="CB32" s="95" t="s">
        <v>287</v>
      </c>
      <c r="CC32" s="176">
        <v>27.027027027027</v>
      </c>
      <c r="CD32" s="52" t="s">
        <v>288</v>
      </c>
      <c r="CE32" s="95" t="s">
        <v>287</v>
      </c>
      <c r="CF32" s="176">
        <v>27.027027027027</v>
      </c>
      <c r="CG32" s="52" t="s">
        <v>288</v>
      </c>
      <c r="CM32" s="83"/>
      <c r="CN32" s="83" t="s">
        <v>22</v>
      </c>
      <c r="CO32" s="137">
        <f>0.693/CO33</f>
        <v>1.6041666666666665E-3</v>
      </c>
      <c r="CR32" s="83"/>
      <c r="CS32" s="83"/>
      <c r="CT32" s="83" t="s">
        <v>465</v>
      </c>
      <c r="CU32" s="150">
        <f>B168</f>
        <v>350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176.8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3.15" customHeight="1" thickTop="1" x14ac:dyDescent="0.2">
      <c r="A33" s="83" t="s">
        <v>156</v>
      </c>
      <c r="B33" s="182">
        <v>4</v>
      </c>
      <c r="C33" s="83" t="s">
        <v>18</v>
      </c>
      <c r="D33" s="83" t="s">
        <v>267</v>
      </c>
      <c r="E33" s="136">
        <f>B5</f>
        <v>1</v>
      </c>
      <c r="F33" s="52" t="s">
        <v>344</v>
      </c>
      <c r="G33" s="52" t="s">
        <v>404</v>
      </c>
      <c r="H33" s="138">
        <f>B58</f>
        <v>0.71</v>
      </c>
      <c r="I33" s="52" t="s">
        <v>89</v>
      </c>
      <c r="J33" s="83" t="s">
        <v>379</v>
      </c>
      <c r="K33" s="141">
        <f>B53</f>
        <v>1</v>
      </c>
      <c r="L33" s="92" t="s">
        <v>60</v>
      </c>
      <c r="M33" s="52" t="s">
        <v>408</v>
      </c>
      <c r="N33" s="150">
        <f>B78</f>
        <v>1.752</v>
      </c>
      <c r="O33" s="52" t="s">
        <v>194</v>
      </c>
      <c r="P33" s="52" t="s">
        <v>408</v>
      </c>
      <c r="Q33" s="150">
        <f>B78</f>
        <v>1.752</v>
      </c>
      <c r="R33" s="52" t="s">
        <v>194</v>
      </c>
      <c r="V33" s="52" t="s">
        <v>247</v>
      </c>
      <c r="W33" s="139">
        <f>B6</f>
        <v>0.36297000000000001</v>
      </c>
      <c r="X33" s="84" t="s">
        <v>39</v>
      </c>
      <c r="Y33" s="52" t="s">
        <v>247</v>
      </c>
      <c r="Z33" s="139">
        <f>B6</f>
        <v>0.36297000000000001</v>
      </c>
      <c r="AA33" s="84" t="s">
        <v>39</v>
      </c>
      <c r="AB33" s="104" t="s">
        <v>103</v>
      </c>
      <c r="AC33" s="136"/>
      <c r="AD33" s="136"/>
      <c r="AE33" s="136"/>
      <c r="AF33" s="157">
        <f>B20</f>
        <v>776129.4078035407</v>
      </c>
      <c r="AG33" s="136"/>
      <c r="AH33" s="104" t="s">
        <v>78</v>
      </c>
      <c r="AI33" s="52" t="s">
        <v>57</v>
      </c>
      <c r="AJ33" s="136">
        <f>B250</f>
        <v>0</v>
      </c>
      <c r="AK33" s="52" t="s">
        <v>194</v>
      </c>
      <c r="AL33" s="52" t="s">
        <v>57</v>
      </c>
      <c r="AM33" s="136">
        <f>B250</f>
        <v>0</v>
      </c>
      <c r="AN33" s="52" t="s">
        <v>194</v>
      </c>
      <c r="AR33" s="52" t="s">
        <v>57</v>
      </c>
      <c r="AS33" s="136">
        <f>B262</f>
        <v>8</v>
      </c>
      <c r="AT33" s="52" t="s">
        <v>194</v>
      </c>
      <c r="AU33" s="52" t="s">
        <v>57</v>
      </c>
      <c r="AV33" s="136">
        <f>B262</f>
        <v>8</v>
      </c>
      <c r="AW33" s="52" t="s">
        <v>194</v>
      </c>
      <c r="BA33" s="52" t="s">
        <v>58</v>
      </c>
      <c r="BB33" s="136">
        <f>B238</f>
        <v>8</v>
      </c>
      <c r="BC33" s="52" t="s">
        <v>194</v>
      </c>
      <c r="BD33" s="52" t="s">
        <v>57</v>
      </c>
      <c r="BE33" s="136">
        <f>B238</f>
        <v>8</v>
      </c>
      <c r="BF33" s="52" t="s">
        <v>194</v>
      </c>
      <c r="BJ33" s="52" t="s">
        <v>411</v>
      </c>
      <c r="BK33" s="136">
        <f>B282</f>
        <v>0.80900000000000005</v>
      </c>
      <c r="BM33" s="52" t="s">
        <v>418</v>
      </c>
      <c r="BN33" s="136">
        <f>B286</f>
        <v>0.71099999999999997</v>
      </c>
      <c r="BS33" s="91"/>
      <c r="BT33" s="99"/>
      <c r="BU33" s="100"/>
      <c r="BW33" s="90"/>
      <c r="BZ33" s="146">
        <v>1000</v>
      </c>
      <c r="CA33" s="52" t="s">
        <v>23</v>
      </c>
      <c r="CM33" s="83"/>
      <c r="CN33" s="91" t="s">
        <v>231</v>
      </c>
      <c r="CO33" s="136">
        <f>B18</f>
        <v>432</v>
      </c>
      <c r="CP33" s="52" t="s">
        <v>60</v>
      </c>
      <c r="CR33" s="83"/>
      <c r="CS33" s="83"/>
      <c r="CT33" s="83" t="s">
        <v>363</v>
      </c>
      <c r="CU33" s="141">
        <f t="shared" ref="CU33:CU42" si="1">B170</f>
        <v>1</v>
      </c>
      <c r="CV33" s="92" t="s">
        <v>60</v>
      </c>
      <c r="CZ33" s="92" t="s">
        <v>513</v>
      </c>
      <c r="DA33" s="141">
        <f t="shared" si="0"/>
        <v>41.7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B82</f>
        <v>70</v>
      </c>
    </row>
    <row r="34" spans="1:214" x14ac:dyDescent="0.2">
      <c r="A34" s="84" t="s">
        <v>21</v>
      </c>
      <c r="B34" s="226">
        <f>15/27.027</f>
        <v>0.55500055500055501</v>
      </c>
      <c r="C34" s="52" t="s">
        <v>291</v>
      </c>
      <c r="D34" s="83" t="s">
        <v>382</v>
      </c>
      <c r="E34" s="150">
        <f>B56</f>
        <v>350</v>
      </c>
      <c r="F34" s="83" t="s">
        <v>24</v>
      </c>
      <c r="G34" s="83" t="s">
        <v>383</v>
      </c>
      <c r="H34" s="150">
        <f>B59</f>
        <v>24</v>
      </c>
      <c r="I34" s="94" t="s">
        <v>194</v>
      </c>
      <c r="J34" s="83" t="s">
        <v>383</v>
      </c>
      <c r="K34" s="150">
        <f>B59</f>
        <v>24</v>
      </c>
      <c r="L34" s="94" t="s">
        <v>194</v>
      </c>
      <c r="M34" s="52" t="s">
        <v>410</v>
      </c>
      <c r="N34" s="139">
        <f>B11</f>
        <v>2.5484199999999999E-2</v>
      </c>
      <c r="O34" s="84" t="s">
        <v>354</v>
      </c>
      <c r="P34" s="52" t="s">
        <v>419</v>
      </c>
      <c r="Q34" s="139">
        <f>B13</f>
        <v>3.4557999999999998E-2</v>
      </c>
      <c r="R34" s="84" t="s">
        <v>353</v>
      </c>
      <c r="V34" s="52" t="s">
        <v>421</v>
      </c>
      <c r="W34" s="150">
        <f>B251</f>
        <v>8</v>
      </c>
      <c r="X34" s="84" t="s">
        <v>194</v>
      </c>
      <c r="Y34" s="52" t="s">
        <v>192</v>
      </c>
      <c r="Z34" s="150">
        <f>B274</f>
        <v>8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B21</f>
        <v>69557565.807898715</v>
      </c>
      <c r="AH34" s="104" t="s">
        <v>78</v>
      </c>
      <c r="AI34" s="52" t="s">
        <v>410</v>
      </c>
      <c r="AJ34" s="139">
        <f>B11</f>
        <v>2.5484199999999999E-2</v>
      </c>
      <c r="AK34" s="84" t="s">
        <v>353</v>
      </c>
      <c r="AL34" s="52" t="s">
        <v>419</v>
      </c>
      <c r="AM34" s="139">
        <f>B13</f>
        <v>3.4557999999999998E-2</v>
      </c>
      <c r="AN34" s="84" t="s">
        <v>353</v>
      </c>
      <c r="AR34" s="52" t="s">
        <v>410</v>
      </c>
      <c r="AS34" s="139">
        <f>B11</f>
        <v>2.5484199999999999E-2</v>
      </c>
      <c r="AT34" s="84" t="s">
        <v>353</v>
      </c>
      <c r="AU34" s="52" t="s">
        <v>419</v>
      </c>
      <c r="AV34" s="139">
        <f>B13</f>
        <v>3.4557999999999998E-2</v>
      </c>
      <c r="AW34" s="84" t="s">
        <v>353</v>
      </c>
      <c r="BA34" s="52" t="s">
        <v>410</v>
      </c>
      <c r="BB34" s="139">
        <f>B11</f>
        <v>2.5484199999999999E-2</v>
      </c>
      <c r="BC34" s="84" t="s">
        <v>353</v>
      </c>
      <c r="BD34" s="52" t="s">
        <v>419</v>
      </c>
      <c r="BE34" s="139">
        <f>B13</f>
        <v>3.4557999999999998E-2</v>
      </c>
      <c r="BF34" s="84" t="s">
        <v>353</v>
      </c>
      <c r="BJ34" s="52" t="s">
        <v>57</v>
      </c>
      <c r="BK34" s="136">
        <f>B274</f>
        <v>8</v>
      </c>
      <c r="BL34" s="52" t="s">
        <v>194</v>
      </c>
      <c r="BM34" s="52" t="s">
        <v>57</v>
      </c>
      <c r="BN34" s="136">
        <f>B274</f>
        <v>8</v>
      </c>
      <c r="BO34" s="52" t="s">
        <v>194</v>
      </c>
      <c r="BT34" s="102"/>
      <c r="BU34" s="91"/>
      <c r="BY34" s="91" t="s">
        <v>308</v>
      </c>
      <c r="BZ34" s="146">
        <f>B101</f>
        <v>0.23</v>
      </c>
      <c r="CM34" s="83"/>
      <c r="CN34" s="84" t="s">
        <v>16</v>
      </c>
      <c r="CO34" s="137">
        <f>(CO31*CO32)/(1-EXP(-CO32*CO31))</f>
        <v>1.0008022977791844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125.7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B33</f>
        <v>4</v>
      </c>
    </row>
    <row r="35" spans="1:214" ht="13.15" customHeight="1" x14ac:dyDescent="0.2">
      <c r="A35" s="52" t="s">
        <v>393</v>
      </c>
      <c r="B35" s="131">
        <v>0.26</v>
      </c>
      <c r="D35" s="83" t="s">
        <v>258</v>
      </c>
      <c r="E35" s="136">
        <f>B17</f>
        <v>8.8060000000000005E-4</v>
      </c>
      <c r="F35" s="83" t="s">
        <v>87</v>
      </c>
      <c r="G35" s="83" t="s">
        <v>384</v>
      </c>
      <c r="H35" s="150">
        <f>B59</f>
        <v>24</v>
      </c>
      <c r="I35" s="52" t="s">
        <v>194</v>
      </c>
      <c r="J35" s="83" t="s">
        <v>384</v>
      </c>
      <c r="K35" s="150">
        <f>B59</f>
        <v>24</v>
      </c>
      <c r="L35" s="52" t="s">
        <v>194</v>
      </c>
      <c r="M35" s="52" t="s">
        <v>409</v>
      </c>
      <c r="N35" s="150">
        <f>B79</f>
        <v>16.416</v>
      </c>
      <c r="O35" s="52" t="s">
        <v>194</v>
      </c>
      <c r="P35" s="52" t="s">
        <v>409</v>
      </c>
      <c r="Q35" s="150">
        <f>B79</f>
        <v>16.416</v>
      </c>
      <c r="R35" s="52" t="s">
        <v>194</v>
      </c>
      <c r="V35" s="52" t="s">
        <v>304</v>
      </c>
      <c r="W35" s="146">
        <f>B242</f>
        <v>60</v>
      </c>
      <c r="X35" s="84" t="s">
        <v>407</v>
      </c>
      <c r="Y35" s="52" t="s">
        <v>348</v>
      </c>
      <c r="Z35" s="146">
        <f>B266</f>
        <v>60</v>
      </c>
      <c r="AA35" s="84" t="s">
        <v>407</v>
      </c>
      <c r="AB35" s="95" t="s">
        <v>287</v>
      </c>
      <c r="AC35" s="176">
        <v>27.027027027027</v>
      </c>
      <c r="AD35" s="176">
        <v>27.027027027027</v>
      </c>
      <c r="AE35" s="176">
        <v>27.027027027027</v>
      </c>
      <c r="AF35" s="176">
        <v>27.027027027027</v>
      </c>
      <c r="AG35" s="176">
        <v>27.027027027027</v>
      </c>
      <c r="AH35" s="52" t="s">
        <v>288</v>
      </c>
      <c r="AI35" s="52" t="s">
        <v>69</v>
      </c>
      <c r="AJ35" s="136">
        <f>B251</f>
        <v>8</v>
      </c>
      <c r="AK35" s="52" t="s">
        <v>194</v>
      </c>
      <c r="AL35" s="52" t="s">
        <v>69</v>
      </c>
      <c r="AM35" s="136">
        <f>B251</f>
        <v>8</v>
      </c>
      <c r="AN35" s="52" t="s">
        <v>194</v>
      </c>
      <c r="AR35" s="52" t="s">
        <v>69</v>
      </c>
      <c r="AS35" s="136">
        <f>B263</f>
        <v>0</v>
      </c>
      <c r="AT35" s="52" t="s">
        <v>194</v>
      </c>
      <c r="AU35" s="52" t="s">
        <v>69</v>
      </c>
      <c r="AV35" s="136">
        <f>B263</f>
        <v>0</v>
      </c>
      <c r="AW35" s="52" t="s">
        <v>194</v>
      </c>
      <c r="BA35" s="52" t="s">
        <v>69</v>
      </c>
      <c r="BB35" s="136">
        <f>B239</f>
        <v>8</v>
      </c>
      <c r="BC35" s="52" t="s">
        <v>194</v>
      </c>
      <c r="BD35" s="52" t="s">
        <v>69</v>
      </c>
      <c r="BE35" s="136">
        <f>B239</f>
        <v>8</v>
      </c>
      <c r="BF35" s="52" t="s">
        <v>194</v>
      </c>
      <c r="BJ35" s="52" t="s">
        <v>410</v>
      </c>
      <c r="BK35" s="139">
        <f>B11</f>
        <v>2.5484199999999999E-2</v>
      </c>
      <c r="BL35" s="84" t="s">
        <v>353</v>
      </c>
      <c r="BM35" s="52" t="s">
        <v>419</v>
      </c>
      <c r="BN35" s="139">
        <f>B13</f>
        <v>3.4557999999999998E-2</v>
      </c>
      <c r="BO35" s="84" t="s">
        <v>353</v>
      </c>
      <c r="BY35" s="91" t="s">
        <v>309</v>
      </c>
      <c r="BZ35" s="146">
        <f>B102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B167</f>
        <v>350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B65</f>
        <v>0.5</v>
      </c>
      <c r="HF35" s="52" t="s">
        <v>355</v>
      </c>
    </row>
    <row r="36" spans="1:214" x14ac:dyDescent="0.2">
      <c r="A36" s="52" t="s">
        <v>392</v>
      </c>
      <c r="B36" s="131">
        <v>0.25</v>
      </c>
      <c r="D36" s="83" t="s">
        <v>389</v>
      </c>
      <c r="E36" s="146">
        <f>B80</f>
        <v>1</v>
      </c>
      <c r="G36" s="83" t="s">
        <v>405</v>
      </c>
      <c r="H36" s="138">
        <f>B66</f>
        <v>1</v>
      </c>
      <c r="I36" s="52" t="s">
        <v>80</v>
      </c>
      <c r="J36" s="83" t="s">
        <v>390</v>
      </c>
      <c r="K36" s="141">
        <f>B68</f>
        <v>0.25</v>
      </c>
      <c r="M36" s="95" t="s">
        <v>287</v>
      </c>
      <c r="N36" s="176">
        <v>27.027027027027</v>
      </c>
      <c r="O36" s="52" t="s">
        <v>602</v>
      </c>
      <c r="P36" s="95" t="s">
        <v>287</v>
      </c>
      <c r="Q36" s="176">
        <v>27.027027027027</v>
      </c>
      <c r="R36" s="52" t="s">
        <v>602</v>
      </c>
      <c r="V36" s="83" t="s">
        <v>256</v>
      </c>
      <c r="W36" s="136">
        <f>B15</f>
        <v>125.5296</v>
      </c>
      <c r="X36" s="83" t="s">
        <v>343</v>
      </c>
      <c r="Y36" s="83" t="s">
        <v>256</v>
      </c>
      <c r="Z36" s="136">
        <f>B15</f>
        <v>125.5296</v>
      </c>
      <c r="AA36" s="83" t="s">
        <v>343</v>
      </c>
      <c r="AE36" s="352" t="s">
        <v>226</v>
      </c>
      <c r="AF36" s="352"/>
      <c r="AG36" s="352"/>
      <c r="AI36" s="95" t="s">
        <v>287</v>
      </c>
      <c r="AJ36" s="176">
        <v>27.027027027027</v>
      </c>
      <c r="AK36" s="52" t="s">
        <v>288</v>
      </c>
      <c r="AL36" s="95" t="s">
        <v>287</v>
      </c>
      <c r="AM36" s="176">
        <v>27.027027027027</v>
      </c>
      <c r="AN36" s="52" t="s">
        <v>288</v>
      </c>
      <c r="AR36" s="95" t="s">
        <v>287</v>
      </c>
      <c r="AS36" s="176">
        <v>27.027027027027</v>
      </c>
      <c r="AT36" s="52" t="s">
        <v>288</v>
      </c>
      <c r="AU36" s="95" t="s">
        <v>287</v>
      </c>
      <c r="AV36" s="176">
        <v>27.027027027027</v>
      </c>
      <c r="AW36" s="52" t="s">
        <v>288</v>
      </c>
      <c r="BA36" s="95" t="s">
        <v>287</v>
      </c>
      <c r="BB36" s="176">
        <v>27.027027027027</v>
      </c>
      <c r="BC36" s="52" t="s">
        <v>288</v>
      </c>
      <c r="BD36" s="95" t="s">
        <v>287</v>
      </c>
      <c r="BE36" s="176">
        <v>27.027027027027</v>
      </c>
      <c r="BF36" s="52" t="s">
        <v>288</v>
      </c>
      <c r="BJ36" s="95" t="s">
        <v>287</v>
      </c>
      <c r="BK36" s="176">
        <v>27.027027027027</v>
      </c>
      <c r="BL36" s="52" t="s">
        <v>288</v>
      </c>
      <c r="BM36" s="95" t="s">
        <v>287</v>
      </c>
      <c r="BN36" s="176">
        <v>27.027027027027</v>
      </c>
      <c r="BO36" s="52" t="s">
        <v>288</v>
      </c>
      <c r="BS36" s="100"/>
      <c r="BT36" s="100"/>
      <c r="BU36" s="91"/>
      <c r="BY36" s="95" t="s">
        <v>287</v>
      </c>
      <c r="BZ36" s="176">
        <v>27.027027027027</v>
      </c>
      <c r="CA36" s="52" t="s">
        <v>288</v>
      </c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B168</f>
        <v>350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B87</f>
        <v>5</v>
      </c>
      <c r="HF36" s="52" t="s">
        <v>94</v>
      </c>
    </row>
    <row r="37" spans="1:214" x14ac:dyDescent="0.2">
      <c r="A37" s="381" t="s">
        <v>2</v>
      </c>
      <c r="B37" s="382"/>
      <c r="C37" s="383"/>
      <c r="D37" s="83" t="s">
        <v>394</v>
      </c>
      <c r="E37" s="146">
        <f>B44</f>
        <v>54</v>
      </c>
      <c r="F37" s="52" t="s">
        <v>48</v>
      </c>
      <c r="G37" s="83" t="s">
        <v>406</v>
      </c>
      <c r="H37" s="138">
        <f>B67</f>
        <v>1</v>
      </c>
      <c r="I37" s="52" t="s">
        <v>80</v>
      </c>
      <c r="J37" s="83" t="s">
        <v>408</v>
      </c>
      <c r="K37" s="150">
        <f>B78</f>
        <v>1.752</v>
      </c>
      <c r="L37" s="84" t="s">
        <v>194</v>
      </c>
      <c r="V37" s="83" t="s">
        <v>301</v>
      </c>
      <c r="W37" s="142">
        <f>B246</f>
        <v>1</v>
      </c>
      <c r="Y37" s="83" t="s">
        <v>301</v>
      </c>
      <c r="Z37" s="142">
        <f>B270</f>
        <v>1</v>
      </c>
      <c r="AE37" s="352"/>
      <c r="AF37" s="352"/>
      <c r="AG37" s="352"/>
      <c r="BS37" s="91"/>
      <c r="BT37" s="91"/>
      <c r="BU37" s="91"/>
      <c r="BZ37" s="90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12.167999999999999</v>
      </c>
      <c r="CV37" s="84" t="s">
        <v>194</v>
      </c>
      <c r="CZ37" s="92" t="s">
        <v>363</v>
      </c>
      <c r="DA37" s="141">
        <f>B170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4.25" customHeight="1" x14ac:dyDescent="0.2">
      <c r="A38" s="83" t="s">
        <v>366</v>
      </c>
      <c r="B38" s="130">
        <v>10</v>
      </c>
      <c r="C38" s="92" t="s">
        <v>407</v>
      </c>
      <c r="D38" s="83" t="s">
        <v>260</v>
      </c>
      <c r="E38" s="152">
        <f>(E33/(E35*E34*E37*E36))/E39</f>
        <v>2.2231114668089477E-3</v>
      </c>
      <c r="F38" s="84" t="s">
        <v>290</v>
      </c>
      <c r="H38" s="138">
        <f>1/1000</f>
        <v>1E-3</v>
      </c>
      <c r="I38" s="52" t="s">
        <v>82</v>
      </c>
      <c r="J38" s="83" t="s">
        <v>409</v>
      </c>
      <c r="K38" s="150">
        <f>B79</f>
        <v>16.416</v>
      </c>
      <c r="L38" s="84" t="s">
        <v>194</v>
      </c>
      <c r="V38" s="52" t="s">
        <v>261</v>
      </c>
      <c r="W38" s="143">
        <f>((W27)/((W34/24)*W31*W32*W33*W35))/W42</f>
        <v>2.0387359836901144E-5</v>
      </c>
      <c r="X38" s="52" t="s">
        <v>15</v>
      </c>
      <c r="Y38" s="52" t="s">
        <v>261</v>
      </c>
      <c r="Z38" s="143">
        <f>((Z27)/((Z34/24)*Z31*Z32*Z33*Z35))/Z42</f>
        <v>1.1020194506433041E-5</v>
      </c>
      <c r="AA38" s="52" t="s">
        <v>15</v>
      </c>
      <c r="AE38" s="352"/>
      <c r="AF38" s="352"/>
      <c r="AG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10.007999999999999</v>
      </c>
      <c r="CV38" s="84" t="s">
        <v>194</v>
      </c>
      <c r="CZ38" s="92" t="s">
        <v>364</v>
      </c>
      <c r="DA38" s="141">
        <f>B171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B88</f>
        <v>0.18</v>
      </c>
      <c r="HF38" s="52" t="s">
        <v>355</v>
      </c>
    </row>
    <row r="39" spans="1:214" ht="15" customHeight="1" x14ac:dyDescent="0.2">
      <c r="A39" s="83" t="s">
        <v>367</v>
      </c>
      <c r="B39" s="130">
        <v>20</v>
      </c>
      <c r="C39" s="92" t="s">
        <v>407</v>
      </c>
      <c r="D39" s="95" t="s">
        <v>287</v>
      </c>
      <c r="E39" s="176">
        <v>27.027027027027</v>
      </c>
      <c r="F39" s="52" t="s">
        <v>602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((W27)/((W34/24)*W31*W36*(1/365)))/W42</f>
        <v>1.291010247782198E-3</v>
      </c>
      <c r="X39" s="52" t="s">
        <v>15</v>
      </c>
      <c r="Y39" s="52" t="s">
        <v>271</v>
      </c>
      <c r="Z39" s="144">
        <f>((Z27)/((Z34/24)*Z31*Z36*(1/365)))/Z42</f>
        <v>6.9784337717956576E-4</v>
      </c>
      <c r="AA39" s="52" t="s">
        <v>15</v>
      </c>
      <c r="BK39" s="352" t="s">
        <v>230</v>
      </c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B172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B89</f>
        <v>55</v>
      </c>
      <c r="HF39" s="52" t="s">
        <v>97</v>
      </c>
    </row>
    <row r="40" spans="1:214" ht="15" customHeight="1" x14ac:dyDescent="0.2">
      <c r="A40" s="83" t="s">
        <v>368</v>
      </c>
      <c r="B40" s="130">
        <v>200</v>
      </c>
      <c r="C40" s="84" t="s">
        <v>48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((W27*W29*W28)/((W34/24)*(1-EXP(-W29*W32))*W33*W35*W31*W32))/W42</f>
        <v>2.0403716570421721E-5</v>
      </c>
      <c r="X40" s="52" t="s">
        <v>16</v>
      </c>
      <c r="Y40" s="52" t="s">
        <v>261</v>
      </c>
      <c r="Z40" s="144">
        <f>((Z27*Z29*Z28)/((Z34/24)*(1-EXP(-Z29*Z32))*Z33*Z35*Z31*Z32))/Z42</f>
        <v>1.1029035984011729E-5</v>
      </c>
      <c r="AA40" s="52" t="s">
        <v>16</v>
      </c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0.4</v>
      </c>
      <c r="CZ40" s="92" t="s">
        <v>457</v>
      </c>
      <c r="DA40" s="141">
        <f>B181</f>
        <v>1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B90</f>
        <v>5</v>
      </c>
      <c r="HF40" s="52" t="s">
        <v>97</v>
      </c>
    </row>
    <row r="41" spans="1:214" ht="13.5" thickBot="1" x14ac:dyDescent="0.25">
      <c r="A41" s="83" t="s">
        <v>369</v>
      </c>
      <c r="B41" s="130">
        <v>100</v>
      </c>
      <c r="C41" s="84" t="s">
        <v>48</v>
      </c>
      <c r="E41" s="138"/>
      <c r="G41" s="83" t="s">
        <v>390</v>
      </c>
      <c r="H41" s="141">
        <f>B68</f>
        <v>0.25</v>
      </c>
      <c r="I41" s="84"/>
      <c r="J41" s="83" t="s">
        <v>302</v>
      </c>
      <c r="K41" s="141">
        <v>1</v>
      </c>
      <c r="V41" s="52" t="s">
        <v>271</v>
      </c>
      <c r="W41" s="145">
        <f>((W27*W29*W28)/((W34/24)*(1-EXP(-W29*W28))*W36*W31*(1/365)))/W42</f>
        <v>1.2920460224368976E-3</v>
      </c>
      <c r="X41" s="52" t="s">
        <v>16</v>
      </c>
      <c r="Y41" s="52" t="s">
        <v>271</v>
      </c>
      <c r="Z41" s="145">
        <f>((Z27*Z29*Z28)/((Z34/24)*(1-EXP(-Z29*Z28))*Z36*Z31*(1/365)))/Z42</f>
        <v>6.9840325537129529E-4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41">
        <f t="shared" si="1"/>
        <v>1</v>
      </c>
      <c r="CZ41" s="92" t="s">
        <v>466</v>
      </c>
      <c r="DA41" s="141">
        <f>B182</f>
        <v>1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B91</f>
        <v>5</v>
      </c>
      <c r="HF41" s="52" t="s">
        <v>97</v>
      </c>
    </row>
    <row r="42" spans="1:214" ht="13.9" customHeight="1" thickTop="1" thickBot="1" x14ac:dyDescent="0.25">
      <c r="A42" s="83" t="s">
        <v>370</v>
      </c>
      <c r="B42" s="130">
        <v>0.78</v>
      </c>
      <c r="C42" s="83" t="s">
        <v>28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41">
        <v>1</v>
      </c>
      <c r="V42" s="95" t="s">
        <v>287</v>
      </c>
      <c r="W42" s="176">
        <v>27.027027027027</v>
      </c>
      <c r="X42" s="52" t="s">
        <v>288</v>
      </c>
      <c r="Y42" s="52" t="s">
        <v>220</v>
      </c>
      <c r="Z42" s="138">
        <f>B278</f>
        <v>50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41">
        <f t="shared" si="1"/>
        <v>1</v>
      </c>
      <c r="CW42" s="84"/>
      <c r="CX42" s="84"/>
      <c r="CY42" s="84"/>
      <c r="CZ42" s="52" t="s">
        <v>477</v>
      </c>
      <c r="DA42" s="141">
        <f>B183</f>
        <v>0.54</v>
      </c>
      <c r="DB42" s="92" t="s">
        <v>358</v>
      </c>
      <c r="DW42" s="88"/>
      <c r="DX42" s="88"/>
      <c r="DY42" s="88"/>
      <c r="DZ42" s="88"/>
      <c r="HD42" s="52" t="s">
        <v>225</v>
      </c>
      <c r="HE42" s="138">
        <f>1+((HE35*HE36*HE37)/(HE38*HE39))</f>
        <v>3.1605966718331597</v>
      </c>
    </row>
    <row r="43" spans="1:214" ht="13.15" customHeight="1" x14ac:dyDescent="0.2">
      <c r="A43" s="83" t="s">
        <v>371</v>
      </c>
      <c r="B43" s="130">
        <v>2.5</v>
      </c>
      <c r="C43" s="52" t="s">
        <v>28</v>
      </c>
      <c r="D43" s="323" t="s">
        <v>530</v>
      </c>
      <c r="E43" s="347">
        <f>E53</f>
        <v>9.2629644450372816E-3</v>
      </c>
      <c r="F43" s="345" t="s">
        <v>291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Y43" s="52" t="s">
        <v>219</v>
      </c>
      <c r="Z43" s="138">
        <f>B277</f>
        <v>5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B184</f>
        <v>0.71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83" t="s">
        <v>310</v>
      </c>
      <c r="B44" s="130">
        <v>54</v>
      </c>
      <c r="C44" s="52" t="s">
        <v>48</v>
      </c>
      <c r="D44" s="324"/>
      <c r="E44" s="348"/>
      <c r="F44" s="346"/>
      <c r="G44" s="52" t="s">
        <v>19</v>
      </c>
      <c r="H44" s="136">
        <f>H46</f>
        <v>1.914E-5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2.75" customHeight="1" thickTop="1" x14ac:dyDescent="0.2">
      <c r="A45" s="83" t="s">
        <v>372</v>
      </c>
      <c r="B45" s="130">
        <v>68.099999999999994</v>
      </c>
      <c r="C45" s="92" t="s">
        <v>221</v>
      </c>
      <c r="D45" s="83" t="s">
        <v>267</v>
      </c>
      <c r="E45" s="136">
        <f>B5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Y45" s="95" t="s">
        <v>287</v>
      </c>
      <c r="Z45" s="176">
        <v>27.027027027027</v>
      </c>
      <c r="AA45" s="52" t="s">
        <v>288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B185</f>
        <v>0.5</v>
      </c>
      <c r="DB45" s="92" t="s">
        <v>145</v>
      </c>
      <c r="DW45" s="88"/>
      <c r="DX45" s="88"/>
      <c r="DY45" s="88"/>
      <c r="DZ45" s="88"/>
    </row>
    <row r="46" spans="1:214" x14ac:dyDescent="0.2">
      <c r="A46" s="83" t="s">
        <v>373</v>
      </c>
      <c r="B46" s="130">
        <v>188.5</v>
      </c>
      <c r="C46" s="92" t="s">
        <v>221</v>
      </c>
      <c r="D46" s="83" t="s">
        <v>382</v>
      </c>
      <c r="E46" s="150">
        <f>B56</f>
        <v>350</v>
      </c>
      <c r="F46" s="83" t="s">
        <v>24</v>
      </c>
      <c r="G46" s="84" t="s">
        <v>32</v>
      </c>
      <c r="H46" s="139">
        <f>B31</f>
        <v>1.914E-5</v>
      </c>
      <c r="K46" s="146">
        <v>1000</v>
      </c>
      <c r="L46" s="52" t="s">
        <v>23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83" t="s">
        <v>374</v>
      </c>
      <c r="B47" s="130">
        <v>41.7</v>
      </c>
      <c r="C47" s="92" t="s">
        <v>221</v>
      </c>
      <c r="D47" s="83" t="s">
        <v>258</v>
      </c>
      <c r="E47" s="136">
        <f>B17</f>
        <v>8.8060000000000005E-4</v>
      </c>
      <c r="F47" s="83" t="s">
        <v>87</v>
      </c>
      <c r="G47" s="83" t="s">
        <v>393</v>
      </c>
      <c r="H47" s="142">
        <f>B35</f>
        <v>0.26</v>
      </c>
      <c r="J47" s="52" t="s">
        <v>19</v>
      </c>
      <c r="K47" s="136">
        <f>K49</f>
        <v>1.914E-5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B165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83" t="s">
        <v>375</v>
      </c>
      <c r="B48" s="130">
        <v>128.9</v>
      </c>
      <c r="C48" s="92" t="s">
        <v>221</v>
      </c>
      <c r="D48" s="83" t="s">
        <v>379</v>
      </c>
      <c r="E48" s="146">
        <f>B53</f>
        <v>1</v>
      </c>
      <c r="F48" s="52" t="s">
        <v>60</v>
      </c>
      <c r="G48" s="52" t="s">
        <v>17</v>
      </c>
      <c r="H48" s="137">
        <f>((H51*H52*H53)*((1-EXP(-H54*H55))))/(H56*H54)</f>
        <v>6.6877504027585484E-4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B166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ht="12.75" customHeight="1" x14ac:dyDescent="0.2">
      <c r="A49" s="83" t="s">
        <v>376</v>
      </c>
      <c r="B49" s="130">
        <v>0.23</v>
      </c>
      <c r="D49" s="83" t="s">
        <v>394</v>
      </c>
      <c r="E49" s="146">
        <f>B44</f>
        <v>54</v>
      </c>
      <c r="F49" s="52" t="s">
        <v>48</v>
      </c>
      <c r="G49" s="52" t="s">
        <v>25</v>
      </c>
      <c r="H49" s="137">
        <f>(H51*H52*H57*((1-EXP(-H54*H55))))/(H56*H54)</f>
        <v>9.0847184154504852</v>
      </c>
      <c r="I49" s="52" t="s">
        <v>18</v>
      </c>
      <c r="J49" s="84" t="s">
        <v>32</v>
      </c>
      <c r="K49" s="139">
        <f>B31</f>
        <v>1.914E-5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T49" s="95" t="s">
        <v>287</v>
      </c>
      <c r="CU49" s="176">
        <v>27.027027027027</v>
      </c>
      <c r="CV49" s="52" t="s">
        <v>288</v>
      </c>
      <c r="CZ49" s="83" t="s">
        <v>475</v>
      </c>
      <c r="DA49" s="146">
        <f>B165</f>
        <v>0.15</v>
      </c>
      <c r="DW49" s="88"/>
      <c r="DX49" s="88"/>
      <c r="DY49" s="88"/>
      <c r="DZ49" s="88"/>
    </row>
    <row r="50" spans="1:130" x14ac:dyDescent="0.2">
      <c r="A50" s="83" t="s">
        <v>377</v>
      </c>
      <c r="B50" s="130">
        <v>0.77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3.6421488784670224</v>
      </c>
      <c r="I50" s="52" t="s">
        <v>18</v>
      </c>
      <c r="J50" s="83" t="s">
        <v>393</v>
      </c>
      <c r="K50" s="142">
        <f>B35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Z50" s="83" t="s">
        <v>476</v>
      </c>
      <c r="DA50" s="146">
        <f>B166</f>
        <v>0.85</v>
      </c>
      <c r="DW50" s="88"/>
      <c r="DX50" s="88"/>
      <c r="DY50" s="88"/>
      <c r="DZ50" s="88"/>
    </row>
    <row r="51" spans="1:130" x14ac:dyDescent="0.2">
      <c r="A51" s="52" t="s">
        <v>378</v>
      </c>
      <c r="B51" s="131">
        <v>1</v>
      </c>
      <c r="C51" s="52" t="s">
        <v>60</v>
      </c>
      <c r="D51" s="83" t="s">
        <v>105</v>
      </c>
      <c r="E51" s="150">
        <f>B23</f>
        <v>240</v>
      </c>
      <c r="F51" s="84" t="s">
        <v>18</v>
      </c>
      <c r="G51" s="83" t="s">
        <v>36</v>
      </c>
      <c r="H51" s="138">
        <f>B69</f>
        <v>3.62</v>
      </c>
      <c r="I51" s="52" t="s">
        <v>37</v>
      </c>
      <c r="J51" s="83" t="s">
        <v>376</v>
      </c>
      <c r="K51" s="146">
        <f>B49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CZ51" s="95" t="s">
        <v>287</v>
      </c>
      <c r="DA51" s="176">
        <v>27.027027027027</v>
      </c>
      <c r="DB51" s="52" t="s">
        <v>288</v>
      </c>
      <c r="DW51" s="88"/>
      <c r="DX51" s="88"/>
      <c r="DY51" s="88"/>
      <c r="DZ51" s="88"/>
    </row>
    <row r="52" spans="1:130" x14ac:dyDescent="0.2">
      <c r="A52" s="52" t="s">
        <v>448</v>
      </c>
      <c r="B52" s="131">
        <v>1</v>
      </c>
      <c r="C52" s="52" t="s">
        <v>60</v>
      </c>
      <c r="D52" s="83" t="s">
        <v>107</v>
      </c>
      <c r="E52" s="138">
        <f>B64</f>
        <v>1</v>
      </c>
      <c r="F52" s="84" t="s">
        <v>108</v>
      </c>
      <c r="G52" s="83" t="s">
        <v>40</v>
      </c>
      <c r="H52" s="138">
        <f>B70</f>
        <v>0.25</v>
      </c>
      <c r="I52" s="52" t="s">
        <v>41</v>
      </c>
      <c r="J52" s="83" t="s">
        <v>377</v>
      </c>
      <c r="K52" s="146">
        <f>B50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DW52" s="88"/>
      <c r="DX52" s="88"/>
      <c r="DY52" s="88"/>
      <c r="DZ52" s="88"/>
    </row>
    <row r="53" spans="1:130" x14ac:dyDescent="0.2">
      <c r="A53" s="52" t="s">
        <v>379</v>
      </c>
      <c r="B53" s="131">
        <v>1</v>
      </c>
      <c r="C53" s="52" t="s">
        <v>60</v>
      </c>
      <c r="D53" s="83" t="s">
        <v>260</v>
      </c>
      <c r="E53" s="152">
        <f>(E45/(E47*E46*E48*E49*E51*E52*(1/E50)))/E54</f>
        <v>9.2629644450372816E-3</v>
      </c>
      <c r="F53" s="52" t="s">
        <v>291</v>
      </c>
      <c r="G53" s="92" t="s">
        <v>32</v>
      </c>
      <c r="H53" s="136">
        <f>B31</f>
        <v>1.914E-5</v>
      </c>
      <c r="J53" s="95" t="s">
        <v>287</v>
      </c>
      <c r="K53" s="176">
        <v>27.027027027027</v>
      </c>
      <c r="L53" s="52" t="s">
        <v>602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52" t="s">
        <v>380</v>
      </c>
      <c r="B54" s="131">
        <v>350</v>
      </c>
      <c r="C54" s="83" t="s">
        <v>24</v>
      </c>
      <c r="D54" s="95" t="s">
        <v>287</v>
      </c>
      <c r="E54" s="176">
        <v>27.027027027027</v>
      </c>
      <c r="F54" s="52" t="s">
        <v>602</v>
      </c>
      <c r="G54" s="92" t="s">
        <v>49</v>
      </c>
      <c r="H54" s="137">
        <f>H62+H63</f>
        <v>3.1394977168949772E-5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52" t="s">
        <v>381</v>
      </c>
      <c r="B55" s="131">
        <v>350</v>
      </c>
      <c r="C55" s="83" t="s">
        <v>24</v>
      </c>
      <c r="G55" s="92" t="s">
        <v>52</v>
      </c>
      <c r="H55" s="138">
        <f>B71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52" t="s">
        <v>382</v>
      </c>
      <c r="B56" s="131">
        <v>350</v>
      </c>
      <c r="C56" s="83" t="s">
        <v>24</v>
      </c>
      <c r="G56" s="92" t="s">
        <v>55</v>
      </c>
      <c r="H56" s="138">
        <f>B72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52" t="s">
        <v>403</v>
      </c>
      <c r="B57" s="131">
        <v>0.54</v>
      </c>
      <c r="C57" s="52" t="s">
        <v>89</v>
      </c>
      <c r="G57" s="92" t="s">
        <v>393</v>
      </c>
      <c r="H57" s="138">
        <f>B35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52" t="s">
        <v>404</v>
      </c>
      <c r="B58" s="131">
        <v>0.71</v>
      </c>
      <c r="C58" s="52" t="s">
        <v>89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52" t="s">
        <v>385</v>
      </c>
      <c r="B59" s="131">
        <v>24</v>
      </c>
      <c r="C59" s="52" t="s">
        <v>194</v>
      </c>
      <c r="G59" s="92" t="s">
        <v>63</v>
      </c>
      <c r="H59" s="151">
        <f>H63+(0.693/H65)</f>
        <v>4.9504394977168943E-2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52" t="s">
        <v>318</v>
      </c>
      <c r="B60" s="131">
        <v>1</v>
      </c>
      <c r="G60" s="92" t="s">
        <v>67</v>
      </c>
      <c r="H60" s="142">
        <f>B73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52" t="s">
        <v>303</v>
      </c>
      <c r="B61" s="131">
        <v>0.4</v>
      </c>
      <c r="G61" s="92" t="s">
        <v>68</v>
      </c>
      <c r="H61" s="142">
        <f>B74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52" t="s">
        <v>302</v>
      </c>
      <c r="B62" s="131">
        <v>1</v>
      </c>
      <c r="G62" s="92" t="s">
        <v>70</v>
      </c>
      <c r="H62" s="138">
        <f>B75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386</v>
      </c>
      <c r="B63" s="131">
        <v>1</v>
      </c>
      <c r="G63" s="92" t="s">
        <v>71</v>
      </c>
      <c r="H63" s="137">
        <f>0.693/H67</f>
        <v>4.3949771689497717E-6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83" t="s">
        <v>107</v>
      </c>
      <c r="B64" s="131">
        <v>1</v>
      </c>
      <c r="C64" s="84" t="s">
        <v>108</v>
      </c>
      <c r="G64" s="92" t="s">
        <v>73</v>
      </c>
      <c r="H64" s="138">
        <f>B76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65</v>
      </c>
      <c r="B65" s="131">
        <v>0.5</v>
      </c>
      <c r="C65" s="52" t="s">
        <v>66</v>
      </c>
      <c r="G65" s="92" t="s">
        <v>74</v>
      </c>
      <c r="H65" s="138">
        <f>B77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79</v>
      </c>
      <c r="B66" s="131">
        <v>1</v>
      </c>
      <c r="C66" s="52" t="s">
        <v>80</v>
      </c>
      <c r="G66" s="52" t="s">
        <v>33</v>
      </c>
      <c r="H66" s="136">
        <f>B32</f>
        <v>2.1999999999999999E-5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81</v>
      </c>
      <c r="B67" s="131">
        <v>1</v>
      </c>
      <c r="C67" s="52" t="s">
        <v>80</v>
      </c>
      <c r="G67" s="83" t="s">
        <v>234</v>
      </c>
      <c r="H67" s="136">
        <f>B22</f>
        <v>157680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390</v>
      </c>
      <c r="B68" s="131">
        <v>0.25</v>
      </c>
      <c r="G68" s="83" t="s">
        <v>376</v>
      </c>
      <c r="H68" s="146">
        <f>B49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83" t="s">
        <v>36</v>
      </c>
      <c r="B69" s="131">
        <v>3.62</v>
      </c>
      <c r="C69" s="52" t="s">
        <v>37</v>
      </c>
      <c r="G69" s="83" t="s">
        <v>377</v>
      </c>
      <c r="H69" s="146">
        <f>B50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83" t="s">
        <v>40</v>
      </c>
      <c r="B70" s="131">
        <v>0.25</v>
      </c>
      <c r="C70" s="52" t="s">
        <v>41</v>
      </c>
      <c r="G70" s="95" t="s">
        <v>287</v>
      </c>
      <c r="H70" s="176">
        <v>27.027027027027</v>
      </c>
      <c r="I70" s="52" t="s">
        <v>602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92" t="s">
        <v>52</v>
      </c>
      <c r="B71" s="131">
        <v>10950</v>
      </c>
      <c r="C71" s="52" t="s">
        <v>53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92" t="s">
        <v>55</v>
      </c>
      <c r="B72" s="131">
        <v>240</v>
      </c>
      <c r="C72" s="52" t="s">
        <v>56</v>
      </c>
      <c r="AF72" s="109"/>
      <c r="AG72" s="106"/>
      <c r="AH72" s="106"/>
      <c r="AI72" s="106"/>
      <c r="AJ72" s="106"/>
      <c r="AK72" s="106"/>
    </row>
    <row r="73" spans="1:105" x14ac:dyDescent="0.2">
      <c r="A73" s="92" t="s">
        <v>67</v>
      </c>
      <c r="B73" s="131">
        <v>60</v>
      </c>
      <c r="C73" s="83" t="s">
        <v>53</v>
      </c>
      <c r="AF73" s="109"/>
      <c r="AG73" s="106"/>
      <c r="AH73" s="106"/>
      <c r="AI73" s="106"/>
      <c r="AJ73" s="106"/>
      <c r="AK73" s="106"/>
    </row>
    <row r="74" spans="1:105" x14ac:dyDescent="0.2">
      <c r="A74" s="92" t="s">
        <v>68</v>
      </c>
      <c r="B74" s="131">
        <v>2</v>
      </c>
      <c r="C74" s="83" t="s">
        <v>56</v>
      </c>
      <c r="AF74" s="109"/>
      <c r="AG74" s="106"/>
      <c r="AH74" s="106"/>
      <c r="AI74" s="106"/>
      <c r="AJ74" s="106"/>
      <c r="AK74" s="106"/>
    </row>
    <row r="75" spans="1:105" x14ac:dyDescent="0.2">
      <c r="A75" s="92" t="s">
        <v>70</v>
      </c>
      <c r="B75" s="131">
        <v>2.6999999999999999E-5</v>
      </c>
      <c r="C75" s="52" t="s">
        <v>64</v>
      </c>
      <c r="AF75" s="108"/>
      <c r="AG75" s="106"/>
      <c r="AH75" s="106"/>
      <c r="AI75" s="106"/>
      <c r="AJ75" s="106"/>
      <c r="AK75" s="106"/>
    </row>
    <row r="76" spans="1:105" x14ac:dyDescent="0.2">
      <c r="A76" s="92" t="s">
        <v>73</v>
      </c>
      <c r="B76" s="131">
        <v>1</v>
      </c>
      <c r="C76" s="52" t="s">
        <v>41</v>
      </c>
      <c r="AF76" s="109"/>
      <c r="AG76" s="106"/>
      <c r="AH76" s="106"/>
      <c r="AI76" s="106"/>
      <c r="AJ76" s="106"/>
      <c r="AK76" s="106"/>
    </row>
    <row r="77" spans="1:105" x14ac:dyDescent="0.2">
      <c r="A77" s="92" t="s">
        <v>74</v>
      </c>
      <c r="B77" s="131">
        <v>14</v>
      </c>
      <c r="C77" s="52" t="s">
        <v>75</v>
      </c>
      <c r="AF77" s="109"/>
      <c r="AG77" s="106"/>
      <c r="AH77" s="106"/>
      <c r="AI77" s="106"/>
      <c r="AJ77" s="106"/>
      <c r="AK77" s="106"/>
    </row>
    <row r="78" spans="1:105" ht="12.75" customHeight="1" x14ac:dyDescent="0.2">
      <c r="A78" s="83" t="s">
        <v>408</v>
      </c>
      <c r="B78" s="130">
        <v>1.752</v>
      </c>
      <c r="C78" s="84" t="s">
        <v>194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409</v>
      </c>
      <c r="B79" s="130">
        <v>16.416</v>
      </c>
      <c r="C79" s="84" t="s">
        <v>194</v>
      </c>
      <c r="AF79" s="109"/>
      <c r="AG79" s="106"/>
    </row>
    <row r="80" spans="1:105" x14ac:dyDescent="0.2">
      <c r="A80" s="83" t="s">
        <v>389</v>
      </c>
      <c r="B80" s="130">
        <v>1</v>
      </c>
      <c r="C80" s="84"/>
      <c r="AF80" s="109"/>
      <c r="AG80" s="106"/>
      <c r="AH80" s="106"/>
      <c r="AI80" s="106"/>
      <c r="AJ80" s="106"/>
      <c r="AK80" s="106"/>
    </row>
    <row r="81" spans="1:37" x14ac:dyDescent="0.2">
      <c r="A81" s="385" t="s">
        <v>387</v>
      </c>
      <c r="B81" s="385"/>
      <c r="C81" s="385"/>
      <c r="AF81" s="109"/>
      <c r="AG81" s="106"/>
      <c r="AH81" s="106"/>
      <c r="AI81" s="106"/>
      <c r="AJ81" s="106"/>
      <c r="AK81" s="106"/>
    </row>
    <row r="82" spans="1:37" x14ac:dyDescent="0.2">
      <c r="A82" s="52" t="s">
        <v>34</v>
      </c>
      <c r="B82" s="131">
        <v>70</v>
      </c>
      <c r="C82" s="52" t="s">
        <v>60</v>
      </c>
      <c r="AF82" s="109"/>
      <c r="AG82" s="106"/>
      <c r="AH82" s="106"/>
      <c r="AI82" s="106"/>
      <c r="AJ82" s="106"/>
      <c r="AK82" s="106"/>
    </row>
    <row r="83" spans="1:37" x14ac:dyDescent="0.2">
      <c r="A83" s="84" t="s">
        <v>38</v>
      </c>
      <c r="B83" s="131">
        <v>0.3</v>
      </c>
      <c r="C83" s="52" t="s">
        <v>391</v>
      </c>
      <c r="AF83" s="109"/>
      <c r="AG83" s="106"/>
      <c r="AH83" s="106"/>
      <c r="AI83" s="106"/>
      <c r="AJ83" s="106"/>
      <c r="AK83" s="106"/>
    </row>
    <row r="84" spans="1:37" x14ac:dyDescent="0.2">
      <c r="A84" s="84" t="s">
        <v>42</v>
      </c>
      <c r="B84" s="130">
        <v>1.5</v>
      </c>
      <c r="C84" s="52" t="s">
        <v>286</v>
      </c>
      <c r="AF84" s="108"/>
      <c r="AG84" s="106"/>
    </row>
    <row r="85" spans="1:37" x14ac:dyDescent="0.2">
      <c r="A85" s="84" t="s">
        <v>47</v>
      </c>
      <c r="B85" s="131">
        <v>1</v>
      </c>
      <c r="C85" s="52" t="s">
        <v>60</v>
      </c>
      <c r="AF85" s="108"/>
      <c r="AG85" s="106"/>
      <c r="AH85" s="106"/>
      <c r="AI85" s="106"/>
      <c r="AJ85" s="106"/>
      <c r="AK85" s="106"/>
    </row>
    <row r="86" spans="1:37" x14ac:dyDescent="0.2">
      <c r="A86" s="84" t="s">
        <v>225</v>
      </c>
      <c r="B86" s="130">
        <v>1</v>
      </c>
      <c r="AF86" s="108"/>
      <c r="AG86" s="106"/>
    </row>
    <row r="87" spans="1:37" x14ac:dyDescent="0.2">
      <c r="A87" s="52" t="s">
        <v>93</v>
      </c>
      <c r="B87" s="130">
        <v>5</v>
      </c>
      <c r="C87" s="52" t="s">
        <v>94</v>
      </c>
      <c r="AH87" s="108"/>
      <c r="AI87" s="108"/>
      <c r="AJ87" s="108"/>
      <c r="AK87" s="108"/>
    </row>
    <row r="88" spans="1:37" x14ac:dyDescent="0.2">
      <c r="A88" s="52" t="s">
        <v>98</v>
      </c>
      <c r="B88" s="130">
        <v>0.18</v>
      </c>
      <c r="C88" s="52" t="s">
        <v>355</v>
      </c>
    </row>
    <row r="89" spans="1:37" x14ac:dyDescent="0.2">
      <c r="A89" s="52" t="s">
        <v>100</v>
      </c>
      <c r="B89" s="130">
        <v>55</v>
      </c>
      <c r="C89" s="52" t="s">
        <v>97</v>
      </c>
    </row>
    <row r="90" spans="1:37" x14ac:dyDescent="0.2">
      <c r="A90" s="52" t="s">
        <v>101</v>
      </c>
      <c r="B90" s="130">
        <v>5</v>
      </c>
      <c r="C90" s="52" t="s">
        <v>97</v>
      </c>
    </row>
    <row r="91" spans="1:37" x14ac:dyDescent="0.2">
      <c r="A91" s="52" t="s">
        <v>102</v>
      </c>
      <c r="B91" s="130">
        <v>5</v>
      </c>
      <c r="C91" s="52" t="s">
        <v>97</v>
      </c>
    </row>
    <row r="92" spans="1:37" x14ac:dyDescent="0.2">
      <c r="A92" s="384" t="s">
        <v>5</v>
      </c>
      <c r="B92" s="384"/>
      <c r="C92" s="384"/>
    </row>
    <row r="93" spans="1:37" x14ac:dyDescent="0.2">
      <c r="A93" s="83" t="s">
        <v>429</v>
      </c>
      <c r="B93" s="131">
        <v>10</v>
      </c>
      <c r="C93" s="92" t="s">
        <v>407</v>
      </c>
    </row>
    <row r="94" spans="1:37" x14ac:dyDescent="0.2">
      <c r="A94" s="83" t="s">
        <v>430</v>
      </c>
      <c r="B94" s="131">
        <v>20</v>
      </c>
      <c r="C94" s="92" t="s">
        <v>407</v>
      </c>
    </row>
    <row r="95" spans="1:37" x14ac:dyDescent="0.2">
      <c r="A95" s="83" t="s">
        <v>439</v>
      </c>
      <c r="B95" s="130">
        <v>0.05</v>
      </c>
      <c r="C95" s="83" t="s">
        <v>357</v>
      </c>
    </row>
    <row r="96" spans="1:37" x14ac:dyDescent="0.2">
      <c r="A96" s="83" t="s">
        <v>438</v>
      </c>
      <c r="B96" s="130">
        <v>0.05</v>
      </c>
      <c r="C96" s="83" t="s">
        <v>357</v>
      </c>
    </row>
    <row r="97" spans="1:3" x14ac:dyDescent="0.2">
      <c r="A97" s="83" t="s">
        <v>441</v>
      </c>
      <c r="B97" s="131">
        <v>200</v>
      </c>
      <c r="C97" s="84" t="s">
        <v>48</v>
      </c>
    </row>
    <row r="98" spans="1:3" x14ac:dyDescent="0.2">
      <c r="A98" s="83" t="s">
        <v>442</v>
      </c>
      <c r="B98" s="131">
        <v>100</v>
      </c>
      <c r="C98" s="84" t="s">
        <v>48</v>
      </c>
    </row>
    <row r="99" spans="1:3" x14ac:dyDescent="0.2">
      <c r="A99" s="52" t="s">
        <v>159</v>
      </c>
      <c r="B99" s="131">
        <v>1</v>
      </c>
      <c r="C99" s="52" t="s">
        <v>221</v>
      </c>
    </row>
    <row r="100" spans="1:3" x14ac:dyDescent="0.2">
      <c r="A100" s="52" t="s">
        <v>160</v>
      </c>
      <c r="B100" s="131">
        <v>1</v>
      </c>
      <c r="C100" s="52" t="s">
        <v>221</v>
      </c>
    </row>
    <row r="101" spans="1:3" x14ac:dyDescent="0.2">
      <c r="A101" s="83" t="s">
        <v>308</v>
      </c>
      <c r="B101" s="130">
        <v>0.23</v>
      </c>
    </row>
    <row r="102" spans="1:3" x14ac:dyDescent="0.2">
      <c r="A102" s="83" t="s">
        <v>309</v>
      </c>
      <c r="B102" s="130">
        <v>0.77</v>
      </c>
    </row>
    <row r="103" spans="1:3" x14ac:dyDescent="0.2">
      <c r="A103" s="52" t="s">
        <v>140</v>
      </c>
      <c r="B103" s="131">
        <v>75</v>
      </c>
      <c r="C103" s="52" t="s">
        <v>24</v>
      </c>
    </row>
    <row r="104" spans="1:3" x14ac:dyDescent="0.2">
      <c r="A104" s="52" t="s">
        <v>433</v>
      </c>
      <c r="B104" s="131">
        <v>75</v>
      </c>
      <c r="C104" s="52" t="s">
        <v>24</v>
      </c>
    </row>
    <row r="105" spans="1:3" x14ac:dyDescent="0.2">
      <c r="A105" s="52" t="s">
        <v>434</v>
      </c>
      <c r="B105" s="131">
        <v>75</v>
      </c>
      <c r="C105" s="52" t="s">
        <v>24</v>
      </c>
    </row>
    <row r="106" spans="1:3" x14ac:dyDescent="0.2">
      <c r="A106" s="52" t="s">
        <v>431</v>
      </c>
      <c r="B106" s="130">
        <v>1</v>
      </c>
      <c r="C106" s="52" t="s">
        <v>194</v>
      </c>
    </row>
    <row r="107" spans="1:3" x14ac:dyDescent="0.2">
      <c r="A107" s="52" t="s">
        <v>432</v>
      </c>
      <c r="B107" s="130">
        <v>1</v>
      </c>
      <c r="C107" s="52" t="s">
        <v>194</v>
      </c>
    </row>
    <row r="108" spans="1:3" x14ac:dyDescent="0.2">
      <c r="A108" s="52" t="s">
        <v>90</v>
      </c>
      <c r="B108" s="131">
        <v>1</v>
      </c>
      <c r="C108" s="52" t="s">
        <v>194</v>
      </c>
    </row>
    <row r="109" spans="1:3" x14ac:dyDescent="0.2">
      <c r="A109" s="52" t="s">
        <v>443</v>
      </c>
      <c r="B109" s="131">
        <v>1</v>
      </c>
      <c r="C109" s="52" t="s">
        <v>89</v>
      </c>
    </row>
    <row r="110" spans="1:3" x14ac:dyDescent="0.2">
      <c r="A110" s="52" t="s">
        <v>444</v>
      </c>
      <c r="B110" s="131">
        <v>1</v>
      </c>
      <c r="C110" s="52" t="s">
        <v>89</v>
      </c>
    </row>
    <row r="111" spans="1:3" x14ac:dyDescent="0.2">
      <c r="A111" s="83" t="s">
        <v>301</v>
      </c>
      <c r="B111" s="131">
        <v>1</v>
      </c>
    </row>
    <row r="112" spans="1:3" x14ac:dyDescent="0.2">
      <c r="A112" s="83" t="s">
        <v>433</v>
      </c>
      <c r="B112" s="130">
        <v>45</v>
      </c>
      <c r="C112" s="83" t="s">
        <v>24</v>
      </c>
    </row>
    <row r="113" spans="1:3" x14ac:dyDescent="0.2">
      <c r="A113" s="83" t="s">
        <v>434</v>
      </c>
      <c r="B113" s="130">
        <v>45</v>
      </c>
      <c r="C113" s="83" t="s">
        <v>24</v>
      </c>
    </row>
    <row r="114" spans="1:3" x14ac:dyDescent="0.2">
      <c r="A114" s="83" t="s">
        <v>435</v>
      </c>
      <c r="B114" s="131">
        <v>1</v>
      </c>
      <c r="C114" s="52" t="s">
        <v>80</v>
      </c>
    </row>
    <row r="115" spans="1:3" x14ac:dyDescent="0.2">
      <c r="A115" s="83" t="s">
        <v>436</v>
      </c>
      <c r="B115" s="131">
        <v>1</v>
      </c>
      <c r="C115" s="52" t="s">
        <v>80</v>
      </c>
    </row>
    <row r="116" spans="1:3" x14ac:dyDescent="0.2">
      <c r="A116" s="83" t="s">
        <v>65</v>
      </c>
      <c r="B116" s="130">
        <v>0.5</v>
      </c>
      <c r="C116" s="52" t="s">
        <v>66</v>
      </c>
    </row>
    <row r="117" spans="1:3" x14ac:dyDescent="0.2">
      <c r="A117" s="52" t="s">
        <v>51</v>
      </c>
      <c r="B117" s="131">
        <v>1</v>
      </c>
      <c r="C117" s="52" t="s">
        <v>60</v>
      </c>
    </row>
    <row r="118" spans="1:3" x14ac:dyDescent="0.2">
      <c r="A118" s="52" t="s">
        <v>329</v>
      </c>
      <c r="B118" s="131">
        <v>2.41E-4</v>
      </c>
    </row>
    <row r="119" spans="1:3" x14ac:dyDescent="0.2">
      <c r="A119" s="52" t="s">
        <v>330</v>
      </c>
      <c r="B119" s="131">
        <v>0.753</v>
      </c>
    </row>
    <row r="120" spans="1:3" x14ac:dyDescent="0.2">
      <c r="A120" s="52" t="s">
        <v>331</v>
      </c>
      <c r="B120" s="131">
        <v>1.17E-4</v>
      </c>
    </row>
    <row r="121" spans="1:3" x14ac:dyDescent="0.2">
      <c r="A121" s="52" t="s">
        <v>332</v>
      </c>
      <c r="B121" s="131">
        <v>0.74299999999999999</v>
      </c>
    </row>
    <row r="122" spans="1:3" x14ac:dyDescent="0.2">
      <c r="A122" s="52" t="s">
        <v>333</v>
      </c>
      <c r="B122" s="131">
        <v>1.35E-4</v>
      </c>
    </row>
    <row r="123" spans="1:3" x14ac:dyDescent="0.2">
      <c r="A123" s="52" t="s">
        <v>334</v>
      </c>
      <c r="B123" s="131">
        <v>0.71099999999999997</v>
      </c>
    </row>
    <row r="124" spans="1:3" x14ac:dyDescent="0.2">
      <c r="A124" s="52" t="s">
        <v>335</v>
      </c>
      <c r="B124" s="131">
        <v>2.2599999999999999E-4</v>
      </c>
    </row>
    <row r="125" spans="1:3" x14ac:dyDescent="0.2">
      <c r="A125" s="52" t="s">
        <v>336</v>
      </c>
      <c r="B125" s="131">
        <v>0.66200000000000003</v>
      </c>
    </row>
    <row r="126" spans="1:3" x14ac:dyDescent="0.2">
      <c r="A126" s="52" t="s">
        <v>337</v>
      </c>
      <c r="B126" s="131">
        <v>1.5699999999999999E-5</v>
      </c>
    </row>
    <row r="127" spans="1:3" x14ac:dyDescent="0.2">
      <c r="A127" s="52" t="s">
        <v>338</v>
      </c>
      <c r="B127" s="131">
        <v>0.80900000000000005</v>
      </c>
    </row>
    <row r="128" spans="1:3" x14ac:dyDescent="0.2">
      <c r="A128" s="52" t="s">
        <v>159</v>
      </c>
      <c r="B128" s="130">
        <v>1</v>
      </c>
      <c r="C128" s="52" t="s">
        <v>221</v>
      </c>
    </row>
    <row r="129" spans="1:3" x14ac:dyDescent="0.2">
      <c r="A129" s="84" t="s">
        <v>164</v>
      </c>
      <c r="B129" s="130">
        <v>1</v>
      </c>
      <c r="C129" s="52" t="s">
        <v>246</v>
      </c>
    </row>
    <row r="130" spans="1:3" x14ac:dyDescent="0.2">
      <c r="A130" s="84" t="s">
        <v>161</v>
      </c>
      <c r="B130" s="130">
        <v>1</v>
      </c>
      <c r="C130" s="52" t="s">
        <v>246</v>
      </c>
    </row>
    <row r="131" spans="1:3" x14ac:dyDescent="0.2">
      <c r="A131" s="84" t="s">
        <v>162</v>
      </c>
      <c r="B131" s="130">
        <v>1</v>
      </c>
      <c r="C131" s="52" t="s">
        <v>41</v>
      </c>
    </row>
    <row r="132" spans="1:3" x14ac:dyDescent="0.2">
      <c r="A132" s="84" t="s">
        <v>163</v>
      </c>
      <c r="B132" s="130">
        <v>1</v>
      </c>
      <c r="C132" s="52" t="s">
        <v>41</v>
      </c>
    </row>
    <row r="133" spans="1:3" x14ac:dyDescent="0.2">
      <c r="A133" s="84" t="s">
        <v>169</v>
      </c>
      <c r="B133" s="130">
        <v>1</v>
      </c>
      <c r="C133" s="52" t="s">
        <v>28</v>
      </c>
    </row>
    <row r="134" spans="1:3" x14ac:dyDescent="0.2">
      <c r="A134" s="52" t="s">
        <v>160</v>
      </c>
      <c r="B134" s="130">
        <v>1</v>
      </c>
      <c r="C134" s="52" t="s">
        <v>221</v>
      </c>
    </row>
    <row r="135" spans="1:3" x14ac:dyDescent="0.2">
      <c r="A135" s="52" t="s">
        <v>165</v>
      </c>
      <c r="B135" s="130">
        <v>1</v>
      </c>
      <c r="C135" s="52" t="s">
        <v>246</v>
      </c>
    </row>
    <row r="136" spans="1:3" x14ac:dyDescent="0.2">
      <c r="A136" s="52" t="s">
        <v>166</v>
      </c>
      <c r="B136" s="130">
        <v>1</v>
      </c>
      <c r="C136" s="52" t="s">
        <v>246</v>
      </c>
    </row>
    <row r="137" spans="1:3" x14ac:dyDescent="0.2">
      <c r="A137" s="93" t="s">
        <v>167</v>
      </c>
      <c r="B137" s="130">
        <v>1</v>
      </c>
      <c r="C137" s="52" t="s">
        <v>41</v>
      </c>
    </row>
    <row r="138" spans="1:3" x14ac:dyDescent="0.2">
      <c r="A138" s="83" t="s">
        <v>168</v>
      </c>
      <c r="B138" s="130">
        <v>1</v>
      </c>
      <c r="C138" s="52" t="s">
        <v>41</v>
      </c>
    </row>
    <row r="139" spans="1:3" x14ac:dyDescent="0.2">
      <c r="A139" s="84" t="s">
        <v>170</v>
      </c>
      <c r="B139" s="130">
        <v>1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200</v>
      </c>
      <c r="C141" s="84" t="s">
        <v>48</v>
      </c>
    </row>
    <row r="142" spans="1:3" x14ac:dyDescent="0.2">
      <c r="A142" s="83" t="s">
        <v>458</v>
      </c>
      <c r="B142" s="130">
        <v>100</v>
      </c>
      <c r="C142" s="84" t="s">
        <v>48</v>
      </c>
    </row>
    <row r="143" spans="1:3" x14ac:dyDescent="0.2">
      <c r="A143" s="83" t="s">
        <v>450</v>
      </c>
      <c r="B143" s="130">
        <v>10</v>
      </c>
      <c r="C143" s="92" t="s">
        <v>407</v>
      </c>
    </row>
    <row r="144" spans="1:3" x14ac:dyDescent="0.2">
      <c r="A144" s="83" t="s">
        <v>459</v>
      </c>
      <c r="B144" s="130">
        <v>20</v>
      </c>
      <c r="C144" s="92" t="s">
        <v>407</v>
      </c>
    </row>
    <row r="145" spans="1:3" x14ac:dyDescent="0.2">
      <c r="A145" s="92" t="s">
        <v>451</v>
      </c>
      <c r="B145" s="131">
        <v>0.78</v>
      </c>
      <c r="C145" s="83" t="s">
        <v>28</v>
      </c>
    </row>
    <row r="146" spans="1:3" x14ac:dyDescent="0.2">
      <c r="A146" s="92" t="s">
        <v>460</v>
      </c>
      <c r="B146" s="131">
        <v>2.5</v>
      </c>
      <c r="C146" s="83" t="s">
        <v>28</v>
      </c>
    </row>
    <row r="147" spans="1:3" ht="15" x14ac:dyDescent="0.2">
      <c r="A147" s="92" t="s">
        <v>450</v>
      </c>
      <c r="B147" s="131">
        <v>10</v>
      </c>
      <c r="C147" s="83" t="s">
        <v>143</v>
      </c>
    </row>
    <row r="148" spans="1:3" ht="15" x14ac:dyDescent="0.2">
      <c r="A148" s="92" t="s">
        <v>459</v>
      </c>
      <c r="B148" s="131">
        <v>20</v>
      </c>
      <c r="C148" s="83" t="s">
        <v>143</v>
      </c>
    </row>
    <row r="149" spans="1:3" x14ac:dyDescent="0.2">
      <c r="A149" s="83" t="s">
        <v>467</v>
      </c>
      <c r="B149" s="130">
        <v>68.099999999999994</v>
      </c>
      <c r="C149" s="92" t="s">
        <v>221</v>
      </c>
    </row>
    <row r="150" spans="1:3" x14ac:dyDescent="0.2">
      <c r="A150" s="83" t="s">
        <v>468</v>
      </c>
      <c r="B150" s="130">
        <v>176.8</v>
      </c>
      <c r="C150" s="92" t="s">
        <v>221</v>
      </c>
    </row>
    <row r="151" spans="1:3" x14ac:dyDescent="0.2">
      <c r="A151" s="83" t="s">
        <v>469</v>
      </c>
      <c r="B151" s="130">
        <v>41.7</v>
      </c>
      <c r="C151" s="92" t="s">
        <v>221</v>
      </c>
    </row>
    <row r="152" spans="1:3" x14ac:dyDescent="0.2">
      <c r="A152" s="83" t="s">
        <v>470</v>
      </c>
      <c r="B152" s="130">
        <v>125.7</v>
      </c>
      <c r="C152" s="92" t="s">
        <v>221</v>
      </c>
    </row>
    <row r="153" spans="1:3" x14ac:dyDescent="0.2">
      <c r="A153" s="83" t="s">
        <v>452</v>
      </c>
      <c r="B153" s="130">
        <v>349.5</v>
      </c>
      <c r="C153" s="92" t="s">
        <v>221</v>
      </c>
    </row>
    <row r="154" spans="1:3" x14ac:dyDescent="0.2">
      <c r="A154" s="83" t="s">
        <v>461</v>
      </c>
      <c r="B154" s="130">
        <v>445.6</v>
      </c>
      <c r="C154" s="92" t="s">
        <v>221</v>
      </c>
    </row>
    <row r="155" spans="1:3" x14ac:dyDescent="0.2">
      <c r="A155" s="83" t="s">
        <v>453</v>
      </c>
      <c r="B155" s="132">
        <v>40.1</v>
      </c>
      <c r="C155" s="92" t="s">
        <v>221</v>
      </c>
    </row>
    <row r="156" spans="1:3" x14ac:dyDescent="0.2">
      <c r="A156" s="83" t="s">
        <v>462</v>
      </c>
      <c r="B156" s="132">
        <v>178</v>
      </c>
      <c r="C156" s="92" t="s">
        <v>221</v>
      </c>
    </row>
    <row r="157" spans="1:3" x14ac:dyDescent="0.2">
      <c r="A157" s="83" t="s">
        <v>454</v>
      </c>
      <c r="B157" s="133">
        <v>10.95</v>
      </c>
      <c r="C157" s="92" t="s">
        <v>221</v>
      </c>
    </row>
    <row r="158" spans="1:3" x14ac:dyDescent="0.2">
      <c r="A158" s="83" t="s">
        <v>463</v>
      </c>
      <c r="B158" s="132">
        <v>53.4</v>
      </c>
      <c r="C158" s="92" t="s">
        <v>221</v>
      </c>
    </row>
    <row r="159" spans="1:3" x14ac:dyDescent="0.2">
      <c r="A159" s="83" t="s">
        <v>471</v>
      </c>
      <c r="B159" s="130">
        <v>32.799999999999997</v>
      </c>
      <c r="C159" s="92" t="s">
        <v>221</v>
      </c>
    </row>
    <row r="160" spans="1:3" x14ac:dyDescent="0.2">
      <c r="A160" s="83" t="s">
        <v>472</v>
      </c>
      <c r="B160" s="130">
        <v>155.4</v>
      </c>
      <c r="C160" s="92" t="s">
        <v>221</v>
      </c>
    </row>
    <row r="161" spans="1:3" x14ac:dyDescent="0.2">
      <c r="A161" s="83" t="s">
        <v>473</v>
      </c>
      <c r="B161" s="132">
        <v>23.6</v>
      </c>
      <c r="C161" s="92" t="s">
        <v>221</v>
      </c>
    </row>
    <row r="162" spans="1:3" x14ac:dyDescent="0.2">
      <c r="A162" s="83" t="s">
        <v>474</v>
      </c>
      <c r="B162" s="132">
        <v>106.6</v>
      </c>
      <c r="C162" s="92" t="s">
        <v>221</v>
      </c>
    </row>
    <row r="163" spans="1:3" x14ac:dyDescent="0.2">
      <c r="A163" s="83" t="s">
        <v>455</v>
      </c>
      <c r="B163" s="130">
        <v>18.5</v>
      </c>
      <c r="C163" s="92" t="s">
        <v>221</v>
      </c>
    </row>
    <row r="164" spans="1:3" x14ac:dyDescent="0.2">
      <c r="A164" s="83" t="s">
        <v>464</v>
      </c>
      <c r="B164" s="130">
        <v>97.9</v>
      </c>
      <c r="C164" s="92" t="s">
        <v>221</v>
      </c>
    </row>
    <row r="165" spans="1:3" x14ac:dyDescent="0.2">
      <c r="A165" s="83" t="s">
        <v>475</v>
      </c>
      <c r="B165" s="130">
        <v>0.15</v>
      </c>
      <c r="C165" s="88"/>
    </row>
    <row r="166" spans="1:3" x14ac:dyDescent="0.2">
      <c r="A166" s="83" t="s">
        <v>476</v>
      </c>
      <c r="B166" s="130">
        <v>0.85</v>
      </c>
      <c r="C166" s="88"/>
    </row>
    <row r="167" spans="1:3" x14ac:dyDescent="0.2">
      <c r="A167" s="83" t="s">
        <v>456</v>
      </c>
      <c r="B167" s="130">
        <v>350</v>
      </c>
      <c r="C167" s="83" t="s">
        <v>24</v>
      </c>
    </row>
    <row r="168" spans="1:3" x14ac:dyDescent="0.2">
      <c r="A168" s="83" t="s">
        <v>465</v>
      </c>
      <c r="B168" s="130">
        <v>350</v>
      </c>
      <c r="C168" s="83" t="s">
        <v>24</v>
      </c>
    </row>
    <row r="169" spans="1:3" x14ac:dyDescent="0.2">
      <c r="A169" s="52" t="s">
        <v>362</v>
      </c>
      <c r="B169" s="131">
        <v>350</v>
      </c>
      <c r="C169" s="83" t="s">
        <v>24</v>
      </c>
    </row>
    <row r="170" spans="1:3" x14ac:dyDescent="0.2">
      <c r="A170" s="83" t="s">
        <v>363</v>
      </c>
      <c r="B170" s="130">
        <v>1</v>
      </c>
      <c r="C170" s="92" t="s">
        <v>60</v>
      </c>
    </row>
    <row r="171" spans="1:3" x14ac:dyDescent="0.2">
      <c r="A171" s="83" t="s">
        <v>364</v>
      </c>
      <c r="B171" s="130">
        <v>24</v>
      </c>
      <c r="C171" s="94" t="s">
        <v>194</v>
      </c>
    </row>
    <row r="172" spans="1:3" x14ac:dyDescent="0.2">
      <c r="A172" s="83" t="s">
        <v>365</v>
      </c>
      <c r="B172" s="130">
        <v>24</v>
      </c>
      <c r="C172" s="52" t="s">
        <v>194</v>
      </c>
    </row>
    <row r="173" spans="1:3" x14ac:dyDescent="0.2">
      <c r="A173" s="83" t="s">
        <v>361</v>
      </c>
      <c r="B173" s="130">
        <v>1</v>
      </c>
    </row>
    <row r="174" spans="1:3" x14ac:dyDescent="0.2">
      <c r="A174" s="83" t="s">
        <v>83</v>
      </c>
      <c r="B174" s="130">
        <v>12.167999999999999</v>
      </c>
      <c r="C174" s="84" t="s">
        <v>194</v>
      </c>
    </row>
    <row r="175" spans="1:3" x14ac:dyDescent="0.2">
      <c r="A175" s="83" t="s">
        <v>85</v>
      </c>
      <c r="B175" s="130">
        <v>10.007999999999999</v>
      </c>
      <c r="C175" s="84" t="s">
        <v>194</v>
      </c>
    </row>
    <row r="176" spans="1:3" x14ac:dyDescent="0.2">
      <c r="A176" s="83" t="s">
        <v>88</v>
      </c>
      <c r="B176" s="130">
        <v>0.4</v>
      </c>
    </row>
    <row r="177" spans="1:3" x14ac:dyDescent="0.2">
      <c r="A177" s="83" t="s">
        <v>303</v>
      </c>
      <c r="B177" s="130">
        <v>0.4</v>
      </c>
    </row>
    <row r="178" spans="1:3" x14ac:dyDescent="0.2">
      <c r="A178" s="83" t="s">
        <v>302</v>
      </c>
      <c r="B178" s="130">
        <v>1</v>
      </c>
    </row>
    <row r="179" spans="1:3" x14ac:dyDescent="0.2">
      <c r="A179" s="83" t="s">
        <v>54</v>
      </c>
      <c r="B179" s="130">
        <v>1</v>
      </c>
    </row>
    <row r="180" spans="1:3" x14ac:dyDescent="0.2">
      <c r="A180" s="83" t="s">
        <v>301</v>
      </c>
      <c r="B180" s="131">
        <v>1</v>
      </c>
    </row>
    <row r="181" spans="1:3" x14ac:dyDescent="0.2">
      <c r="A181" s="92" t="s">
        <v>457</v>
      </c>
      <c r="B181" s="130">
        <v>1</v>
      </c>
      <c r="C181" s="92" t="s">
        <v>144</v>
      </c>
    </row>
    <row r="182" spans="1:3" x14ac:dyDescent="0.2">
      <c r="A182" s="92" t="s">
        <v>466</v>
      </c>
      <c r="B182" s="130">
        <v>1</v>
      </c>
      <c r="C182" s="92" t="s">
        <v>144</v>
      </c>
    </row>
    <row r="183" spans="1:3" x14ac:dyDescent="0.2">
      <c r="A183" s="52" t="s">
        <v>477</v>
      </c>
      <c r="B183" s="130">
        <v>0.54</v>
      </c>
      <c r="C183" s="92" t="s">
        <v>358</v>
      </c>
    </row>
    <row r="184" spans="1:3" x14ac:dyDescent="0.2">
      <c r="A184" s="52" t="s">
        <v>478</v>
      </c>
      <c r="B184" s="130">
        <v>0.71</v>
      </c>
      <c r="C184" s="92" t="s">
        <v>358</v>
      </c>
    </row>
    <row r="185" spans="1:3" ht="15" x14ac:dyDescent="0.2">
      <c r="A185" s="84" t="s">
        <v>65</v>
      </c>
      <c r="B185" s="130">
        <v>0.5</v>
      </c>
      <c r="C185" s="92" t="s">
        <v>145</v>
      </c>
    </row>
    <row r="186" spans="1:3" x14ac:dyDescent="0.2">
      <c r="A186" s="92" t="s">
        <v>361</v>
      </c>
      <c r="B186" s="130">
        <v>1</v>
      </c>
    </row>
    <row r="187" spans="1:3" x14ac:dyDescent="0.2">
      <c r="A187" s="92" t="s">
        <v>479</v>
      </c>
      <c r="B187" s="130">
        <v>1</v>
      </c>
    </row>
    <row r="188" spans="1:3" x14ac:dyDescent="0.2">
      <c r="A188" s="92" t="s">
        <v>480</v>
      </c>
      <c r="B188" s="130">
        <v>1</v>
      </c>
    </row>
    <row r="189" spans="1:3" x14ac:dyDescent="0.2">
      <c r="A189" s="92" t="s">
        <v>481</v>
      </c>
      <c r="B189" s="130">
        <v>1</v>
      </c>
    </row>
    <row r="190" spans="1:3" x14ac:dyDescent="0.2">
      <c r="A190" s="92" t="s">
        <v>482</v>
      </c>
      <c r="B190" s="130">
        <v>1</v>
      </c>
    </row>
    <row r="191" spans="1:3" x14ac:dyDescent="0.2">
      <c r="A191" s="92" t="s">
        <v>483</v>
      </c>
      <c r="B191" s="130">
        <v>1</v>
      </c>
    </row>
    <row r="192" spans="1:3" x14ac:dyDescent="0.2">
      <c r="A192" s="92" t="s">
        <v>484</v>
      </c>
      <c r="B192" s="131">
        <v>1</v>
      </c>
    </row>
    <row r="193" spans="1:3" x14ac:dyDescent="0.2">
      <c r="A193" s="83" t="s">
        <v>36</v>
      </c>
      <c r="B193" s="131">
        <v>3.62</v>
      </c>
      <c r="C193" s="52" t="s">
        <v>37</v>
      </c>
    </row>
    <row r="194" spans="1:3" x14ac:dyDescent="0.2">
      <c r="A194" s="83" t="s">
        <v>40</v>
      </c>
      <c r="B194" s="131">
        <v>0.25</v>
      </c>
      <c r="C194" s="52" t="s">
        <v>41</v>
      </c>
    </row>
    <row r="195" spans="1:3" x14ac:dyDescent="0.2">
      <c r="A195" s="92" t="s">
        <v>52</v>
      </c>
      <c r="B195" s="131">
        <v>10950</v>
      </c>
      <c r="C195" s="52" t="s">
        <v>53</v>
      </c>
    </row>
    <row r="196" spans="1:3" x14ac:dyDescent="0.2">
      <c r="A196" s="92" t="s">
        <v>55</v>
      </c>
      <c r="B196" s="131">
        <v>240</v>
      </c>
      <c r="C196" s="52" t="s">
        <v>56</v>
      </c>
    </row>
    <row r="197" spans="1:3" x14ac:dyDescent="0.2">
      <c r="A197" s="92" t="s">
        <v>61</v>
      </c>
      <c r="B197" s="131">
        <v>0.42</v>
      </c>
      <c r="C197" s="52" t="s">
        <v>41</v>
      </c>
    </row>
    <row r="198" spans="1:3" x14ac:dyDescent="0.2">
      <c r="A198" s="92" t="s">
        <v>67</v>
      </c>
      <c r="B198" s="131">
        <v>60</v>
      </c>
      <c r="C198" s="83" t="s">
        <v>53</v>
      </c>
    </row>
    <row r="199" spans="1:3" x14ac:dyDescent="0.2">
      <c r="A199" s="92" t="s">
        <v>68</v>
      </c>
      <c r="B199" s="131">
        <v>2</v>
      </c>
      <c r="C199" s="83" t="s">
        <v>56</v>
      </c>
    </row>
    <row r="200" spans="1:3" x14ac:dyDescent="0.2">
      <c r="A200" s="92" t="s">
        <v>70</v>
      </c>
      <c r="B200" s="131">
        <v>2.6999999999999999E-5</v>
      </c>
      <c r="C200" s="52" t="s">
        <v>64</v>
      </c>
    </row>
    <row r="201" spans="1:3" x14ac:dyDescent="0.2">
      <c r="A201" s="92" t="s">
        <v>73</v>
      </c>
      <c r="B201" s="131">
        <v>1</v>
      </c>
      <c r="C201" s="52" t="s">
        <v>41</v>
      </c>
    </row>
    <row r="202" spans="1:3" x14ac:dyDescent="0.2">
      <c r="A202" s="92" t="s">
        <v>74</v>
      </c>
      <c r="B202" s="131">
        <v>14</v>
      </c>
      <c r="C202" s="52" t="s">
        <v>75</v>
      </c>
    </row>
    <row r="203" spans="1:3" x14ac:dyDescent="0.2">
      <c r="A203" s="83" t="s">
        <v>27</v>
      </c>
      <c r="B203" s="131">
        <v>92</v>
      </c>
      <c r="C203" s="83" t="s">
        <v>28</v>
      </c>
    </row>
    <row r="204" spans="1:3" x14ac:dyDescent="0.2">
      <c r="A204" s="52" t="s">
        <v>285</v>
      </c>
      <c r="B204" s="130">
        <v>1.03</v>
      </c>
      <c r="C204" s="52" t="s">
        <v>286</v>
      </c>
    </row>
    <row r="205" spans="1:3" x14ac:dyDescent="0.2">
      <c r="A205" s="83" t="s">
        <v>498</v>
      </c>
      <c r="B205" s="131">
        <v>20.3</v>
      </c>
      <c r="C205" s="52" t="s">
        <v>246</v>
      </c>
    </row>
    <row r="206" spans="1:3" x14ac:dyDescent="0.2">
      <c r="A206" s="83" t="s">
        <v>499</v>
      </c>
      <c r="B206" s="131">
        <v>0.04</v>
      </c>
      <c r="C206" s="52" t="s">
        <v>246</v>
      </c>
    </row>
    <row r="207" spans="1:3" x14ac:dyDescent="0.2">
      <c r="A207" s="83" t="s">
        <v>500</v>
      </c>
      <c r="B207" s="131">
        <v>1</v>
      </c>
    </row>
    <row r="208" spans="1:3" x14ac:dyDescent="0.2">
      <c r="A208" s="83" t="s">
        <v>501</v>
      </c>
      <c r="B208" s="131">
        <v>1</v>
      </c>
    </row>
    <row r="209" spans="1:3" x14ac:dyDescent="0.2">
      <c r="A209" s="83" t="s">
        <v>29</v>
      </c>
      <c r="B209" s="131">
        <v>53</v>
      </c>
      <c r="C209" s="83" t="s">
        <v>28</v>
      </c>
    </row>
    <row r="210" spans="1:3" x14ac:dyDescent="0.2">
      <c r="A210" s="83" t="s">
        <v>494</v>
      </c>
      <c r="B210" s="131">
        <v>11.77</v>
      </c>
      <c r="C210" s="52" t="s">
        <v>246</v>
      </c>
    </row>
    <row r="211" spans="1:3" x14ac:dyDescent="0.2">
      <c r="A211" s="83" t="s">
        <v>495</v>
      </c>
      <c r="B211" s="131">
        <v>0.5</v>
      </c>
      <c r="C211" s="52" t="s">
        <v>246</v>
      </c>
    </row>
    <row r="212" spans="1:3" x14ac:dyDescent="0.2">
      <c r="A212" s="83" t="s">
        <v>496</v>
      </c>
      <c r="B212" s="131">
        <v>1</v>
      </c>
    </row>
    <row r="213" spans="1:3" x14ac:dyDescent="0.2">
      <c r="A213" s="83" t="s">
        <v>497</v>
      </c>
      <c r="B213" s="131">
        <v>1</v>
      </c>
    </row>
    <row r="214" spans="1:3" x14ac:dyDescent="0.2">
      <c r="A214" s="83" t="s">
        <v>148</v>
      </c>
      <c r="B214" s="130">
        <v>0.4</v>
      </c>
      <c r="C214" s="83" t="s">
        <v>28</v>
      </c>
    </row>
    <row r="215" spans="1:3" x14ac:dyDescent="0.2">
      <c r="A215" s="83" t="s">
        <v>152</v>
      </c>
      <c r="B215" s="131">
        <v>0.2</v>
      </c>
      <c r="C215" s="52" t="s">
        <v>246</v>
      </c>
    </row>
    <row r="216" spans="1:3" x14ac:dyDescent="0.2">
      <c r="A216" s="83" t="s">
        <v>151</v>
      </c>
      <c r="B216" s="131">
        <v>2.1999999999999999E-2</v>
      </c>
      <c r="C216" s="52" t="s">
        <v>246</v>
      </c>
    </row>
    <row r="217" spans="1:3" x14ac:dyDescent="0.2">
      <c r="A217" s="83" t="s">
        <v>153</v>
      </c>
      <c r="B217" s="130">
        <v>1</v>
      </c>
    </row>
    <row r="218" spans="1:3" x14ac:dyDescent="0.2">
      <c r="A218" s="83" t="s">
        <v>154</v>
      </c>
      <c r="B218" s="130">
        <v>1</v>
      </c>
    </row>
    <row r="219" spans="1:3" x14ac:dyDescent="0.2">
      <c r="A219" s="83" t="s">
        <v>485</v>
      </c>
      <c r="B219" s="130">
        <v>0.4</v>
      </c>
      <c r="C219" s="83" t="s">
        <v>28</v>
      </c>
    </row>
    <row r="220" spans="1:3" x14ac:dyDescent="0.2">
      <c r="A220" s="83" t="s">
        <v>486</v>
      </c>
      <c r="B220" s="131">
        <v>0.2</v>
      </c>
      <c r="C220" s="52" t="s">
        <v>246</v>
      </c>
    </row>
    <row r="221" spans="1:3" x14ac:dyDescent="0.2">
      <c r="A221" s="83" t="s">
        <v>487</v>
      </c>
      <c r="B221" s="131">
        <v>2.1999999999999999E-2</v>
      </c>
      <c r="C221" s="52" t="s">
        <v>246</v>
      </c>
    </row>
    <row r="222" spans="1:3" x14ac:dyDescent="0.2">
      <c r="A222" s="83" t="s">
        <v>488</v>
      </c>
      <c r="B222" s="131">
        <v>1</v>
      </c>
    </row>
    <row r="223" spans="1:3" x14ac:dyDescent="0.2">
      <c r="A223" s="83" t="s">
        <v>489</v>
      </c>
      <c r="B223" s="131">
        <v>1</v>
      </c>
    </row>
    <row r="224" spans="1:3" x14ac:dyDescent="0.2">
      <c r="A224" s="83" t="s">
        <v>150</v>
      </c>
      <c r="B224" s="131">
        <v>11.4</v>
      </c>
      <c r="C224" s="83" t="s">
        <v>28</v>
      </c>
    </row>
    <row r="225" spans="1:3" x14ac:dyDescent="0.2">
      <c r="A225" s="83" t="s">
        <v>490</v>
      </c>
      <c r="B225" s="131">
        <v>4.7</v>
      </c>
      <c r="C225" s="52" t="s">
        <v>246</v>
      </c>
    </row>
    <row r="226" spans="1:3" x14ac:dyDescent="0.2">
      <c r="A226" s="83" t="s">
        <v>491</v>
      </c>
      <c r="B226" s="131">
        <v>0.37</v>
      </c>
      <c r="C226" s="52" t="s">
        <v>246</v>
      </c>
    </row>
    <row r="227" spans="1:3" x14ac:dyDescent="0.2">
      <c r="A227" s="83" t="s">
        <v>492</v>
      </c>
      <c r="B227" s="131">
        <v>1</v>
      </c>
    </row>
    <row r="228" spans="1:3" x14ac:dyDescent="0.2">
      <c r="A228" s="83" t="s">
        <v>493</v>
      </c>
      <c r="B228" s="131">
        <v>1</v>
      </c>
    </row>
    <row r="229" spans="1:3" x14ac:dyDescent="0.2">
      <c r="A229" s="370" t="s">
        <v>311</v>
      </c>
      <c r="B229" s="370"/>
      <c r="C229" s="370"/>
    </row>
    <row r="230" spans="1:3" x14ac:dyDescent="0.2">
      <c r="A230" s="52" t="s">
        <v>504</v>
      </c>
      <c r="B230" s="130">
        <v>60</v>
      </c>
      <c r="C230" s="84" t="s">
        <v>407</v>
      </c>
    </row>
    <row r="231" spans="1:3" x14ac:dyDescent="0.2">
      <c r="A231" s="83" t="s">
        <v>316</v>
      </c>
      <c r="B231" s="130">
        <v>250</v>
      </c>
      <c r="C231" s="52" t="s">
        <v>24</v>
      </c>
    </row>
    <row r="232" spans="1:3" x14ac:dyDescent="0.2">
      <c r="A232" s="83" t="s">
        <v>422</v>
      </c>
      <c r="B232" s="131">
        <v>1</v>
      </c>
      <c r="C232" s="52" t="s">
        <v>60</v>
      </c>
    </row>
    <row r="233" spans="1:3" x14ac:dyDescent="0.2">
      <c r="A233" s="83" t="s">
        <v>317</v>
      </c>
      <c r="B233" s="130">
        <v>100</v>
      </c>
      <c r="C233" s="84" t="s">
        <v>48</v>
      </c>
    </row>
    <row r="234" spans="1:3" x14ac:dyDescent="0.2">
      <c r="A234" s="52" t="s">
        <v>318</v>
      </c>
      <c r="B234" s="131">
        <v>1</v>
      </c>
    </row>
    <row r="235" spans="1:3" x14ac:dyDescent="0.2">
      <c r="A235" s="83" t="s">
        <v>300</v>
      </c>
      <c r="B235" s="131">
        <v>1</v>
      </c>
    </row>
    <row r="236" spans="1:3" x14ac:dyDescent="0.2">
      <c r="A236" s="83" t="s">
        <v>299</v>
      </c>
      <c r="B236" s="131">
        <v>0.4</v>
      </c>
    </row>
    <row r="237" spans="1:3" x14ac:dyDescent="0.2">
      <c r="A237" s="83" t="s">
        <v>54</v>
      </c>
      <c r="B237" s="131">
        <v>1</v>
      </c>
    </row>
    <row r="238" spans="1:3" x14ac:dyDescent="0.2">
      <c r="A238" s="83" t="s">
        <v>83</v>
      </c>
      <c r="B238" s="130">
        <v>8</v>
      </c>
      <c r="C238" s="52" t="s">
        <v>194</v>
      </c>
    </row>
    <row r="239" spans="1:3" x14ac:dyDescent="0.2">
      <c r="A239" s="83" t="s">
        <v>85</v>
      </c>
      <c r="B239" s="130">
        <v>8</v>
      </c>
      <c r="C239" s="52" t="s">
        <v>194</v>
      </c>
    </row>
    <row r="240" spans="1:3" x14ac:dyDescent="0.2">
      <c r="A240" s="83" t="s">
        <v>88</v>
      </c>
      <c r="B240" s="130">
        <v>0.4</v>
      </c>
    </row>
    <row r="241" spans="1:3" x14ac:dyDescent="0.2">
      <c r="A241" s="370" t="s">
        <v>312</v>
      </c>
      <c r="B241" s="370"/>
      <c r="C241" s="370"/>
    </row>
    <row r="242" spans="1:3" x14ac:dyDescent="0.2">
      <c r="A242" s="52" t="s">
        <v>304</v>
      </c>
      <c r="B242" s="130">
        <v>60</v>
      </c>
      <c r="C242" s="84" t="s">
        <v>407</v>
      </c>
    </row>
    <row r="243" spans="1:3" x14ac:dyDescent="0.2">
      <c r="A243" s="83" t="s">
        <v>35</v>
      </c>
      <c r="B243" s="130">
        <v>250</v>
      </c>
      <c r="C243" s="52" t="s">
        <v>24</v>
      </c>
    </row>
    <row r="244" spans="1:3" x14ac:dyDescent="0.2">
      <c r="A244" s="83" t="s">
        <v>420</v>
      </c>
      <c r="B244" s="131">
        <v>1</v>
      </c>
      <c r="C244" s="52" t="s">
        <v>60</v>
      </c>
    </row>
    <row r="245" spans="1:3" x14ac:dyDescent="0.2">
      <c r="A245" s="83" t="s">
        <v>62</v>
      </c>
      <c r="B245" s="130">
        <v>50</v>
      </c>
      <c r="C245" s="84" t="s">
        <v>48</v>
      </c>
    </row>
    <row r="246" spans="1:3" x14ac:dyDescent="0.2">
      <c r="A246" s="52" t="s">
        <v>318</v>
      </c>
      <c r="B246" s="131">
        <v>1</v>
      </c>
    </row>
    <row r="247" spans="1:3" x14ac:dyDescent="0.2">
      <c r="A247" s="83" t="s">
        <v>300</v>
      </c>
      <c r="B247" s="131">
        <v>1</v>
      </c>
    </row>
    <row r="248" spans="1:3" x14ac:dyDescent="0.2">
      <c r="A248" s="83" t="s">
        <v>299</v>
      </c>
      <c r="B248" s="131">
        <v>0.4</v>
      </c>
    </row>
    <row r="249" spans="1:3" x14ac:dyDescent="0.2">
      <c r="A249" s="83" t="s">
        <v>54</v>
      </c>
      <c r="B249" s="131">
        <v>1</v>
      </c>
    </row>
    <row r="250" spans="1:3" x14ac:dyDescent="0.2">
      <c r="A250" s="83" t="s">
        <v>83</v>
      </c>
      <c r="B250" s="130">
        <v>0</v>
      </c>
      <c r="C250" s="52" t="s">
        <v>194</v>
      </c>
    </row>
    <row r="251" spans="1:3" x14ac:dyDescent="0.2">
      <c r="A251" s="83" t="s">
        <v>85</v>
      </c>
      <c r="B251" s="130">
        <v>8</v>
      </c>
      <c r="C251" s="52" t="s">
        <v>194</v>
      </c>
    </row>
    <row r="252" spans="1:3" x14ac:dyDescent="0.2">
      <c r="A252" s="83" t="s">
        <v>88</v>
      </c>
      <c r="B252" s="130">
        <v>0.4</v>
      </c>
    </row>
    <row r="253" spans="1:3" x14ac:dyDescent="0.2">
      <c r="A253" s="370" t="s">
        <v>313</v>
      </c>
      <c r="B253" s="370"/>
      <c r="C253" s="370"/>
    </row>
    <row r="254" spans="1:3" x14ac:dyDescent="0.2">
      <c r="A254" s="52" t="s">
        <v>50</v>
      </c>
      <c r="B254" s="130">
        <v>60</v>
      </c>
      <c r="C254" s="84" t="s">
        <v>407</v>
      </c>
    </row>
    <row r="255" spans="1:3" x14ac:dyDescent="0.2">
      <c r="A255" s="83" t="s">
        <v>423</v>
      </c>
      <c r="B255" s="130">
        <v>225</v>
      </c>
      <c r="C255" s="52" t="s">
        <v>24</v>
      </c>
    </row>
    <row r="256" spans="1:3" x14ac:dyDescent="0.2">
      <c r="A256" s="83" t="s">
        <v>424</v>
      </c>
      <c r="B256" s="131">
        <v>1</v>
      </c>
      <c r="C256" s="52" t="s">
        <v>60</v>
      </c>
    </row>
    <row r="257" spans="1:3" x14ac:dyDescent="0.2">
      <c r="A257" s="83" t="s">
        <v>503</v>
      </c>
      <c r="B257" s="130">
        <v>100</v>
      </c>
      <c r="C257" s="84" t="s">
        <v>48</v>
      </c>
    </row>
    <row r="258" spans="1:3" x14ac:dyDescent="0.2">
      <c r="A258" s="52" t="s">
        <v>318</v>
      </c>
      <c r="B258" s="131">
        <v>1</v>
      </c>
    </row>
    <row r="259" spans="1:3" x14ac:dyDescent="0.2">
      <c r="A259" s="83" t="s">
        <v>300</v>
      </c>
      <c r="B259" s="131">
        <v>1</v>
      </c>
    </row>
    <row r="260" spans="1:3" x14ac:dyDescent="0.2">
      <c r="A260" s="83" t="s">
        <v>299</v>
      </c>
      <c r="B260" s="131">
        <v>0.4</v>
      </c>
    </row>
    <row r="261" spans="1:3" x14ac:dyDescent="0.2">
      <c r="A261" s="83" t="s">
        <v>54</v>
      </c>
      <c r="B261" s="131">
        <v>1</v>
      </c>
    </row>
    <row r="262" spans="1:3" x14ac:dyDescent="0.2">
      <c r="A262" s="83" t="s">
        <v>83</v>
      </c>
      <c r="B262" s="130">
        <v>8</v>
      </c>
      <c r="C262" s="52" t="s">
        <v>194</v>
      </c>
    </row>
    <row r="263" spans="1:3" x14ac:dyDescent="0.2">
      <c r="A263" s="83" t="s">
        <v>85</v>
      </c>
      <c r="B263" s="130">
        <v>0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370" t="s">
        <v>314</v>
      </c>
      <c r="B265" s="370"/>
      <c r="C265" s="370"/>
    </row>
    <row r="266" spans="1:3" x14ac:dyDescent="0.2">
      <c r="A266" s="52" t="s">
        <v>348</v>
      </c>
      <c r="B266" s="130">
        <v>60</v>
      </c>
      <c r="C266" s="84" t="s">
        <v>407</v>
      </c>
    </row>
    <row r="267" spans="1:3" x14ac:dyDescent="0.2">
      <c r="A267" s="83" t="s">
        <v>191</v>
      </c>
      <c r="B267" s="130">
        <v>250</v>
      </c>
      <c r="C267" s="52" t="s">
        <v>24</v>
      </c>
    </row>
    <row r="268" spans="1:3" x14ac:dyDescent="0.2">
      <c r="A268" s="83" t="s">
        <v>158</v>
      </c>
      <c r="B268" s="131">
        <v>1</v>
      </c>
      <c r="C268" s="52" t="s">
        <v>60</v>
      </c>
    </row>
    <row r="269" spans="1:3" x14ac:dyDescent="0.2">
      <c r="A269" s="83" t="s">
        <v>502</v>
      </c>
      <c r="B269" s="130">
        <v>330</v>
      </c>
      <c r="C269" s="84" t="s">
        <v>48</v>
      </c>
    </row>
    <row r="270" spans="1:3" x14ac:dyDescent="0.2">
      <c r="A270" s="52" t="s">
        <v>318</v>
      </c>
      <c r="B270" s="131">
        <v>1</v>
      </c>
    </row>
    <row r="271" spans="1:3" x14ac:dyDescent="0.2">
      <c r="A271" s="83" t="s">
        <v>300</v>
      </c>
      <c r="B271" s="131">
        <v>1</v>
      </c>
    </row>
    <row r="272" spans="1:3" x14ac:dyDescent="0.2">
      <c r="A272" s="83" t="s">
        <v>299</v>
      </c>
      <c r="B272" s="131">
        <v>0.4</v>
      </c>
    </row>
    <row r="273" spans="1:3" x14ac:dyDescent="0.2">
      <c r="A273" s="83" t="s">
        <v>54</v>
      </c>
      <c r="B273" s="131">
        <v>1</v>
      </c>
    </row>
    <row r="274" spans="1:3" x14ac:dyDescent="0.2">
      <c r="A274" s="83" t="s">
        <v>83</v>
      </c>
      <c r="B274" s="130">
        <v>8</v>
      </c>
      <c r="C274" s="52" t="s">
        <v>194</v>
      </c>
    </row>
    <row r="275" spans="1:3" x14ac:dyDescent="0.2">
      <c r="A275" s="83" t="s">
        <v>85</v>
      </c>
      <c r="B275" s="130">
        <v>8</v>
      </c>
      <c r="C275" s="52" t="s">
        <v>194</v>
      </c>
    </row>
    <row r="276" spans="1:3" x14ac:dyDescent="0.2">
      <c r="A276" s="83" t="s">
        <v>88</v>
      </c>
      <c r="B276" s="130">
        <v>0.4</v>
      </c>
    </row>
    <row r="277" spans="1:3" x14ac:dyDescent="0.2">
      <c r="A277" s="83" t="s">
        <v>219</v>
      </c>
      <c r="B277" s="130">
        <v>5</v>
      </c>
      <c r="C277" s="52" t="s">
        <v>112</v>
      </c>
    </row>
    <row r="278" spans="1:3" x14ac:dyDescent="0.2">
      <c r="A278" s="83" t="s">
        <v>220</v>
      </c>
      <c r="B278" s="130">
        <v>50</v>
      </c>
      <c r="C278" s="52" t="s">
        <v>113</v>
      </c>
    </row>
    <row r="279" spans="1:3" x14ac:dyDescent="0.2">
      <c r="A279" s="52" t="s">
        <v>319</v>
      </c>
      <c r="B279" s="131">
        <v>2.41E-4</v>
      </c>
    </row>
    <row r="280" spans="1:3" x14ac:dyDescent="0.2">
      <c r="A280" s="52" t="s">
        <v>320</v>
      </c>
      <c r="B280" s="131">
        <v>0.753</v>
      </c>
    </row>
    <row r="281" spans="1:3" x14ac:dyDescent="0.2">
      <c r="A281" s="52" t="s">
        <v>321</v>
      </c>
      <c r="B281" s="131">
        <v>1.5699999999999999E-5</v>
      </c>
    </row>
    <row r="282" spans="1:3" x14ac:dyDescent="0.2">
      <c r="A282" s="52" t="s">
        <v>322</v>
      </c>
      <c r="B282" s="131">
        <v>0.80900000000000005</v>
      </c>
    </row>
    <row r="283" spans="1:3" x14ac:dyDescent="0.2">
      <c r="A283" s="52" t="s">
        <v>323</v>
      </c>
      <c r="B283" s="131">
        <v>1.17E-4</v>
      </c>
    </row>
    <row r="284" spans="1:3" x14ac:dyDescent="0.2">
      <c r="A284" s="52" t="s">
        <v>324</v>
      </c>
      <c r="B284" s="131">
        <v>0.74299999999999999</v>
      </c>
    </row>
    <row r="285" spans="1:3" x14ac:dyDescent="0.2">
      <c r="A285" s="52" t="s">
        <v>325</v>
      </c>
      <c r="B285" s="131">
        <v>1.35E-4</v>
      </c>
    </row>
    <row r="286" spans="1:3" x14ac:dyDescent="0.2">
      <c r="A286" s="52" t="s">
        <v>326</v>
      </c>
      <c r="B286" s="131">
        <v>0.71099999999999997</v>
      </c>
    </row>
    <row r="287" spans="1:3" x14ac:dyDescent="0.2">
      <c r="A287" s="52" t="s">
        <v>327</v>
      </c>
      <c r="B287" s="131">
        <v>2.2599999999999999E-4</v>
      </c>
    </row>
    <row r="288" spans="1:3" x14ac:dyDescent="0.2">
      <c r="A288" s="52" t="s">
        <v>328</v>
      </c>
      <c r="B288" s="131">
        <v>0.66200000000000003</v>
      </c>
    </row>
    <row r="289" spans="1:3" x14ac:dyDescent="0.2">
      <c r="A289" s="370" t="s">
        <v>315</v>
      </c>
      <c r="B289" s="370"/>
      <c r="C289" s="370"/>
    </row>
    <row r="290" spans="1:3" x14ac:dyDescent="0.2">
      <c r="A290" s="52" t="s">
        <v>348</v>
      </c>
      <c r="B290" s="130">
        <v>60</v>
      </c>
      <c r="C290" s="84" t="s">
        <v>407</v>
      </c>
    </row>
    <row r="291" spans="1:3" x14ac:dyDescent="0.2">
      <c r="A291" s="83" t="s">
        <v>191</v>
      </c>
      <c r="B291" s="130">
        <v>250</v>
      </c>
      <c r="C291" s="52" t="s">
        <v>24</v>
      </c>
    </row>
    <row r="292" spans="1:3" x14ac:dyDescent="0.2">
      <c r="A292" s="83" t="s">
        <v>158</v>
      </c>
      <c r="B292" s="131">
        <v>1</v>
      </c>
      <c r="C292" s="52" t="s">
        <v>60</v>
      </c>
    </row>
    <row r="293" spans="1:3" x14ac:dyDescent="0.2">
      <c r="A293" s="83" t="s">
        <v>502</v>
      </c>
      <c r="B293" s="130">
        <v>330</v>
      </c>
      <c r="C293" s="84" t="s">
        <v>48</v>
      </c>
    </row>
    <row r="294" spans="1:3" x14ac:dyDescent="0.2">
      <c r="A294" s="83" t="s">
        <v>300</v>
      </c>
      <c r="B294" s="131">
        <v>1</v>
      </c>
    </row>
    <row r="295" spans="1:3" x14ac:dyDescent="0.2">
      <c r="A295" s="83" t="s">
        <v>299</v>
      </c>
      <c r="B295" s="131">
        <v>0.4</v>
      </c>
    </row>
    <row r="296" spans="1:3" x14ac:dyDescent="0.2">
      <c r="A296" s="83" t="s">
        <v>54</v>
      </c>
      <c r="B296" s="131">
        <v>1</v>
      </c>
    </row>
    <row r="297" spans="1:3" x14ac:dyDescent="0.2">
      <c r="A297" s="83" t="s">
        <v>83</v>
      </c>
      <c r="B297" s="130">
        <v>8</v>
      </c>
      <c r="C297" s="52" t="s">
        <v>194</v>
      </c>
    </row>
    <row r="298" spans="1:3" x14ac:dyDescent="0.2">
      <c r="A298" s="83" t="s">
        <v>85</v>
      </c>
      <c r="B298" s="130">
        <v>8</v>
      </c>
      <c r="C298" s="52" t="s">
        <v>194</v>
      </c>
    </row>
    <row r="299" spans="1:3" x14ac:dyDescent="0.2">
      <c r="A299" s="83" t="s">
        <v>88</v>
      </c>
      <c r="B299" s="130">
        <v>0.4</v>
      </c>
    </row>
    <row r="300" spans="1:3" x14ac:dyDescent="0.2">
      <c r="A300" s="83" t="s">
        <v>219</v>
      </c>
      <c r="B300" s="130">
        <v>5</v>
      </c>
      <c r="C300" s="52" t="s">
        <v>112</v>
      </c>
    </row>
    <row r="301" spans="1:3" x14ac:dyDescent="0.2">
      <c r="A301" s="83" t="s">
        <v>220</v>
      </c>
      <c r="B301" s="130">
        <v>50</v>
      </c>
      <c r="C301" s="52" t="s">
        <v>113</v>
      </c>
    </row>
  </sheetData>
  <mergeCells count="346">
    <mergeCell ref="HD21:HF21"/>
    <mergeCell ref="G2:G4"/>
    <mergeCell ref="H2:H4"/>
    <mergeCell ref="I2:I4"/>
    <mergeCell ref="J2:J4"/>
    <mergeCell ref="K2:K4"/>
    <mergeCell ref="L2:L4"/>
    <mergeCell ref="HD1:HF1"/>
    <mergeCell ref="GO2:GO4"/>
    <mergeCell ref="GP2:GP4"/>
    <mergeCell ref="GQ2:GQ4"/>
    <mergeCell ref="GR2:GR4"/>
    <mergeCell ref="GS2:GS4"/>
    <mergeCell ref="GT2:GT4"/>
    <mergeCell ref="GU2:GU4"/>
    <mergeCell ref="GV2:GV4"/>
    <mergeCell ref="GW2:GW4"/>
    <mergeCell ref="GX2:GX4"/>
    <mergeCell ref="GY2:GY4"/>
    <mergeCell ref="GZ2:GZ4"/>
    <mergeCell ref="HA2:HA4"/>
    <mergeCell ref="HB2:HB4"/>
    <mergeCell ref="HC2:HC4"/>
    <mergeCell ref="GO1:GQ1"/>
    <mergeCell ref="GR1:GT1"/>
    <mergeCell ref="GU1:GW1"/>
    <mergeCell ref="GX1:GZ1"/>
    <mergeCell ref="HA1:HC1"/>
    <mergeCell ref="GJ2:GJ4"/>
    <mergeCell ref="GK2:GK4"/>
    <mergeCell ref="GL2:GL4"/>
    <mergeCell ref="GM2:GM4"/>
    <mergeCell ref="GN2:GN4"/>
    <mergeCell ref="FZ1:GB1"/>
    <mergeCell ref="GC1:GE1"/>
    <mergeCell ref="GF1:GH1"/>
    <mergeCell ref="GI1:GK1"/>
    <mergeCell ref="GL1:GN1"/>
    <mergeCell ref="FU2:FU4"/>
    <mergeCell ref="FV2:FV4"/>
    <mergeCell ref="FW2:FW4"/>
    <mergeCell ref="FX2:FX4"/>
    <mergeCell ref="FY2:FY4"/>
    <mergeCell ref="GE2:GE4"/>
    <mergeCell ref="GF2:GF4"/>
    <mergeCell ref="GG2:GG4"/>
    <mergeCell ref="GH2:GH4"/>
    <mergeCell ref="GI2:GI4"/>
    <mergeCell ref="FZ2:FZ4"/>
    <mergeCell ref="GA2:GA4"/>
    <mergeCell ref="GB2:GB4"/>
    <mergeCell ref="GC2:GC4"/>
    <mergeCell ref="GD2:GD4"/>
    <mergeCell ref="FK1:FM1"/>
    <mergeCell ref="FN1:FP1"/>
    <mergeCell ref="FQ1:FS1"/>
    <mergeCell ref="FT1:FV1"/>
    <mergeCell ref="FW1:FX1"/>
    <mergeCell ref="FF2:FF4"/>
    <mergeCell ref="FG2:FG4"/>
    <mergeCell ref="FH2:FH4"/>
    <mergeCell ref="FI2:FI4"/>
    <mergeCell ref="FJ2:FJ4"/>
    <mergeCell ref="FP2:FP4"/>
    <mergeCell ref="FQ2:FQ4"/>
    <mergeCell ref="FR2:FR4"/>
    <mergeCell ref="FS2:FS4"/>
    <mergeCell ref="FT2:FT4"/>
    <mergeCell ref="FK2:FK4"/>
    <mergeCell ref="FL2:FL4"/>
    <mergeCell ref="FM2:FM4"/>
    <mergeCell ref="FN2:FN4"/>
    <mergeCell ref="FO2:FO4"/>
    <mergeCell ref="EV1:EX1"/>
    <mergeCell ref="EY1:FA1"/>
    <mergeCell ref="FB1:FD1"/>
    <mergeCell ref="FE1:FG1"/>
    <mergeCell ref="FH1:FJ1"/>
    <mergeCell ref="EQ2:EQ4"/>
    <mergeCell ref="ER2:ER4"/>
    <mergeCell ref="ES2:ES4"/>
    <mergeCell ref="ET2:ET4"/>
    <mergeCell ref="EU2:EU4"/>
    <mergeCell ref="ES1:EU1"/>
    <mergeCell ref="FA2:FA4"/>
    <mergeCell ref="FB2:FB4"/>
    <mergeCell ref="FC2:FC4"/>
    <mergeCell ref="FD2:FD4"/>
    <mergeCell ref="FE2:FE4"/>
    <mergeCell ref="EV2:EV4"/>
    <mergeCell ref="EW2:EW4"/>
    <mergeCell ref="EX2:EX4"/>
    <mergeCell ref="EY2:EY4"/>
    <mergeCell ref="EZ2:EZ4"/>
    <mergeCell ref="EL2:EL4"/>
    <mergeCell ref="EM2:EM4"/>
    <mergeCell ref="EN2:EN4"/>
    <mergeCell ref="EO2:EO4"/>
    <mergeCell ref="EP2:EP4"/>
    <mergeCell ref="EG2:EG4"/>
    <mergeCell ref="EH2:EH4"/>
    <mergeCell ref="EI2:EI4"/>
    <mergeCell ref="EJ2:EJ4"/>
    <mergeCell ref="EK2:EK4"/>
    <mergeCell ref="EB2:EB4"/>
    <mergeCell ref="EC2:EC4"/>
    <mergeCell ref="ED2:ED4"/>
    <mergeCell ref="EE2:EE4"/>
    <mergeCell ref="EF2:EF4"/>
    <mergeCell ref="DW2:DW4"/>
    <mergeCell ref="DX2:DX4"/>
    <mergeCell ref="DY2:DY4"/>
    <mergeCell ref="DZ2:DZ4"/>
    <mergeCell ref="EA2:EA4"/>
    <mergeCell ref="EG1:EI1"/>
    <mergeCell ref="EJ1:EL1"/>
    <mergeCell ref="EM1:EO1"/>
    <mergeCell ref="EP1:ER1"/>
    <mergeCell ref="DR1:DT1"/>
    <mergeCell ref="DU1:DW1"/>
    <mergeCell ref="DX1:DZ1"/>
    <mergeCell ref="EA1:EC1"/>
    <mergeCell ref="ED1:EF1"/>
    <mergeCell ref="DI2:DI4"/>
    <mergeCell ref="DJ2:DJ4"/>
    <mergeCell ref="DK2:DK4"/>
    <mergeCell ref="DL2:DL4"/>
    <mergeCell ref="DR2:DR4"/>
    <mergeCell ref="DS2:DS4"/>
    <mergeCell ref="DT2:DT4"/>
    <mergeCell ref="DU2:DU4"/>
    <mergeCell ref="DV2:DV4"/>
    <mergeCell ref="DO1:DQ1"/>
    <mergeCell ref="CW1:CY1"/>
    <mergeCell ref="CZ1:DB1"/>
    <mergeCell ref="CT2:CT4"/>
    <mergeCell ref="CU2:CU4"/>
    <mergeCell ref="CV2:CV4"/>
    <mergeCell ref="CZ2:CZ4"/>
    <mergeCell ref="DA2:DA4"/>
    <mergeCell ref="DB2:DB4"/>
    <mergeCell ref="DC2:DC4"/>
    <mergeCell ref="DD2:DD4"/>
    <mergeCell ref="DE2:DE4"/>
    <mergeCell ref="DF2:DF4"/>
    <mergeCell ref="DG2:DG4"/>
    <mergeCell ref="DC1:DE1"/>
    <mergeCell ref="DF1:DH1"/>
    <mergeCell ref="DI1:DK1"/>
    <mergeCell ref="DL1:DN1"/>
    <mergeCell ref="DM2:DM4"/>
    <mergeCell ref="DN2:DN4"/>
    <mergeCell ref="DO2:DO4"/>
    <mergeCell ref="DP2:DP4"/>
    <mergeCell ref="DQ2:DQ4"/>
    <mergeCell ref="DH2:DH4"/>
    <mergeCell ref="CN2:CN4"/>
    <mergeCell ref="CM2:CM4"/>
    <mergeCell ref="CL2:CL4"/>
    <mergeCell ref="CK2:CK4"/>
    <mergeCell ref="CT1:CV1"/>
    <mergeCell ref="CS2:CS4"/>
    <mergeCell ref="CR2:CR4"/>
    <mergeCell ref="CQ2:CQ4"/>
    <mergeCell ref="CP2:CP4"/>
    <mergeCell ref="CO2:CO4"/>
    <mergeCell ref="CN1:CP1"/>
    <mergeCell ref="CP20:CP22"/>
    <mergeCell ref="CQ20:CQ22"/>
    <mergeCell ref="CR20:CR22"/>
    <mergeCell ref="CS20:CS22"/>
    <mergeCell ref="CG19:CG21"/>
    <mergeCell ref="CK20:CK22"/>
    <mergeCell ref="CL20:CL22"/>
    <mergeCell ref="CM20:CM22"/>
    <mergeCell ref="CN20:CN22"/>
    <mergeCell ref="CC19:CC21"/>
    <mergeCell ref="CD19:CD21"/>
    <mergeCell ref="CE19:CE21"/>
    <mergeCell ref="CF19:CF21"/>
    <mergeCell ref="CQ1:CS1"/>
    <mergeCell ref="CB18:CD18"/>
    <mergeCell ref="CE18:CG18"/>
    <mergeCell ref="CK19:CM19"/>
    <mergeCell ref="CN19:CP19"/>
    <mergeCell ref="CQ19:CS19"/>
    <mergeCell ref="CJ2:CJ4"/>
    <mergeCell ref="CI2:CI4"/>
    <mergeCell ref="CH2:CH4"/>
    <mergeCell ref="CG2:CG4"/>
    <mergeCell ref="CF2:CF4"/>
    <mergeCell ref="CE2:CE4"/>
    <mergeCell ref="CD2:CD4"/>
    <mergeCell ref="CC2:CC4"/>
    <mergeCell ref="CB2:CB4"/>
    <mergeCell ref="CB1:CD1"/>
    <mergeCell ref="CE1:CG1"/>
    <mergeCell ref="CH1:CJ1"/>
    <mergeCell ref="CK1:CM1"/>
    <mergeCell ref="CO20:CO22"/>
    <mergeCell ref="BJ1:BL1"/>
    <mergeCell ref="BM1:BO1"/>
    <mergeCell ref="BP1:BR1"/>
    <mergeCell ref="AU1:AW1"/>
    <mergeCell ref="AX1:AZ1"/>
    <mergeCell ref="BA1:BC1"/>
    <mergeCell ref="BD1:BF1"/>
    <mergeCell ref="BG1:BI1"/>
    <mergeCell ref="CB19:CB21"/>
    <mergeCell ref="BS1:BU1"/>
    <mergeCell ref="BV1:BX1"/>
    <mergeCell ref="BY1:CA1"/>
    <mergeCell ref="BV2:BV4"/>
    <mergeCell ref="BW2:BW4"/>
    <mergeCell ref="BX2:BX4"/>
    <mergeCell ref="BY2:BY4"/>
    <mergeCell ref="BZ2:BZ4"/>
    <mergeCell ref="CA2:CA4"/>
    <mergeCell ref="BJ21:BJ23"/>
    <mergeCell ref="AS21:AS23"/>
    <mergeCell ref="AV21:AV23"/>
    <mergeCell ref="AU21:AU23"/>
    <mergeCell ref="BN2:BN4"/>
    <mergeCell ref="BM2:BM4"/>
    <mergeCell ref="BK2:BK4"/>
    <mergeCell ref="BJ2:BJ4"/>
    <mergeCell ref="BH2:BH4"/>
    <mergeCell ref="BG2:BG4"/>
    <mergeCell ref="BE2:BE4"/>
    <mergeCell ref="BD2:BD4"/>
    <mergeCell ref="BB2:BB4"/>
    <mergeCell ref="BA2:BA4"/>
    <mergeCell ref="BA21:BA23"/>
    <mergeCell ref="BB21:BB23"/>
    <mergeCell ref="AW21:AW23"/>
    <mergeCell ref="AW2:AW4"/>
    <mergeCell ref="AT2:AT4"/>
    <mergeCell ref="AY2:AY4"/>
    <mergeCell ref="AJ21:AJ23"/>
    <mergeCell ref="AL21:AL23"/>
    <mergeCell ref="AM21:AM23"/>
    <mergeCell ref="AR21:AR23"/>
    <mergeCell ref="BL21:BL23"/>
    <mergeCell ref="BO21:BO23"/>
    <mergeCell ref="BR2:BR4"/>
    <mergeCell ref="BO2:BO4"/>
    <mergeCell ref="BL2:BL4"/>
    <mergeCell ref="BQ2:BQ4"/>
    <mergeCell ref="BC21:BC23"/>
    <mergeCell ref="BF21:BF23"/>
    <mergeCell ref="BI2:BI4"/>
    <mergeCell ref="BF2:BF4"/>
    <mergeCell ref="BC2:BC4"/>
    <mergeCell ref="AN21:AN23"/>
    <mergeCell ref="AQ2:AQ4"/>
    <mergeCell ref="AN2:AN4"/>
    <mergeCell ref="AZ2:AZ4"/>
    <mergeCell ref="AT21:AT23"/>
    <mergeCell ref="BK21:BK23"/>
    <mergeCell ref="BM21:BM23"/>
    <mergeCell ref="BN21:BN23"/>
    <mergeCell ref="BP2:BP4"/>
    <mergeCell ref="AI1:AK1"/>
    <mergeCell ref="AL1:AN1"/>
    <mergeCell ref="AO1:AQ1"/>
    <mergeCell ref="AR1:AT1"/>
    <mergeCell ref="AI2:AI4"/>
    <mergeCell ref="AC2:AC4"/>
    <mergeCell ref="AD2:AD4"/>
    <mergeCell ref="AE2:AE4"/>
    <mergeCell ref="AF2:AF4"/>
    <mergeCell ref="AG2:AG4"/>
    <mergeCell ref="AK2:AK4"/>
    <mergeCell ref="AM2:AM4"/>
    <mergeCell ref="AJ2:AJ4"/>
    <mergeCell ref="AO2:AO4"/>
    <mergeCell ref="AL2:AL4"/>
    <mergeCell ref="AS2:AS4"/>
    <mergeCell ref="AR2:AR4"/>
    <mergeCell ref="AP2:AP4"/>
    <mergeCell ref="A265:C265"/>
    <mergeCell ref="A289:C289"/>
    <mergeCell ref="A37:C37"/>
    <mergeCell ref="A81:C81"/>
    <mergeCell ref="A92:C92"/>
    <mergeCell ref="A140:C140"/>
    <mergeCell ref="A229:C229"/>
    <mergeCell ref="A241:C241"/>
    <mergeCell ref="A1:C1"/>
    <mergeCell ref="A2:C4"/>
    <mergeCell ref="V1:X1"/>
    <mergeCell ref="Y1:AA1"/>
    <mergeCell ref="V23:X23"/>
    <mergeCell ref="Y23:AA23"/>
    <mergeCell ref="AB1:AB4"/>
    <mergeCell ref="A253:C253"/>
    <mergeCell ref="D43:D44"/>
    <mergeCell ref="E43:E44"/>
    <mergeCell ref="F43:F44"/>
    <mergeCell ref="O2:O4"/>
    <mergeCell ref="P2:P4"/>
    <mergeCell ref="Q2:Q4"/>
    <mergeCell ref="R2:R4"/>
    <mergeCell ref="S2:S4"/>
    <mergeCell ref="G1:I1"/>
    <mergeCell ref="J1:L1"/>
    <mergeCell ref="M20:O20"/>
    <mergeCell ref="P20:R20"/>
    <mergeCell ref="M21:M23"/>
    <mergeCell ref="N21:N23"/>
    <mergeCell ref="O21:O23"/>
    <mergeCell ref="D1:F1"/>
    <mergeCell ref="P21:P23"/>
    <mergeCell ref="Q21:Q23"/>
    <mergeCell ref="R21:R23"/>
    <mergeCell ref="M1:O1"/>
    <mergeCell ref="P1:R1"/>
    <mergeCell ref="T2:T4"/>
    <mergeCell ref="U2:U4"/>
    <mergeCell ref="S1:U1"/>
    <mergeCell ref="M2:M4"/>
    <mergeCell ref="N2:N4"/>
    <mergeCell ref="CC35:CG38"/>
    <mergeCell ref="AE36:AG38"/>
    <mergeCell ref="BK39:BO42"/>
    <mergeCell ref="D30:F30"/>
    <mergeCell ref="D31:D32"/>
    <mergeCell ref="E31:E32"/>
    <mergeCell ref="F31:F32"/>
    <mergeCell ref="AH2:AH4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AX2:AX4"/>
    <mergeCell ref="AV2:AV4"/>
    <mergeCell ref="AU2:AU4"/>
    <mergeCell ref="BD21:BD23"/>
    <mergeCell ref="BE21:BE23"/>
    <mergeCell ref="AK21:AK23"/>
    <mergeCell ref="D42:F42"/>
    <mergeCell ref="AI21:AI2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301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H14" sqref="H14"/>
    </sheetView>
  </sheetViews>
  <sheetFormatPr defaultRowHeight="12.75" x14ac:dyDescent="0.2"/>
  <cols>
    <col min="1" max="1" width="13.7109375" style="52" bestFit="1" customWidth="1"/>
    <col min="2" max="2" width="10.85546875" style="52" bestFit="1" customWidth="1"/>
    <col min="3" max="3" width="20.1406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85546875" style="52" bestFit="1" customWidth="1"/>
    <col min="79" max="79" width="18.85546875" style="52" bestFit="1" customWidth="1"/>
    <col min="80" max="80" width="11" style="52" bestFit="1" customWidth="1"/>
    <col min="81" max="81" width="10.85546875" style="52" bestFit="1" customWidth="1"/>
    <col min="82" max="82" width="20.28515625" style="52" bestFit="1" customWidth="1"/>
    <col min="83" max="83" width="12.42578125" style="52" bestFit="1" customWidth="1"/>
    <col min="84" max="84" width="9.85546875" style="52" bestFit="1" customWidth="1"/>
    <col min="85" max="85" width="20.28515625" style="52" bestFit="1" customWidth="1"/>
    <col min="86" max="86" width="13.5703125" style="52" bestFit="1" customWidth="1"/>
    <col min="87" max="87" width="9.8554687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5.57031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8.85546875" style="52" bestFit="1" customWidth="1"/>
    <col min="142" max="142" width="7" style="52" bestFit="1" customWidth="1"/>
    <col min="143" max="143" width="12" style="52" bestFit="1" customWidth="1"/>
    <col min="144" max="144" width="9.28515625" style="52" bestFit="1" customWidth="1"/>
    <col min="145" max="145" width="7" style="52" bestFit="1" customWidth="1"/>
    <col min="146" max="146" width="12" style="52" bestFit="1" customWidth="1"/>
    <col min="147" max="147" width="8.85546875" style="52" bestFit="1" customWidth="1"/>
    <col min="148" max="148" width="7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7" style="52" bestFit="1" customWidth="1"/>
    <col min="158" max="158" width="12" style="52" bestFit="1" customWidth="1"/>
    <col min="159" max="159" width="9.28515625" style="52" bestFit="1" customWidth="1"/>
    <col min="160" max="160" width="7" style="52" bestFit="1" customWidth="1"/>
    <col min="161" max="161" width="12" style="52" bestFit="1" customWidth="1"/>
    <col min="162" max="162" width="8.85546875" style="52" bestFit="1" customWidth="1"/>
    <col min="163" max="163" width="7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5.57031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5.57031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9.28515625" style="52" bestFit="1" customWidth="1"/>
    <col min="187" max="187" width="6" style="52" bestFit="1" customWidth="1"/>
    <col min="188" max="188" width="12" style="52" bestFit="1" customWidth="1"/>
    <col min="189" max="189" width="9.28515625" style="52" bestFit="1" customWidth="1"/>
    <col min="190" max="190" width="7" style="52" bestFit="1" customWidth="1"/>
    <col min="191" max="191" width="12" style="52" bestFit="1" customWidth="1"/>
    <col min="192" max="192" width="9.28515625" style="52" bestFit="1" customWidth="1"/>
    <col min="193" max="193" width="7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7" style="52" bestFit="1" customWidth="1"/>
    <col min="203" max="203" width="12" style="52" bestFit="1" customWidth="1"/>
    <col min="204" max="204" width="9.28515625" style="52" bestFit="1" customWidth="1"/>
    <col min="205" max="205" width="7" style="52" bestFit="1" customWidth="1"/>
    <col min="206" max="206" width="12" style="52" bestFit="1" customWidth="1"/>
    <col min="207" max="207" width="9.28515625" style="52" bestFit="1" customWidth="1"/>
    <col min="208" max="208" width="7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13" style="52" bestFit="1" customWidth="1"/>
    <col min="214" max="214" width="20.5703125" style="52" bestFit="1" customWidth="1"/>
    <col min="215" max="16384" width="9.140625" style="52"/>
  </cols>
  <sheetData>
    <row r="1" spans="1:214" ht="21.75" customHeight="1" thickTop="1" thickBot="1" x14ac:dyDescent="0.25">
      <c r="A1" s="649" t="s">
        <v>8</v>
      </c>
      <c r="B1" s="650"/>
      <c r="C1" s="651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532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658" t="s">
        <v>557</v>
      </c>
      <c r="AJ1" s="659"/>
      <c r="AK1" s="660"/>
      <c r="AL1" s="661" t="s">
        <v>546</v>
      </c>
      <c r="AM1" s="659"/>
      <c r="AN1" s="660"/>
      <c r="AO1" s="661" t="s">
        <v>547</v>
      </c>
      <c r="AP1" s="659"/>
      <c r="AQ1" s="662"/>
      <c r="AR1" s="658" t="s">
        <v>559</v>
      </c>
      <c r="AS1" s="659"/>
      <c r="AT1" s="660"/>
      <c r="AU1" s="661" t="s">
        <v>548</v>
      </c>
      <c r="AV1" s="659"/>
      <c r="AW1" s="660"/>
      <c r="AX1" s="661" t="s">
        <v>549</v>
      </c>
      <c r="AY1" s="659"/>
      <c r="AZ1" s="662"/>
      <c r="BA1" s="658" t="s">
        <v>561</v>
      </c>
      <c r="BB1" s="659"/>
      <c r="BC1" s="660"/>
      <c r="BD1" s="661" t="s">
        <v>551</v>
      </c>
      <c r="BE1" s="659"/>
      <c r="BF1" s="660"/>
      <c r="BG1" s="661" t="s">
        <v>552</v>
      </c>
      <c r="BH1" s="659"/>
      <c r="BI1" s="662"/>
      <c r="BJ1" s="658" t="s">
        <v>564</v>
      </c>
      <c r="BK1" s="659"/>
      <c r="BL1" s="660"/>
      <c r="BM1" s="661" t="s">
        <v>554</v>
      </c>
      <c r="BN1" s="659"/>
      <c r="BO1" s="660"/>
      <c r="BP1" s="661" t="s">
        <v>555</v>
      </c>
      <c r="BQ1" s="659"/>
      <c r="BR1" s="662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675" t="s">
        <v>569</v>
      </c>
      <c r="CC1" s="673"/>
      <c r="CD1" s="673"/>
      <c r="CE1" s="676" t="s">
        <v>570</v>
      </c>
      <c r="CF1" s="673"/>
      <c r="CG1" s="677"/>
      <c r="CH1" s="673" t="s">
        <v>571</v>
      </c>
      <c r="CI1" s="673"/>
      <c r="CJ1" s="674"/>
      <c r="CK1" s="675" t="s">
        <v>575</v>
      </c>
      <c r="CL1" s="673"/>
      <c r="CM1" s="673"/>
      <c r="CN1" s="676" t="s">
        <v>575</v>
      </c>
      <c r="CO1" s="673"/>
      <c r="CP1" s="677"/>
      <c r="CQ1" s="673" t="s">
        <v>575</v>
      </c>
      <c r="CR1" s="673"/>
      <c r="CS1" s="674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3.5" customHeight="1" thickTop="1" x14ac:dyDescent="0.2">
      <c r="A2" s="372" t="s">
        <v>233</v>
      </c>
      <c r="B2" s="373"/>
      <c r="C2" s="374"/>
      <c r="D2" s="193"/>
      <c r="E2" s="194"/>
      <c r="F2" s="194"/>
      <c r="G2" s="363" t="s">
        <v>531</v>
      </c>
      <c r="H2" s="360">
        <f>1/((1/H10)+(1/H12)+(1/H13))</f>
        <v>0.11385757303011831</v>
      </c>
      <c r="I2" s="625" t="s">
        <v>291</v>
      </c>
      <c r="J2" s="622" t="s">
        <v>531</v>
      </c>
      <c r="K2" s="360">
        <f>1/((1/K14)+(1/K15)+(1/K16)+(1/K17))</f>
        <v>2.6843473853984747E-2</v>
      </c>
      <c r="L2" s="345" t="s">
        <v>290</v>
      </c>
      <c r="M2" s="330" t="s">
        <v>537</v>
      </c>
      <c r="N2" s="333">
        <f>((N5*N6*N7)/((1-EXP(-N7*N6))*N15*N13*(N9/365)*(((N14/24)*N12)+((N16/24)*N11))))/N17</f>
        <v>3.5253624192746628E-2</v>
      </c>
      <c r="O2" s="336" t="s">
        <v>290</v>
      </c>
      <c r="P2" s="339" t="s">
        <v>537</v>
      </c>
      <c r="Q2" s="333">
        <f>((Q5*Q6*Q7)/((1-EXP(-Q7*Q6))*Q15*Q13*(Q9/365)*(((Q14/24)*Q12)+((Q16/24)*Q11))))/Q17</f>
        <v>0.17730499226351981</v>
      </c>
      <c r="R2" s="336" t="s">
        <v>290</v>
      </c>
      <c r="S2" s="339" t="s">
        <v>537</v>
      </c>
      <c r="T2" s="333">
        <f>((T5*T6*T7)/((1-EXP(-T7*T6))*T15*T13*(T9/365)*(((T14/24)*T12)+((T16/24)*T11))))/T17</f>
        <v>3.9660327216839958E-2</v>
      </c>
      <c r="U2" s="342" t="s">
        <v>290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5.1230993999860405E-2</v>
      </c>
      <c r="AD2" s="315">
        <f>1/((1/AD29)+(1/AD30)+(1/AD31))</f>
        <v>0.12802222239343028</v>
      </c>
      <c r="AE2" s="315">
        <f>1/((1/AE29)+(1/AE30)+(1/AE31))</f>
        <v>5.6923326666511564E-2</v>
      </c>
      <c r="AF2" s="315">
        <f>1/((1/AF29)+(1/AF30)+(1/AF31))</f>
        <v>7.0924430245390617</v>
      </c>
      <c r="AG2" s="320">
        <f>1/((1/AG29)+(1/AG31)+(1/AG30))</f>
        <v>8.7143432911472516</v>
      </c>
      <c r="AH2" s="318" t="s">
        <v>290</v>
      </c>
      <c r="AI2" s="307" t="s">
        <v>537</v>
      </c>
      <c r="AJ2" s="304">
        <f>((AJ5*AJ6*AJ7)/((1-EXP(-AJ7*AJ6))*AJ15*(AJ9/365)*AJ10*(AJ16/24)*AJ11*AJ13))/AJ17</f>
        <v>0.12829851452466284</v>
      </c>
      <c r="AK2" s="291" t="s">
        <v>290</v>
      </c>
      <c r="AL2" s="288" t="s">
        <v>537</v>
      </c>
      <c r="AM2" s="304">
        <f>((AM5*AM6*AM7)/((1-EXP(-AM7*AM6))*AM15*(AM9/365)*AM10*(AM16/24)*AM11*AM13))/AM17</f>
        <v>0.64526605834462769</v>
      </c>
      <c r="AN2" s="291" t="s">
        <v>290</v>
      </c>
      <c r="AO2" s="288" t="s">
        <v>537</v>
      </c>
      <c r="AP2" s="304">
        <f>((AP5*AP6*AP7)/((1-EXP(-AP7*AP6))*AP15*(AP9/365)*AP10*(AP16/24)*AP11*AP13))/AP17</f>
        <v>0.14433582884024565</v>
      </c>
      <c r="AQ2" s="282" t="s">
        <v>290</v>
      </c>
      <c r="AR2" s="665" t="s">
        <v>537</v>
      </c>
      <c r="AS2" s="304">
        <f>((AS5*AS6*AS7)/((1-EXP(-AS7*AS6))*AS15*(AS9/365)*AS10*(AS14/24)*AS12*AS13))/AS17</f>
        <v>5.7021562010961244E-2</v>
      </c>
      <c r="AT2" s="667" t="s">
        <v>290</v>
      </c>
      <c r="AU2" s="663" t="s">
        <v>537</v>
      </c>
      <c r="AV2" s="304">
        <f>((AV5*AV6*AV7)/((1-EXP(-AV7*AV6))*AV15*(AV9/365)*AV10*(AV14/24)*AV12*AV13))/AV17</f>
        <v>0.28678491481983459</v>
      </c>
      <c r="AW2" s="671" t="s">
        <v>290</v>
      </c>
      <c r="AX2" s="663" t="s">
        <v>537</v>
      </c>
      <c r="AY2" s="304">
        <f>((AY5*AY6*AY7)/((1-EXP(-AY7*AY6))*AY15*(AY9/365)*AY10*(AY14/24)*AY12*AY13))/AY17</f>
        <v>6.4149257262331408E-2</v>
      </c>
      <c r="AZ2" s="669" t="s">
        <v>290</v>
      </c>
      <c r="BA2" s="665" t="s">
        <v>537</v>
      </c>
      <c r="BB2" s="304">
        <f>((BB5*BB6*BB7)/((1-EXP(-BB7*BB6))*BB15*(BB9/365)*(BB14/24)*BB12*BB13))/BB17</f>
        <v>5.1319405809865132E-2</v>
      </c>
      <c r="BC2" s="667" t="s">
        <v>290</v>
      </c>
      <c r="BD2" s="663" t="s">
        <v>537</v>
      </c>
      <c r="BE2" s="304">
        <f>((BE5*BE6*BE7)/((1-EXP(-BE7*BE6))*BE15*(BE9/365)*(BE14/24)*BE12*BE13))/BE17</f>
        <v>0.25810642333785105</v>
      </c>
      <c r="BF2" s="667" t="s">
        <v>290</v>
      </c>
      <c r="BG2" s="663" t="s">
        <v>537</v>
      </c>
      <c r="BH2" s="304">
        <f>((BH5*BH6*BH7)/((1-EXP(-BH7*BH6))*BH15*(BH9/365)*(BH14/24)*BH12*BH13))/BH17</f>
        <v>5.7734331536098263E-2</v>
      </c>
      <c r="BI2" s="669" t="s">
        <v>290</v>
      </c>
      <c r="BJ2" s="665" t="s">
        <v>537</v>
      </c>
      <c r="BK2" s="285">
        <f>((BK5*BK6*BK7)/((1-EXP(-BK7*BK6))*BK16*(BK9/365)*(BK15/24)*BK13*BK14))/BK17</f>
        <v>282.79361563353854</v>
      </c>
      <c r="BL2" s="667" t="s">
        <v>290</v>
      </c>
      <c r="BM2" s="663" t="s">
        <v>537</v>
      </c>
      <c r="BN2" s="285">
        <f>((BN5*BN6*BN7)/((1-EXP(-BN7*BN6))*BN16*(BN9/365)*(BN15/24)*BN13*BN14))/BN17</f>
        <v>2969.0952978552082</v>
      </c>
      <c r="BO2" s="667" t="s">
        <v>290</v>
      </c>
      <c r="BP2" s="663" t="s">
        <v>537</v>
      </c>
      <c r="BQ2" s="285">
        <f>((BQ5*BQ6*BQ7)/((1-EXP(-BQ7*BQ6))*BQ16*(BQ9/365)*(BQ15/24)*BQ13*BQ14))/BQ17</f>
        <v>385.89372200156578</v>
      </c>
      <c r="BR2" s="669" t="s">
        <v>290</v>
      </c>
      <c r="BS2" s="214"/>
      <c r="BT2" s="120"/>
      <c r="BU2" s="215"/>
      <c r="BV2" s="258" t="s">
        <v>531</v>
      </c>
      <c r="BW2" s="261">
        <f>1/((1/BW10)+(1/BW12))</f>
        <v>0.69832596867845687</v>
      </c>
      <c r="BX2" s="278" t="s">
        <v>291</v>
      </c>
      <c r="BY2" s="258" t="s">
        <v>531</v>
      </c>
      <c r="BZ2" s="261">
        <f>1/((1/BZ13)+(1/BZ14)+(1/BZ15))</f>
        <v>81.716862251294344</v>
      </c>
      <c r="CA2" s="264" t="s">
        <v>290</v>
      </c>
      <c r="CB2" s="268" t="s">
        <v>537</v>
      </c>
      <c r="CC2" s="262">
        <f>((CC5*CC6*CC7)/((1-EXP(-CC7*CC6))*CC14*(CC9/365)*CC12*(CC13/24)*CC11))/CC15</f>
        <v>7541.1630835610258</v>
      </c>
      <c r="CD2" s="279" t="s">
        <v>290</v>
      </c>
      <c r="CE2" s="259" t="s">
        <v>537</v>
      </c>
      <c r="CF2" s="262">
        <f>((CF5*CF6*CF7)/((1-EXP(-CF7*CF6))*CF14*(CF9/365)*CF12*(CF13/24)*CF11))/CF15</f>
        <v>79175.87460947223</v>
      </c>
      <c r="CG2" s="279" t="s">
        <v>290</v>
      </c>
      <c r="CH2" s="259" t="s">
        <v>537</v>
      </c>
      <c r="CI2" s="262">
        <f>((CI5*CI6*CI7)/((1-EXP(-CI7*CI6))*CI14*(CI9/365)*CI12*(CI13/24)*CI11))/CI15</f>
        <v>10290.499253375088</v>
      </c>
      <c r="CJ2" s="265" t="s">
        <v>290</v>
      </c>
      <c r="CK2" s="268" t="s">
        <v>530</v>
      </c>
      <c r="CL2" s="262">
        <f>(CL5/(CL6*CL7*CL8))/CL9</f>
        <v>10.045597800819628</v>
      </c>
      <c r="CM2" s="279" t="s">
        <v>290</v>
      </c>
      <c r="CN2" s="259" t="s">
        <v>7</v>
      </c>
      <c r="CO2" s="262">
        <f>(CL2/(CO5*((CO10*CO12*CO13*(CO6+CO7))+(CO11*CO12))))*CO17</f>
        <v>2.94252556408845</v>
      </c>
      <c r="CP2" s="279" t="s">
        <v>290</v>
      </c>
      <c r="CQ2" s="259" t="s">
        <v>6</v>
      </c>
      <c r="CR2" s="262">
        <f>CL2/(CR5*CR6*(1/CR7))</f>
        <v>3720.5917780813438</v>
      </c>
      <c r="CS2" s="265" t="s">
        <v>290</v>
      </c>
      <c r="CT2" s="395" t="s">
        <v>531</v>
      </c>
      <c r="CU2" s="392">
        <f>1/((1/CU14)+(1/CU15)+(1/CU16)+(1/CU17)+(1/CU19)+(1/CU20)+(1/CU21)+(1/CU22)+(1/CU23)+(1/CU24))</f>
        <v>6.3067535279505397E-5</v>
      </c>
      <c r="CV2" s="389" t="s">
        <v>290</v>
      </c>
      <c r="CW2" s="218"/>
      <c r="CX2" s="219"/>
      <c r="CY2" s="219"/>
      <c r="CZ2" s="407" t="s">
        <v>531</v>
      </c>
      <c r="DA2" s="404">
        <f>1/((1/DA13)+(1/DA15)+(1/DA16))</f>
        <v>9.9363094870060134E-2</v>
      </c>
      <c r="DB2" s="401" t="s">
        <v>291</v>
      </c>
      <c r="DC2" s="442" t="s">
        <v>530</v>
      </c>
      <c r="DD2" s="439">
        <f>DD7</f>
        <v>7.8679365491899876E-3</v>
      </c>
      <c r="DE2" s="436" t="s">
        <v>290</v>
      </c>
      <c r="DF2" s="433" t="s">
        <v>530</v>
      </c>
      <c r="DG2" s="424">
        <f>DD7/((1/DG24)*(DG5+DG6+DG7))</f>
        <v>0.70686728581573832</v>
      </c>
      <c r="DH2" s="430" t="s">
        <v>291</v>
      </c>
      <c r="DI2" s="427" t="s">
        <v>530</v>
      </c>
      <c r="DJ2" s="424">
        <f>(DD7/(DJ5+DJ6))*DJ12</f>
        <v>2.7902583344750029E-2</v>
      </c>
      <c r="DK2" s="430" t="s">
        <v>290</v>
      </c>
      <c r="DL2" s="427" t="s">
        <v>581</v>
      </c>
      <c r="DM2" s="424">
        <f>((DD7)/(DM5+DM6))*DJ12</f>
        <v>2.7902583344750029E-2</v>
      </c>
      <c r="DN2" s="430" t="s">
        <v>290</v>
      </c>
      <c r="DO2" s="427" t="s">
        <v>582</v>
      </c>
      <c r="DP2" s="424">
        <f>-(DP5+DP6+DP7)/(DP23+DP24)</f>
        <v>-48.516527231988597</v>
      </c>
      <c r="DQ2" s="421" t="s">
        <v>18</v>
      </c>
      <c r="DR2" s="574" t="s">
        <v>530</v>
      </c>
      <c r="DS2" s="445">
        <f>DS7</f>
        <v>4.9923538624387087E-3</v>
      </c>
      <c r="DT2" s="484" t="s">
        <v>290</v>
      </c>
      <c r="DU2" s="481" t="s">
        <v>530</v>
      </c>
      <c r="DV2" s="463">
        <f>(DS7*DV8)/(DV5*DV6*(1/1000))</f>
        <v>12.150577689772849</v>
      </c>
      <c r="DW2" s="466" t="s">
        <v>291</v>
      </c>
      <c r="DX2" s="478" t="s">
        <v>530</v>
      </c>
      <c r="DY2" s="463">
        <f>(DS7*DY14)/(DY9*((DY10*DY12*DY13*(DY5+DY6))+(DY11*DY12)))*DY18</f>
        <v>0.18647723218547907</v>
      </c>
      <c r="DZ2" s="466" t="s">
        <v>290</v>
      </c>
      <c r="EA2" s="478" t="s">
        <v>581</v>
      </c>
      <c r="EB2" s="463">
        <f>(DS7*DY14)/(EB9*((EB10*EB12*EB13*(EB5+EB6))+(EB11*EB12)))*DY18</f>
        <v>0.18647723218547907</v>
      </c>
      <c r="EC2" s="466" t="s">
        <v>290</v>
      </c>
      <c r="ED2" s="478" t="s">
        <v>582</v>
      </c>
      <c r="EE2" s="463">
        <f>-EE15/((EE10*EE12*EE13*(EE5+EE6))+(EE11*EE12))</f>
        <v>-15.172254564045053</v>
      </c>
      <c r="EF2" s="460" t="s">
        <v>18</v>
      </c>
      <c r="EG2" s="475" t="s">
        <v>530</v>
      </c>
      <c r="EH2" s="469">
        <f>EH7</f>
        <v>1.3683552745609983E-2</v>
      </c>
      <c r="EI2" s="457" t="s">
        <v>290</v>
      </c>
      <c r="EJ2" s="472" t="s">
        <v>530</v>
      </c>
      <c r="EK2" s="454">
        <f>EH7/(EK5*EK6)</f>
        <v>1.1735465476509421E-2</v>
      </c>
      <c r="EL2" s="451" t="s">
        <v>291</v>
      </c>
      <c r="EM2" s="448" t="s">
        <v>530</v>
      </c>
      <c r="EN2" s="454">
        <f>(EH7/(EN9*((EN10*EN12*EN13*(EN5+EN6))+(EN11*EN12))))*EN17</f>
        <v>0.1662736156350462</v>
      </c>
      <c r="EO2" s="451" t="s">
        <v>290</v>
      </c>
      <c r="EP2" s="448" t="s">
        <v>581</v>
      </c>
      <c r="EQ2" s="454">
        <f>(EH7/(EQ9*((EQ10*EQ12*EQ13*(EQ5+EQ6))+(EQ11*EQ12))))*EN17</f>
        <v>0.1662736156350462</v>
      </c>
      <c r="ER2" s="451" t="s">
        <v>290</v>
      </c>
      <c r="ES2" s="448" t="s">
        <v>582</v>
      </c>
      <c r="ET2" s="454">
        <f>-ET15/((ET10*ET12*ET13*(ET5+ET6))+(ET11*ET12))</f>
        <v>-14.006971771987642</v>
      </c>
      <c r="EU2" s="499" t="s">
        <v>18</v>
      </c>
      <c r="EV2" s="496" t="s">
        <v>530</v>
      </c>
      <c r="EW2" s="493">
        <f>EW7</f>
        <v>4.576894913465443E-2</v>
      </c>
      <c r="EX2" s="490" t="s">
        <v>290</v>
      </c>
      <c r="EY2" s="487" t="s">
        <v>530</v>
      </c>
      <c r="EZ2" s="586">
        <f>EW7/(EZ5*EZ6*(1/EZ7))</f>
        <v>286.05593209159014</v>
      </c>
      <c r="FA2" s="592" t="s">
        <v>291</v>
      </c>
      <c r="FB2" s="589" t="s">
        <v>530</v>
      </c>
      <c r="FC2" s="586">
        <f>(EW7/(FC9*((FC10*FC12*FC13*(FC5+FC6))+(FC11*FC12))))*FC17</f>
        <v>1.4876820391697838</v>
      </c>
      <c r="FD2" s="595" t="s">
        <v>290</v>
      </c>
      <c r="FE2" s="589" t="s">
        <v>581</v>
      </c>
      <c r="FF2" s="586">
        <f>(EW7/(FF9*((FF10*FF12*FF13*(FF5+FF6))+(FF11*FF12))))*FC17</f>
        <v>1.4876820391697838</v>
      </c>
      <c r="FG2" s="592" t="s">
        <v>290</v>
      </c>
      <c r="FH2" s="589" t="s">
        <v>582</v>
      </c>
      <c r="FI2" s="586">
        <f>-FI15/((FI10*FI12*FI13*(FI5+FI6))+(FI11*FI12))</f>
        <v>-5.1413881748071981</v>
      </c>
      <c r="FJ2" s="583" t="s">
        <v>18</v>
      </c>
      <c r="FK2" s="580" t="s">
        <v>530</v>
      </c>
      <c r="FL2" s="577">
        <f>FL7</f>
        <v>1.5711467047482917E-2</v>
      </c>
      <c r="FM2" s="571" t="s">
        <v>290</v>
      </c>
      <c r="FN2" s="568" t="s">
        <v>530</v>
      </c>
      <c r="FO2" s="505">
        <f>FL7/(FO5*(1/FO6))</f>
        <v>6.2845868189931667E-3</v>
      </c>
      <c r="FP2" s="511" t="s">
        <v>291</v>
      </c>
      <c r="FQ2" s="508" t="s">
        <v>530</v>
      </c>
      <c r="FR2" s="505">
        <f>((FL7*FR6)/FR5)*FR10</f>
        <v>6.3570480968855092E-5</v>
      </c>
      <c r="FS2" s="511" t="s">
        <v>290</v>
      </c>
      <c r="FT2" s="508" t="s">
        <v>581</v>
      </c>
      <c r="FU2" s="505">
        <f>((FL7*FU6)/FU5)*FR10</f>
        <v>6.3570480968855092E-5</v>
      </c>
      <c r="FV2" s="511" t="s">
        <v>290</v>
      </c>
      <c r="FW2" s="508" t="s">
        <v>582</v>
      </c>
      <c r="FX2" s="505">
        <f>-FX5/FX6</f>
        <v>-0.01</v>
      </c>
      <c r="FY2" s="502" t="s">
        <v>18</v>
      </c>
      <c r="FZ2" s="556" t="s">
        <v>530</v>
      </c>
      <c r="GA2" s="553">
        <f>GA7</f>
        <v>2.2863814128259531E-2</v>
      </c>
      <c r="GB2" s="550" t="s">
        <v>290</v>
      </c>
      <c r="GC2" s="559" t="s">
        <v>530</v>
      </c>
      <c r="GD2" s="538">
        <f>GA7/(GD5*GD6*(1/GD7))</f>
        <v>21.170198266906972</v>
      </c>
      <c r="GE2" s="544" t="s">
        <v>291</v>
      </c>
      <c r="GF2" s="541" t="s">
        <v>530</v>
      </c>
      <c r="GG2" s="538">
        <f>(GA7/((GG9)*((GG10*GG12*GG13*(GG5+GG6))+(GG11*GG12))))*GG17</f>
        <v>0.1100991805940133</v>
      </c>
      <c r="GH2" s="544" t="s">
        <v>290</v>
      </c>
      <c r="GI2" s="541" t="s">
        <v>581</v>
      </c>
      <c r="GJ2" s="538">
        <f>(GA7/((GJ9)*((GJ10*GJ12*GJ13*(GJ5+GJ6))+(GJ11*GJ12))))*GG17</f>
        <v>0.1100991805940133</v>
      </c>
      <c r="GK2" s="544" t="s">
        <v>290</v>
      </c>
      <c r="GL2" s="541" t="s">
        <v>582</v>
      </c>
      <c r="GM2" s="538">
        <f>-GM15/((GM10*GM12*GM13*(GM5+GM6))+(GM11*GM12))</f>
        <v>-5.1413881748071981</v>
      </c>
      <c r="GN2" s="535" t="s">
        <v>18</v>
      </c>
      <c r="GO2" s="532" t="s">
        <v>530</v>
      </c>
      <c r="GP2" s="529">
        <f>GP7</f>
        <v>2.5033470172992612E-2</v>
      </c>
      <c r="GQ2" s="526" t="s">
        <v>290</v>
      </c>
      <c r="GR2" s="523" t="s">
        <v>530</v>
      </c>
      <c r="GS2" s="517">
        <f>GP7/(GS5*GS6*(1/GS7))</f>
        <v>10.979592181137109</v>
      </c>
      <c r="GT2" s="514" t="s">
        <v>291</v>
      </c>
      <c r="GU2" s="520" t="s">
        <v>530</v>
      </c>
      <c r="GV2" s="517">
        <f>(GP7/((GV9)*((GV10*GV12*GV13*(GV5+GV6))+(GV11*GV12))))*GV17</f>
        <v>7.5305139034379076E-2</v>
      </c>
      <c r="GW2" s="514" t="s">
        <v>290</v>
      </c>
      <c r="GX2" s="520" t="s">
        <v>581</v>
      </c>
      <c r="GY2" s="517">
        <f>(GP7/((GY9*((GY10*GY12*GY13*(GY5+GY6))+(GY11*GY12)))))*GV17</f>
        <v>7.5305139034379076E-2</v>
      </c>
      <c r="GZ2" s="514" t="s">
        <v>290</v>
      </c>
      <c r="HA2" s="520" t="s">
        <v>582</v>
      </c>
      <c r="HB2" s="517">
        <f>-HB15/((HB10*HB12*HB13*(HB5+HB6))+(HB11*HB12))</f>
        <v>-6.7804674953904707</v>
      </c>
      <c r="HC2" s="547" t="s">
        <v>18</v>
      </c>
      <c r="HD2" s="54"/>
      <c r="HE2" s="55"/>
      <c r="HF2" s="56"/>
    </row>
    <row r="3" spans="1:214" ht="12.75" customHeight="1" x14ac:dyDescent="0.2">
      <c r="A3" s="375"/>
      <c r="B3" s="376"/>
      <c r="C3" s="377"/>
      <c r="D3" s="189" t="s">
        <v>15</v>
      </c>
      <c r="E3" s="134">
        <f>1/((1/E19)+(1/E20))</f>
        <v>8.0987629802569036E-6</v>
      </c>
      <c r="F3" s="58" t="s">
        <v>289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3.8210903834828048E-5</v>
      </c>
      <c r="X3" s="62" t="s">
        <v>289</v>
      </c>
      <c r="Y3" s="202" t="s">
        <v>16</v>
      </c>
      <c r="Z3" s="187">
        <f>1/((1/Z18)+(1/Z19))</f>
        <v>3.4389813451345249E-5</v>
      </c>
      <c r="AA3" s="63" t="s">
        <v>289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665"/>
      <c r="AS3" s="304"/>
      <c r="AT3" s="667"/>
      <c r="AU3" s="663"/>
      <c r="AV3" s="304"/>
      <c r="AW3" s="671"/>
      <c r="AX3" s="663"/>
      <c r="AY3" s="304"/>
      <c r="AZ3" s="669"/>
      <c r="BA3" s="665"/>
      <c r="BB3" s="304"/>
      <c r="BC3" s="667"/>
      <c r="BD3" s="663"/>
      <c r="BE3" s="304"/>
      <c r="BF3" s="667"/>
      <c r="BG3" s="663"/>
      <c r="BH3" s="304"/>
      <c r="BI3" s="669"/>
      <c r="BJ3" s="665"/>
      <c r="BK3" s="285"/>
      <c r="BL3" s="667"/>
      <c r="BM3" s="663"/>
      <c r="BN3" s="285"/>
      <c r="BO3" s="667"/>
      <c r="BP3" s="663"/>
      <c r="BQ3" s="285"/>
      <c r="BR3" s="669"/>
      <c r="BS3" s="212" t="s">
        <v>15</v>
      </c>
      <c r="BT3" s="64">
        <f>1/((1/BT18)+(1/BT19))</f>
        <v>9.0706145378877318E-4</v>
      </c>
      <c r="BU3" s="53" t="s">
        <v>289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79"/>
      <c r="CN3" s="259"/>
      <c r="CO3" s="262"/>
      <c r="CP3" s="279"/>
      <c r="CQ3" s="259"/>
      <c r="CR3" s="262"/>
      <c r="CS3" s="265"/>
      <c r="CT3" s="396"/>
      <c r="CU3" s="393"/>
      <c r="CV3" s="390"/>
      <c r="CW3" s="216" t="s">
        <v>15</v>
      </c>
      <c r="CX3" s="65">
        <f>1/((1/CX19)+(1/CX20))</f>
        <v>8.0986864556747377E-6</v>
      </c>
      <c r="CY3" s="66" t="s">
        <v>289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222">
        <f>(HE5*HE14)*(10^-3)*(HE13+(HE10/HE11))*((HE12*HE7)/HE8)</f>
        <v>7.6350360652708851E-2</v>
      </c>
      <c r="HF3" s="220" t="s">
        <v>595</v>
      </c>
    </row>
    <row r="4" spans="1:214" ht="13.5" customHeight="1" thickBot="1" x14ac:dyDescent="0.25">
      <c r="A4" s="378"/>
      <c r="B4" s="379"/>
      <c r="C4" s="380"/>
      <c r="D4" s="190" t="s">
        <v>16</v>
      </c>
      <c r="E4" s="135">
        <f>1/((1/E21)+(1/E22))</f>
        <v>8.1921417069415391E-6</v>
      </c>
      <c r="F4" s="68" t="s">
        <v>289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3.7775354051486049E-5</v>
      </c>
      <c r="X4" s="76" t="s">
        <v>289</v>
      </c>
      <c r="Y4" s="203" t="s">
        <v>15</v>
      </c>
      <c r="Z4" s="186">
        <f>1/((1/Z16)+(1/Z17))</f>
        <v>3.3997818646337446E-5</v>
      </c>
      <c r="AA4" s="77" t="s">
        <v>289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666"/>
      <c r="AS4" s="305"/>
      <c r="AT4" s="668"/>
      <c r="AU4" s="664"/>
      <c r="AV4" s="305"/>
      <c r="AW4" s="672"/>
      <c r="AX4" s="664"/>
      <c r="AY4" s="305"/>
      <c r="AZ4" s="670"/>
      <c r="BA4" s="666"/>
      <c r="BB4" s="305"/>
      <c r="BC4" s="668"/>
      <c r="BD4" s="664"/>
      <c r="BE4" s="305"/>
      <c r="BF4" s="668"/>
      <c r="BG4" s="664"/>
      <c r="BH4" s="305"/>
      <c r="BI4" s="670"/>
      <c r="BJ4" s="666"/>
      <c r="BK4" s="286"/>
      <c r="BL4" s="668"/>
      <c r="BM4" s="664"/>
      <c r="BN4" s="286"/>
      <c r="BO4" s="668"/>
      <c r="BP4" s="664"/>
      <c r="BQ4" s="286"/>
      <c r="BR4" s="670"/>
      <c r="BS4" s="213" t="s">
        <v>16</v>
      </c>
      <c r="BT4" s="78">
        <f>1/((1/BT20)+(1/BT21))</f>
        <v>9.1751987117745211E-4</v>
      </c>
      <c r="BU4" s="79" t="s">
        <v>289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80"/>
      <c r="CN4" s="260"/>
      <c r="CO4" s="263"/>
      <c r="CP4" s="280"/>
      <c r="CQ4" s="260"/>
      <c r="CR4" s="263"/>
      <c r="CS4" s="266"/>
      <c r="CT4" s="397"/>
      <c r="CU4" s="394"/>
      <c r="CV4" s="391"/>
      <c r="CW4" s="217" t="s">
        <v>16</v>
      </c>
      <c r="CX4" s="80">
        <f>1/((1/CX21)+(1/CX22))</f>
        <v>8.1920643000310408E-6</v>
      </c>
      <c r="CY4" s="81" t="s">
        <v>289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224">
        <f>(HE6*HE14)*10^-3*(HE13+(HE10/HE11))*((HE12*HE7)/(HE8))</f>
        <v>1.1747375771385005E-3</v>
      </c>
      <c r="HF4" s="221" t="s">
        <v>596</v>
      </c>
    </row>
    <row r="5" spans="1:214" ht="13.5" thickTop="1" x14ac:dyDescent="0.2">
      <c r="A5" s="52" t="s">
        <v>267</v>
      </c>
      <c r="B5" s="129">
        <v>1</v>
      </c>
      <c r="C5" s="52" t="s">
        <v>344</v>
      </c>
      <c r="D5" s="52" t="s">
        <v>267</v>
      </c>
      <c r="E5" s="136">
        <f>B5</f>
        <v>1</v>
      </c>
      <c r="F5" s="52" t="s">
        <v>344</v>
      </c>
      <c r="G5" s="83" t="s">
        <v>267</v>
      </c>
      <c r="H5" s="136">
        <f>B5</f>
        <v>1</v>
      </c>
      <c r="I5" s="52" t="s">
        <v>344</v>
      </c>
      <c r="J5" s="83" t="s">
        <v>267</v>
      </c>
      <c r="K5" s="136">
        <f>B5</f>
        <v>1</v>
      </c>
      <c r="L5" s="52" t="s">
        <v>344</v>
      </c>
      <c r="M5" s="52" t="s">
        <v>267</v>
      </c>
      <c r="N5" s="136">
        <f>B5</f>
        <v>1</v>
      </c>
      <c r="O5" s="52" t="s">
        <v>344</v>
      </c>
      <c r="P5" s="52" t="s">
        <v>267</v>
      </c>
      <c r="Q5" s="136">
        <f>B5</f>
        <v>1</v>
      </c>
      <c r="R5" s="52" t="s">
        <v>344</v>
      </c>
      <c r="S5" s="52" t="s">
        <v>267</v>
      </c>
      <c r="T5" s="136">
        <f>B5</f>
        <v>1</v>
      </c>
      <c r="U5" s="52" t="s">
        <v>344</v>
      </c>
      <c r="V5" s="52" t="s">
        <v>267</v>
      </c>
      <c r="W5" s="136">
        <f>B5</f>
        <v>1</v>
      </c>
      <c r="X5" s="52" t="s">
        <v>344</v>
      </c>
      <c r="Y5" s="52" t="s">
        <v>267</v>
      </c>
      <c r="Z5" s="136">
        <f>B5</f>
        <v>1</v>
      </c>
      <c r="AA5" s="52" t="s">
        <v>344</v>
      </c>
      <c r="AB5" s="83" t="s">
        <v>267</v>
      </c>
      <c r="AC5" s="136">
        <f>B5</f>
        <v>1</v>
      </c>
      <c r="AD5" s="136">
        <f>B5</f>
        <v>1</v>
      </c>
      <c r="AE5" s="136">
        <f>B5</f>
        <v>1</v>
      </c>
      <c r="AF5" s="136">
        <f>B5</f>
        <v>1</v>
      </c>
      <c r="AG5" s="136">
        <f>B5</f>
        <v>1</v>
      </c>
      <c r="AH5" s="52" t="s">
        <v>344</v>
      </c>
      <c r="AI5" s="52" t="s">
        <v>267</v>
      </c>
      <c r="AJ5" s="136">
        <f>B5</f>
        <v>1</v>
      </c>
      <c r="AK5" s="52" t="s">
        <v>344</v>
      </c>
      <c r="AL5" s="52" t="s">
        <v>267</v>
      </c>
      <c r="AM5" s="136">
        <f>B5</f>
        <v>1</v>
      </c>
      <c r="AN5" s="52" t="s">
        <v>344</v>
      </c>
      <c r="AO5" s="52" t="s">
        <v>267</v>
      </c>
      <c r="AP5" s="136">
        <f>B5</f>
        <v>1</v>
      </c>
      <c r="AQ5" s="52" t="s">
        <v>344</v>
      </c>
      <c r="AR5" s="52" t="s">
        <v>267</v>
      </c>
      <c r="AS5" s="136">
        <f>B5</f>
        <v>1</v>
      </c>
      <c r="AT5" s="52" t="s">
        <v>344</v>
      </c>
      <c r="AU5" s="52" t="s">
        <v>267</v>
      </c>
      <c r="AV5" s="136">
        <f>B5</f>
        <v>1</v>
      </c>
      <c r="AW5" s="52" t="s">
        <v>344</v>
      </c>
      <c r="AX5" s="52" t="s">
        <v>267</v>
      </c>
      <c r="AY5" s="136">
        <f>B5</f>
        <v>1</v>
      </c>
      <c r="AZ5" s="52" t="s">
        <v>344</v>
      </c>
      <c r="BA5" s="52" t="s">
        <v>267</v>
      </c>
      <c r="BB5" s="136">
        <f>B5</f>
        <v>1</v>
      </c>
      <c r="BC5" s="52" t="s">
        <v>344</v>
      </c>
      <c r="BD5" s="52" t="s">
        <v>267</v>
      </c>
      <c r="BE5" s="136">
        <f>B5</f>
        <v>1</v>
      </c>
      <c r="BF5" s="52" t="s">
        <v>344</v>
      </c>
      <c r="BG5" s="52" t="s">
        <v>267</v>
      </c>
      <c r="BH5" s="136">
        <f>B5</f>
        <v>1</v>
      </c>
      <c r="BI5" s="52" t="s">
        <v>344</v>
      </c>
      <c r="BJ5" s="52" t="s">
        <v>267</v>
      </c>
      <c r="BK5" s="136">
        <f>B5</f>
        <v>1</v>
      </c>
      <c r="BL5" s="52" t="s">
        <v>344</v>
      </c>
      <c r="BM5" s="52" t="s">
        <v>267</v>
      </c>
      <c r="BN5" s="136">
        <f>B5</f>
        <v>1</v>
      </c>
      <c r="BO5" s="52" t="s">
        <v>344</v>
      </c>
      <c r="BP5" s="52" t="s">
        <v>267</v>
      </c>
      <c r="BQ5" s="136">
        <f>B5</f>
        <v>1</v>
      </c>
      <c r="BR5" s="52" t="s">
        <v>344</v>
      </c>
      <c r="BS5" s="52" t="s">
        <v>267</v>
      </c>
      <c r="BT5" s="136">
        <f>B5</f>
        <v>1</v>
      </c>
      <c r="BU5" s="52" t="s">
        <v>344</v>
      </c>
      <c r="BV5" s="83" t="s">
        <v>267</v>
      </c>
      <c r="BW5" s="136">
        <f>B5</f>
        <v>1</v>
      </c>
      <c r="BX5" s="52" t="s">
        <v>344</v>
      </c>
      <c r="BY5" s="83" t="s">
        <v>267</v>
      </c>
      <c r="BZ5" s="136">
        <f>B5</f>
        <v>1</v>
      </c>
      <c r="CA5" s="52" t="s">
        <v>344</v>
      </c>
      <c r="CB5" s="52" t="s">
        <v>267</v>
      </c>
      <c r="CC5" s="136">
        <f>B5</f>
        <v>1</v>
      </c>
      <c r="CD5" s="52" t="s">
        <v>344</v>
      </c>
      <c r="CE5" s="52" t="s">
        <v>267</v>
      </c>
      <c r="CF5" s="136">
        <f>B5</f>
        <v>1</v>
      </c>
      <c r="CG5" s="52" t="s">
        <v>344</v>
      </c>
      <c r="CH5" s="52" t="s">
        <v>267</v>
      </c>
      <c r="CI5" s="136">
        <f>B5</f>
        <v>1</v>
      </c>
      <c r="CJ5" s="52" t="s">
        <v>344</v>
      </c>
      <c r="CK5" s="52" t="s">
        <v>267</v>
      </c>
      <c r="CL5" s="136">
        <f>B5</f>
        <v>1</v>
      </c>
      <c r="CM5" s="52" t="s">
        <v>344</v>
      </c>
      <c r="CN5" s="83" t="s">
        <v>228</v>
      </c>
      <c r="CO5" s="136">
        <f>B30</f>
        <v>2.7</v>
      </c>
      <c r="CP5" s="52" t="s">
        <v>268</v>
      </c>
      <c r="CQ5" s="83" t="s">
        <v>228</v>
      </c>
      <c r="CR5" s="136">
        <f>CO5</f>
        <v>2.7</v>
      </c>
      <c r="CS5" s="52" t="s">
        <v>268</v>
      </c>
      <c r="CT5" s="83" t="s">
        <v>267</v>
      </c>
      <c r="CU5" s="136">
        <f>B5</f>
        <v>1</v>
      </c>
      <c r="CV5" s="52" t="s">
        <v>344</v>
      </c>
      <c r="CW5" s="52" t="s">
        <v>267</v>
      </c>
      <c r="CX5" s="136">
        <f>B5</f>
        <v>1</v>
      </c>
      <c r="CY5" s="52" t="s">
        <v>344</v>
      </c>
      <c r="CZ5" s="83" t="s">
        <v>267</v>
      </c>
      <c r="DA5" s="136">
        <f>B5</f>
        <v>1</v>
      </c>
      <c r="DB5" s="52" t="s">
        <v>344</v>
      </c>
      <c r="DC5" s="83" t="s">
        <v>267</v>
      </c>
      <c r="DD5" s="136">
        <f>B5</f>
        <v>1</v>
      </c>
      <c r="DE5" s="52" t="s">
        <v>344</v>
      </c>
      <c r="DF5" s="52" t="s">
        <v>17</v>
      </c>
      <c r="DG5" s="137">
        <f>(DG8*DG9*DG10*((1-EXP(-DG11*DG12))))/(DG13*DG11)</f>
        <v>0.66271991443607436</v>
      </c>
      <c r="DH5" s="52" t="s">
        <v>18</v>
      </c>
      <c r="DI5" s="83" t="s">
        <v>19</v>
      </c>
      <c r="DJ5" s="161">
        <f>DJ7</f>
        <v>2.5229999999999999E-2</v>
      </c>
      <c r="DK5" s="83"/>
      <c r="DL5" s="83" t="s">
        <v>19</v>
      </c>
      <c r="DM5" s="161">
        <f>DM7</f>
        <v>2.5229999999999999E-2</v>
      </c>
      <c r="DO5" s="52" t="s">
        <v>17</v>
      </c>
      <c r="DP5" s="137">
        <f>(DP8*DP9*DP10*((1-EXP(-DP11*DP12))))/(DP13*DP11)</f>
        <v>0.90188194353411644</v>
      </c>
      <c r="DQ5" s="52" t="s">
        <v>18</v>
      </c>
      <c r="DR5" s="83" t="s">
        <v>267</v>
      </c>
      <c r="DS5" s="136">
        <f>B5</f>
        <v>1</v>
      </c>
      <c r="DT5" s="52" t="s">
        <v>344</v>
      </c>
      <c r="DU5" s="83" t="s">
        <v>239</v>
      </c>
      <c r="DV5" s="169">
        <f>B24</f>
        <v>4.5999999999999999E-3</v>
      </c>
      <c r="DW5" s="52" t="s">
        <v>601</v>
      </c>
      <c r="DX5" s="83" t="s">
        <v>20</v>
      </c>
      <c r="DY5" s="161">
        <f>DY7</f>
        <v>2.9000000000000001E-2</v>
      </c>
      <c r="DZ5" s="83"/>
      <c r="EA5" s="83" t="s">
        <v>20</v>
      </c>
      <c r="EB5" s="161">
        <f>EB7</f>
        <v>2.9000000000000001E-2</v>
      </c>
      <c r="EC5" s="84"/>
      <c r="ED5" s="83" t="s">
        <v>20</v>
      </c>
      <c r="EE5" s="161">
        <f>EE7</f>
        <v>2.9000000000000001E-2</v>
      </c>
      <c r="EF5" s="84"/>
      <c r="EG5" s="83" t="s">
        <v>267</v>
      </c>
      <c r="EH5" s="136">
        <f>B5</f>
        <v>1</v>
      </c>
      <c r="EI5" s="52" t="s">
        <v>344</v>
      </c>
      <c r="EJ5" s="83" t="s">
        <v>236</v>
      </c>
      <c r="EK5" s="169">
        <f>B25</f>
        <v>2.1999999999999999E-2</v>
      </c>
      <c r="EL5" s="52" t="s">
        <v>388</v>
      </c>
      <c r="EM5" s="83" t="s">
        <v>20</v>
      </c>
      <c r="EN5" s="161">
        <f>EN7</f>
        <v>2.9000000000000001E-2</v>
      </c>
      <c r="EO5" s="83"/>
      <c r="EP5" s="83" t="s">
        <v>20</v>
      </c>
      <c r="EQ5" s="161">
        <f>EQ7</f>
        <v>2.9000000000000001E-2</v>
      </c>
      <c r="ER5" s="84"/>
      <c r="ES5" s="83" t="s">
        <v>20</v>
      </c>
      <c r="ET5" s="161">
        <f>ET7</f>
        <v>2.9000000000000001E-2</v>
      </c>
      <c r="EU5" s="84"/>
      <c r="EV5" s="83" t="s">
        <v>267</v>
      </c>
      <c r="EW5" s="136">
        <f>B5</f>
        <v>1</v>
      </c>
      <c r="EX5" s="52" t="s">
        <v>344</v>
      </c>
      <c r="EY5" s="83" t="s">
        <v>171</v>
      </c>
      <c r="EZ5" s="169">
        <f>B27</f>
        <v>0.4</v>
      </c>
      <c r="FA5" s="52" t="s">
        <v>388</v>
      </c>
      <c r="FB5" s="83" t="s">
        <v>20</v>
      </c>
      <c r="FC5" s="161">
        <f>FC7</f>
        <v>2.9000000000000001E-2</v>
      </c>
      <c r="FD5" s="83"/>
      <c r="FE5" s="83" t="s">
        <v>20</v>
      </c>
      <c r="FF5" s="161">
        <f>FF7</f>
        <v>2.9000000000000001E-2</v>
      </c>
      <c r="FG5" s="83"/>
      <c r="FH5" s="83" t="s">
        <v>20</v>
      </c>
      <c r="FI5" s="161">
        <f>FI7</f>
        <v>2.9000000000000001E-2</v>
      </c>
      <c r="FJ5" s="84"/>
      <c r="FK5" s="83" t="s">
        <v>267</v>
      </c>
      <c r="FL5" s="136">
        <f>B5</f>
        <v>1</v>
      </c>
      <c r="FM5" s="52" t="s">
        <v>344</v>
      </c>
      <c r="FN5" s="83" t="s">
        <v>105</v>
      </c>
      <c r="FO5" s="161">
        <f>B23</f>
        <v>2500</v>
      </c>
      <c r="FP5" s="52" t="s">
        <v>286</v>
      </c>
      <c r="FQ5" s="83" t="s">
        <v>105</v>
      </c>
      <c r="FR5" s="161">
        <f>B23</f>
        <v>2500</v>
      </c>
      <c r="FS5" s="52" t="s">
        <v>286</v>
      </c>
      <c r="FT5" s="83" t="s">
        <v>105</v>
      </c>
      <c r="FU5" s="161">
        <f>B23</f>
        <v>2500</v>
      </c>
      <c r="FV5" s="52" t="s">
        <v>286</v>
      </c>
      <c r="FW5" s="83" t="s">
        <v>156</v>
      </c>
      <c r="FX5" s="161">
        <f>B33</f>
        <v>10</v>
      </c>
      <c r="FY5" s="88" t="s">
        <v>18</v>
      </c>
      <c r="FZ5" s="83" t="s">
        <v>267</v>
      </c>
      <c r="GA5" s="136">
        <f>B5</f>
        <v>1</v>
      </c>
      <c r="GB5" s="52" t="s">
        <v>344</v>
      </c>
      <c r="GC5" s="83" t="s">
        <v>237</v>
      </c>
      <c r="GD5" s="169">
        <f>B26</f>
        <v>2.7</v>
      </c>
      <c r="GE5" s="83"/>
      <c r="GF5" s="83" t="s">
        <v>20</v>
      </c>
      <c r="GG5" s="161">
        <f>GG7</f>
        <v>2.9000000000000001E-2</v>
      </c>
      <c r="GH5" s="83"/>
      <c r="GI5" s="83" t="s">
        <v>20</v>
      </c>
      <c r="GJ5" s="161">
        <f>GJ7</f>
        <v>2.9000000000000001E-2</v>
      </c>
      <c r="GK5" s="83"/>
      <c r="GL5" s="83" t="s">
        <v>20</v>
      </c>
      <c r="GM5" s="161">
        <f>GM7</f>
        <v>2.9000000000000001E-2</v>
      </c>
      <c r="GN5" s="84"/>
      <c r="GO5" s="83" t="s">
        <v>267</v>
      </c>
      <c r="GP5" s="136">
        <f>B5</f>
        <v>1</v>
      </c>
      <c r="GQ5" s="52" t="s">
        <v>344</v>
      </c>
      <c r="GR5" s="83" t="s">
        <v>238</v>
      </c>
      <c r="GS5" s="169">
        <f>B28</f>
        <v>0.2</v>
      </c>
      <c r="GT5" s="52" t="s">
        <v>388</v>
      </c>
      <c r="GU5" s="83" t="s">
        <v>20</v>
      </c>
      <c r="GV5" s="161">
        <f>GV7</f>
        <v>2.9000000000000001E-2</v>
      </c>
      <c r="GW5" s="83"/>
      <c r="GX5" s="83" t="s">
        <v>20</v>
      </c>
      <c r="GY5" s="161">
        <f>GY7</f>
        <v>2.9000000000000001E-2</v>
      </c>
      <c r="GZ5" s="83"/>
      <c r="HA5" s="83" t="s">
        <v>20</v>
      </c>
      <c r="HB5" s="161">
        <f>HB7</f>
        <v>2.9000000000000001E-2</v>
      </c>
      <c r="HC5" s="84"/>
      <c r="HD5" s="89" t="s">
        <v>21</v>
      </c>
      <c r="HE5" s="225">
        <f>B34</f>
        <v>7.4000074000074001</v>
      </c>
      <c r="HF5" s="83" t="s">
        <v>291</v>
      </c>
    </row>
    <row r="6" spans="1:214" x14ac:dyDescent="0.2">
      <c r="A6" s="83" t="s">
        <v>247</v>
      </c>
      <c r="B6" s="180">
        <v>1.5417408700798101E-4</v>
      </c>
      <c r="C6" s="84" t="s">
        <v>259</v>
      </c>
      <c r="D6" s="83" t="s">
        <v>22</v>
      </c>
      <c r="E6" s="137">
        <f>0.693/E7</f>
        <v>2.2972045705420805E-2</v>
      </c>
      <c r="G6" s="83" t="s">
        <v>248</v>
      </c>
      <c r="H6" s="136">
        <f>B7</f>
        <v>4.9109405245458101E-5</v>
      </c>
      <c r="I6" s="83" t="s">
        <v>259</v>
      </c>
      <c r="J6" s="83" t="s">
        <v>249</v>
      </c>
      <c r="K6" s="136">
        <f>B8</f>
        <v>4.9109405245458101E-5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2.2972045705420805E-2</v>
      </c>
      <c r="BV6" s="83" t="s">
        <v>248</v>
      </c>
      <c r="BW6" s="136">
        <f>B7</f>
        <v>4.9109405245458101E-5</v>
      </c>
      <c r="BX6" s="83" t="s">
        <v>259</v>
      </c>
      <c r="BY6" s="83" t="s">
        <v>249</v>
      </c>
      <c r="BZ6" s="136">
        <f>B8</f>
        <v>4.9109405245458101E-5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B17</f>
        <v>4.9109405245458101E-5</v>
      </c>
      <c r="CM6" s="92" t="s">
        <v>259</v>
      </c>
      <c r="CN6" s="84" t="s">
        <v>20</v>
      </c>
      <c r="CO6" s="139">
        <f>CO8</f>
        <v>2.9000000000000001E-2</v>
      </c>
      <c r="CQ6" s="84" t="s">
        <v>169</v>
      </c>
      <c r="CR6" s="162">
        <f>B133</f>
        <v>1</v>
      </c>
      <c r="CS6" s="52" t="s">
        <v>28</v>
      </c>
      <c r="CT6" s="83" t="s">
        <v>249</v>
      </c>
      <c r="CU6" s="136">
        <f>B8</f>
        <v>4.9109405245458101E-5</v>
      </c>
      <c r="CV6" s="83" t="s">
        <v>259</v>
      </c>
      <c r="CW6" s="83" t="s">
        <v>22</v>
      </c>
      <c r="CX6" s="137">
        <f>0.693/CX7</f>
        <v>2.2972045705420805E-2</v>
      </c>
      <c r="CZ6" s="83" t="s">
        <v>248</v>
      </c>
      <c r="DA6" s="136">
        <f>B7</f>
        <v>4.9109405245458101E-5</v>
      </c>
      <c r="DB6" s="83" t="s">
        <v>259</v>
      </c>
      <c r="DC6" s="83" t="s">
        <v>258</v>
      </c>
      <c r="DD6" s="136">
        <f>B17</f>
        <v>4.9109405245458101E-5</v>
      </c>
      <c r="DE6" s="92" t="s">
        <v>259</v>
      </c>
      <c r="DF6" s="52" t="s">
        <v>25</v>
      </c>
      <c r="DG6" s="137">
        <f>(DG8*DG9*DG14*((1-EXP(-DG11*DG12))))/(DG13*DG11)</f>
        <v>6.8294561138874093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B17</f>
        <v>4.9109405245458101E-5</v>
      </c>
      <c r="DT6" s="83" t="s">
        <v>259</v>
      </c>
      <c r="DU6" s="83" t="s">
        <v>27</v>
      </c>
      <c r="DV6" s="142">
        <f>B203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B17</f>
        <v>4.9109405245458101E-5</v>
      </c>
      <c r="EI6" s="83" t="s">
        <v>259</v>
      </c>
      <c r="EJ6" s="83" t="s">
        <v>29</v>
      </c>
      <c r="EK6" s="142">
        <f>B209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B17</f>
        <v>4.9109405245458101E-5</v>
      </c>
      <c r="EX6" s="83" t="s">
        <v>259</v>
      </c>
      <c r="EY6" s="83" t="s">
        <v>148</v>
      </c>
      <c r="EZ6" s="164">
        <f>B214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B17</f>
        <v>4.9109405245458101E-5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B33</f>
        <v>10</v>
      </c>
      <c r="FS6" s="83" t="s">
        <v>18</v>
      </c>
      <c r="FT6" s="83" t="s">
        <v>156</v>
      </c>
      <c r="FU6" s="161">
        <f>B33</f>
        <v>10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B17</f>
        <v>4.9109405245458101E-5</v>
      </c>
      <c r="GB6" s="83" t="s">
        <v>259</v>
      </c>
      <c r="GC6" s="83" t="s">
        <v>485</v>
      </c>
      <c r="GD6" s="164">
        <f>B219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B17</f>
        <v>4.9109405245458101E-5</v>
      </c>
      <c r="GQ6" s="83" t="s">
        <v>259</v>
      </c>
      <c r="GR6" s="83" t="s">
        <v>150</v>
      </c>
      <c r="GS6" s="142">
        <f>B224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0.11385757303011831</v>
      </c>
      <c r="HF6" s="83" t="s">
        <v>291</v>
      </c>
    </row>
    <row r="7" spans="1:214" x14ac:dyDescent="0.2">
      <c r="A7" s="83" t="s">
        <v>248</v>
      </c>
      <c r="B7" s="183">
        <v>4.9109405245458101E-5</v>
      </c>
      <c r="C7" s="84" t="s">
        <v>259</v>
      </c>
      <c r="D7" s="91" t="s">
        <v>231</v>
      </c>
      <c r="E7" s="136">
        <f>B18</f>
        <v>30.167100000000001</v>
      </c>
      <c r="F7" s="52" t="s">
        <v>60</v>
      </c>
      <c r="G7" s="83" t="s">
        <v>247</v>
      </c>
      <c r="H7" s="139">
        <f>B6</f>
        <v>1.5417408700798101E-4</v>
      </c>
      <c r="I7" s="84" t="s">
        <v>259</v>
      </c>
      <c r="J7" s="83" t="s">
        <v>247</v>
      </c>
      <c r="K7" s="136">
        <f>B6</f>
        <v>1.5417408700798101E-4</v>
      </c>
      <c r="L7" s="84" t="s">
        <v>259</v>
      </c>
      <c r="M7" s="83" t="s">
        <v>22</v>
      </c>
      <c r="N7" s="137">
        <f>0.693/N8</f>
        <v>2.2972045705420805E-2</v>
      </c>
      <c r="P7" s="83" t="s">
        <v>22</v>
      </c>
      <c r="Q7" s="137">
        <f>0.693/Q8</f>
        <v>2.2972045705420805E-2</v>
      </c>
      <c r="S7" s="83" t="s">
        <v>22</v>
      </c>
      <c r="T7" s="137">
        <f>0.693/T8</f>
        <v>2.2972045705420805E-2</v>
      </c>
      <c r="V7" s="83" t="s">
        <v>22</v>
      </c>
      <c r="W7" s="137">
        <f>0.693/W8</f>
        <v>2.2972045705420805E-2</v>
      </c>
      <c r="Y7" s="83" t="s">
        <v>22</v>
      </c>
      <c r="Z7" s="137">
        <f>0.693/Z8</f>
        <v>2.2972045705420805E-2</v>
      </c>
      <c r="AB7" s="83" t="s">
        <v>425</v>
      </c>
      <c r="AC7" s="150">
        <f>B231</f>
        <v>250</v>
      </c>
      <c r="AD7" s="150">
        <f>B243</f>
        <v>250</v>
      </c>
      <c r="AE7" s="150">
        <f>B255</f>
        <v>225</v>
      </c>
      <c r="AF7" s="150">
        <f>B267</f>
        <v>250</v>
      </c>
      <c r="AG7" s="150">
        <f>B291</f>
        <v>250</v>
      </c>
      <c r="AH7" s="83" t="s">
        <v>24</v>
      </c>
      <c r="AI7" s="83" t="s">
        <v>22</v>
      </c>
      <c r="AJ7" s="137">
        <f>0.693/AJ8</f>
        <v>2.2972045705420805E-2</v>
      </c>
      <c r="AL7" s="83" t="s">
        <v>22</v>
      </c>
      <c r="AM7" s="137">
        <f>0.693/AM8</f>
        <v>2.2972045705420805E-2</v>
      </c>
      <c r="AO7" s="83" t="s">
        <v>22</v>
      </c>
      <c r="AP7" s="137">
        <f>0.693/AP8</f>
        <v>2.2972045705420805E-2</v>
      </c>
      <c r="AR7" s="83" t="s">
        <v>22</v>
      </c>
      <c r="AS7" s="137">
        <f>0.693/AS8</f>
        <v>2.2972045705420805E-2</v>
      </c>
      <c r="AU7" s="83" t="s">
        <v>22</v>
      </c>
      <c r="AV7" s="137">
        <f>0.693/AV8</f>
        <v>2.2972045705420805E-2</v>
      </c>
      <c r="AX7" s="83" t="s">
        <v>22</v>
      </c>
      <c r="AY7" s="137">
        <f>0.693/AY8</f>
        <v>2.2972045705420805E-2</v>
      </c>
      <c r="BA7" s="83" t="s">
        <v>22</v>
      </c>
      <c r="BB7" s="137">
        <f>0.693/BB8</f>
        <v>2.2972045705420805E-2</v>
      </c>
      <c r="BD7" s="83" t="s">
        <v>22</v>
      </c>
      <c r="BE7" s="137">
        <f>0.693/BE8</f>
        <v>2.2972045705420805E-2</v>
      </c>
      <c r="BG7" s="83" t="s">
        <v>22</v>
      </c>
      <c r="BH7" s="137">
        <f>0.693/BH8</f>
        <v>2.2972045705420805E-2</v>
      </c>
      <c r="BJ7" s="83" t="s">
        <v>22</v>
      </c>
      <c r="BK7" s="137">
        <f>0.693/BK8</f>
        <v>2.2972045705420805E-2</v>
      </c>
      <c r="BM7" s="83" t="s">
        <v>22</v>
      </c>
      <c r="BN7" s="137">
        <f>0.693/BN8</f>
        <v>2.2972045705420805E-2</v>
      </c>
      <c r="BP7" s="83" t="s">
        <v>22</v>
      </c>
      <c r="BQ7" s="137">
        <f>0.693/BQ8</f>
        <v>2.2972045705420805E-2</v>
      </c>
      <c r="BS7" s="91" t="s">
        <v>231</v>
      </c>
      <c r="BT7" s="136">
        <f>B18</f>
        <v>30.167100000000001</v>
      </c>
      <c r="BU7" s="52" t="s">
        <v>60</v>
      </c>
      <c r="BV7" s="83" t="s">
        <v>247</v>
      </c>
      <c r="BW7" s="139">
        <f>B6</f>
        <v>1.5417408700798101E-4</v>
      </c>
      <c r="BX7" s="84" t="s">
        <v>259</v>
      </c>
      <c r="BY7" s="83" t="s">
        <v>247</v>
      </c>
      <c r="BZ7" s="139">
        <f>B6</f>
        <v>1.5417408700798101E-4</v>
      </c>
      <c r="CA7" s="84" t="s">
        <v>259</v>
      </c>
      <c r="CB7" s="83" t="s">
        <v>22</v>
      </c>
      <c r="CC7" s="137">
        <f>0.693/CC8</f>
        <v>2.2972045705420805E-2</v>
      </c>
      <c r="CE7" s="83" t="s">
        <v>22</v>
      </c>
      <c r="CF7" s="137">
        <f>0.693/CF8</f>
        <v>2.2972045705420805E-2</v>
      </c>
      <c r="CH7" s="83" t="s">
        <v>22</v>
      </c>
      <c r="CI7" s="137">
        <f>0.693/CI8</f>
        <v>2.2972045705420805E-2</v>
      </c>
      <c r="CK7" s="52" t="s">
        <v>140</v>
      </c>
      <c r="CL7" s="138">
        <f>B103</f>
        <v>75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B6</f>
        <v>1.5417408700798101E-4</v>
      </c>
      <c r="CV7" s="84" t="s">
        <v>259</v>
      </c>
      <c r="CW7" s="91" t="s">
        <v>231</v>
      </c>
      <c r="CX7" s="136">
        <f>B18</f>
        <v>30.167100000000001</v>
      </c>
      <c r="CY7" s="52" t="s">
        <v>60</v>
      </c>
      <c r="CZ7" s="84" t="s">
        <v>247</v>
      </c>
      <c r="DA7" s="139">
        <f>B6</f>
        <v>1.5417408700798101E-4</v>
      </c>
      <c r="DB7" s="84" t="s">
        <v>259</v>
      </c>
      <c r="DC7" s="83" t="s">
        <v>260</v>
      </c>
      <c r="DD7" s="166">
        <f>((DD5)/(DD6*(DD8+DD11)*DD19))/DD22</f>
        <v>7.8679365491899876E-3</v>
      </c>
      <c r="DE7" s="92" t="s">
        <v>290</v>
      </c>
      <c r="DF7" s="52" t="s">
        <v>31</v>
      </c>
      <c r="DG7" s="137">
        <f>(DG8*DG9*DG15*DG21*((1-EXP(-DG16*DG17))))/(DG18*DG16)</f>
        <v>3.6385364930662121</v>
      </c>
      <c r="DH7" s="52" t="s">
        <v>18</v>
      </c>
      <c r="DI7" s="83" t="s">
        <v>32</v>
      </c>
      <c r="DJ7" s="136">
        <f>B31</f>
        <v>2.5229999999999999E-2</v>
      </c>
      <c r="DL7" s="83" t="s">
        <v>32</v>
      </c>
      <c r="DM7" s="136">
        <f>B31</f>
        <v>2.5229999999999999E-2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(DS5/(DS6*DS8*DS15))/DS19</f>
        <v>4.9923538624387087E-3</v>
      </c>
      <c r="DT7" s="52" t="s">
        <v>290</v>
      </c>
      <c r="DV7" s="138"/>
      <c r="DX7" s="83" t="s">
        <v>33</v>
      </c>
      <c r="DY7" s="136">
        <f>B32</f>
        <v>2.9000000000000001E-2</v>
      </c>
      <c r="EA7" s="83" t="s">
        <v>33</v>
      </c>
      <c r="EB7" s="136">
        <f>B32</f>
        <v>2.9000000000000001E-2</v>
      </c>
      <c r="EC7" s="84"/>
      <c r="ED7" s="83" t="s">
        <v>33</v>
      </c>
      <c r="EE7" s="136">
        <f>B32</f>
        <v>2.9000000000000001E-2</v>
      </c>
      <c r="EF7" s="84"/>
      <c r="EG7" s="83" t="s">
        <v>260</v>
      </c>
      <c r="EH7" s="168">
        <f>(EH5/(EH6*EH8*EH15))/EH19</f>
        <v>1.3683552745609983E-2</v>
      </c>
      <c r="EI7" s="52" t="s">
        <v>290</v>
      </c>
      <c r="EJ7" s="95"/>
      <c r="EK7" s="176"/>
      <c r="EM7" s="83" t="s">
        <v>33</v>
      </c>
      <c r="EN7" s="136">
        <f>B32</f>
        <v>2.9000000000000001E-2</v>
      </c>
      <c r="EP7" s="83" t="s">
        <v>33</v>
      </c>
      <c r="EQ7" s="136">
        <f>B32</f>
        <v>2.9000000000000001E-2</v>
      </c>
      <c r="ER7" s="84"/>
      <c r="ES7" s="83" t="s">
        <v>33</v>
      </c>
      <c r="ET7" s="136">
        <f>B32</f>
        <v>2.9000000000000001E-2</v>
      </c>
      <c r="EU7" s="84"/>
      <c r="EV7" s="83" t="s">
        <v>260</v>
      </c>
      <c r="EW7" s="168">
        <f>(EW5/(EW6*EW8*EW15))/EW19</f>
        <v>4.576894913465443E-2</v>
      </c>
      <c r="EX7" s="52" t="s">
        <v>290</v>
      </c>
      <c r="EY7" s="83"/>
      <c r="EZ7" s="142">
        <v>1000</v>
      </c>
      <c r="FA7" s="83" t="s">
        <v>132</v>
      </c>
      <c r="FB7" s="83" t="s">
        <v>33</v>
      </c>
      <c r="FC7" s="161">
        <f>B32</f>
        <v>2.9000000000000001E-2</v>
      </c>
      <c r="FD7" s="83"/>
      <c r="FE7" s="83" t="s">
        <v>33</v>
      </c>
      <c r="FF7" s="161">
        <f>B32</f>
        <v>2.9000000000000001E-2</v>
      </c>
      <c r="FG7" s="83"/>
      <c r="FH7" s="83" t="s">
        <v>33</v>
      </c>
      <c r="FI7" s="161">
        <f>B32</f>
        <v>2.9000000000000001E-2</v>
      </c>
      <c r="FJ7" s="84"/>
      <c r="FK7" s="83" t="s">
        <v>260</v>
      </c>
      <c r="FL7" s="168">
        <f>(FL5/(FL6*FL8*FL15))/FL19</f>
        <v>1.5711467047482917E-2</v>
      </c>
      <c r="FM7" s="52" t="s">
        <v>290</v>
      </c>
      <c r="FN7" s="95"/>
      <c r="FO7" s="176"/>
      <c r="FQ7" s="52" t="s">
        <v>350</v>
      </c>
      <c r="FR7" s="164">
        <f>B170</f>
        <v>1</v>
      </c>
      <c r="FT7" s="95"/>
      <c r="FU7" s="176"/>
      <c r="FV7" s="83"/>
      <c r="FW7" s="95"/>
      <c r="FX7" s="176"/>
      <c r="FZ7" s="83" t="s">
        <v>260</v>
      </c>
      <c r="GA7" s="168">
        <f>(GA5/(GA6*GA8*GA15))/GA19</f>
        <v>2.2863814128259531E-2</v>
      </c>
      <c r="GB7" s="52" t="s">
        <v>290</v>
      </c>
      <c r="GC7" s="83"/>
      <c r="GD7" s="142">
        <v>1000</v>
      </c>
      <c r="GE7" s="83" t="s">
        <v>132</v>
      </c>
      <c r="GF7" s="83" t="s">
        <v>33</v>
      </c>
      <c r="GG7" s="161">
        <f>B32</f>
        <v>2.9000000000000001E-2</v>
      </c>
      <c r="GH7" s="83"/>
      <c r="GI7" s="83" t="s">
        <v>33</v>
      </c>
      <c r="GJ7" s="161">
        <f>B32</f>
        <v>2.9000000000000001E-2</v>
      </c>
      <c r="GK7" s="83"/>
      <c r="GL7" s="83" t="s">
        <v>33</v>
      </c>
      <c r="GM7" s="161">
        <f>B32</f>
        <v>2.9000000000000001E-2</v>
      </c>
      <c r="GN7" s="84"/>
      <c r="GO7" s="83" t="s">
        <v>260</v>
      </c>
      <c r="GP7" s="168">
        <f>(GP5/(GP6*GP8*GP14))/GP18</f>
        <v>2.5033470172992612E-2</v>
      </c>
      <c r="GQ7" s="52" t="s">
        <v>290</v>
      </c>
      <c r="GR7" s="88"/>
      <c r="GS7" s="142">
        <v>1000</v>
      </c>
      <c r="GT7" s="83" t="s">
        <v>132</v>
      </c>
      <c r="GU7" s="83" t="s">
        <v>33</v>
      </c>
      <c r="GV7" s="161">
        <f>B32</f>
        <v>2.9000000000000001E-2</v>
      </c>
      <c r="GW7" s="83"/>
      <c r="GX7" s="83" t="s">
        <v>33</v>
      </c>
      <c r="GY7" s="161">
        <f>B32</f>
        <v>2.9000000000000001E-2</v>
      </c>
      <c r="GZ7" s="83"/>
      <c r="HA7" s="83" t="s">
        <v>33</v>
      </c>
      <c r="HB7" s="161">
        <f>B32</f>
        <v>2.9000000000000001E-2</v>
      </c>
      <c r="HC7" s="84"/>
      <c r="HD7" s="83" t="s">
        <v>22</v>
      </c>
      <c r="HE7" s="137">
        <f>0.693/HE9</f>
        <v>2.2972045705420805E-2</v>
      </c>
    </row>
    <row r="8" spans="1:214" x14ac:dyDescent="0.2">
      <c r="A8" s="83" t="s">
        <v>249</v>
      </c>
      <c r="B8" s="183">
        <v>4.9109405245458101E-5</v>
      </c>
      <c r="C8" s="83" t="s">
        <v>259</v>
      </c>
      <c r="D8" s="52" t="s">
        <v>382</v>
      </c>
      <c r="E8" s="138">
        <f>B56</f>
        <v>350</v>
      </c>
      <c r="F8" s="52" t="s">
        <v>24</v>
      </c>
      <c r="G8" s="91" t="s">
        <v>257</v>
      </c>
      <c r="H8" s="136">
        <f>B16</f>
        <v>10.292680000000001</v>
      </c>
      <c r="I8" s="84" t="s">
        <v>259</v>
      </c>
      <c r="J8" s="83" t="s">
        <v>269</v>
      </c>
      <c r="K8" s="136">
        <f>B10</f>
        <v>3.19428</v>
      </c>
      <c r="L8" s="83" t="s">
        <v>351</v>
      </c>
      <c r="M8" s="91" t="s">
        <v>231</v>
      </c>
      <c r="N8" s="136">
        <f>B18</f>
        <v>30.167100000000001</v>
      </c>
      <c r="O8" s="52" t="s">
        <v>60</v>
      </c>
      <c r="P8" s="91" t="s">
        <v>231</v>
      </c>
      <c r="Q8" s="136">
        <f>B18</f>
        <v>30.167100000000001</v>
      </c>
      <c r="R8" s="52" t="s">
        <v>60</v>
      </c>
      <c r="S8" s="91" t="s">
        <v>231</v>
      </c>
      <c r="T8" s="136">
        <f>B18</f>
        <v>30.167100000000001</v>
      </c>
      <c r="U8" s="52" t="s">
        <v>60</v>
      </c>
      <c r="V8" s="91" t="s">
        <v>231</v>
      </c>
      <c r="W8" s="136">
        <f>B18</f>
        <v>30.167100000000001</v>
      </c>
      <c r="X8" s="52" t="s">
        <v>60</v>
      </c>
      <c r="Y8" s="91" t="s">
        <v>231</v>
      </c>
      <c r="Z8" s="136">
        <f>B18</f>
        <v>30.167100000000001</v>
      </c>
      <c r="AA8" s="52" t="s">
        <v>60</v>
      </c>
      <c r="AB8" s="83" t="s">
        <v>249</v>
      </c>
      <c r="AC8" s="136">
        <f>B9</f>
        <v>5.0319999999999999E-5</v>
      </c>
      <c r="AD8" s="136">
        <f>B9</f>
        <v>5.0319999999999999E-5</v>
      </c>
      <c r="AE8" s="136">
        <f>B9</f>
        <v>5.0319999999999999E-5</v>
      </c>
      <c r="AF8" s="136">
        <f>B9</f>
        <v>5.0319999999999999E-5</v>
      </c>
      <c r="AG8" s="136">
        <f>B9</f>
        <v>5.0319999999999999E-5</v>
      </c>
      <c r="AH8" s="83" t="s">
        <v>259</v>
      </c>
      <c r="AI8" s="91" t="s">
        <v>231</v>
      </c>
      <c r="AJ8" s="136">
        <f>B18</f>
        <v>30.167100000000001</v>
      </c>
      <c r="AK8" s="52" t="s">
        <v>60</v>
      </c>
      <c r="AL8" s="91" t="s">
        <v>231</v>
      </c>
      <c r="AM8" s="136">
        <f>B18</f>
        <v>30.167100000000001</v>
      </c>
      <c r="AN8" s="52" t="s">
        <v>60</v>
      </c>
      <c r="AO8" s="91" t="s">
        <v>231</v>
      </c>
      <c r="AP8" s="136">
        <f>B18</f>
        <v>30.167100000000001</v>
      </c>
      <c r="AQ8" s="52" t="s">
        <v>60</v>
      </c>
      <c r="AR8" s="91" t="s">
        <v>231</v>
      </c>
      <c r="AS8" s="136">
        <f>B18</f>
        <v>30.167100000000001</v>
      </c>
      <c r="AT8" s="52" t="s">
        <v>60</v>
      </c>
      <c r="AU8" s="91" t="s">
        <v>231</v>
      </c>
      <c r="AV8" s="136">
        <f>B18</f>
        <v>30.167100000000001</v>
      </c>
      <c r="AW8" s="52" t="s">
        <v>60</v>
      </c>
      <c r="AX8" s="91" t="s">
        <v>231</v>
      </c>
      <c r="AY8" s="136">
        <f>B18</f>
        <v>30.167100000000001</v>
      </c>
      <c r="AZ8" s="52" t="s">
        <v>60</v>
      </c>
      <c r="BA8" s="91" t="s">
        <v>231</v>
      </c>
      <c r="BB8" s="136">
        <f>B18</f>
        <v>30.167100000000001</v>
      </c>
      <c r="BC8" s="52" t="s">
        <v>60</v>
      </c>
      <c r="BD8" s="91" t="s">
        <v>231</v>
      </c>
      <c r="BE8" s="136">
        <f>B18</f>
        <v>30.167100000000001</v>
      </c>
      <c r="BF8" s="52" t="s">
        <v>60</v>
      </c>
      <c r="BG8" s="91" t="s">
        <v>231</v>
      </c>
      <c r="BH8" s="136">
        <f>B18</f>
        <v>30.167100000000001</v>
      </c>
      <c r="BI8" s="52" t="s">
        <v>60</v>
      </c>
      <c r="BJ8" s="91" t="s">
        <v>231</v>
      </c>
      <c r="BK8" s="136">
        <f>B18</f>
        <v>30.167100000000001</v>
      </c>
      <c r="BL8" s="52" t="s">
        <v>60</v>
      </c>
      <c r="BM8" s="91" t="s">
        <v>231</v>
      </c>
      <c r="BN8" s="136">
        <f>B18</f>
        <v>30.167100000000001</v>
      </c>
      <c r="BO8" s="52" t="s">
        <v>60</v>
      </c>
      <c r="BP8" s="91" t="s">
        <v>231</v>
      </c>
      <c r="BQ8" s="136">
        <f>B18</f>
        <v>30.167100000000001</v>
      </c>
      <c r="BR8" s="52" t="s">
        <v>60</v>
      </c>
      <c r="BS8" s="52" t="s">
        <v>140</v>
      </c>
      <c r="BT8" s="138">
        <f>B103</f>
        <v>75</v>
      </c>
      <c r="BU8" s="52" t="s">
        <v>24</v>
      </c>
      <c r="BV8" s="91" t="s">
        <v>257</v>
      </c>
      <c r="BW8" s="136">
        <f>B16</f>
        <v>10.292680000000001</v>
      </c>
      <c r="BX8" s="84" t="s">
        <v>259</v>
      </c>
      <c r="BY8" s="83" t="s">
        <v>269</v>
      </c>
      <c r="BZ8" s="136">
        <f>B10</f>
        <v>3.19428</v>
      </c>
      <c r="CA8" s="83" t="s">
        <v>351</v>
      </c>
      <c r="CB8" s="91" t="s">
        <v>231</v>
      </c>
      <c r="CC8" s="136">
        <f>B18</f>
        <v>30.167100000000001</v>
      </c>
      <c r="CD8" s="52" t="s">
        <v>60</v>
      </c>
      <c r="CE8" s="91" t="s">
        <v>231</v>
      </c>
      <c r="CF8" s="136">
        <f>B18</f>
        <v>30.167100000000001</v>
      </c>
      <c r="CG8" s="52" t="s">
        <v>60</v>
      </c>
      <c r="CH8" s="91" t="s">
        <v>231</v>
      </c>
      <c r="CI8" s="136">
        <f>B18</f>
        <v>30.167100000000001</v>
      </c>
      <c r="CJ8" s="52" t="s">
        <v>60</v>
      </c>
      <c r="CK8" s="52" t="s">
        <v>159</v>
      </c>
      <c r="CL8" s="162">
        <f>B128</f>
        <v>1</v>
      </c>
      <c r="CM8" s="52" t="s">
        <v>221</v>
      </c>
      <c r="CN8" s="84" t="s">
        <v>33</v>
      </c>
      <c r="CO8" s="136">
        <f>B32</f>
        <v>2.9000000000000001E-2</v>
      </c>
      <c r="CT8" s="83" t="s">
        <v>269</v>
      </c>
      <c r="CU8" s="136">
        <f>B10</f>
        <v>3.19428</v>
      </c>
      <c r="CV8" s="83" t="s">
        <v>351</v>
      </c>
      <c r="CW8" s="52" t="s">
        <v>362</v>
      </c>
      <c r="CX8" s="138">
        <f>B169</f>
        <v>350</v>
      </c>
      <c r="CY8" s="52" t="s">
        <v>24</v>
      </c>
      <c r="CZ8" s="83" t="s">
        <v>270</v>
      </c>
      <c r="DA8" s="165">
        <f>B16</f>
        <v>10.292680000000001</v>
      </c>
      <c r="DB8" s="83" t="s">
        <v>259</v>
      </c>
      <c r="DC8" s="83" t="s">
        <v>516</v>
      </c>
      <c r="DD8" s="149">
        <f>(DD9*DD15*DD20)+(DD10*DD14*DD21)</f>
        <v>39585</v>
      </c>
      <c r="DE8" s="92" t="s">
        <v>347</v>
      </c>
      <c r="DF8" s="83" t="s">
        <v>36</v>
      </c>
      <c r="DG8" s="138">
        <f>B193</f>
        <v>3.62</v>
      </c>
      <c r="DH8" s="52" t="s">
        <v>37</v>
      </c>
      <c r="DI8" s="83" t="s">
        <v>393</v>
      </c>
      <c r="DJ8" s="138">
        <f>B35</f>
        <v>0.26</v>
      </c>
      <c r="DL8" s="83" t="s">
        <v>393</v>
      </c>
      <c r="DM8" s="138">
        <f>B35</f>
        <v>0.26</v>
      </c>
      <c r="DO8" s="83" t="s">
        <v>36</v>
      </c>
      <c r="DP8" s="138">
        <f>B193</f>
        <v>3.62</v>
      </c>
      <c r="DQ8" s="52" t="s">
        <v>37</v>
      </c>
      <c r="DR8" s="83" t="s">
        <v>147</v>
      </c>
      <c r="DS8" s="149">
        <f>(DS11*DS9*DS17)+(DS12*DS10*DS18)</f>
        <v>150914.75</v>
      </c>
      <c r="DT8" s="92" t="s">
        <v>347</v>
      </c>
      <c r="DU8" s="52" t="s">
        <v>518</v>
      </c>
      <c r="DV8" s="146">
        <f>B204</f>
        <v>1.03</v>
      </c>
      <c r="DW8" s="52" t="s">
        <v>286</v>
      </c>
      <c r="DX8" s="83" t="s">
        <v>392</v>
      </c>
      <c r="DY8" s="138">
        <f>B36</f>
        <v>0.25</v>
      </c>
      <c r="EA8" s="83" t="s">
        <v>392</v>
      </c>
      <c r="EB8" s="138">
        <f>B36</f>
        <v>0.25</v>
      </c>
      <c r="EC8" s="84"/>
      <c r="ED8" s="83" t="s">
        <v>392</v>
      </c>
      <c r="EE8" s="138">
        <f>B36</f>
        <v>0.25</v>
      </c>
      <c r="EF8" s="84"/>
      <c r="EG8" s="83" t="s">
        <v>519</v>
      </c>
      <c r="EH8" s="149">
        <f>(EH11*EH9*EH17)+(EH12*EH10*EH18)</f>
        <v>55060.25</v>
      </c>
      <c r="EI8" s="92" t="s">
        <v>347</v>
      </c>
      <c r="EJ8" s="83"/>
      <c r="EM8" s="83" t="s">
        <v>392</v>
      </c>
      <c r="EN8" s="138">
        <f>B36</f>
        <v>0.25</v>
      </c>
      <c r="EP8" s="83" t="s">
        <v>392</v>
      </c>
      <c r="EQ8" s="138">
        <f>B36</f>
        <v>0.25</v>
      </c>
      <c r="ER8" s="84"/>
      <c r="ES8" s="83" t="s">
        <v>392</v>
      </c>
      <c r="ET8" s="138">
        <f>B36</f>
        <v>0.25</v>
      </c>
      <c r="EU8" s="84"/>
      <c r="EV8" s="83" t="s">
        <v>520</v>
      </c>
      <c r="EW8" s="149">
        <f>(EW11*EW9*EW17)+(EW12*EW10*EW18)</f>
        <v>16461.375</v>
      </c>
      <c r="EX8" s="92" t="s">
        <v>347</v>
      </c>
      <c r="EY8" s="95"/>
      <c r="EZ8" s="176"/>
      <c r="FA8" s="83"/>
      <c r="FB8" s="83" t="s">
        <v>392</v>
      </c>
      <c r="FC8" s="142">
        <f>B36</f>
        <v>0.25</v>
      </c>
      <c r="FD8" s="83"/>
      <c r="FE8" s="83" t="s">
        <v>392</v>
      </c>
      <c r="FF8" s="142">
        <f>B36</f>
        <v>0.25</v>
      </c>
      <c r="FG8" s="83"/>
      <c r="FH8" s="83" t="s">
        <v>392</v>
      </c>
      <c r="FI8" s="142">
        <f>B36</f>
        <v>0.25</v>
      </c>
      <c r="FJ8" s="84"/>
      <c r="FK8" s="83" t="s">
        <v>521</v>
      </c>
      <c r="FL8" s="173">
        <f>(FL9*FL11*FL17)+(FL10*FL12*FL18)</f>
        <v>47953.5</v>
      </c>
      <c r="FM8" s="92" t="s">
        <v>347</v>
      </c>
      <c r="FN8" s="83"/>
      <c r="FO8" s="83"/>
      <c r="FP8" s="83"/>
      <c r="FQ8" s="83" t="s">
        <v>22</v>
      </c>
      <c r="FR8" s="137">
        <f>0.693/FR9</f>
        <v>2.2972045705420805E-2</v>
      </c>
      <c r="FT8" s="83"/>
      <c r="FU8" s="83"/>
      <c r="FV8" s="83"/>
      <c r="FZ8" s="83" t="s">
        <v>522</v>
      </c>
      <c r="GA8" s="173">
        <f>(GA11*GA9*GA17)+(GA10*GA12*GA18)</f>
        <v>32952.5</v>
      </c>
      <c r="GB8" s="92" t="s">
        <v>347</v>
      </c>
      <c r="GC8" s="95"/>
      <c r="GD8" s="176"/>
      <c r="GE8" s="83"/>
      <c r="GF8" s="83" t="s">
        <v>392</v>
      </c>
      <c r="GG8" s="142">
        <f>B36</f>
        <v>0.25</v>
      </c>
      <c r="GH8" s="83"/>
      <c r="GI8" s="83" t="s">
        <v>392</v>
      </c>
      <c r="GJ8" s="142">
        <f>B36</f>
        <v>0.25</v>
      </c>
      <c r="GK8" s="83"/>
      <c r="GL8" s="83" t="s">
        <v>392</v>
      </c>
      <c r="GM8" s="142">
        <f>B36</f>
        <v>0.25</v>
      </c>
      <c r="GN8" s="84"/>
      <c r="GO8" s="83" t="s">
        <v>523</v>
      </c>
      <c r="GP8" s="149">
        <f>(GP9*GP11*GP16)+(GP10*GP12*GP17)</f>
        <v>30096.5</v>
      </c>
      <c r="GQ8" s="92" t="s">
        <v>347</v>
      </c>
      <c r="GR8" s="95"/>
      <c r="GS8" s="176"/>
      <c r="GT8" s="83"/>
      <c r="GU8" s="83" t="s">
        <v>392</v>
      </c>
      <c r="GV8" s="142">
        <f>B36</f>
        <v>0.25</v>
      </c>
      <c r="GW8" s="83"/>
      <c r="GX8" s="83" t="s">
        <v>392</v>
      </c>
      <c r="GY8" s="142">
        <f>B36</f>
        <v>0.25</v>
      </c>
      <c r="GZ8" s="83"/>
      <c r="HA8" s="83" t="s">
        <v>392</v>
      </c>
      <c r="HB8" s="142">
        <f>B36</f>
        <v>0.25</v>
      </c>
      <c r="HC8" s="84"/>
      <c r="HD8" s="52" t="s">
        <v>16</v>
      </c>
      <c r="HE8" s="137">
        <f>1-EXP(-HE7*HE12)</f>
        <v>2.2710197161529555E-2</v>
      </c>
    </row>
    <row r="9" spans="1:214" x14ac:dyDescent="0.2">
      <c r="A9" s="83" t="s">
        <v>250</v>
      </c>
      <c r="B9" s="183">
        <v>5.0319999999999999E-5</v>
      </c>
      <c r="C9" s="83" t="s">
        <v>259</v>
      </c>
      <c r="D9" s="52" t="s">
        <v>379</v>
      </c>
      <c r="E9" s="138">
        <f>B53</f>
        <v>1</v>
      </c>
      <c r="F9" s="52" t="s">
        <v>146</v>
      </c>
      <c r="G9" s="83" t="s">
        <v>258</v>
      </c>
      <c r="H9" s="136">
        <f>B17</f>
        <v>4.9109405245458101E-5</v>
      </c>
      <c r="I9" s="92" t="s">
        <v>259</v>
      </c>
      <c r="J9" s="83" t="s">
        <v>258</v>
      </c>
      <c r="K9" s="136">
        <f>B17</f>
        <v>4.9109405245458101E-5</v>
      </c>
      <c r="L9" s="92" t="s">
        <v>259</v>
      </c>
      <c r="M9" s="52" t="s">
        <v>382</v>
      </c>
      <c r="N9" s="138">
        <f>B56</f>
        <v>350</v>
      </c>
      <c r="O9" s="52" t="s">
        <v>24</v>
      </c>
      <c r="P9" s="52" t="s">
        <v>382</v>
      </c>
      <c r="Q9" s="138">
        <f>B56</f>
        <v>350</v>
      </c>
      <c r="R9" s="52" t="s">
        <v>24</v>
      </c>
      <c r="S9" s="52" t="s">
        <v>382</v>
      </c>
      <c r="T9" s="138">
        <f>B56</f>
        <v>350</v>
      </c>
      <c r="U9" s="52" t="s">
        <v>24</v>
      </c>
      <c r="V9" s="52" t="s">
        <v>423</v>
      </c>
      <c r="W9" s="138">
        <f>B255</f>
        <v>225</v>
      </c>
      <c r="X9" s="52" t="s">
        <v>24</v>
      </c>
      <c r="Y9" s="52" t="s">
        <v>316</v>
      </c>
      <c r="Z9" s="138">
        <f>B231</f>
        <v>250</v>
      </c>
      <c r="AA9" s="52" t="s">
        <v>24</v>
      </c>
      <c r="AB9" s="83" t="s">
        <v>34</v>
      </c>
      <c r="AC9" s="146">
        <f>B232</f>
        <v>1</v>
      </c>
      <c r="AD9" s="146">
        <f>B244</f>
        <v>1</v>
      </c>
      <c r="AE9" s="146">
        <f>B256</f>
        <v>1</v>
      </c>
      <c r="AF9" s="146">
        <f>B268</f>
        <v>1</v>
      </c>
      <c r="AG9" s="146">
        <f>B292</f>
        <v>1</v>
      </c>
      <c r="AH9" s="83" t="s">
        <v>60</v>
      </c>
      <c r="AI9" s="52" t="s">
        <v>35</v>
      </c>
      <c r="AJ9" s="138">
        <f>B243</f>
        <v>250</v>
      </c>
      <c r="AK9" s="52" t="s">
        <v>24</v>
      </c>
      <c r="AL9" s="52" t="s">
        <v>35</v>
      </c>
      <c r="AM9" s="138">
        <f>B243</f>
        <v>250</v>
      </c>
      <c r="AN9" s="52" t="s">
        <v>24</v>
      </c>
      <c r="AO9" s="52" t="s">
        <v>35</v>
      </c>
      <c r="AP9" s="138">
        <f>B243</f>
        <v>250</v>
      </c>
      <c r="AQ9" s="52" t="s">
        <v>24</v>
      </c>
      <c r="AR9" s="52" t="s">
        <v>423</v>
      </c>
      <c r="AS9" s="138">
        <f>B255</f>
        <v>225</v>
      </c>
      <c r="AT9" s="52" t="s">
        <v>24</v>
      </c>
      <c r="AU9" s="52" t="s">
        <v>423</v>
      </c>
      <c r="AV9" s="138">
        <f>B255</f>
        <v>225</v>
      </c>
      <c r="AW9" s="52" t="s">
        <v>24</v>
      </c>
      <c r="AX9" s="52" t="s">
        <v>423</v>
      </c>
      <c r="AY9" s="138">
        <f>B255</f>
        <v>225</v>
      </c>
      <c r="AZ9" s="52" t="s">
        <v>24</v>
      </c>
      <c r="BA9" s="52" t="s">
        <v>316</v>
      </c>
      <c r="BB9" s="138">
        <f>B231</f>
        <v>250</v>
      </c>
      <c r="BC9" s="52" t="s">
        <v>24</v>
      </c>
      <c r="BD9" s="52" t="s">
        <v>316</v>
      </c>
      <c r="BE9" s="138">
        <f>B231</f>
        <v>250</v>
      </c>
      <c r="BF9" s="52" t="s">
        <v>24</v>
      </c>
      <c r="BG9" s="52" t="s">
        <v>316</v>
      </c>
      <c r="BH9" s="138">
        <f>B231</f>
        <v>250</v>
      </c>
      <c r="BI9" s="52" t="s">
        <v>24</v>
      </c>
      <c r="BJ9" s="52" t="s">
        <v>191</v>
      </c>
      <c r="BK9" s="138">
        <f>BK10*BK11</f>
        <v>250</v>
      </c>
      <c r="BL9" s="52" t="s">
        <v>24</v>
      </c>
      <c r="BM9" s="52" t="s">
        <v>191</v>
      </c>
      <c r="BN9" s="138">
        <f>BN10*BN11</f>
        <v>250</v>
      </c>
      <c r="BO9" s="52" t="s">
        <v>24</v>
      </c>
      <c r="BP9" s="52" t="s">
        <v>191</v>
      </c>
      <c r="BQ9" s="138">
        <f>BQ10*BQ11</f>
        <v>250</v>
      </c>
      <c r="BR9" s="52" t="s">
        <v>24</v>
      </c>
      <c r="BS9" s="52" t="s">
        <v>247</v>
      </c>
      <c r="BT9" s="139">
        <f>E11</f>
        <v>1.5417408700798101E-4</v>
      </c>
      <c r="BU9" s="84" t="s">
        <v>259</v>
      </c>
      <c r="BV9" s="83" t="s">
        <v>258</v>
      </c>
      <c r="BW9" s="136">
        <f>B17</f>
        <v>4.9109405245458101E-5</v>
      </c>
      <c r="BX9" s="92" t="s">
        <v>259</v>
      </c>
      <c r="BY9" s="83" t="s">
        <v>77</v>
      </c>
      <c r="BZ9" s="136">
        <f>B19</f>
        <v>1359344473.5814338</v>
      </c>
      <c r="CA9" s="83" t="s">
        <v>78</v>
      </c>
      <c r="CB9" s="52" t="s">
        <v>140</v>
      </c>
      <c r="CC9" s="138">
        <f>B103</f>
        <v>75</v>
      </c>
      <c r="CD9" s="52" t="s">
        <v>24</v>
      </c>
      <c r="CE9" s="52" t="s">
        <v>140</v>
      </c>
      <c r="CF9" s="138">
        <f>B103</f>
        <v>75</v>
      </c>
      <c r="CG9" s="52" t="s">
        <v>24</v>
      </c>
      <c r="CH9" s="52" t="s">
        <v>140</v>
      </c>
      <c r="CI9" s="138">
        <f>B103</f>
        <v>75</v>
      </c>
      <c r="CJ9" s="52" t="s">
        <v>24</v>
      </c>
      <c r="CK9" s="95" t="s">
        <v>287</v>
      </c>
      <c r="CL9" s="176">
        <v>27.027027027027</v>
      </c>
      <c r="CM9" s="52" t="s">
        <v>288</v>
      </c>
      <c r="CN9" s="84" t="s">
        <v>392</v>
      </c>
      <c r="CO9" s="162">
        <f>B36</f>
        <v>0.25</v>
      </c>
      <c r="CT9" s="83" t="s">
        <v>258</v>
      </c>
      <c r="CU9" s="136">
        <f>B17</f>
        <v>4.9109405245458101E-5</v>
      </c>
      <c r="CV9" s="92" t="s">
        <v>259</v>
      </c>
      <c r="CW9" s="52" t="s">
        <v>363</v>
      </c>
      <c r="CX9" s="138">
        <f>B170</f>
        <v>1</v>
      </c>
      <c r="CY9" s="52" t="s">
        <v>146</v>
      </c>
      <c r="CZ9" s="83" t="s">
        <v>258</v>
      </c>
      <c r="DA9" s="136">
        <f>B17</f>
        <v>4.9109405245458101E-5</v>
      </c>
      <c r="DB9" s="84" t="s">
        <v>259</v>
      </c>
      <c r="DC9" s="83" t="s">
        <v>513</v>
      </c>
      <c r="DD9" s="146">
        <f>B151</f>
        <v>41.7</v>
      </c>
      <c r="DE9" s="92" t="s">
        <v>221</v>
      </c>
      <c r="DF9" s="83" t="s">
        <v>40</v>
      </c>
      <c r="DG9" s="138">
        <f>B194</f>
        <v>0.25</v>
      </c>
      <c r="DH9" s="52" t="s">
        <v>41</v>
      </c>
      <c r="DI9" s="52" t="s">
        <v>350</v>
      </c>
      <c r="DJ9" s="164">
        <f>B170</f>
        <v>1</v>
      </c>
      <c r="DL9" s="95"/>
      <c r="DM9" s="176"/>
      <c r="DO9" s="83" t="s">
        <v>40</v>
      </c>
      <c r="DP9" s="138">
        <f>B194</f>
        <v>0.25</v>
      </c>
      <c r="DQ9" s="52" t="s">
        <v>41</v>
      </c>
      <c r="DR9" s="83" t="s">
        <v>452</v>
      </c>
      <c r="DS9" s="146">
        <f>B153</f>
        <v>349.5</v>
      </c>
      <c r="DT9" s="92" t="s">
        <v>221</v>
      </c>
      <c r="DU9" s="95"/>
      <c r="DV9" s="176"/>
      <c r="DX9" s="83" t="s">
        <v>517</v>
      </c>
      <c r="DY9" s="136">
        <f>B24</f>
        <v>4.5999999999999999E-3</v>
      </c>
      <c r="DZ9" s="52" t="s">
        <v>601</v>
      </c>
      <c r="EA9" s="83" t="s">
        <v>517</v>
      </c>
      <c r="EB9" s="136">
        <f>B24</f>
        <v>4.5999999999999999E-3</v>
      </c>
      <c r="EC9" s="52" t="s">
        <v>601</v>
      </c>
      <c r="ED9" s="83" t="s">
        <v>517</v>
      </c>
      <c r="EE9" s="136">
        <f>B24</f>
        <v>4.5999999999999999E-3</v>
      </c>
      <c r="EF9" s="52" t="s">
        <v>601</v>
      </c>
      <c r="EG9" s="83" t="s">
        <v>453</v>
      </c>
      <c r="EH9" s="170">
        <f>B155</f>
        <v>40.1</v>
      </c>
      <c r="EI9" s="92" t="s">
        <v>221</v>
      </c>
      <c r="EJ9" s="83"/>
      <c r="EM9" s="83" t="s">
        <v>236</v>
      </c>
      <c r="EN9" s="136">
        <f>B25</f>
        <v>2.1999999999999999E-2</v>
      </c>
      <c r="EO9" s="52" t="s">
        <v>388</v>
      </c>
      <c r="EP9" s="83" t="s">
        <v>236</v>
      </c>
      <c r="EQ9" s="169">
        <f>B25</f>
        <v>2.1999999999999999E-2</v>
      </c>
      <c r="ER9" s="52" t="s">
        <v>388</v>
      </c>
      <c r="ES9" s="83" t="s">
        <v>236</v>
      </c>
      <c r="ET9" s="169">
        <f>B25</f>
        <v>2.1999999999999999E-2</v>
      </c>
      <c r="EU9" s="52" t="s">
        <v>388</v>
      </c>
      <c r="EV9" s="83" t="s">
        <v>454</v>
      </c>
      <c r="EW9" s="171">
        <f>B157</f>
        <v>10.95</v>
      </c>
      <c r="EX9" s="92" t="s">
        <v>221</v>
      </c>
      <c r="EY9" s="83"/>
      <c r="EZ9" s="83"/>
      <c r="FA9" s="83"/>
      <c r="FB9" s="83" t="s">
        <v>171</v>
      </c>
      <c r="FC9" s="169">
        <f>B27</f>
        <v>0.4</v>
      </c>
      <c r="FD9" s="52" t="s">
        <v>388</v>
      </c>
      <c r="FE9" s="83" t="s">
        <v>171</v>
      </c>
      <c r="FF9" s="169">
        <f>B27</f>
        <v>0.4</v>
      </c>
      <c r="FG9" s="52" t="s">
        <v>388</v>
      </c>
      <c r="FH9" s="83" t="s">
        <v>171</v>
      </c>
      <c r="FI9" s="169">
        <f>B27</f>
        <v>0.4</v>
      </c>
      <c r="FJ9" s="52" t="s">
        <v>388</v>
      </c>
      <c r="FK9" s="83" t="s">
        <v>471</v>
      </c>
      <c r="FL9" s="150">
        <f>B159</f>
        <v>32.799999999999997</v>
      </c>
      <c r="FM9" s="92" t="s">
        <v>221</v>
      </c>
      <c r="FN9" s="83"/>
      <c r="FO9" s="83"/>
      <c r="FP9" s="83"/>
      <c r="FQ9" s="91" t="s">
        <v>231</v>
      </c>
      <c r="FR9" s="136">
        <f>B18</f>
        <v>30.167100000000001</v>
      </c>
      <c r="FS9" s="52" t="s">
        <v>60</v>
      </c>
      <c r="FT9" s="83"/>
      <c r="FU9" s="93"/>
      <c r="FV9" s="83"/>
      <c r="FW9" s="83"/>
      <c r="FX9" s="93"/>
      <c r="FY9" s="83"/>
      <c r="FZ9" s="83" t="s">
        <v>473</v>
      </c>
      <c r="GA9" s="174">
        <f>B161</f>
        <v>23.6</v>
      </c>
      <c r="GB9" s="92" t="s">
        <v>221</v>
      </c>
      <c r="GC9" s="83"/>
      <c r="GD9" s="83"/>
      <c r="GE9" s="83"/>
      <c r="GF9" s="83" t="s">
        <v>237</v>
      </c>
      <c r="GG9" s="169">
        <f>B26</f>
        <v>2.7</v>
      </c>
      <c r="GH9" s="52" t="s">
        <v>388</v>
      </c>
      <c r="GI9" s="83" t="s">
        <v>237</v>
      </c>
      <c r="GJ9" s="169">
        <f>B26</f>
        <v>2.7</v>
      </c>
      <c r="GK9" s="52" t="s">
        <v>388</v>
      </c>
      <c r="GL9" s="83" t="s">
        <v>237</v>
      </c>
      <c r="GM9" s="169">
        <f>B26</f>
        <v>2.7</v>
      </c>
      <c r="GN9" s="84"/>
      <c r="GO9" s="83" t="s">
        <v>455</v>
      </c>
      <c r="GP9" s="150">
        <f>B163</f>
        <v>18.5</v>
      </c>
      <c r="GQ9" s="92" t="s">
        <v>221</v>
      </c>
      <c r="GR9" s="83"/>
      <c r="GS9" s="83"/>
      <c r="GT9" s="83"/>
      <c r="GU9" s="83" t="s">
        <v>238</v>
      </c>
      <c r="GV9" s="169">
        <f>B28</f>
        <v>0.2</v>
      </c>
      <c r="GW9" s="52" t="s">
        <v>388</v>
      </c>
      <c r="GX9" s="83" t="s">
        <v>238</v>
      </c>
      <c r="GY9" s="169">
        <f>B28</f>
        <v>0.2</v>
      </c>
      <c r="GZ9" s="52" t="s">
        <v>388</v>
      </c>
      <c r="HA9" s="83" t="s">
        <v>238</v>
      </c>
      <c r="HB9" s="169">
        <f>B28</f>
        <v>0.2</v>
      </c>
      <c r="HC9" s="52" t="s">
        <v>388</v>
      </c>
      <c r="HD9" s="91" t="s">
        <v>231</v>
      </c>
      <c r="HE9" s="136">
        <f>B18</f>
        <v>30.167100000000001</v>
      </c>
      <c r="HF9" s="52" t="s">
        <v>60</v>
      </c>
    </row>
    <row r="10" spans="1:214" x14ac:dyDescent="0.2">
      <c r="A10" s="83" t="s">
        <v>251</v>
      </c>
      <c r="B10" s="179">
        <v>3.19428</v>
      </c>
      <c r="C10" s="83" t="s">
        <v>351</v>
      </c>
      <c r="D10" s="52" t="s">
        <v>92</v>
      </c>
      <c r="E10" s="138">
        <f>E9</f>
        <v>1</v>
      </c>
      <c r="G10" s="83" t="s">
        <v>260</v>
      </c>
      <c r="H10" s="143">
        <f>(H5/(H6*H15))/H70</f>
        <v>1.0229177438584085</v>
      </c>
      <c r="I10" s="92" t="s">
        <v>291</v>
      </c>
      <c r="J10" s="83" t="s">
        <v>77</v>
      </c>
      <c r="K10" s="136">
        <f>B19</f>
        <v>1359344473.5814338</v>
      </c>
      <c r="L10" s="83" t="s">
        <v>78</v>
      </c>
      <c r="M10" s="52" t="s">
        <v>379</v>
      </c>
      <c r="N10" s="138">
        <f>B53</f>
        <v>1</v>
      </c>
      <c r="O10" s="52" t="s">
        <v>146</v>
      </c>
      <c r="P10" s="52" t="s">
        <v>379</v>
      </c>
      <c r="Q10" s="138">
        <f>B53</f>
        <v>1</v>
      </c>
      <c r="R10" s="52" t="s">
        <v>146</v>
      </c>
      <c r="S10" s="52" t="s">
        <v>379</v>
      </c>
      <c r="T10" s="138">
        <f>B53</f>
        <v>1</v>
      </c>
      <c r="U10" s="52" t="s">
        <v>146</v>
      </c>
      <c r="V10" s="52" t="s">
        <v>424</v>
      </c>
      <c r="W10" s="138">
        <f>B256</f>
        <v>1</v>
      </c>
      <c r="X10" s="52" t="s">
        <v>146</v>
      </c>
      <c r="Y10" s="52" t="s">
        <v>422</v>
      </c>
      <c r="Z10" s="138">
        <f>B232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B277</f>
        <v>5</v>
      </c>
      <c r="AG10" s="146">
        <f>B300</f>
        <v>5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B244</f>
        <v>1</v>
      </c>
      <c r="AN10" s="52" t="s">
        <v>146</v>
      </c>
      <c r="AO10" s="52" t="s">
        <v>420</v>
      </c>
      <c r="AP10" s="138">
        <f>B244</f>
        <v>1</v>
      </c>
      <c r="AQ10" s="52" t="s">
        <v>146</v>
      </c>
      <c r="AR10" s="52" t="s">
        <v>424</v>
      </c>
      <c r="AS10" s="138">
        <f>B256</f>
        <v>1</v>
      </c>
      <c r="AT10" s="52" t="s">
        <v>146</v>
      </c>
      <c r="AU10" s="52" t="s">
        <v>424</v>
      </c>
      <c r="AV10" s="138">
        <f>B256</f>
        <v>1</v>
      </c>
      <c r="AW10" s="52" t="s">
        <v>146</v>
      </c>
      <c r="AX10" s="52" t="s">
        <v>424</v>
      </c>
      <c r="AY10" s="138">
        <f>B256</f>
        <v>1</v>
      </c>
      <c r="AZ10" s="52" t="s">
        <v>146</v>
      </c>
      <c r="BA10" s="52" t="s">
        <v>422</v>
      </c>
      <c r="BB10" s="138">
        <f>B232</f>
        <v>1</v>
      </c>
      <c r="BC10" s="52" t="s">
        <v>146</v>
      </c>
      <c r="BD10" s="52" t="s">
        <v>422</v>
      </c>
      <c r="BE10" s="138">
        <f>B232</f>
        <v>1</v>
      </c>
      <c r="BF10" s="52" t="s">
        <v>146</v>
      </c>
      <c r="BG10" s="52" t="s">
        <v>422</v>
      </c>
      <c r="BH10" s="138">
        <f>B232</f>
        <v>1</v>
      </c>
      <c r="BI10" s="52" t="s">
        <v>146</v>
      </c>
      <c r="BJ10" s="52" t="s">
        <v>220</v>
      </c>
      <c r="BK10" s="138">
        <f>B278</f>
        <v>50</v>
      </c>
      <c r="BL10" s="52" t="s">
        <v>113</v>
      </c>
      <c r="BM10" s="52" t="s">
        <v>220</v>
      </c>
      <c r="BN10" s="138">
        <f>B278</f>
        <v>50</v>
      </c>
      <c r="BO10" s="52" t="s">
        <v>113</v>
      </c>
      <c r="BP10" s="52" t="s">
        <v>220</v>
      </c>
      <c r="BQ10" s="138">
        <f>B278</f>
        <v>50</v>
      </c>
      <c r="BR10" s="52" t="s">
        <v>113</v>
      </c>
      <c r="BS10" s="83" t="s">
        <v>428</v>
      </c>
      <c r="BT10" s="149">
        <f>(BT22*BT13*(1/24)*BT11*BT25)+(BT23*BT14*(1/24)*BT12*BT26)</f>
        <v>55.3125</v>
      </c>
      <c r="BU10" s="52" t="s">
        <v>426</v>
      </c>
      <c r="BV10" s="83" t="s">
        <v>260</v>
      </c>
      <c r="BW10" s="143">
        <f>(BW5/(BW6*BW13))/BW32</f>
        <v>334.85326002732097</v>
      </c>
      <c r="BX10" s="92" t="s">
        <v>291</v>
      </c>
      <c r="BY10" s="84" t="s">
        <v>16</v>
      </c>
      <c r="BZ10" s="137">
        <f>(BZ30*BZ11)/(1-EXP(-BZ11*BZ30))</f>
        <v>1.0115299987062558</v>
      </c>
      <c r="CB10" s="52" t="s">
        <v>51</v>
      </c>
      <c r="CC10" s="138">
        <f>B117</f>
        <v>1</v>
      </c>
      <c r="CD10" s="52" t="s">
        <v>146</v>
      </c>
      <c r="CE10" s="52" t="s">
        <v>51</v>
      </c>
      <c r="CF10" s="138">
        <f>B117</f>
        <v>1</v>
      </c>
      <c r="CG10" s="52" t="s">
        <v>146</v>
      </c>
      <c r="CH10" s="52" t="s">
        <v>51</v>
      </c>
      <c r="CI10" s="138">
        <f>B117</f>
        <v>1</v>
      </c>
      <c r="CJ10" s="52" t="s">
        <v>146</v>
      </c>
      <c r="CN10" s="84" t="s">
        <v>164</v>
      </c>
      <c r="CO10" s="162">
        <f>B129</f>
        <v>1</v>
      </c>
      <c r="CP10" s="52" t="s">
        <v>246</v>
      </c>
      <c r="CT10" s="83" t="s">
        <v>77</v>
      </c>
      <c r="CU10" s="136">
        <f>B19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1.0115299987062558</v>
      </c>
      <c r="DC10" s="83" t="s">
        <v>514</v>
      </c>
      <c r="DD10" s="146">
        <f>B152</f>
        <v>125.7</v>
      </c>
      <c r="DE10" s="92" t="s">
        <v>221</v>
      </c>
      <c r="DF10" s="92" t="s">
        <v>32</v>
      </c>
      <c r="DG10" s="136">
        <f>B31</f>
        <v>2.5229999999999999E-2</v>
      </c>
      <c r="DI10" s="83" t="s">
        <v>22</v>
      </c>
      <c r="DJ10" s="137">
        <f>0.693/DJ11</f>
        <v>2.2972045705420805E-2</v>
      </c>
      <c r="DL10" s="92"/>
      <c r="DO10" s="92" t="s">
        <v>32</v>
      </c>
      <c r="DP10" s="136">
        <f>B31</f>
        <v>2.5229999999999999E-2</v>
      </c>
      <c r="DR10" s="83" t="s">
        <v>461</v>
      </c>
      <c r="DS10" s="146">
        <f>B154</f>
        <v>445.6</v>
      </c>
      <c r="DT10" s="92" t="s">
        <v>221</v>
      </c>
      <c r="DU10" s="92"/>
      <c r="DX10" s="83" t="s">
        <v>498</v>
      </c>
      <c r="DY10" s="138">
        <f>B205</f>
        <v>20.3</v>
      </c>
      <c r="DZ10" s="52" t="s">
        <v>246</v>
      </c>
      <c r="EA10" s="83" t="s">
        <v>498</v>
      </c>
      <c r="EB10" s="138">
        <f>B205</f>
        <v>20.3</v>
      </c>
      <c r="EC10" s="52" t="s">
        <v>246</v>
      </c>
      <c r="ED10" s="83" t="s">
        <v>498</v>
      </c>
      <c r="EE10" s="138">
        <f>B205</f>
        <v>20.3</v>
      </c>
      <c r="EF10" s="52" t="s">
        <v>246</v>
      </c>
      <c r="EG10" s="83" t="s">
        <v>462</v>
      </c>
      <c r="EH10" s="170">
        <f>B156</f>
        <v>178</v>
      </c>
      <c r="EI10" s="92" t="s">
        <v>221</v>
      </c>
      <c r="EJ10" s="92"/>
      <c r="EM10" s="83" t="s">
        <v>494</v>
      </c>
      <c r="EN10" s="138">
        <f>B210</f>
        <v>11.77</v>
      </c>
      <c r="EO10" s="52" t="s">
        <v>246</v>
      </c>
      <c r="EP10" s="83" t="s">
        <v>494</v>
      </c>
      <c r="EQ10" s="138">
        <f>B210</f>
        <v>11.77</v>
      </c>
      <c r="ER10" s="52" t="s">
        <v>246</v>
      </c>
      <c r="ES10" s="83" t="s">
        <v>494</v>
      </c>
      <c r="ET10" s="138">
        <f>B210</f>
        <v>11.77</v>
      </c>
      <c r="EU10" s="52" t="s">
        <v>246</v>
      </c>
      <c r="EV10" s="83" t="s">
        <v>463</v>
      </c>
      <c r="EW10" s="170">
        <f>B158</f>
        <v>53.4</v>
      </c>
      <c r="EX10" s="92" t="s">
        <v>221</v>
      </c>
      <c r="EY10" s="83"/>
      <c r="EZ10" s="83"/>
      <c r="FA10" s="83"/>
      <c r="FB10" s="83" t="s">
        <v>152</v>
      </c>
      <c r="FC10" s="142">
        <f>B215</f>
        <v>0.2</v>
      </c>
      <c r="FD10" s="52" t="s">
        <v>246</v>
      </c>
      <c r="FE10" s="83" t="s">
        <v>152</v>
      </c>
      <c r="FF10" s="142">
        <f>B215</f>
        <v>0.2</v>
      </c>
      <c r="FG10" s="52" t="s">
        <v>246</v>
      </c>
      <c r="FH10" s="83" t="s">
        <v>152</v>
      </c>
      <c r="FI10" s="142">
        <f>B215</f>
        <v>0.2</v>
      </c>
      <c r="FJ10" s="52" t="s">
        <v>246</v>
      </c>
      <c r="FK10" s="83" t="s">
        <v>472</v>
      </c>
      <c r="FL10" s="150">
        <f>B160</f>
        <v>155.4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1.0115299987062558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B162</f>
        <v>106.6</v>
      </c>
      <c r="GB10" s="92" t="s">
        <v>221</v>
      </c>
      <c r="GC10" s="83"/>
      <c r="GD10" s="83"/>
      <c r="GE10" s="83"/>
      <c r="GF10" s="83" t="s">
        <v>486</v>
      </c>
      <c r="GG10" s="142">
        <f>B220</f>
        <v>0.2</v>
      </c>
      <c r="GH10" s="52" t="s">
        <v>246</v>
      </c>
      <c r="GI10" s="83" t="s">
        <v>486</v>
      </c>
      <c r="GJ10" s="142">
        <f>B220</f>
        <v>0.2</v>
      </c>
      <c r="GK10" s="52" t="s">
        <v>246</v>
      </c>
      <c r="GL10" s="83" t="s">
        <v>486</v>
      </c>
      <c r="GM10" s="142">
        <f>B220</f>
        <v>0.2</v>
      </c>
      <c r="GN10" s="52" t="s">
        <v>246</v>
      </c>
      <c r="GO10" s="83" t="s">
        <v>464</v>
      </c>
      <c r="GP10" s="150">
        <f>B164</f>
        <v>97.9</v>
      </c>
      <c r="GQ10" s="92" t="s">
        <v>221</v>
      </c>
      <c r="GR10" s="83"/>
      <c r="GS10" s="83"/>
      <c r="GT10" s="83"/>
      <c r="GU10" s="83" t="s">
        <v>490</v>
      </c>
      <c r="GV10" s="142">
        <f>B225</f>
        <v>4.7</v>
      </c>
      <c r="GW10" s="52" t="s">
        <v>246</v>
      </c>
      <c r="GX10" s="83" t="s">
        <v>490</v>
      </c>
      <c r="GY10" s="142">
        <f>B225</f>
        <v>4.7</v>
      </c>
      <c r="GZ10" s="52" t="s">
        <v>246</v>
      </c>
      <c r="HA10" s="83" t="s">
        <v>490</v>
      </c>
      <c r="HB10" s="142">
        <f>B225</f>
        <v>4.7</v>
      </c>
      <c r="HC10" s="52" t="s">
        <v>246</v>
      </c>
      <c r="HD10" s="84" t="s">
        <v>38</v>
      </c>
      <c r="HE10" s="163">
        <f>B83</f>
        <v>0.3</v>
      </c>
    </row>
    <row r="11" spans="1:214" x14ac:dyDescent="0.2">
      <c r="A11" s="83" t="s">
        <v>252</v>
      </c>
      <c r="B11" s="183">
        <v>0.64061199999999996</v>
      </c>
      <c r="C11" s="83" t="s">
        <v>352</v>
      </c>
      <c r="D11" s="52" t="s">
        <v>247</v>
      </c>
      <c r="E11" s="139">
        <f>B6</f>
        <v>1.5417408700798101E-4</v>
      </c>
      <c r="F11" s="84" t="s">
        <v>259</v>
      </c>
      <c r="G11" s="83" t="s">
        <v>261</v>
      </c>
      <c r="H11" s="144">
        <f>(H5/(H7*H16*H28))/H70</f>
        <v>7.7478111021630061E-2</v>
      </c>
      <c r="I11" s="92" t="s">
        <v>291</v>
      </c>
      <c r="J11" s="84" t="s">
        <v>16</v>
      </c>
      <c r="K11" s="137">
        <f>(K43*K12)/(1-EXP(-K12*K43))</f>
        <v>1.0115299987062558</v>
      </c>
      <c r="M11" s="52" t="s">
        <v>299</v>
      </c>
      <c r="N11" s="138">
        <f>B61</f>
        <v>0.4</v>
      </c>
      <c r="P11" s="52" t="s">
        <v>299</v>
      </c>
      <c r="Q11" s="138">
        <f>B61</f>
        <v>0.4</v>
      </c>
      <c r="S11" s="52" t="s">
        <v>299</v>
      </c>
      <c r="T11" s="138">
        <f>B61</f>
        <v>0.4</v>
      </c>
      <c r="V11" s="52" t="s">
        <v>247</v>
      </c>
      <c r="W11" s="139">
        <f>B6</f>
        <v>1.5417408700798101E-4</v>
      </c>
      <c r="X11" s="84" t="s">
        <v>39</v>
      </c>
      <c r="Y11" s="52" t="s">
        <v>247</v>
      </c>
      <c r="Z11" s="139">
        <f>B6</f>
        <v>1.5417408700798101E-4</v>
      </c>
      <c r="AA11" s="84" t="s">
        <v>39</v>
      </c>
      <c r="AB11" s="83" t="s">
        <v>220</v>
      </c>
      <c r="AC11" s="146"/>
      <c r="AD11" s="146"/>
      <c r="AE11" s="146"/>
      <c r="AF11" s="146">
        <f>B278</f>
        <v>50</v>
      </c>
      <c r="AG11" s="146">
        <f>B301</f>
        <v>50</v>
      </c>
      <c r="AH11" s="83" t="s">
        <v>113</v>
      </c>
      <c r="AI11" s="52" t="s">
        <v>299</v>
      </c>
      <c r="AJ11" s="138">
        <f>B248</f>
        <v>0.4</v>
      </c>
      <c r="AL11" s="52" t="s">
        <v>299</v>
      </c>
      <c r="AM11" s="138">
        <f>B248</f>
        <v>0.4</v>
      </c>
      <c r="AO11" s="52" t="s">
        <v>299</v>
      </c>
      <c r="AP11" s="138">
        <f>B248</f>
        <v>0.4</v>
      </c>
      <c r="AR11" s="52" t="s">
        <v>299</v>
      </c>
      <c r="AS11" s="138">
        <f>B260</f>
        <v>0.4</v>
      </c>
      <c r="AU11" s="52" t="s">
        <v>299</v>
      </c>
      <c r="AV11" s="138">
        <f>B260</f>
        <v>0.4</v>
      </c>
      <c r="AX11" s="52" t="s">
        <v>299</v>
      </c>
      <c r="AY11" s="138">
        <f>B260</f>
        <v>0.4</v>
      </c>
      <c r="BA11" s="52" t="s">
        <v>299</v>
      </c>
      <c r="BB11" s="138">
        <f>B236</f>
        <v>0.4</v>
      </c>
      <c r="BD11" s="52" t="s">
        <v>299</v>
      </c>
      <c r="BE11" s="138">
        <f>B236</f>
        <v>0.4</v>
      </c>
      <c r="BG11" s="52" t="s">
        <v>299</v>
      </c>
      <c r="BH11" s="138">
        <f>B236</f>
        <v>0.4</v>
      </c>
      <c r="BJ11" s="52" t="s">
        <v>219</v>
      </c>
      <c r="BK11" s="138">
        <f>B277</f>
        <v>5</v>
      </c>
      <c r="BL11" s="52" t="s">
        <v>112</v>
      </c>
      <c r="BM11" s="52" t="s">
        <v>219</v>
      </c>
      <c r="BN11" s="138">
        <f>B277</f>
        <v>5</v>
      </c>
      <c r="BO11" s="52" t="s">
        <v>112</v>
      </c>
      <c r="BP11" s="52" t="s">
        <v>219</v>
      </c>
      <c r="BQ11" s="138">
        <f>B277</f>
        <v>5</v>
      </c>
      <c r="BR11" s="52" t="s">
        <v>112</v>
      </c>
      <c r="BS11" s="83" t="s">
        <v>429</v>
      </c>
      <c r="BT11" s="141">
        <f>B93</f>
        <v>10</v>
      </c>
      <c r="BU11" s="92" t="s">
        <v>407</v>
      </c>
      <c r="BV11" s="83" t="s">
        <v>261</v>
      </c>
      <c r="BW11" s="159"/>
      <c r="BX11" s="92" t="s">
        <v>291</v>
      </c>
      <c r="BY11" s="83" t="s">
        <v>22</v>
      </c>
      <c r="BZ11" s="137">
        <f>0.693/BZ12</f>
        <v>2.2972045705420805E-2</v>
      </c>
      <c r="CB11" s="52" t="s">
        <v>300</v>
      </c>
      <c r="CC11" s="138">
        <f>B118</f>
        <v>2.41E-4</v>
      </c>
      <c r="CE11" s="52" t="s">
        <v>300</v>
      </c>
      <c r="CF11" s="138">
        <f>B120</f>
        <v>1.17E-4</v>
      </c>
      <c r="CH11" s="52" t="s">
        <v>300</v>
      </c>
      <c r="CI11" s="138">
        <f>B124</f>
        <v>2.2599999999999999E-4</v>
      </c>
      <c r="CN11" s="84" t="s">
        <v>161</v>
      </c>
      <c r="CO11" s="162">
        <f>B130</f>
        <v>1</v>
      </c>
      <c r="CP11" s="52" t="s">
        <v>246</v>
      </c>
      <c r="CT11" s="84" t="s">
        <v>16</v>
      </c>
      <c r="CU11" s="137">
        <f>(CU43*CU12)/(1-EXP(-CU12*CU43))</f>
        <v>1.0115299987062558</v>
      </c>
      <c r="CW11" s="52" t="s">
        <v>247</v>
      </c>
      <c r="CX11" s="139">
        <f>B6</f>
        <v>1.5417408700798101E-4</v>
      </c>
      <c r="CY11" s="84" t="s">
        <v>259</v>
      </c>
      <c r="CZ11" s="83" t="s">
        <v>22</v>
      </c>
      <c r="DA11" s="137">
        <f>0.693/DA12</f>
        <v>2.2972045705420805E-2</v>
      </c>
      <c r="DC11" s="83" t="s">
        <v>515</v>
      </c>
      <c r="DD11" s="149">
        <f>(DD12*DD15*DD20)+(DD13*DD14*DD21)</f>
        <v>56173.250000000007</v>
      </c>
      <c r="DE11" s="92" t="s">
        <v>347</v>
      </c>
      <c r="DF11" s="92" t="s">
        <v>49</v>
      </c>
      <c r="DG11" s="137">
        <f>DG19+DG20</f>
        <v>8.993711152170084E-5</v>
      </c>
      <c r="DI11" s="91" t="s">
        <v>231</v>
      </c>
      <c r="DJ11" s="136">
        <f>B18</f>
        <v>30.167100000000001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B168</f>
        <v>350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B168</f>
        <v>350</v>
      </c>
      <c r="EI11" s="83" t="s">
        <v>24</v>
      </c>
      <c r="EJ11" s="92"/>
      <c r="EM11" s="83" t="s">
        <v>495</v>
      </c>
      <c r="EN11" s="138">
        <f>B211</f>
        <v>0.5</v>
      </c>
      <c r="EO11" s="52" t="s">
        <v>246</v>
      </c>
      <c r="EP11" s="83" t="s">
        <v>495</v>
      </c>
      <c r="EQ11" s="138">
        <f>B211</f>
        <v>0.5</v>
      </c>
      <c r="ER11" s="52" t="s">
        <v>246</v>
      </c>
      <c r="ES11" s="83" t="s">
        <v>495</v>
      </c>
      <c r="ET11" s="138">
        <f>B211</f>
        <v>0.5</v>
      </c>
      <c r="EU11" s="52" t="s">
        <v>246</v>
      </c>
      <c r="EV11" s="83" t="s">
        <v>456</v>
      </c>
      <c r="EW11" s="150">
        <f>B168</f>
        <v>350</v>
      </c>
      <c r="EX11" s="83" t="s">
        <v>24</v>
      </c>
      <c r="EY11" s="83"/>
      <c r="EZ11" s="83"/>
      <c r="FA11" s="83"/>
      <c r="FB11" s="83" t="s">
        <v>151</v>
      </c>
      <c r="FC11" s="142">
        <f>B216</f>
        <v>2.1999999999999999E-2</v>
      </c>
      <c r="FD11" s="52" t="s">
        <v>246</v>
      </c>
      <c r="FE11" s="83" t="s">
        <v>151</v>
      </c>
      <c r="FF11" s="142">
        <f>B216</f>
        <v>2.1999999999999999E-2</v>
      </c>
      <c r="FG11" s="52" t="s">
        <v>246</v>
      </c>
      <c r="FH11" s="83" t="s">
        <v>151</v>
      </c>
      <c r="FI11" s="142">
        <f>B216</f>
        <v>2.1999999999999999E-2</v>
      </c>
      <c r="FJ11" s="52" t="s">
        <v>246</v>
      </c>
      <c r="FK11" s="83" t="s">
        <v>456</v>
      </c>
      <c r="FL11" s="150">
        <f>B168</f>
        <v>350</v>
      </c>
      <c r="FM11" s="83" t="s">
        <v>24</v>
      </c>
      <c r="FN11" s="83"/>
      <c r="FO11" s="83"/>
      <c r="FP11" s="83"/>
      <c r="FQ11" s="95"/>
      <c r="FR11" s="176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B168</f>
        <v>350</v>
      </c>
      <c r="GB11" s="83" t="s">
        <v>24</v>
      </c>
      <c r="GC11" s="83"/>
      <c r="GD11" s="83"/>
      <c r="GE11" s="83"/>
      <c r="GF11" s="83" t="s">
        <v>487</v>
      </c>
      <c r="GG11" s="142">
        <f>B221</f>
        <v>2.1999999999999999E-2</v>
      </c>
      <c r="GH11" s="52" t="s">
        <v>246</v>
      </c>
      <c r="GI11" s="83" t="s">
        <v>487</v>
      </c>
      <c r="GJ11" s="142">
        <f>B221</f>
        <v>2.1999999999999999E-2</v>
      </c>
      <c r="GK11" s="52" t="s">
        <v>246</v>
      </c>
      <c r="GL11" s="83" t="s">
        <v>487</v>
      </c>
      <c r="GM11" s="142">
        <f>B221</f>
        <v>2.1999999999999999E-2</v>
      </c>
      <c r="GN11" s="52" t="s">
        <v>246</v>
      </c>
      <c r="GO11" s="83" t="s">
        <v>456</v>
      </c>
      <c r="GP11" s="150">
        <f>B168</f>
        <v>350</v>
      </c>
      <c r="GQ11" s="83" t="s">
        <v>24</v>
      </c>
      <c r="GR11" s="83"/>
      <c r="GS11" s="83"/>
      <c r="GT11" s="83"/>
      <c r="GU11" s="83" t="s">
        <v>491</v>
      </c>
      <c r="GV11" s="142">
        <f>B226</f>
        <v>0.37</v>
      </c>
      <c r="GW11" s="52" t="s">
        <v>246</v>
      </c>
      <c r="GX11" s="83" t="s">
        <v>491</v>
      </c>
      <c r="GY11" s="142">
        <f>B226</f>
        <v>0.37</v>
      </c>
      <c r="GZ11" s="52" t="s">
        <v>246</v>
      </c>
      <c r="HA11" s="83" t="s">
        <v>491</v>
      </c>
      <c r="HB11" s="142">
        <f>B226</f>
        <v>0.37</v>
      </c>
      <c r="HC11" s="52" t="s">
        <v>246</v>
      </c>
      <c r="HD11" s="84" t="s">
        <v>42</v>
      </c>
      <c r="HE11" s="150">
        <f>B84</f>
        <v>1.5</v>
      </c>
    </row>
    <row r="12" spans="1:214" x14ac:dyDescent="0.2">
      <c r="A12" s="83" t="s">
        <v>253</v>
      </c>
      <c r="B12" s="183">
        <v>0.63512000000000002</v>
      </c>
      <c r="C12" s="83" t="s">
        <v>351</v>
      </c>
      <c r="D12" s="83" t="s">
        <v>43</v>
      </c>
      <c r="E12" s="140">
        <f>((E15/E16)*E23*E13*E25)+((E15/E16)*E24*E14*E26)</f>
        <v>6195</v>
      </c>
      <c r="F12" s="52" t="s">
        <v>426</v>
      </c>
      <c r="G12" s="83" t="s">
        <v>266</v>
      </c>
      <c r="H12" s="144">
        <f>(H5/(H8*(1/H43)*H21))/H70</f>
        <v>0.13410702343612538</v>
      </c>
      <c r="I12" s="92" t="s">
        <v>291</v>
      </c>
      <c r="J12" s="83" t="s">
        <v>22</v>
      </c>
      <c r="K12" s="137">
        <f>0.693/K13</f>
        <v>2.2972045705420805E-2</v>
      </c>
      <c r="M12" s="52" t="s">
        <v>300</v>
      </c>
      <c r="N12" s="138">
        <f>B62</f>
        <v>1</v>
      </c>
      <c r="P12" s="52" t="s">
        <v>300</v>
      </c>
      <c r="Q12" s="138">
        <f>B62</f>
        <v>1</v>
      </c>
      <c r="S12" s="52" t="s">
        <v>300</v>
      </c>
      <c r="T12" s="138">
        <f>B62</f>
        <v>1</v>
      </c>
      <c r="V12" s="52" t="s">
        <v>44</v>
      </c>
      <c r="W12" s="150">
        <f>B262</f>
        <v>8</v>
      </c>
      <c r="X12" s="84" t="s">
        <v>194</v>
      </c>
      <c r="Y12" s="52" t="s">
        <v>44</v>
      </c>
      <c r="Z12" s="150">
        <f>B239</f>
        <v>8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B274</f>
        <v>8</v>
      </c>
      <c r="AG12" s="150">
        <f>B297</f>
        <v>8</v>
      </c>
      <c r="AH12" s="83" t="s">
        <v>194</v>
      </c>
      <c r="AI12" s="52" t="s">
        <v>300</v>
      </c>
      <c r="AJ12" s="138">
        <f>B235</f>
        <v>1</v>
      </c>
      <c r="AL12" s="52" t="s">
        <v>300</v>
      </c>
      <c r="AM12" s="138">
        <f>B235</f>
        <v>1</v>
      </c>
      <c r="AO12" s="52" t="s">
        <v>300</v>
      </c>
      <c r="AP12" s="138">
        <f>B247</f>
        <v>1</v>
      </c>
      <c r="AR12" s="52" t="s">
        <v>300</v>
      </c>
      <c r="AS12" s="138">
        <f>B259</f>
        <v>1</v>
      </c>
      <c r="AU12" s="52" t="s">
        <v>300</v>
      </c>
      <c r="AV12" s="138">
        <f>B259</f>
        <v>1</v>
      </c>
      <c r="AX12" s="52" t="s">
        <v>300</v>
      </c>
      <c r="AY12" s="138">
        <f>B259</f>
        <v>1</v>
      </c>
      <c r="BA12" s="52" t="s">
        <v>300</v>
      </c>
      <c r="BB12" s="138">
        <f>B235</f>
        <v>1</v>
      </c>
      <c r="BD12" s="52" t="s">
        <v>300</v>
      </c>
      <c r="BE12" s="138">
        <f>B235</f>
        <v>1</v>
      </c>
      <c r="BG12" s="52" t="s">
        <v>300</v>
      </c>
      <c r="BH12" s="138">
        <f>B235</f>
        <v>1</v>
      </c>
      <c r="BJ12" s="52" t="s">
        <v>158</v>
      </c>
      <c r="BK12" s="138">
        <f>B268</f>
        <v>1</v>
      </c>
      <c r="BL12" s="52" t="s">
        <v>146</v>
      </c>
      <c r="BM12" s="52" t="s">
        <v>158</v>
      </c>
      <c r="BN12" s="138">
        <f>B268</f>
        <v>1</v>
      </c>
      <c r="BO12" s="52" t="s">
        <v>146</v>
      </c>
      <c r="BP12" s="52" t="s">
        <v>158</v>
      </c>
      <c r="BQ12" s="138">
        <f>B268</f>
        <v>1</v>
      </c>
      <c r="BR12" s="52" t="s">
        <v>146</v>
      </c>
      <c r="BS12" s="83" t="s">
        <v>430</v>
      </c>
      <c r="BT12" s="141">
        <f>B94</f>
        <v>20</v>
      </c>
      <c r="BU12" s="92" t="s">
        <v>407</v>
      </c>
      <c r="BV12" s="83" t="s">
        <v>266</v>
      </c>
      <c r="BW12" s="145">
        <f>(BW5/(BW8*(1/BW29)*BW16))/BW32</f>
        <v>0.69978534907008416</v>
      </c>
      <c r="BX12" s="92" t="s">
        <v>291</v>
      </c>
      <c r="BY12" s="91" t="s">
        <v>231</v>
      </c>
      <c r="BZ12" s="136">
        <f>B18</f>
        <v>30.167100000000001</v>
      </c>
      <c r="CA12" s="52" t="s">
        <v>60</v>
      </c>
      <c r="CB12" s="52" t="s">
        <v>413</v>
      </c>
      <c r="CC12" s="138">
        <f>B119</f>
        <v>0.753</v>
      </c>
      <c r="CE12" s="52" t="s">
        <v>414</v>
      </c>
      <c r="CF12" s="138">
        <f>B121</f>
        <v>0.74299999999999999</v>
      </c>
      <c r="CH12" s="52" t="s">
        <v>416</v>
      </c>
      <c r="CI12" s="138">
        <f>B125</f>
        <v>0.66200000000000003</v>
      </c>
      <c r="CN12" s="84" t="s">
        <v>162</v>
      </c>
      <c r="CO12" s="162">
        <f>B131</f>
        <v>1</v>
      </c>
      <c r="CP12" s="52" t="s">
        <v>41</v>
      </c>
      <c r="CT12" s="83" t="s">
        <v>22</v>
      </c>
      <c r="CU12" s="137">
        <f>0.693/CU13</f>
        <v>2.2972045705420805E-2</v>
      </c>
      <c r="CW12" s="83" t="s">
        <v>506</v>
      </c>
      <c r="CX12" s="140">
        <f>((CX16/24)*CX23*CX13*CX25)+((CX15/24)*CX24*CX14*CX26)</f>
        <v>6475</v>
      </c>
      <c r="CY12" s="52" t="s">
        <v>426</v>
      </c>
      <c r="CZ12" s="91" t="s">
        <v>231</v>
      </c>
      <c r="DA12" s="136">
        <f>B18</f>
        <v>30.167100000000001</v>
      </c>
      <c r="DB12" s="52" t="s">
        <v>60</v>
      </c>
      <c r="DC12" s="83" t="s">
        <v>467</v>
      </c>
      <c r="DD12" s="146">
        <f>B149</f>
        <v>68.099999999999994</v>
      </c>
      <c r="DE12" s="92" t="s">
        <v>221</v>
      </c>
      <c r="DF12" s="92" t="s">
        <v>52</v>
      </c>
      <c r="DG12" s="138">
        <f>B195</f>
        <v>10950</v>
      </c>
      <c r="DH12" s="52" t="s">
        <v>53</v>
      </c>
      <c r="DI12" s="84" t="s">
        <v>16</v>
      </c>
      <c r="DJ12" s="137">
        <f>(DJ9*DJ10)/(1-EXP(-DJ10*DJ9))</f>
        <v>1.0115299987062558</v>
      </c>
      <c r="DL12" s="92"/>
      <c r="DO12" s="92" t="s">
        <v>52</v>
      </c>
      <c r="DP12" s="138">
        <f>B195</f>
        <v>10950</v>
      </c>
      <c r="DQ12" s="52" t="s">
        <v>53</v>
      </c>
      <c r="DR12" s="83" t="s">
        <v>465</v>
      </c>
      <c r="DS12" s="150">
        <f>B168</f>
        <v>350</v>
      </c>
      <c r="DT12" s="83" t="s">
        <v>24</v>
      </c>
      <c r="DU12" s="92"/>
      <c r="DX12" s="83" t="s">
        <v>500</v>
      </c>
      <c r="DY12" s="138">
        <f>B207</f>
        <v>1</v>
      </c>
      <c r="EA12" s="83" t="s">
        <v>500</v>
      </c>
      <c r="EB12" s="138">
        <f>B207</f>
        <v>1</v>
      </c>
      <c r="EC12" s="84"/>
      <c r="ED12" s="83" t="s">
        <v>500</v>
      </c>
      <c r="EE12" s="138">
        <f>B207</f>
        <v>1</v>
      </c>
      <c r="EF12" s="84"/>
      <c r="EG12" s="83" t="s">
        <v>465</v>
      </c>
      <c r="EH12" s="150">
        <f>B168</f>
        <v>350</v>
      </c>
      <c r="EI12" s="83" t="s">
        <v>24</v>
      </c>
      <c r="EJ12" s="92"/>
      <c r="EM12" s="83" t="s">
        <v>496</v>
      </c>
      <c r="EN12" s="138">
        <f>B212</f>
        <v>1</v>
      </c>
      <c r="EP12" s="83" t="s">
        <v>496</v>
      </c>
      <c r="EQ12" s="138">
        <f>B212</f>
        <v>1</v>
      </c>
      <c r="ER12" s="84"/>
      <c r="ES12" s="83" t="s">
        <v>496</v>
      </c>
      <c r="ET12" s="138">
        <f>B212</f>
        <v>1</v>
      </c>
      <c r="EU12" s="84"/>
      <c r="EV12" s="83" t="s">
        <v>465</v>
      </c>
      <c r="EW12" s="150">
        <f>B168</f>
        <v>350</v>
      </c>
      <c r="EX12" s="83" t="s">
        <v>24</v>
      </c>
      <c r="EY12" s="83"/>
      <c r="EZ12" s="83"/>
      <c r="FA12" s="83"/>
      <c r="FB12" s="83" t="s">
        <v>153</v>
      </c>
      <c r="FC12" s="164">
        <f>B217</f>
        <v>1</v>
      </c>
      <c r="FD12" s="83"/>
      <c r="FE12" s="83" t="s">
        <v>153</v>
      </c>
      <c r="FF12" s="164">
        <f>B217</f>
        <v>1</v>
      </c>
      <c r="FG12" s="83"/>
      <c r="FH12" s="83" t="s">
        <v>153</v>
      </c>
      <c r="FI12" s="164">
        <f>B217</f>
        <v>1</v>
      </c>
      <c r="FJ12" s="84"/>
      <c r="FK12" s="83" t="s">
        <v>465</v>
      </c>
      <c r="FL12" s="150">
        <f>B168</f>
        <v>350</v>
      </c>
      <c r="FM12" s="83" t="s">
        <v>24</v>
      </c>
      <c r="FN12" s="83"/>
      <c r="FO12" s="83"/>
      <c r="FP12" s="83"/>
      <c r="FQ12" s="88"/>
      <c r="FR12" s="88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B168</f>
        <v>350</v>
      </c>
      <c r="GB12" s="83" t="s">
        <v>24</v>
      </c>
      <c r="GC12" s="83"/>
      <c r="GD12" s="83"/>
      <c r="GE12" s="83"/>
      <c r="GF12" s="83" t="s">
        <v>488</v>
      </c>
      <c r="GG12" s="142">
        <f>B222</f>
        <v>1</v>
      </c>
      <c r="GH12" s="83"/>
      <c r="GI12" s="83" t="s">
        <v>488</v>
      </c>
      <c r="GJ12" s="142">
        <f>B222</f>
        <v>1</v>
      </c>
      <c r="GK12" s="83"/>
      <c r="GL12" s="83" t="s">
        <v>488</v>
      </c>
      <c r="GM12" s="142">
        <f>B222</f>
        <v>1</v>
      </c>
      <c r="GN12" s="84"/>
      <c r="GO12" s="83" t="s">
        <v>465</v>
      </c>
      <c r="GP12" s="150">
        <f>B168</f>
        <v>350</v>
      </c>
      <c r="GQ12" s="83" t="s">
        <v>24</v>
      </c>
      <c r="GR12" s="83"/>
      <c r="GS12" s="83"/>
      <c r="GT12" s="83"/>
      <c r="GU12" s="83" t="s">
        <v>492</v>
      </c>
      <c r="GV12" s="142">
        <f>B227</f>
        <v>1</v>
      </c>
      <c r="GW12" s="83"/>
      <c r="GX12" s="83" t="s">
        <v>492</v>
      </c>
      <c r="GY12" s="142">
        <f>B227</f>
        <v>1</v>
      </c>
      <c r="GZ12" s="83"/>
      <c r="HA12" s="83" t="s">
        <v>492</v>
      </c>
      <c r="HB12" s="142">
        <f>B227</f>
        <v>1</v>
      </c>
      <c r="HC12" s="84"/>
      <c r="HD12" s="84" t="s">
        <v>47</v>
      </c>
      <c r="HE12" s="163">
        <v>1</v>
      </c>
    </row>
    <row r="13" spans="1:214" x14ac:dyDescent="0.2">
      <c r="A13" s="83" t="s">
        <v>254</v>
      </c>
      <c r="B13" s="183">
        <v>1.817564</v>
      </c>
      <c r="C13" s="83" t="s">
        <v>351</v>
      </c>
      <c r="D13" s="83" t="s">
        <v>366</v>
      </c>
      <c r="E13" s="141">
        <f>B38</f>
        <v>10</v>
      </c>
      <c r="F13" s="92" t="s">
        <v>407</v>
      </c>
      <c r="G13" s="83" t="s">
        <v>263</v>
      </c>
      <c r="H13" s="144">
        <f>(H14/((1/H40)*(H48+H49+H50)))</f>
        <v>2.8688139537293531</v>
      </c>
      <c r="I13" s="92" t="s">
        <v>291</v>
      </c>
      <c r="J13" s="91" t="s">
        <v>231</v>
      </c>
      <c r="K13" s="136">
        <f>B18</f>
        <v>30.167100000000001</v>
      </c>
      <c r="L13" s="52" t="s">
        <v>60</v>
      </c>
      <c r="M13" s="52" t="s">
        <v>54</v>
      </c>
      <c r="N13" s="138">
        <f>B63</f>
        <v>1</v>
      </c>
      <c r="P13" s="52" t="s">
        <v>54</v>
      </c>
      <c r="Q13" s="138">
        <f>B63</f>
        <v>1</v>
      </c>
      <c r="S13" s="52" t="s">
        <v>54</v>
      </c>
      <c r="T13" s="138">
        <f>B63</f>
        <v>1</v>
      </c>
      <c r="V13" s="52" t="s">
        <v>50</v>
      </c>
      <c r="W13" s="146">
        <f>B254</f>
        <v>60</v>
      </c>
      <c r="X13" s="84" t="s">
        <v>407</v>
      </c>
      <c r="Y13" s="52" t="s">
        <v>50</v>
      </c>
      <c r="Z13" s="146">
        <f>B230</f>
        <v>60</v>
      </c>
      <c r="AA13" s="84" t="s">
        <v>407</v>
      </c>
      <c r="AB13" s="83" t="s">
        <v>349</v>
      </c>
      <c r="AC13" s="146">
        <f>B233</f>
        <v>100</v>
      </c>
      <c r="AD13" s="146">
        <f>B245</f>
        <v>50</v>
      </c>
      <c r="AE13" s="146">
        <f>B257</f>
        <v>100</v>
      </c>
      <c r="AF13" s="146">
        <f>B269</f>
        <v>330</v>
      </c>
      <c r="AG13" s="146">
        <f>B293</f>
        <v>330</v>
      </c>
      <c r="AH13" s="52" t="s">
        <v>48</v>
      </c>
      <c r="AI13" s="52" t="s">
        <v>54</v>
      </c>
      <c r="AJ13" s="138">
        <f>B249</f>
        <v>1</v>
      </c>
      <c r="AL13" s="52" t="s">
        <v>54</v>
      </c>
      <c r="AM13" s="138">
        <f>B249</f>
        <v>1</v>
      </c>
      <c r="AO13" s="52" t="s">
        <v>54</v>
      </c>
      <c r="AP13" s="138">
        <f>B249</f>
        <v>1</v>
      </c>
      <c r="AR13" s="52" t="s">
        <v>54</v>
      </c>
      <c r="AS13" s="138">
        <f>B261</f>
        <v>1</v>
      </c>
      <c r="AU13" s="52" t="s">
        <v>54</v>
      </c>
      <c r="AV13" s="138">
        <f>B261</f>
        <v>1</v>
      </c>
      <c r="AX13" s="52" t="s">
        <v>54</v>
      </c>
      <c r="AY13" s="138">
        <f>B261</f>
        <v>1</v>
      </c>
      <c r="BA13" s="52" t="s">
        <v>54</v>
      </c>
      <c r="BB13" s="138">
        <f>B237</f>
        <v>1</v>
      </c>
      <c r="BD13" s="52" t="s">
        <v>54</v>
      </c>
      <c r="BE13" s="138">
        <f>B237</f>
        <v>1</v>
      </c>
      <c r="BG13" s="52" t="s">
        <v>54</v>
      </c>
      <c r="BH13" s="138">
        <f>B237</f>
        <v>1</v>
      </c>
      <c r="BJ13" s="52" t="s">
        <v>300</v>
      </c>
      <c r="BK13" s="136">
        <f>B279</f>
        <v>2.41E-4</v>
      </c>
      <c r="BM13" s="52" t="s">
        <v>300</v>
      </c>
      <c r="BN13" s="136">
        <f>B283</f>
        <v>1.17E-4</v>
      </c>
      <c r="BP13" s="52" t="s">
        <v>300</v>
      </c>
      <c r="BQ13" s="136">
        <f>B287</f>
        <v>2.2599999999999999E-4</v>
      </c>
      <c r="BS13" s="52" t="s">
        <v>431</v>
      </c>
      <c r="BT13" s="141">
        <f>B106</f>
        <v>1</v>
      </c>
      <c r="BU13" s="52" t="s">
        <v>194</v>
      </c>
      <c r="BV13" s="83" t="s">
        <v>440</v>
      </c>
      <c r="BW13" s="160">
        <f>((BW18*BW20*BW23*BW14*BW30)+(BW19*BW21*BW24*BW15*BW31))</f>
        <v>2.25</v>
      </c>
      <c r="BX13" s="83" t="s">
        <v>345</v>
      </c>
      <c r="BY13" s="83" t="s">
        <v>260</v>
      </c>
      <c r="BZ13" s="143">
        <f>((BZ5/(BZ6*BZ16*(1/BZ33)))*BZ10)/BZ36</f>
        <v>82.613199434688156</v>
      </c>
      <c r="CA13" s="92" t="s">
        <v>290</v>
      </c>
      <c r="CB13" s="52" t="s">
        <v>90</v>
      </c>
      <c r="CC13" s="138">
        <f>B108</f>
        <v>1</v>
      </c>
      <c r="CD13" s="52" t="s">
        <v>194</v>
      </c>
      <c r="CE13" s="52" t="s">
        <v>90</v>
      </c>
      <c r="CF13" s="138">
        <f>B108</f>
        <v>1</v>
      </c>
      <c r="CG13" s="52" t="s">
        <v>194</v>
      </c>
      <c r="CH13" s="52" t="s">
        <v>90</v>
      </c>
      <c r="CI13" s="138">
        <f>B108</f>
        <v>1</v>
      </c>
      <c r="CJ13" s="52" t="s">
        <v>194</v>
      </c>
      <c r="CN13" s="84" t="s">
        <v>163</v>
      </c>
      <c r="CO13" s="162">
        <f>B132</f>
        <v>1</v>
      </c>
      <c r="CP13" s="52" t="s">
        <v>41</v>
      </c>
      <c r="CT13" s="91" t="s">
        <v>231</v>
      </c>
      <c r="CU13" s="136">
        <f>B18</f>
        <v>30.167100000000001</v>
      </c>
      <c r="CV13" s="52" t="s">
        <v>60</v>
      </c>
      <c r="CW13" s="83" t="s">
        <v>450</v>
      </c>
      <c r="CX13" s="141">
        <f>B147</f>
        <v>10</v>
      </c>
      <c r="CY13" s="92" t="s">
        <v>407</v>
      </c>
      <c r="CZ13" s="83" t="s">
        <v>260</v>
      </c>
      <c r="DA13" s="143">
        <f>(DA5/(DA6*DA24))/DA51</f>
        <v>0.96013742202303054</v>
      </c>
      <c r="DB13" s="83" t="s">
        <v>291</v>
      </c>
      <c r="DC13" s="83" t="s">
        <v>468</v>
      </c>
      <c r="DD13" s="146">
        <f>B150</f>
        <v>176.8</v>
      </c>
      <c r="DE13" s="92" t="s">
        <v>221</v>
      </c>
      <c r="DF13" s="92" t="s">
        <v>55</v>
      </c>
      <c r="DG13" s="138">
        <f>B196</f>
        <v>240</v>
      </c>
      <c r="DH13" s="52" t="s">
        <v>56</v>
      </c>
      <c r="DI13" s="95"/>
      <c r="DJ13" s="176"/>
      <c r="DL13" s="92"/>
      <c r="DO13" s="92" t="s">
        <v>55</v>
      </c>
      <c r="DP13" s="138">
        <f>B196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B208</f>
        <v>1</v>
      </c>
      <c r="EA13" s="83" t="s">
        <v>501</v>
      </c>
      <c r="EB13" s="138">
        <f>B208</f>
        <v>1</v>
      </c>
      <c r="EC13" s="84"/>
      <c r="ED13" s="83" t="s">
        <v>501</v>
      </c>
      <c r="EE13" s="138">
        <f>B208</f>
        <v>1</v>
      </c>
      <c r="EF13" s="84"/>
      <c r="EG13" s="83" t="s">
        <v>363</v>
      </c>
      <c r="EH13" s="150">
        <f>B170</f>
        <v>1</v>
      </c>
      <c r="EI13" s="84" t="s">
        <v>60</v>
      </c>
      <c r="EJ13" s="92"/>
      <c r="EM13" s="83" t="s">
        <v>497</v>
      </c>
      <c r="EN13" s="138">
        <f>B213</f>
        <v>1</v>
      </c>
      <c r="EP13" s="83" t="s">
        <v>497</v>
      </c>
      <c r="EQ13" s="138">
        <f>B213</f>
        <v>1</v>
      </c>
      <c r="ER13" s="84"/>
      <c r="ES13" s="83" t="s">
        <v>497</v>
      </c>
      <c r="ET13" s="138">
        <f>B213</f>
        <v>1</v>
      </c>
      <c r="EU13" s="84"/>
      <c r="EV13" s="83" t="s">
        <v>363</v>
      </c>
      <c r="EW13" s="150">
        <f>B170</f>
        <v>1</v>
      </c>
      <c r="EX13" s="84" t="s">
        <v>60</v>
      </c>
      <c r="EY13" s="83"/>
      <c r="EZ13" s="83"/>
      <c r="FA13" s="83"/>
      <c r="FB13" s="83" t="s">
        <v>154</v>
      </c>
      <c r="FC13" s="164">
        <f>B218</f>
        <v>1</v>
      </c>
      <c r="FD13" s="83"/>
      <c r="FE13" s="83" t="s">
        <v>154</v>
      </c>
      <c r="FF13" s="164">
        <f>B218</f>
        <v>1</v>
      </c>
      <c r="FG13" s="83"/>
      <c r="FH13" s="83" t="s">
        <v>154</v>
      </c>
      <c r="FI13" s="164">
        <f>B218</f>
        <v>1</v>
      </c>
      <c r="FJ13" s="84"/>
      <c r="FK13" s="83" t="s">
        <v>363</v>
      </c>
      <c r="FL13" s="141">
        <f>B170</f>
        <v>1</v>
      </c>
      <c r="FM13" s="92" t="s">
        <v>60</v>
      </c>
      <c r="FN13" s="83"/>
      <c r="FO13" s="83"/>
      <c r="FP13" s="83"/>
      <c r="FQ13" s="88"/>
      <c r="FR13" s="88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B170</f>
        <v>1</v>
      </c>
      <c r="GB13" s="92" t="s">
        <v>60</v>
      </c>
      <c r="GC13" s="83"/>
      <c r="GD13" s="83"/>
      <c r="GE13" s="83"/>
      <c r="GF13" s="83" t="s">
        <v>489</v>
      </c>
      <c r="GG13" s="142">
        <f>B223</f>
        <v>1</v>
      </c>
      <c r="GH13" s="83"/>
      <c r="GI13" s="83" t="s">
        <v>489</v>
      </c>
      <c r="GJ13" s="142">
        <f>B223</f>
        <v>1</v>
      </c>
      <c r="GK13" s="83"/>
      <c r="GL13" s="83" t="s">
        <v>489</v>
      </c>
      <c r="GM13" s="142">
        <f>B223</f>
        <v>1</v>
      </c>
      <c r="GN13" s="84"/>
      <c r="GO13" s="83" t="s">
        <v>363</v>
      </c>
      <c r="GP13" s="141">
        <f>B170</f>
        <v>1</v>
      </c>
      <c r="GQ13" s="92" t="s">
        <v>60</v>
      </c>
      <c r="GR13" s="83"/>
      <c r="GS13" s="83"/>
      <c r="GT13" s="83"/>
      <c r="GU13" s="83" t="s">
        <v>493</v>
      </c>
      <c r="GV13" s="142">
        <f>B228</f>
        <v>1</v>
      </c>
      <c r="GW13" s="83"/>
      <c r="GX13" s="83" t="s">
        <v>493</v>
      </c>
      <c r="GY13" s="142">
        <f>B228</f>
        <v>1</v>
      </c>
      <c r="GZ13" s="83"/>
      <c r="HA13" s="83" t="s">
        <v>493</v>
      </c>
      <c r="HB13" s="142">
        <f>B228</f>
        <v>1</v>
      </c>
      <c r="HC13" s="84"/>
      <c r="HD13" s="84" t="s">
        <v>59</v>
      </c>
      <c r="HE13" s="150">
        <f>B33</f>
        <v>10</v>
      </c>
    </row>
    <row r="14" spans="1:214" x14ac:dyDescent="0.2">
      <c r="A14" s="83" t="s">
        <v>255</v>
      </c>
      <c r="B14" s="183">
        <v>2.8393600000000001</v>
      </c>
      <c r="C14" s="83" t="s">
        <v>351</v>
      </c>
      <c r="D14" s="83" t="s">
        <v>367</v>
      </c>
      <c r="E14" s="141">
        <f>B39</f>
        <v>20</v>
      </c>
      <c r="F14" s="92" t="s">
        <v>407</v>
      </c>
      <c r="G14" s="83" t="s">
        <v>264</v>
      </c>
      <c r="H14" s="145">
        <f>(H5/(H9*(H22+H25)*H41))/H70</f>
        <v>3.1931943396312792E-2</v>
      </c>
      <c r="I14" s="92" t="s">
        <v>290</v>
      </c>
      <c r="J14" s="83" t="s">
        <v>260</v>
      </c>
      <c r="K14" s="143">
        <f>((K5/(K6*K19*(1/K46)))*K11)/K53</f>
        <v>17.702828450290323</v>
      </c>
      <c r="L14" s="92" t="s">
        <v>290</v>
      </c>
      <c r="M14" s="52" t="s">
        <v>408</v>
      </c>
      <c r="N14" s="150">
        <f>B78</f>
        <v>1.752</v>
      </c>
      <c r="O14" s="52" t="s">
        <v>194</v>
      </c>
      <c r="P14" s="52" t="s">
        <v>408</v>
      </c>
      <c r="Q14" s="150">
        <f>B78</f>
        <v>1.752</v>
      </c>
      <c r="R14" s="52" t="s">
        <v>194</v>
      </c>
      <c r="S14" s="52" t="s">
        <v>408</v>
      </c>
      <c r="T14" s="150">
        <f>B78</f>
        <v>1.752</v>
      </c>
      <c r="U14" s="52" t="s">
        <v>194</v>
      </c>
      <c r="V14" s="83" t="s">
        <v>256</v>
      </c>
      <c r="W14" s="136">
        <f>B15</f>
        <v>4763.3999999999996</v>
      </c>
      <c r="X14" s="83" t="s">
        <v>343</v>
      </c>
      <c r="Y14" s="83" t="s">
        <v>256</v>
      </c>
      <c r="Z14" s="136">
        <f>B15</f>
        <v>4763.3999999999996</v>
      </c>
      <c r="AA14" s="83" t="s">
        <v>343</v>
      </c>
      <c r="AB14" s="83" t="s">
        <v>300</v>
      </c>
      <c r="AC14" s="141">
        <f>B235</f>
        <v>1</v>
      </c>
      <c r="AD14" s="141">
        <f>B247</f>
        <v>1</v>
      </c>
      <c r="AE14" s="141">
        <f>B259</f>
        <v>1</v>
      </c>
      <c r="AF14" s="141">
        <f>B279</f>
        <v>2.41E-4</v>
      </c>
      <c r="AG14" s="141">
        <f>B279</f>
        <v>2.41E-4</v>
      </c>
      <c r="AH14" s="92"/>
      <c r="AI14" s="52" t="s">
        <v>57</v>
      </c>
      <c r="AJ14" s="136">
        <f>B250</f>
        <v>0</v>
      </c>
      <c r="AK14" s="52" t="s">
        <v>194</v>
      </c>
      <c r="AL14" s="52" t="s">
        <v>57</v>
      </c>
      <c r="AM14" s="136">
        <f>B250</f>
        <v>0</v>
      </c>
      <c r="AN14" s="52" t="s">
        <v>194</v>
      </c>
      <c r="AO14" s="52" t="s">
        <v>57</v>
      </c>
      <c r="AP14" s="136">
        <f>B250</f>
        <v>0</v>
      </c>
      <c r="AQ14" s="52" t="s">
        <v>194</v>
      </c>
      <c r="AR14" s="52" t="s">
        <v>57</v>
      </c>
      <c r="AS14" s="136">
        <f>B262</f>
        <v>8</v>
      </c>
      <c r="AT14" s="52" t="s">
        <v>194</v>
      </c>
      <c r="AU14" s="52" t="s">
        <v>57</v>
      </c>
      <c r="AV14" s="136">
        <f>B262</f>
        <v>8</v>
      </c>
      <c r="AW14" s="52" t="s">
        <v>194</v>
      </c>
      <c r="AX14" s="52" t="s">
        <v>57</v>
      </c>
      <c r="AY14" s="136">
        <f>B262</f>
        <v>8</v>
      </c>
      <c r="AZ14" s="52" t="s">
        <v>194</v>
      </c>
      <c r="BA14" s="52" t="s">
        <v>57</v>
      </c>
      <c r="BB14" s="136">
        <f>B238</f>
        <v>8</v>
      </c>
      <c r="BC14" s="52" t="s">
        <v>194</v>
      </c>
      <c r="BD14" s="52" t="s">
        <v>57</v>
      </c>
      <c r="BE14" s="136">
        <f>B238</f>
        <v>8</v>
      </c>
      <c r="BF14" s="52" t="s">
        <v>194</v>
      </c>
      <c r="BG14" s="52" t="s">
        <v>58</v>
      </c>
      <c r="BH14" s="136">
        <f>B238</f>
        <v>8</v>
      </c>
      <c r="BI14" s="52" t="s">
        <v>194</v>
      </c>
      <c r="BJ14" s="52" t="s">
        <v>413</v>
      </c>
      <c r="BK14" s="136">
        <f>B280</f>
        <v>0.753</v>
      </c>
      <c r="BM14" s="52" t="s">
        <v>414</v>
      </c>
      <c r="BN14" s="136">
        <f>B284</f>
        <v>0.74299999999999999</v>
      </c>
      <c r="BP14" s="52" t="s">
        <v>416</v>
      </c>
      <c r="BQ14" s="136">
        <f>B288</f>
        <v>0.66200000000000003</v>
      </c>
      <c r="BS14" s="52" t="s">
        <v>432</v>
      </c>
      <c r="BT14" s="141">
        <f>B107</f>
        <v>1</v>
      </c>
      <c r="BU14" s="52" t="s">
        <v>194</v>
      </c>
      <c r="BV14" s="83" t="s">
        <v>439</v>
      </c>
      <c r="BW14" s="146">
        <f>B95</f>
        <v>0.05</v>
      </c>
      <c r="BX14" s="83" t="s">
        <v>357</v>
      </c>
      <c r="BY14" s="83" t="s">
        <v>261</v>
      </c>
      <c r="BZ14" s="144">
        <f>((BZ5/(BZ7*BZ17*(1/BZ9)*BZ32))*BZ10)/BZ36</f>
        <v>5965891.4039903022</v>
      </c>
      <c r="CA14" s="92" t="s">
        <v>290</v>
      </c>
      <c r="CB14" s="52" t="s">
        <v>412</v>
      </c>
      <c r="CC14" s="139">
        <f>B10</f>
        <v>3.19428</v>
      </c>
      <c r="CD14" s="84" t="s">
        <v>353</v>
      </c>
      <c r="CE14" s="52" t="s">
        <v>415</v>
      </c>
      <c r="CF14" s="139">
        <f>B12</f>
        <v>0.63512000000000002</v>
      </c>
      <c r="CG14" s="84" t="s">
        <v>353</v>
      </c>
      <c r="CH14" s="52" t="s">
        <v>417</v>
      </c>
      <c r="CI14" s="139">
        <f>B14</f>
        <v>2.8393600000000001</v>
      </c>
      <c r="CJ14" s="84" t="s">
        <v>353</v>
      </c>
      <c r="CK14" s="84"/>
      <c r="CL14" s="84"/>
      <c r="CM14" s="84"/>
      <c r="CN14" s="52" t="s">
        <v>95</v>
      </c>
      <c r="CO14" s="164">
        <f>B117</f>
        <v>1</v>
      </c>
      <c r="CQ14" s="84"/>
      <c r="CR14" s="84"/>
      <c r="CS14" s="84"/>
      <c r="CT14" s="83" t="s">
        <v>260</v>
      </c>
      <c r="CU14" s="143">
        <f>((CU5/(CU6*CU25*(1/CU46)))*CU11)/CU49</f>
        <v>18.934329559875735</v>
      </c>
      <c r="CV14" s="92" t="s">
        <v>290</v>
      </c>
      <c r="CW14" s="83" t="s">
        <v>459</v>
      </c>
      <c r="CX14" s="141">
        <f>B148</f>
        <v>20</v>
      </c>
      <c r="CY14" s="92" t="s">
        <v>407</v>
      </c>
      <c r="CZ14" s="83" t="s">
        <v>261</v>
      </c>
      <c r="DA14" s="144">
        <f>(DA5/(DA7*DA25*DA45))/DA51</f>
        <v>7.41277062206947E-2</v>
      </c>
      <c r="DB14" s="83" t="s">
        <v>291</v>
      </c>
      <c r="DC14" s="83" t="s">
        <v>465</v>
      </c>
      <c r="DD14" s="146">
        <f>B168</f>
        <v>350</v>
      </c>
      <c r="DE14" s="83" t="s">
        <v>24</v>
      </c>
      <c r="DF14" s="92" t="s">
        <v>393</v>
      </c>
      <c r="DG14" s="138">
        <f>B35</f>
        <v>0.26</v>
      </c>
      <c r="DL14" s="92"/>
      <c r="DO14" s="92" t="s">
        <v>393</v>
      </c>
      <c r="DP14" s="138">
        <f>B35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B204</f>
        <v>1.03</v>
      </c>
      <c r="DZ14" s="52" t="s">
        <v>286</v>
      </c>
      <c r="EA14" s="52" t="s">
        <v>518</v>
      </c>
      <c r="EB14" s="146">
        <f>B204</f>
        <v>1.03</v>
      </c>
      <c r="EC14" s="52" t="s">
        <v>286</v>
      </c>
      <c r="ED14" s="92" t="s">
        <v>392</v>
      </c>
      <c r="EE14" s="163">
        <f>B36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B170</f>
        <v>1</v>
      </c>
      <c r="EP14" s="95"/>
      <c r="EQ14" s="176"/>
      <c r="ER14" s="84"/>
      <c r="ES14" s="92" t="s">
        <v>392</v>
      </c>
      <c r="ET14" s="163">
        <f>B36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B170</f>
        <v>1</v>
      </c>
      <c r="FE14" s="95"/>
      <c r="FF14" s="176"/>
      <c r="FG14" s="83"/>
      <c r="FH14" s="83" t="s">
        <v>392</v>
      </c>
      <c r="FI14" s="142">
        <f>B36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88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B170</f>
        <v>1</v>
      </c>
      <c r="GI14" s="95"/>
      <c r="GJ14" s="176"/>
      <c r="GK14" s="83"/>
      <c r="GL14" s="83" t="s">
        <v>392</v>
      </c>
      <c r="GM14" s="142">
        <f>B36</f>
        <v>0.25</v>
      </c>
      <c r="GN14" s="84"/>
      <c r="GO14" s="92" t="s">
        <v>484</v>
      </c>
      <c r="GP14" s="146">
        <f>B192</f>
        <v>1</v>
      </c>
      <c r="GR14" s="83"/>
      <c r="GS14" s="83"/>
      <c r="GT14" s="83"/>
      <c r="GU14" s="52" t="s">
        <v>350</v>
      </c>
      <c r="GV14" s="164">
        <f>B170</f>
        <v>1</v>
      </c>
      <c r="GX14" s="95"/>
      <c r="GY14" s="176"/>
      <c r="GZ14" s="83"/>
      <c r="HA14" s="83" t="s">
        <v>392</v>
      </c>
      <c r="HB14" s="142">
        <f>B36</f>
        <v>0.25</v>
      </c>
      <c r="HC14" s="84"/>
      <c r="HD14" s="52" t="s">
        <v>225</v>
      </c>
      <c r="HE14" s="138">
        <v>1</v>
      </c>
    </row>
    <row r="15" spans="1:214" x14ac:dyDescent="0.2">
      <c r="A15" s="83" t="s">
        <v>256</v>
      </c>
      <c r="B15" s="183">
        <v>4763.3999999999996</v>
      </c>
      <c r="C15" s="83" t="s">
        <v>351</v>
      </c>
      <c r="D15" s="52" t="s">
        <v>384</v>
      </c>
      <c r="E15" s="138">
        <f>B59</f>
        <v>24</v>
      </c>
      <c r="F15" s="52" t="s">
        <v>194</v>
      </c>
      <c r="G15" s="83" t="s">
        <v>395</v>
      </c>
      <c r="H15" s="147">
        <f>(H29*H17*H68)+(H30*H18*H69)</f>
        <v>736.54</v>
      </c>
      <c r="I15" s="83" t="s">
        <v>345</v>
      </c>
      <c r="J15" s="83" t="s">
        <v>261</v>
      </c>
      <c r="K15" s="144">
        <f>((K5/(K7*K20*(1/K10)*K45))*K11)/K53</f>
        <v>53266.887535627691</v>
      </c>
      <c r="L15" s="92" t="s">
        <v>290</v>
      </c>
      <c r="M15" s="52" t="s">
        <v>412</v>
      </c>
      <c r="N15" s="139">
        <f>B10</f>
        <v>3.19428</v>
      </c>
      <c r="O15" s="84" t="s">
        <v>353</v>
      </c>
      <c r="P15" s="52" t="s">
        <v>415</v>
      </c>
      <c r="Q15" s="139">
        <f>B12</f>
        <v>0.63512000000000002</v>
      </c>
      <c r="R15" s="84" t="s">
        <v>353</v>
      </c>
      <c r="S15" s="52" t="s">
        <v>417</v>
      </c>
      <c r="T15" s="139">
        <f>B14</f>
        <v>2.8393600000000001</v>
      </c>
      <c r="U15" s="84" t="s">
        <v>353</v>
      </c>
      <c r="V15" s="83" t="s">
        <v>301</v>
      </c>
      <c r="W15" s="142">
        <f>B258</f>
        <v>1</v>
      </c>
      <c r="Y15" s="83" t="s">
        <v>301</v>
      </c>
      <c r="Z15" s="142">
        <f>B234</f>
        <v>1</v>
      </c>
      <c r="AB15" s="83" t="s">
        <v>232</v>
      </c>
      <c r="AC15" s="141">
        <f>B230</f>
        <v>60</v>
      </c>
      <c r="AD15" s="141">
        <f>B242</f>
        <v>60</v>
      </c>
      <c r="AE15" s="141">
        <f>B254</f>
        <v>60</v>
      </c>
      <c r="AF15" s="141">
        <f>B266</f>
        <v>60</v>
      </c>
      <c r="AG15" s="141">
        <f>B290</f>
        <v>60</v>
      </c>
      <c r="AH15" s="92" t="s">
        <v>407</v>
      </c>
      <c r="AI15" s="52" t="s">
        <v>412</v>
      </c>
      <c r="AJ15" s="139">
        <f>B10</f>
        <v>3.19428</v>
      </c>
      <c r="AK15" s="84" t="s">
        <v>353</v>
      </c>
      <c r="AL15" s="52" t="s">
        <v>415</v>
      </c>
      <c r="AM15" s="139">
        <f>B12</f>
        <v>0.63512000000000002</v>
      </c>
      <c r="AN15" s="84" t="s">
        <v>353</v>
      </c>
      <c r="AO15" s="52" t="s">
        <v>417</v>
      </c>
      <c r="AP15" s="139">
        <f>B14</f>
        <v>2.8393600000000001</v>
      </c>
      <c r="AQ15" s="84" t="s">
        <v>353</v>
      </c>
      <c r="AR15" s="52" t="s">
        <v>412</v>
      </c>
      <c r="AS15" s="139">
        <f>B10</f>
        <v>3.19428</v>
      </c>
      <c r="AT15" s="84" t="s">
        <v>353</v>
      </c>
      <c r="AU15" s="52" t="s">
        <v>415</v>
      </c>
      <c r="AV15" s="139">
        <f>B12</f>
        <v>0.63512000000000002</v>
      </c>
      <c r="AW15" s="84" t="s">
        <v>353</v>
      </c>
      <c r="AX15" s="52" t="s">
        <v>417</v>
      </c>
      <c r="AY15" s="139">
        <f>B14</f>
        <v>2.8393600000000001</v>
      </c>
      <c r="AZ15" s="84" t="s">
        <v>353</v>
      </c>
      <c r="BA15" s="52" t="s">
        <v>412</v>
      </c>
      <c r="BB15" s="139">
        <f>B10</f>
        <v>3.19428</v>
      </c>
      <c r="BC15" s="84" t="s">
        <v>353</v>
      </c>
      <c r="BD15" s="52" t="s">
        <v>415</v>
      </c>
      <c r="BE15" s="139">
        <f>B12</f>
        <v>0.63512000000000002</v>
      </c>
      <c r="BF15" s="84" t="s">
        <v>353</v>
      </c>
      <c r="BG15" s="52" t="s">
        <v>417</v>
      </c>
      <c r="BH15" s="139">
        <f>B14</f>
        <v>2.8393600000000001</v>
      </c>
      <c r="BI15" s="84" t="s">
        <v>353</v>
      </c>
      <c r="BJ15" s="52" t="s">
        <v>57</v>
      </c>
      <c r="BK15" s="136">
        <f>B274</f>
        <v>8</v>
      </c>
      <c r="BL15" s="52" t="s">
        <v>194</v>
      </c>
      <c r="BM15" s="52" t="s">
        <v>57</v>
      </c>
      <c r="BN15" s="136">
        <f>B274</f>
        <v>8</v>
      </c>
      <c r="BO15" s="52" t="s">
        <v>194</v>
      </c>
      <c r="BP15" s="52" t="s">
        <v>57</v>
      </c>
      <c r="BQ15" s="136">
        <f>B274</f>
        <v>8</v>
      </c>
      <c r="BR15" s="52" t="s">
        <v>194</v>
      </c>
      <c r="BS15" s="52" t="s">
        <v>90</v>
      </c>
      <c r="BT15" s="138">
        <f>B108</f>
        <v>1</v>
      </c>
      <c r="BU15" s="52" t="s">
        <v>194</v>
      </c>
      <c r="BV15" s="83" t="s">
        <v>438</v>
      </c>
      <c r="BW15" s="146">
        <f>B96</f>
        <v>0.05</v>
      </c>
      <c r="BX15" s="83" t="s">
        <v>357</v>
      </c>
      <c r="BY15" s="83" t="s">
        <v>262</v>
      </c>
      <c r="BZ15" s="145">
        <f>(((BZ5)/(BZ8*BZ22*(1/BZ31)*BZ25*(1/24)*BZ28*BZ29))*BZ10)/BZ36</f>
        <v>7541.1630835610258</v>
      </c>
      <c r="CA15" s="92" t="s">
        <v>290</v>
      </c>
      <c r="CB15" s="95" t="s">
        <v>287</v>
      </c>
      <c r="CC15" s="176">
        <v>27.027027027027</v>
      </c>
      <c r="CD15" s="52" t="s">
        <v>288</v>
      </c>
      <c r="CE15" s="95" t="s">
        <v>287</v>
      </c>
      <c r="CF15" s="176">
        <v>27.027027027027</v>
      </c>
      <c r="CG15" s="52" t="s">
        <v>288</v>
      </c>
      <c r="CH15" s="95" t="s">
        <v>287</v>
      </c>
      <c r="CI15" s="176">
        <v>27.027027027027</v>
      </c>
      <c r="CJ15" s="52" t="s">
        <v>288</v>
      </c>
      <c r="CN15" s="83" t="s">
        <v>22</v>
      </c>
      <c r="CO15" s="137">
        <f>0.693/CO16</f>
        <v>2.2972045705420805E-2</v>
      </c>
      <c r="CT15" s="83" t="s">
        <v>261</v>
      </c>
      <c r="CU15" s="144">
        <f>((CU5/(CU7*CU26*(1/CU10)*CU45))*CU11)/CU49</f>
        <v>50963.454561114064</v>
      </c>
      <c r="CV15" s="92" t="s">
        <v>290</v>
      </c>
      <c r="CW15" s="52" t="s">
        <v>365</v>
      </c>
      <c r="CX15" s="138">
        <f>B172</f>
        <v>24</v>
      </c>
      <c r="CY15" s="52" t="s">
        <v>194</v>
      </c>
      <c r="CZ15" s="83" t="s">
        <v>266</v>
      </c>
      <c r="DA15" s="153">
        <f>(DA5/(DA8*DA26*(DA46/DA47)))/DA51</f>
        <v>0.13144251573892846</v>
      </c>
      <c r="DB15" s="83" t="s">
        <v>291</v>
      </c>
      <c r="DC15" s="83" t="s">
        <v>456</v>
      </c>
      <c r="DD15" s="146">
        <f>B167</f>
        <v>350</v>
      </c>
      <c r="DE15" s="83" t="s">
        <v>24</v>
      </c>
      <c r="DF15" s="92" t="s">
        <v>61</v>
      </c>
      <c r="DG15" s="138">
        <f>B197</f>
        <v>0.42</v>
      </c>
      <c r="DH15" s="52" t="s">
        <v>41</v>
      </c>
      <c r="DL15" s="92"/>
      <c r="DO15" s="92" t="s">
        <v>61</v>
      </c>
      <c r="DP15" s="138">
        <f>B197</f>
        <v>0.42</v>
      </c>
      <c r="DQ15" s="52" t="s">
        <v>41</v>
      </c>
      <c r="DR15" s="92" t="s">
        <v>479</v>
      </c>
      <c r="DS15" s="146">
        <f>B187</f>
        <v>1</v>
      </c>
      <c r="DU15" s="92"/>
      <c r="DX15" s="52" t="s">
        <v>350</v>
      </c>
      <c r="DY15" s="164">
        <f>B170</f>
        <v>1</v>
      </c>
      <c r="EA15" s="95"/>
      <c r="EB15" s="176"/>
      <c r="EC15" s="84"/>
      <c r="ED15" s="83" t="s">
        <v>27</v>
      </c>
      <c r="EE15" s="142">
        <f>B203</f>
        <v>92</v>
      </c>
      <c r="EF15" s="83" t="s">
        <v>28</v>
      </c>
      <c r="EG15" s="92" t="s">
        <v>480</v>
      </c>
      <c r="EH15" s="146">
        <f>B188</f>
        <v>1</v>
      </c>
      <c r="EJ15" s="92"/>
      <c r="EM15" s="83" t="s">
        <v>22</v>
      </c>
      <c r="EN15" s="137">
        <f>0.693/EN16</f>
        <v>2.2972045705420805E-2</v>
      </c>
      <c r="EP15" s="92"/>
      <c r="EQ15" s="84"/>
      <c r="ER15" s="84"/>
      <c r="ES15" s="83" t="s">
        <v>29</v>
      </c>
      <c r="ET15" s="142">
        <f>B209</f>
        <v>53</v>
      </c>
      <c r="EU15" s="83" t="s">
        <v>28</v>
      </c>
      <c r="EV15" s="92" t="s">
        <v>481</v>
      </c>
      <c r="EW15" s="146">
        <f>B189</f>
        <v>1</v>
      </c>
      <c r="EY15" s="83"/>
      <c r="EZ15" s="83"/>
      <c r="FA15" s="83"/>
      <c r="FB15" s="83" t="s">
        <v>22</v>
      </c>
      <c r="FC15" s="137">
        <f>0.693/FC16</f>
        <v>2.2972045705420805E-2</v>
      </c>
      <c r="FE15" s="83"/>
      <c r="FF15" s="83"/>
      <c r="FG15" s="83"/>
      <c r="FH15" s="83" t="s">
        <v>148</v>
      </c>
      <c r="FI15" s="164">
        <f>B214</f>
        <v>0.4</v>
      </c>
      <c r="FJ15" s="83" t="s">
        <v>28</v>
      </c>
      <c r="FK15" s="92" t="s">
        <v>482</v>
      </c>
      <c r="FL15" s="146">
        <f>B190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B191</f>
        <v>1</v>
      </c>
      <c r="GC15" s="83"/>
      <c r="GD15" s="83"/>
      <c r="GE15" s="83"/>
      <c r="GF15" s="83" t="s">
        <v>22</v>
      </c>
      <c r="GG15" s="137">
        <f>0.693/GG16</f>
        <v>2.2972045705420805E-2</v>
      </c>
      <c r="GI15" s="83"/>
      <c r="GJ15" s="83"/>
      <c r="GK15" s="83"/>
      <c r="GL15" s="83" t="s">
        <v>149</v>
      </c>
      <c r="GM15" s="164">
        <f>B219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2.2972045705420805E-2</v>
      </c>
      <c r="GX15" s="83"/>
      <c r="GY15" s="83"/>
      <c r="GZ15" s="83"/>
      <c r="HA15" s="83" t="s">
        <v>150</v>
      </c>
      <c r="HB15" s="142">
        <f>B224</f>
        <v>11.4</v>
      </c>
      <c r="HC15" s="83" t="s">
        <v>28</v>
      </c>
      <c r="HD15" s="84"/>
    </row>
    <row r="16" spans="1:214" x14ac:dyDescent="0.2">
      <c r="A16" s="91" t="s">
        <v>257</v>
      </c>
      <c r="B16" s="183">
        <v>10.292680000000001</v>
      </c>
      <c r="C16" s="84" t="s">
        <v>259</v>
      </c>
      <c r="E16" s="138">
        <v>24</v>
      </c>
      <c r="F16" s="52" t="s">
        <v>194</v>
      </c>
      <c r="G16" s="83" t="s">
        <v>396</v>
      </c>
      <c r="H16" s="137">
        <f>(H29*H19*H68)+(H30*H20*H69)</f>
        <v>6195</v>
      </c>
      <c r="I16" s="83" t="s">
        <v>426</v>
      </c>
      <c r="J16" s="83" t="s">
        <v>262</v>
      </c>
      <c r="K16" s="144">
        <f>((K5/(K8*K42*((K37*K41*(1/K35))+(K38*K40*(1/K35)))*K32*(1/K44)*K33))*K11)/K53</f>
        <v>3.5253624192746628E-2</v>
      </c>
      <c r="L16" s="92" t="s">
        <v>290</v>
      </c>
      <c r="M16" s="52" t="s">
        <v>409</v>
      </c>
      <c r="N16" s="150">
        <f>B79</f>
        <v>16.416</v>
      </c>
      <c r="O16" s="52" t="s">
        <v>194</v>
      </c>
      <c r="P16" s="52" t="s">
        <v>409</v>
      </c>
      <c r="Q16" s="150">
        <f>B79</f>
        <v>16.416</v>
      </c>
      <c r="R16" s="52" t="s">
        <v>194</v>
      </c>
      <c r="S16" s="52" t="s">
        <v>409</v>
      </c>
      <c r="T16" s="150">
        <f>B79</f>
        <v>16.416</v>
      </c>
      <c r="U16" s="52" t="s">
        <v>194</v>
      </c>
      <c r="V16" s="52" t="s">
        <v>261</v>
      </c>
      <c r="W16" s="143">
        <f>((W5)/((W12/24)*W9*W10*W11*W13))/W20</f>
        <v>5.3330766419888688E-2</v>
      </c>
      <c r="X16" s="52" t="s">
        <v>15</v>
      </c>
      <c r="Y16" s="52" t="s">
        <v>261</v>
      </c>
      <c r="Z16" s="143">
        <f>((Z5)/((Z12/24)*Z9*Z10*Z11*Z13))/Z20</f>
        <v>4.7997689777899824E-2</v>
      </c>
      <c r="AA16" s="52" t="s">
        <v>15</v>
      </c>
      <c r="AB16" s="83" t="s">
        <v>299</v>
      </c>
      <c r="AC16" s="141">
        <f>B236</f>
        <v>0.4</v>
      </c>
      <c r="AD16" s="141">
        <f>B248</f>
        <v>0.4</v>
      </c>
      <c r="AE16" s="141">
        <f>B260</f>
        <v>0.4</v>
      </c>
      <c r="AF16" s="141">
        <f>B272</f>
        <v>0.4</v>
      </c>
      <c r="AG16" s="141">
        <f>B295</f>
        <v>0.4</v>
      </c>
      <c r="AH16" s="92"/>
      <c r="AI16" s="52" t="s">
        <v>69</v>
      </c>
      <c r="AJ16" s="136">
        <f>B251</f>
        <v>8</v>
      </c>
      <c r="AK16" s="52" t="s">
        <v>194</v>
      </c>
      <c r="AL16" s="52" t="s">
        <v>69</v>
      </c>
      <c r="AM16" s="136">
        <f>B251</f>
        <v>8</v>
      </c>
      <c r="AN16" s="52" t="s">
        <v>194</v>
      </c>
      <c r="AO16" s="52" t="s">
        <v>69</v>
      </c>
      <c r="AP16" s="136">
        <f>B251</f>
        <v>8</v>
      </c>
      <c r="AQ16" s="52" t="s">
        <v>194</v>
      </c>
      <c r="AR16" s="52" t="s">
        <v>69</v>
      </c>
      <c r="AS16" s="136">
        <f>B263</f>
        <v>0</v>
      </c>
      <c r="AT16" s="52" t="s">
        <v>194</v>
      </c>
      <c r="AU16" s="52" t="s">
        <v>69</v>
      </c>
      <c r="AV16" s="136">
        <f>B263</f>
        <v>0</v>
      </c>
      <c r="AW16" s="52" t="s">
        <v>194</v>
      </c>
      <c r="AX16" s="52" t="s">
        <v>69</v>
      </c>
      <c r="AY16" s="136">
        <f>B263</f>
        <v>0</v>
      </c>
      <c r="AZ16" s="52" t="s">
        <v>194</v>
      </c>
      <c r="BA16" s="52" t="s">
        <v>69</v>
      </c>
      <c r="BB16" s="136">
        <f>B239</f>
        <v>8</v>
      </c>
      <c r="BC16" s="52" t="s">
        <v>194</v>
      </c>
      <c r="BD16" s="52" t="s">
        <v>69</v>
      </c>
      <c r="BE16" s="136">
        <f>B239</f>
        <v>8</v>
      </c>
      <c r="BF16" s="52" t="s">
        <v>194</v>
      </c>
      <c r="BG16" s="52" t="s">
        <v>69</v>
      </c>
      <c r="BH16" s="136">
        <f>B239</f>
        <v>8</v>
      </c>
      <c r="BI16" s="52" t="s">
        <v>194</v>
      </c>
      <c r="BJ16" s="52" t="s">
        <v>412</v>
      </c>
      <c r="BK16" s="139">
        <f>B10</f>
        <v>3.19428</v>
      </c>
      <c r="BL16" s="84" t="s">
        <v>353</v>
      </c>
      <c r="BM16" s="52" t="s">
        <v>415</v>
      </c>
      <c r="BN16" s="139">
        <f>B12</f>
        <v>0.63512000000000002</v>
      </c>
      <c r="BO16" s="84" t="s">
        <v>353</v>
      </c>
      <c r="BP16" s="52" t="s">
        <v>417</v>
      </c>
      <c r="BQ16" s="139">
        <f>B14</f>
        <v>2.8393600000000001</v>
      </c>
      <c r="BR16" s="84" t="s">
        <v>353</v>
      </c>
      <c r="BS16" s="83" t="s">
        <v>256</v>
      </c>
      <c r="BT16" s="136">
        <f>E17</f>
        <v>4763.3999999999996</v>
      </c>
      <c r="BU16" s="83" t="s">
        <v>343</v>
      </c>
      <c r="BV16" s="83" t="s">
        <v>437</v>
      </c>
      <c r="BW16" s="140">
        <f>((BW18*BW20*BW23*BW30)+(BW19*BW21*BW24*BW31))</f>
        <v>45</v>
      </c>
      <c r="BX16" s="83" t="s">
        <v>356</v>
      </c>
      <c r="BY16" s="83" t="s">
        <v>46</v>
      </c>
      <c r="BZ16" s="149">
        <f>(BZ18*BZ22*BZ34)+(BZ19*BZ23*BZ35)</f>
        <v>9225</v>
      </c>
      <c r="CA16" s="83" t="s">
        <v>346</v>
      </c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91" t="s">
        <v>231</v>
      </c>
      <c r="CO16" s="136">
        <f>B18</f>
        <v>30.167100000000001</v>
      </c>
      <c r="CP16" s="52" t="s">
        <v>60</v>
      </c>
      <c r="CQ16" s="83"/>
      <c r="CR16" s="83"/>
      <c r="CS16" s="83"/>
      <c r="CT16" s="83" t="s">
        <v>262</v>
      </c>
      <c r="CU16" s="144">
        <f>((CU5/(CU8*CU42*((CU37*CU41*(1/24))+(CU38*CU40*(1/24)))*CU32*(1/CU44)))*CU11)/CU49</f>
        <v>1.8134321972701074E-2</v>
      </c>
      <c r="CV16" s="92" t="s">
        <v>290</v>
      </c>
      <c r="CW16" s="52" t="s">
        <v>364</v>
      </c>
      <c r="CX16" s="138">
        <f>B171</f>
        <v>24</v>
      </c>
      <c r="CY16" s="52" t="s">
        <v>194</v>
      </c>
      <c r="CZ16" s="83" t="s">
        <v>512</v>
      </c>
      <c r="DA16" s="153">
        <f>DG2</f>
        <v>0.70686728581573832</v>
      </c>
      <c r="DB16" s="83" t="s">
        <v>291</v>
      </c>
      <c r="DC16" s="83" t="s">
        <v>363</v>
      </c>
      <c r="DD16" s="146">
        <f>B170</f>
        <v>1</v>
      </c>
      <c r="DE16" s="83" t="s">
        <v>60</v>
      </c>
      <c r="DF16" s="92" t="s">
        <v>63</v>
      </c>
      <c r="DG16" s="151">
        <f>DG20+(0.693/DG22)</f>
        <v>4.9562937111521696E-2</v>
      </c>
      <c r="DH16" s="83" t="s">
        <v>64</v>
      </c>
      <c r="DI16" s="83"/>
      <c r="DJ16" s="83"/>
      <c r="DK16" s="83"/>
      <c r="DL16" s="92"/>
      <c r="DM16" s="83"/>
      <c r="DN16" s="83"/>
      <c r="DO16" s="92" t="s">
        <v>63</v>
      </c>
      <c r="DP16" s="167">
        <f>DP20+(0.693/DP22)</f>
        <v>4.9499999999999995E-2</v>
      </c>
      <c r="DQ16" s="83" t="s">
        <v>64</v>
      </c>
      <c r="DR16" s="83"/>
      <c r="DS16" s="146">
        <v>365</v>
      </c>
      <c r="DT16" s="52" t="s">
        <v>24</v>
      </c>
      <c r="DU16" s="92"/>
      <c r="DV16" s="83"/>
      <c r="DW16" s="83"/>
      <c r="DX16" s="83" t="s">
        <v>22</v>
      </c>
      <c r="DY16" s="137">
        <f>0.693/DY17</f>
        <v>2.2972045705420805E-2</v>
      </c>
      <c r="EA16" s="92"/>
      <c r="EB16" s="83"/>
      <c r="EC16" s="83"/>
      <c r="ED16" s="92" t="s">
        <v>63</v>
      </c>
      <c r="EE16" s="167">
        <f>EE20+(0.693/EE22)</f>
        <v>4.9499999999999995E-2</v>
      </c>
      <c r="EF16" s="83" t="s">
        <v>64</v>
      </c>
      <c r="EH16" s="146">
        <v>365</v>
      </c>
      <c r="EI16" s="52" t="s">
        <v>24</v>
      </c>
      <c r="EJ16" s="92"/>
      <c r="EK16" s="83"/>
      <c r="EL16" s="83"/>
      <c r="EM16" s="91" t="s">
        <v>231</v>
      </c>
      <c r="EN16" s="136">
        <f>B18</f>
        <v>30.167100000000001</v>
      </c>
      <c r="EO16" s="52" t="s">
        <v>60</v>
      </c>
      <c r="EP16" s="92"/>
      <c r="EQ16" s="83"/>
      <c r="ER16" s="83"/>
      <c r="ES16" s="92" t="s">
        <v>63</v>
      </c>
      <c r="ET16" s="167">
        <f>ET20+(0.693/ET22)</f>
        <v>4.9499999999999995E-2</v>
      </c>
      <c r="EU16" s="83" t="s">
        <v>64</v>
      </c>
      <c r="EV16" s="83"/>
      <c r="EW16" s="146">
        <v>365</v>
      </c>
      <c r="EX16" s="52" t="s">
        <v>24</v>
      </c>
      <c r="EY16" s="83"/>
      <c r="EZ16" s="83"/>
      <c r="FA16" s="83"/>
      <c r="FB16" s="91" t="s">
        <v>231</v>
      </c>
      <c r="FC16" s="136">
        <f>B18</f>
        <v>30.167100000000001</v>
      </c>
      <c r="FD16" s="52" t="s">
        <v>60</v>
      </c>
      <c r="FE16" s="83"/>
      <c r="FF16" s="83"/>
      <c r="FG16" s="83"/>
      <c r="FH16" s="83" t="s">
        <v>63</v>
      </c>
      <c r="FI16" s="167">
        <f>FI20+(0.693/FI22)</f>
        <v>4.9499999999999995E-2</v>
      </c>
      <c r="FJ16" s="83" t="s">
        <v>64</v>
      </c>
      <c r="FK16" s="83"/>
      <c r="FL16" s="146">
        <v>365</v>
      </c>
      <c r="FM16" s="52" t="s">
        <v>24</v>
      </c>
      <c r="FN16" s="83"/>
      <c r="FO16" s="83"/>
      <c r="FP16" s="83"/>
      <c r="FQ16" s="83"/>
      <c r="FR16" s="83"/>
      <c r="FS16" s="83"/>
      <c r="FT16" s="83"/>
      <c r="FU16" s="83"/>
      <c r="FV16" s="83"/>
      <c r="FW16" s="83"/>
      <c r="FX16" s="83"/>
      <c r="FY16" s="83"/>
      <c r="FZ16" s="83"/>
      <c r="GA16" s="146">
        <v>365</v>
      </c>
      <c r="GB16" s="52" t="s">
        <v>24</v>
      </c>
      <c r="GC16" s="83"/>
      <c r="GD16" s="83"/>
      <c r="GE16" s="83"/>
      <c r="GF16" s="91" t="s">
        <v>231</v>
      </c>
      <c r="GG16" s="136">
        <f>B18</f>
        <v>30.167100000000001</v>
      </c>
      <c r="GH16" s="52" t="s">
        <v>60</v>
      </c>
      <c r="GI16" s="83"/>
      <c r="GJ16" s="83"/>
      <c r="GK16" s="83"/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B165</f>
        <v>0.15</v>
      </c>
      <c r="GR16" s="83"/>
      <c r="GS16" s="83"/>
      <c r="GT16" s="83"/>
      <c r="GU16" s="91" t="s">
        <v>231</v>
      </c>
      <c r="GV16" s="136">
        <f>B18</f>
        <v>30.167100000000001</v>
      </c>
      <c r="GW16" s="52" t="s">
        <v>60</v>
      </c>
      <c r="GX16" s="83"/>
      <c r="GY16" s="83"/>
      <c r="GZ16" s="83"/>
      <c r="HA16" s="83" t="s">
        <v>63</v>
      </c>
      <c r="HB16" s="167">
        <f>HB20+(0.693/HB22)</f>
        <v>4.9499999999999995E-2</v>
      </c>
      <c r="HC16" s="83" t="s">
        <v>64</v>
      </c>
      <c r="HD16" s="83"/>
      <c r="HE16" s="83"/>
      <c r="HF16" s="83"/>
    </row>
    <row r="17" spans="1:214" ht="13.5" thickBot="1" x14ac:dyDescent="0.25">
      <c r="A17" s="83" t="s">
        <v>258</v>
      </c>
      <c r="B17" s="183">
        <v>4.9109405245458101E-5</v>
      </c>
      <c r="C17" s="92" t="s">
        <v>259</v>
      </c>
      <c r="D17" s="83" t="s">
        <v>256</v>
      </c>
      <c r="E17" s="136">
        <f>B15</f>
        <v>4763.3999999999996</v>
      </c>
      <c r="F17" s="83" t="s">
        <v>343</v>
      </c>
      <c r="G17" s="83" t="s">
        <v>370</v>
      </c>
      <c r="H17" s="146">
        <f>B42</f>
        <v>0.78</v>
      </c>
      <c r="I17" s="52" t="s">
        <v>28</v>
      </c>
      <c r="J17" s="83" t="s">
        <v>263</v>
      </c>
      <c r="K17" s="153">
        <f>((K18/(K47+K48))*K11)</f>
        <v>0.1132423611203608</v>
      </c>
      <c r="L17" s="92" t="s">
        <v>290</v>
      </c>
      <c r="M17" s="95" t="s">
        <v>287</v>
      </c>
      <c r="N17" s="176">
        <v>27.027027027027</v>
      </c>
      <c r="O17" s="52" t="s">
        <v>288</v>
      </c>
      <c r="P17" s="95" t="s">
        <v>287</v>
      </c>
      <c r="Q17" s="176">
        <v>27.027027027027</v>
      </c>
      <c r="R17" s="52" t="s">
        <v>288</v>
      </c>
      <c r="S17" s="95" t="s">
        <v>287</v>
      </c>
      <c r="T17" s="176">
        <v>27.027027027027</v>
      </c>
      <c r="U17" s="52" t="s">
        <v>288</v>
      </c>
      <c r="V17" s="52" t="s">
        <v>271</v>
      </c>
      <c r="W17" s="144">
        <f>((W5)/((W12/24)*W9*W14*(1/365)))/W20</f>
        <v>3.7802130131138858E-5</v>
      </c>
      <c r="X17" s="52" t="s">
        <v>15</v>
      </c>
      <c r="Y17" s="52" t="s">
        <v>271</v>
      </c>
      <c r="Z17" s="144">
        <f>((Z5)/((Z12/24)*Z9*Z14*(1/365)))/Z20</f>
        <v>3.4021917118024975E-5</v>
      </c>
      <c r="AA17" s="52" t="s">
        <v>15</v>
      </c>
      <c r="AB17" s="83" t="s">
        <v>413</v>
      </c>
      <c r="AC17" s="141">
        <f>B237</f>
        <v>1</v>
      </c>
      <c r="AD17" s="141">
        <f>B249</f>
        <v>1</v>
      </c>
      <c r="AE17" s="141">
        <f>B261</f>
        <v>1</v>
      </c>
      <c r="AF17" s="141">
        <f>B280</f>
        <v>0.753</v>
      </c>
      <c r="AG17" s="141">
        <f>B280</f>
        <v>0.753</v>
      </c>
      <c r="AH17" s="92"/>
      <c r="AI17" s="95" t="s">
        <v>287</v>
      </c>
      <c r="AJ17" s="176">
        <v>27.027027027027</v>
      </c>
      <c r="AK17" s="52" t="s">
        <v>288</v>
      </c>
      <c r="AL17" s="95" t="s">
        <v>287</v>
      </c>
      <c r="AM17" s="176">
        <v>27.027027027027</v>
      </c>
      <c r="AN17" s="52" t="s">
        <v>288</v>
      </c>
      <c r="AO17" s="95" t="s">
        <v>287</v>
      </c>
      <c r="AP17" s="176">
        <v>27.027027027027</v>
      </c>
      <c r="AQ17" s="52" t="s">
        <v>288</v>
      </c>
      <c r="AR17" s="95" t="s">
        <v>287</v>
      </c>
      <c r="AS17" s="176">
        <v>27.027027027027</v>
      </c>
      <c r="AT17" s="52" t="s">
        <v>288</v>
      </c>
      <c r="AU17" s="95" t="s">
        <v>287</v>
      </c>
      <c r="AV17" s="176">
        <v>27.027027027027</v>
      </c>
      <c r="AW17" s="52" t="s">
        <v>288</v>
      </c>
      <c r="AX17" s="95" t="s">
        <v>287</v>
      </c>
      <c r="AY17" s="176">
        <v>27.027027027027</v>
      </c>
      <c r="AZ17" s="52" t="s">
        <v>288</v>
      </c>
      <c r="BA17" s="95" t="s">
        <v>287</v>
      </c>
      <c r="BB17" s="176">
        <v>27.027027027027</v>
      </c>
      <c r="BC17" s="52" t="s">
        <v>288</v>
      </c>
      <c r="BD17" s="95" t="s">
        <v>287</v>
      </c>
      <c r="BE17" s="176">
        <v>27.027027027027</v>
      </c>
      <c r="BF17" s="52" t="s">
        <v>288</v>
      </c>
      <c r="BG17" s="95" t="s">
        <v>287</v>
      </c>
      <c r="BH17" s="176">
        <v>27.027027027027</v>
      </c>
      <c r="BI17" s="52" t="s">
        <v>288</v>
      </c>
      <c r="BJ17" s="95" t="s">
        <v>287</v>
      </c>
      <c r="BK17" s="176">
        <v>27.027027027027</v>
      </c>
      <c r="BL17" s="52" t="s">
        <v>288</v>
      </c>
      <c r="BM17" s="95" t="s">
        <v>287</v>
      </c>
      <c r="BN17" s="176">
        <v>27.027027027027</v>
      </c>
      <c r="BO17" s="52" t="s">
        <v>288</v>
      </c>
      <c r="BP17" s="95" t="s">
        <v>287</v>
      </c>
      <c r="BQ17" s="176">
        <v>27.027027027027</v>
      </c>
      <c r="BR17" s="52" t="s">
        <v>288</v>
      </c>
      <c r="BS17" s="83" t="s">
        <v>301</v>
      </c>
      <c r="BT17" s="142">
        <f>B111</f>
        <v>1</v>
      </c>
      <c r="BV17" s="83" t="s">
        <v>65</v>
      </c>
      <c r="BW17" s="141">
        <f>B116</f>
        <v>0.5</v>
      </c>
      <c r="BX17" s="52" t="s">
        <v>66</v>
      </c>
      <c r="BY17" s="83" t="s">
        <v>43</v>
      </c>
      <c r="BZ17" s="149">
        <f>(BZ24*BZ20*(BZ26/24)*BZ34)+(BZ23*BZ21*(BZ27/24)*BZ35)</f>
        <v>55.3125</v>
      </c>
      <c r="CA17" s="52" t="s">
        <v>426</v>
      </c>
      <c r="CN17" s="84" t="s">
        <v>16</v>
      </c>
      <c r="CO17" s="137">
        <f>(CO14*CO15)/(1-EXP(-CO15*CO14))</f>
        <v>1.0115299987062558</v>
      </c>
      <c r="CT17" s="83" t="s">
        <v>263</v>
      </c>
      <c r="CU17" s="153">
        <f>DJ2</f>
        <v>2.7902583344750029E-2</v>
      </c>
      <c r="CV17" s="92" t="s">
        <v>290</v>
      </c>
      <c r="CW17" s="83" t="s">
        <v>256</v>
      </c>
      <c r="CX17" s="136">
        <f>B15</f>
        <v>4763.3999999999996</v>
      </c>
      <c r="CY17" s="83" t="s">
        <v>343</v>
      </c>
      <c r="CZ17" s="83" t="s">
        <v>511</v>
      </c>
      <c r="DA17" s="153">
        <f>DD2</f>
        <v>7.8679365491899876E-3</v>
      </c>
      <c r="DB17" s="83" t="s">
        <v>290</v>
      </c>
      <c r="DC17" s="93"/>
      <c r="DD17" s="136">
        <v>9.9999999999999995E-7</v>
      </c>
      <c r="DE17" s="88"/>
      <c r="DF17" s="92" t="s">
        <v>67</v>
      </c>
      <c r="DG17" s="142">
        <f>B198</f>
        <v>60</v>
      </c>
      <c r="DH17" s="83" t="s">
        <v>53</v>
      </c>
      <c r="DL17" s="92"/>
      <c r="DM17" s="83"/>
      <c r="DN17" s="83"/>
      <c r="DO17" s="92" t="s">
        <v>67</v>
      </c>
      <c r="DP17" s="142">
        <f>B198</f>
        <v>60</v>
      </c>
      <c r="DQ17" s="83" t="s">
        <v>53</v>
      </c>
      <c r="DR17" s="83" t="s">
        <v>475</v>
      </c>
      <c r="DS17" s="146">
        <f>B165</f>
        <v>0.15</v>
      </c>
      <c r="DU17" s="92"/>
      <c r="DV17" s="87"/>
      <c r="DW17" s="83"/>
      <c r="DX17" s="91" t="s">
        <v>231</v>
      </c>
      <c r="DY17" s="136">
        <f>B18</f>
        <v>30.167100000000001</v>
      </c>
      <c r="DZ17" s="52" t="s">
        <v>60</v>
      </c>
      <c r="EA17" s="92"/>
      <c r="EB17" s="83"/>
      <c r="EC17" s="83"/>
      <c r="ED17" s="92" t="s">
        <v>67</v>
      </c>
      <c r="EE17" s="142">
        <f>B198</f>
        <v>60</v>
      </c>
      <c r="EF17" s="83" t="s">
        <v>53</v>
      </c>
      <c r="EG17" s="83" t="s">
        <v>475</v>
      </c>
      <c r="EH17" s="146">
        <f>B165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1.0115299987062558</v>
      </c>
      <c r="EP17" s="92"/>
      <c r="EQ17" s="83"/>
      <c r="ER17" s="83"/>
      <c r="ES17" s="92" t="s">
        <v>67</v>
      </c>
      <c r="ET17" s="142">
        <f>B198</f>
        <v>60</v>
      </c>
      <c r="EU17" s="83" t="s">
        <v>53</v>
      </c>
      <c r="EV17" s="83" t="s">
        <v>475</v>
      </c>
      <c r="EW17" s="141">
        <f>B165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1.0115299987062558</v>
      </c>
      <c r="FE17" s="83"/>
      <c r="FF17" s="83"/>
      <c r="FG17" s="83"/>
      <c r="FH17" s="83" t="s">
        <v>67</v>
      </c>
      <c r="FI17" s="142">
        <f>B198</f>
        <v>60</v>
      </c>
      <c r="FJ17" s="83" t="s">
        <v>53</v>
      </c>
      <c r="FK17" s="83" t="s">
        <v>475</v>
      </c>
      <c r="FL17" s="141">
        <f>B165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B165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1.0115299987062558</v>
      </c>
      <c r="GI17" s="83"/>
      <c r="GJ17" s="83"/>
      <c r="GK17" s="83"/>
      <c r="GL17" s="83" t="s">
        <v>67</v>
      </c>
      <c r="GM17" s="142">
        <f>B198</f>
        <v>60</v>
      </c>
      <c r="GN17" s="83" t="s">
        <v>53</v>
      </c>
      <c r="GO17" s="83" t="s">
        <v>476</v>
      </c>
      <c r="GP17" s="141">
        <f>B166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1.0115299987062558</v>
      </c>
      <c r="GX17" s="83"/>
      <c r="GY17" s="83"/>
      <c r="GZ17" s="83"/>
      <c r="HA17" s="83" t="s">
        <v>67</v>
      </c>
      <c r="HB17" s="142">
        <f>B198</f>
        <v>60</v>
      </c>
      <c r="HC17" s="83" t="s">
        <v>53</v>
      </c>
      <c r="HD17" s="84"/>
      <c r="HE17" s="84"/>
    </row>
    <row r="18" spans="1:214" ht="19.5" thickTop="1" thickBot="1" x14ac:dyDescent="0.25">
      <c r="A18" s="91" t="s">
        <v>231</v>
      </c>
      <c r="B18" s="183">
        <v>30.167100000000001</v>
      </c>
      <c r="C18" s="52" t="s">
        <v>235</v>
      </c>
      <c r="D18" s="83" t="s">
        <v>301</v>
      </c>
      <c r="E18" s="142">
        <f>B60</f>
        <v>1</v>
      </c>
      <c r="G18" s="83" t="s">
        <v>371</v>
      </c>
      <c r="H18" s="146">
        <f>B43</f>
        <v>2.5</v>
      </c>
      <c r="I18" s="52" t="s">
        <v>28</v>
      </c>
      <c r="J18" s="83" t="s">
        <v>264</v>
      </c>
      <c r="K18" s="154">
        <f>(K5/(K9*(K25+K28)*K36))/K53</f>
        <v>3.1931943396312792E-2</v>
      </c>
      <c r="L18" s="92" t="s">
        <v>290</v>
      </c>
      <c r="V18" s="52" t="s">
        <v>261</v>
      </c>
      <c r="W18" s="144">
        <f>((W5*W7*W6)/((W12/24)*(1-EXP(-W7*W10))*W11*W13*W9*W10))/W20</f>
        <v>5.3945670087713636E-2</v>
      </c>
      <c r="X18" s="52" t="s">
        <v>16</v>
      </c>
      <c r="Y18" s="52" t="s">
        <v>261</v>
      </c>
      <c r="Z18" s="144">
        <f>((Z5*Z7*Z6)/((Z12/24)*(1-EXP(-Z7*Z10))*Z11*Z13*Z9*Z10))/Z20</f>
        <v>4.8551103078942268E-2</v>
      </c>
      <c r="AA18" s="52" t="s">
        <v>16</v>
      </c>
      <c r="AB18" s="83" t="s">
        <v>412</v>
      </c>
      <c r="AC18" s="136">
        <f>B10</f>
        <v>3.19428</v>
      </c>
      <c r="AD18" s="136">
        <f>B10</f>
        <v>3.19428</v>
      </c>
      <c r="AE18" s="136">
        <f>B10</f>
        <v>3.19428</v>
      </c>
      <c r="AF18" s="136">
        <f>B10</f>
        <v>3.19428</v>
      </c>
      <c r="AG18" s="136">
        <f>B10</f>
        <v>3.19428</v>
      </c>
      <c r="AH18" s="83" t="s">
        <v>351</v>
      </c>
      <c r="BS18" s="52" t="s">
        <v>261</v>
      </c>
      <c r="BT18" s="143">
        <f>((BT5)/(BT9*BT10))/BT27</f>
        <v>4.3387742172112835</v>
      </c>
      <c r="BU18" s="52" t="s">
        <v>15</v>
      </c>
      <c r="BV18" s="83" t="s">
        <v>433</v>
      </c>
      <c r="BW18" s="150">
        <f>B112</f>
        <v>45</v>
      </c>
      <c r="BX18" s="83" t="s">
        <v>24</v>
      </c>
      <c r="BY18" s="83" t="s">
        <v>441</v>
      </c>
      <c r="BZ18" s="146">
        <f>B97</f>
        <v>200</v>
      </c>
      <c r="CA18" s="84" t="s">
        <v>48</v>
      </c>
      <c r="CB18" s="675" t="s">
        <v>572</v>
      </c>
      <c r="CC18" s="673"/>
      <c r="CD18" s="673"/>
      <c r="CE18" s="676" t="s">
        <v>573</v>
      </c>
      <c r="CF18" s="673"/>
      <c r="CG18" s="674"/>
      <c r="CJ18" s="83"/>
      <c r="CT18" s="83" t="s">
        <v>264</v>
      </c>
      <c r="CU18" s="153">
        <f>DD2</f>
        <v>7.8679365491899876E-3</v>
      </c>
      <c r="CV18" s="92" t="s">
        <v>290</v>
      </c>
      <c r="CW18" s="83" t="s">
        <v>301</v>
      </c>
      <c r="CX18" s="142">
        <f>B180</f>
        <v>1</v>
      </c>
      <c r="CZ18" s="91" t="s">
        <v>272</v>
      </c>
      <c r="DA18" s="144">
        <f>EZ2</f>
        <v>286.05593209159014</v>
      </c>
      <c r="DB18" s="83" t="s">
        <v>290</v>
      </c>
      <c r="DC18" s="88"/>
      <c r="DD18" s="136">
        <v>1000</v>
      </c>
      <c r="DE18" s="92" t="s">
        <v>99</v>
      </c>
      <c r="DF18" s="92" t="s">
        <v>68</v>
      </c>
      <c r="DG18" s="142">
        <f>B199</f>
        <v>2</v>
      </c>
      <c r="DH18" s="83" t="s">
        <v>56</v>
      </c>
      <c r="DL18" s="92"/>
      <c r="DM18" s="83"/>
      <c r="DN18" s="83"/>
      <c r="DO18" s="92" t="s">
        <v>68</v>
      </c>
      <c r="DP18" s="142">
        <f>B199</f>
        <v>2</v>
      </c>
      <c r="DQ18" s="83" t="s">
        <v>56</v>
      </c>
      <c r="DR18" s="83" t="s">
        <v>476</v>
      </c>
      <c r="DS18" s="146">
        <f>B166</f>
        <v>0.85</v>
      </c>
      <c r="DU18" s="92"/>
      <c r="DV18" s="83"/>
      <c r="DW18" s="83"/>
      <c r="DX18" s="84" t="s">
        <v>16</v>
      </c>
      <c r="DY18" s="137">
        <f>(DY15*DY16)/(1-EXP(-DY16*DY15))</f>
        <v>1.0115299987062558</v>
      </c>
      <c r="EA18" s="92"/>
      <c r="EB18" s="83"/>
      <c r="EC18" s="83"/>
      <c r="ED18" s="92" t="s">
        <v>68</v>
      </c>
      <c r="EE18" s="142">
        <f>B199</f>
        <v>2</v>
      </c>
      <c r="EF18" s="83" t="s">
        <v>56</v>
      </c>
      <c r="EG18" s="83" t="s">
        <v>476</v>
      </c>
      <c r="EH18" s="146">
        <f>B166</f>
        <v>0.85</v>
      </c>
      <c r="EJ18" s="92"/>
      <c r="EK18" s="83"/>
      <c r="EL18" s="83"/>
      <c r="EM18" s="95"/>
      <c r="EN18" s="176"/>
      <c r="EP18" s="92"/>
      <c r="EQ18" s="83"/>
      <c r="ER18" s="83"/>
      <c r="ES18" s="92" t="s">
        <v>68</v>
      </c>
      <c r="ET18" s="142">
        <f>B199</f>
        <v>2</v>
      </c>
      <c r="EU18" s="83" t="s">
        <v>56</v>
      </c>
      <c r="EV18" s="83" t="s">
        <v>476</v>
      </c>
      <c r="EW18" s="141">
        <f>B166</f>
        <v>0.85</v>
      </c>
      <c r="EX18" s="92"/>
      <c r="EY18" s="83"/>
      <c r="EZ18" s="83"/>
      <c r="FA18" s="83"/>
      <c r="FB18" s="95"/>
      <c r="FC18" s="176"/>
      <c r="FD18" s="83"/>
      <c r="FE18" s="83"/>
      <c r="FF18" s="83"/>
      <c r="FG18" s="83"/>
      <c r="FH18" s="83" t="s">
        <v>68</v>
      </c>
      <c r="FI18" s="142">
        <f>B199</f>
        <v>2</v>
      </c>
      <c r="FJ18" s="83" t="s">
        <v>56</v>
      </c>
      <c r="FK18" s="83" t="s">
        <v>476</v>
      </c>
      <c r="FL18" s="141">
        <f>B166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B166</f>
        <v>0.85</v>
      </c>
      <c r="GB18" s="92"/>
      <c r="GC18" s="83"/>
      <c r="GD18" s="83"/>
      <c r="GE18" s="83"/>
      <c r="GF18" s="95"/>
      <c r="GG18" s="176"/>
      <c r="GH18" s="83"/>
      <c r="GI18" s="83"/>
      <c r="GJ18" s="83"/>
      <c r="GK18" s="83"/>
      <c r="GL18" s="83" t="s">
        <v>68</v>
      </c>
      <c r="GM18" s="142">
        <f>B199</f>
        <v>2</v>
      </c>
      <c r="GN18" s="83" t="s">
        <v>56</v>
      </c>
      <c r="GO18" s="95" t="s">
        <v>287</v>
      </c>
      <c r="GP18" s="176">
        <v>27.027027027027</v>
      </c>
      <c r="GQ18" s="52" t="s">
        <v>288</v>
      </c>
      <c r="GR18" s="83"/>
      <c r="GS18" s="83"/>
      <c r="GT18" s="83"/>
      <c r="GU18" s="95"/>
      <c r="GV18" s="176"/>
      <c r="GW18" s="83"/>
      <c r="GX18" s="83"/>
      <c r="GY18" s="83"/>
      <c r="GZ18" s="83"/>
      <c r="HA18" s="83" t="s">
        <v>68</v>
      </c>
      <c r="HB18" s="142">
        <f>B199</f>
        <v>2</v>
      </c>
      <c r="HC18" s="83" t="s">
        <v>56</v>
      </c>
    </row>
    <row r="19" spans="1:214" ht="19.5" thickTop="1" thickBot="1" x14ac:dyDescent="0.25">
      <c r="A19" s="91" t="s">
        <v>77</v>
      </c>
      <c r="B19" s="183">
        <f>PEF!D3</f>
        <v>1359344473.5814338</v>
      </c>
      <c r="C19" s="52" t="s">
        <v>524</v>
      </c>
      <c r="D19" s="52" t="s">
        <v>261</v>
      </c>
      <c r="E19" s="143">
        <f>((E5)/((E15/E16)*E11*E12))/E27</f>
        <v>3.8739055510815031E-2</v>
      </c>
      <c r="F19" s="52" t="s">
        <v>15</v>
      </c>
      <c r="G19" s="83" t="s">
        <v>366</v>
      </c>
      <c r="H19" s="146">
        <f>B38</f>
        <v>10</v>
      </c>
      <c r="I19" s="52" t="s">
        <v>407</v>
      </c>
      <c r="J19" s="83" t="s">
        <v>445</v>
      </c>
      <c r="K19" s="155">
        <f>K21*K31*K51+K22*K32*K52</f>
        <v>43050</v>
      </c>
      <c r="L19" s="83" t="s">
        <v>346</v>
      </c>
      <c r="V19" s="52" t="s">
        <v>271</v>
      </c>
      <c r="W19" s="145">
        <f>((W5*W7*W6)/((W12/24)*(1-EXP(-W7*W6))*W14*W9*(1/365)))/W20</f>
        <v>3.8237988642644611E-5</v>
      </c>
      <c r="X19" s="52" t="s">
        <v>16</v>
      </c>
      <c r="Y19" s="52" t="s">
        <v>271</v>
      </c>
      <c r="Z19" s="145">
        <f>((Z5*Z7*Z6)/((Z12/24)*(1-EXP(-Z7*Z6))*Z14*Z9*(1/365)))/Z20</f>
        <v>3.4414189778380151E-5</v>
      </c>
      <c r="AA19" s="52" t="s">
        <v>16</v>
      </c>
      <c r="AB19" s="83" t="s">
        <v>247</v>
      </c>
      <c r="AC19" s="139">
        <f>B6</f>
        <v>1.5417408700798101E-4</v>
      </c>
      <c r="AD19" s="139">
        <f>B6</f>
        <v>1.5417408700798101E-4</v>
      </c>
      <c r="AE19" s="139">
        <f>B6</f>
        <v>1.5417408700798101E-4</v>
      </c>
      <c r="AF19" s="139">
        <f>B6</f>
        <v>1.5417408700798101E-4</v>
      </c>
      <c r="AG19" s="139">
        <f>B6</f>
        <v>1.5417408700798101E-4</v>
      </c>
      <c r="AH19" s="84" t="s">
        <v>259</v>
      </c>
      <c r="BS19" s="52" t="s">
        <v>271</v>
      </c>
      <c r="BT19" s="144">
        <f>((BT5)/(BT16*BT8*(1/365)*BT15*(1/24)*BT17))/BT27</f>
        <v>9.072511231473328E-4</v>
      </c>
      <c r="BU19" s="52" t="s">
        <v>15</v>
      </c>
      <c r="BV19" s="83" t="s">
        <v>434</v>
      </c>
      <c r="BW19" s="150">
        <f>B113</f>
        <v>45</v>
      </c>
      <c r="BX19" s="83" t="s">
        <v>24</v>
      </c>
      <c r="BY19" s="83" t="s">
        <v>442</v>
      </c>
      <c r="BZ19" s="146">
        <f>B98</f>
        <v>100</v>
      </c>
      <c r="CA19" s="84" t="s">
        <v>48</v>
      </c>
      <c r="CB19" s="268" t="s">
        <v>537</v>
      </c>
      <c r="CC19" s="262">
        <f>((CC22*CC23*CC24)/((1-EXP(-CC24*CC23))*CC31*(CC26/365)*CC29*(CC30/24)*CC28))/CC32</f>
        <v>537254.53519274609</v>
      </c>
      <c r="CD19" s="279" t="s">
        <v>290</v>
      </c>
      <c r="CE19" s="259" t="s">
        <v>537</v>
      </c>
      <c r="CF19" s="262">
        <f>((CF22*CF23*CF24)/((1-EXP(-CF24*CF23))*CF31*(CF26/365)*CF29*(CF30/24)*CF28))/CF32</f>
        <v>25057.068054536085</v>
      </c>
      <c r="CG19" s="265" t="s">
        <v>290</v>
      </c>
      <c r="CH19" s="83"/>
      <c r="CI19" s="83"/>
      <c r="CK19" s="675" t="s">
        <v>576</v>
      </c>
      <c r="CL19" s="673"/>
      <c r="CM19" s="673"/>
      <c r="CN19" s="676" t="s">
        <v>576</v>
      </c>
      <c r="CO19" s="673"/>
      <c r="CP19" s="677"/>
      <c r="CQ19" s="673" t="s">
        <v>576</v>
      </c>
      <c r="CR19" s="673"/>
      <c r="CS19" s="674"/>
      <c r="CT19" s="91" t="s">
        <v>272</v>
      </c>
      <c r="CU19" s="144">
        <f>FC2</f>
        <v>1.4876820391697838</v>
      </c>
      <c r="CV19" s="92" t="s">
        <v>290</v>
      </c>
      <c r="CW19" s="52" t="s">
        <v>261</v>
      </c>
      <c r="CX19" s="143">
        <f>((CX5)/((CX15/CX16)*CX11*CX12))/CX27</f>
        <v>3.706385311034735E-2</v>
      </c>
      <c r="CY19" s="52" t="s">
        <v>15</v>
      </c>
      <c r="CZ19" s="91" t="s">
        <v>273</v>
      </c>
      <c r="DA19" s="144">
        <f>GS2</f>
        <v>10.979592181137109</v>
      </c>
      <c r="DB19" s="83" t="s">
        <v>290</v>
      </c>
      <c r="DC19" s="92" t="s">
        <v>72</v>
      </c>
      <c r="DD19" s="146">
        <f>B186</f>
        <v>1</v>
      </c>
      <c r="DE19" s="93"/>
      <c r="DF19" s="92" t="s">
        <v>70</v>
      </c>
      <c r="DG19" s="138">
        <f>B200</f>
        <v>2.6999999999999999E-5</v>
      </c>
      <c r="DH19" s="52" t="s">
        <v>64</v>
      </c>
      <c r="DL19" s="92"/>
      <c r="DO19" s="92" t="s">
        <v>70</v>
      </c>
      <c r="DP19" s="138">
        <f>B200</f>
        <v>2.6999999999999999E-5</v>
      </c>
      <c r="DQ19" s="52" t="s">
        <v>64</v>
      </c>
      <c r="DR19" s="95" t="s">
        <v>287</v>
      </c>
      <c r="DS19" s="176">
        <v>27.027027027027</v>
      </c>
      <c r="DT19" s="52" t="s">
        <v>288</v>
      </c>
      <c r="DU19" s="92"/>
      <c r="DX19" s="95"/>
      <c r="DY19" s="176"/>
      <c r="EA19" s="92"/>
      <c r="EB19" s="84"/>
      <c r="EC19" s="84"/>
      <c r="ED19" s="92" t="s">
        <v>70</v>
      </c>
      <c r="EE19" s="163">
        <f>B200</f>
        <v>2.6999999999999999E-5</v>
      </c>
      <c r="EF19" s="84" t="s">
        <v>64</v>
      </c>
      <c r="EG19" s="95" t="s">
        <v>287</v>
      </c>
      <c r="EH19" s="176">
        <v>27.027027027027</v>
      </c>
      <c r="EI19" s="52" t="s">
        <v>288</v>
      </c>
      <c r="EJ19" s="92"/>
      <c r="EP19" s="92"/>
      <c r="EQ19" s="84"/>
      <c r="ER19" s="84"/>
      <c r="ES19" s="92" t="s">
        <v>70</v>
      </c>
      <c r="ET19" s="163">
        <f>B200</f>
        <v>2.6999999999999999E-5</v>
      </c>
      <c r="EU19" s="84" t="s">
        <v>64</v>
      </c>
      <c r="EV19" s="95" t="s">
        <v>287</v>
      </c>
      <c r="EW19" s="176">
        <v>27.027027027027</v>
      </c>
      <c r="EX19" s="52" t="s">
        <v>288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B200</f>
        <v>2.6999999999999999E-5</v>
      </c>
      <c r="FJ19" s="84" t="s">
        <v>64</v>
      </c>
      <c r="FK19" s="95" t="s">
        <v>287</v>
      </c>
      <c r="FL19" s="176">
        <v>27.027027027027</v>
      </c>
      <c r="FM19" s="52" t="s">
        <v>288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95" t="s">
        <v>287</v>
      </c>
      <c r="GA19" s="176">
        <v>27.027027027027</v>
      </c>
      <c r="GB19" s="52" t="s">
        <v>288</v>
      </c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B200</f>
        <v>2.6999999999999999E-5</v>
      </c>
      <c r="GN19" s="84" t="s">
        <v>64</v>
      </c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B200</f>
        <v>2.6999999999999999E-5</v>
      </c>
      <c r="HC19" s="84" t="s">
        <v>64</v>
      </c>
    </row>
    <row r="20" spans="1:214" ht="19.5" thickTop="1" thickBot="1" x14ac:dyDescent="0.25">
      <c r="A20" s="91" t="s">
        <v>103</v>
      </c>
      <c r="B20" s="183">
        <f>PEF!G3</f>
        <v>776129.4078035407</v>
      </c>
      <c r="C20" s="52" t="s">
        <v>524</v>
      </c>
      <c r="D20" s="52" t="s">
        <v>271</v>
      </c>
      <c r="E20" s="144">
        <f>((E5)/((E15/E16)*E8*E17*(1/365)*E18))/E27</f>
        <v>8.1004564566726138E-6</v>
      </c>
      <c r="F20" s="52" t="s">
        <v>15</v>
      </c>
      <c r="G20" s="83" t="s">
        <v>367</v>
      </c>
      <c r="H20" s="146">
        <f>B39</f>
        <v>20</v>
      </c>
      <c r="I20" s="52" t="s">
        <v>407</v>
      </c>
      <c r="J20" s="83" t="s">
        <v>396</v>
      </c>
      <c r="K20" s="155">
        <f>(K31*K23*(K34/24)*K51)+(K32*K24*(K35/24)*K52)</f>
        <v>6195</v>
      </c>
      <c r="L20" s="52" t="s">
        <v>407</v>
      </c>
      <c r="M20" s="325" t="s">
        <v>533</v>
      </c>
      <c r="N20" s="326"/>
      <c r="O20" s="326"/>
      <c r="P20" s="327" t="s">
        <v>536</v>
      </c>
      <c r="Q20" s="326"/>
      <c r="R20" s="329"/>
      <c r="V20" s="95" t="s">
        <v>287</v>
      </c>
      <c r="W20" s="176">
        <v>27.027027027027</v>
      </c>
      <c r="X20" s="52" t="s">
        <v>288</v>
      </c>
      <c r="Y20" s="95" t="s">
        <v>287</v>
      </c>
      <c r="Z20" s="176">
        <v>27.027027027027</v>
      </c>
      <c r="AA20" s="52" t="s">
        <v>288</v>
      </c>
      <c r="AB20" s="83" t="s">
        <v>83</v>
      </c>
      <c r="AC20" s="139">
        <f>B238</f>
        <v>8</v>
      </c>
      <c r="AD20" s="139">
        <f>B250</f>
        <v>0</v>
      </c>
      <c r="AE20" s="139">
        <f>B262</f>
        <v>8</v>
      </c>
      <c r="AF20" s="139">
        <f>B274</f>
        <v>8</v>
      </c>
      <c r="AG20" s="139">
        <f>B297</f>
        <v>8</v>
      </c>
      <c r="AH20" s="84" t="s">
        <v>194</v>
      </c>
      <c r="AI20" s="658" t="s">
        <v>558</v>
      </c>
      <c r="AJ20" s="659"/>
      <c r="AK20" s="660"/>
      <c r="AL20" s="661" t="s">
        <v>545</v>
      </c>
      <c r="AM20" s="659"/>
      <c r="AN20" s="662"/>
      <c r="AR20" s="658" t="s">
        <v>560</v>
      </c>
      <c r="AS20" s="659"/>
      <c r="AT20" s="660"/>
      <c r="AU20" s="661" t="s">
        <v>550</v>
      </c>
      <c r="AV20" s="659"/>
      <c r="AW20" s="662"/>
      <c r="BA20" s="658" t="s">
        <v>562</v>
      </c>
      <c r="BB20" s="659"/>
      <c r="BC20" s="660"/>
      <c r="BD20" s="661" t="s">
        <v>553</v>
      </c>
      <c r="BE20" s="659"/>
      <c r="BF20" s="662"/>
      <c r="BJ20" s="658" t="s">
        <v>563</v>
      </c>
      <c r="BK20" s="659"/>
      <c r="BL20" s="660"/>
      <c r="BM20" s="661" t="s">
        <v>556</v>
      </c>
      <c r="BN20" s="659"/>
      <c r="BO20" s="662"/>
      <c r="BS20" s="52" t="s">
        <v>261</v>
      </c>
      <c r="BT20" s="144">
        <f>((BT5*BT24*BT6)/((1-EXP(-BT6*BT24))*BT9*BT10))/BT27</f>
        <v>4.3888002783224662</v>
      </c>
      <c r="BU20" s="52" t="s">
        <v>16</v>
      </c>
      <c r="BV20" s="52" t="s">
        <v>443</v>
      </c>
      <c r="BW20" s="138">
        <f>B109</f>
        <v>1</v>
      </c>
      <c r="BX20" s="52" t="s">
        <v>89</v>
      </c>
      <c r="BY20" s="83" t="s">
        <v>429</v>
      </c>
      <c r="BZ20" s="141">
        <f>B93</f>
        <v>10</v>
      </c>
      <c r="CA20" s="92" t="s">
        <v>407</v>
      </c>
      <c r="CB20" s="268"/>
      <c r="CC20" s="262"/>
      <c r="CD20" s="279"/>
      <c r="CE20" s="259"/>
      <c r="CF20" s="262"/>
      <c r="CG20" s="265"/>
      <c r="CK20" s="268" t="s">
        <v>530</v>
      </c>
      <c r="CL20" s="262">
        <f>(CL23/(CL24*CL25*CL26))/CL27</f>
        <v>10.045597800819628</v>
      </c>
      <c r="CM20" s="279" t="s">
        <v>290</v>
      </c>
      <c r="CN20" s="259" t="s">
        <v>7</v>
      </c>
      <c r="CO20" s="262">
        <f>(CL20/(CO23*((CO28*CO30*CO31*(CO24+CO25))+(CO29*CO30))))*CO34</f>
        <v>361.12813741085529</v>
      </c>
      <c r="CP20" s="279" t="s">
        <v>290</v>
      </c>
      <c r="CQ20" s="259" t="s">
        <v>6</v>
      </c>
      <c r="CR20" s="262">
        <f>CL20/(CR23*CR24*(1/CR25))</f>
        <v>456618.08185543766</v>
      </c>
      <c r="CS20" s="265" t="s">
        <v>290</v>
      </c>
      <c r="CT20" s="91" t="s">
        <v>273</v>
      </c>
      <c r="CU20" s="144">
        <f>GV2</f>
        <v>7.5305139034379076E-2</v>
      </c>
      <c r="CV20" s="92" t="s">
        <v>290</v>
      </c>
      <c r="CW20" s="52" t="s">
        <v>271</v>
      </c>
      <c r="CX20" s="144">
        <f>((CX5)/((CX15/CX16)*CX8*CX17*(1/365)*CX18))/CX27</f>
        <v>8.1004564566726138E-6</v>
      </c>
      <c r="CY20" s="52" t="s">
        <v>15</v>
      </c>
      <c r="CZ20" s="91" t="s">
        <v>274</v>
      </c>
      <c r="DA20" s="144">
        <f>EK2</f>
        <v>1.1735465476509421E-2</v>
      </c>
      <c r="DB20" s="83" t="s">
        <v>290</v>
      </c>
      <c r="DC20" s="83" t="s">
        <v>475</v>
      </c>
      <c r="DD20" s="146">
        <f>B165</f>
        <v>0.15</v>
      </c>
      <c r="DF20" s="92" t="s">
        <v>71</v>
      </c>
      <c r="DG20" s="137">
        <f>0.693/DG23</f>
        <v>6.2937111521700834E-5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91" t="s">
        <v>104</v>
      </c>
      <c r="B21" s="183">
        <f>PEF!J3</f>
        <v>69557565.807898715</v>
      </c>
      <c r="C21" s="52" t="s">
        <v>524</v>
      </c>
      <c r="D21" s="52" t="s">
        <v>261</v>
      </c>
      <c r="E21" s="144">
        <f>((E5*E10*E6)/((1-EXP(-E6*E10))*E11*E12))/E27</f>
        <v>3.9185716770736297E-2</v>
      </c>
      <c r="F21" s="52" t="s">
        <v>16</v>
      </c>
      <c r="G21" s="83" t="s">
        <v>397</v>
      </c>
      <c r="H21" s="148">
        <f>(H29*H36*H32*H68)+(H30*H37*H33*H69)</f>
        <v>234.815</v>
      </c>
      <c r="I21" s="83" t="s">
        <v>356</v>
      </c>
      <c r="J21" s="83" t="s">
        <v>368</v>
      </c>
      <c r="K21" s="146">
        <f>B40</f>
        <v>200</v>
      </c>
      <c r="L21" s="84" t="s">
        <v>48</v>
      </c>
      <c r="M21" s="330" t="s">
        <v>537</v>
      </c>
      <c r="N21" s="333">
        <f>((N24*N25*N26)/((1-EXP(-N26*N25))*N34*N32*(N28/365)*(((N33/24)*N31)+((N35/24)*N30))))/N36</f>
        <v>0.17578494734161509</v>
      </c>
      <c r="O21" s="336" t="s">
        <v>292</v>
      </c>
      <c r="P21" s="339" t="s">
        <v>537</v>
      </c>
      <c r="Q21" s="333">
        <f>((Q24*Q25*Q26)/((1-EXP(-Q26*Q25))*Q34*Q32*(Q28/365)*(((Q33/24)*Q31)+((Q35/24)*Q30))))/Q36</f>
        <v>6.1956523504210423E-2</v>
      </c>
      <c r="R21" s="342" t="s">
        <v>290</v>
      </c>
      <c r="AB21" s="83" t="s">
        <v>85</v>
      </c>
      <c r="AC21" s="139">
        <f>B239</f>
        <v>8</v>
      </c>
      <c r="AD21" s="139">
        <f>B251</f>
        <v>8</v>
      </c>
      <c r="AE21" s="139">
        <f>B263</f>
        <v>0</v>
      </c>
      <c r="AF21" s="139">
        <f>B275</f>
        <v>8</v>
      </c>
      <c r="AG21" s="139">
        <f>B298</f>
        <v>8</v>
      </c>
      <c r="AH21" s="84" t="s">
        <v>194</v>
      </c>
      <c r="AI21" s="307" t="s">
        <v>537</v>
      </c>
      <c r="AJ21" s="304">
        <f>((AJ24*AJ25*AJ26)/((1-EXP(-AJ26*AJ25))*AJ34*(AJ28/365)*AJ29*(AJ35/24)*AJ30*AJ32))/AJ36</f>
        <v>0.63973415886033991</v>
      </c>
      <c r="AK21" s="291" t="s">
        <v>292</v>
      </c>
      <c r="AL21" s="288" t="s">
        <v>537</v>
      </c>
      <c r="AM21" s="304">
        <f>((AM24*AM25*AM26)/((1-EXP(-AM26*AM25))*AM34*(AM28/365)*AM29*(AM35/24)*AM30*AM32))/AM36</f>
        <v>0.22547837598887305</v>
      </c>
      <c r="AN21" s="282" t="s">
        <v>290</v>
      </c>
      <c r="AR21" s="665" t="s">
        <v>537</v>
      </c>
      <c r="AS21" s="304">
        <f>((AS24*AS25*AS26)/((1-EXP(-AS26*AS25))*AS34*(AS28/365)*AS29*(AS33/24)*AS31*AS32))/AS36</f>
        <v>0.28432629282681771</v>
      </c>
      <c r="AT21" s="667" t="s">
        <v>292</v>
      </c>
      <c r="AU21" s="663" t="s">
        <v>537</v>
      </c>
      <c r="AV21" s="304">
        <f>((AV24*AV25*AV26)/((1-EXP(-AV26*AV25))*AV34*(AV28/365)*AV29*(AV33/24)*AV31*AV32))/AV36</f>
        <v>0.10021261155061024</v>
      </c>
      <c r="AW21" s="669" t="s">
        <v>290</v>
      </c>
      <c r="BA21" s="665" t="s">
        <v>537</v>
      </c>
      <c r="BB21" s="304">
        <f>((BB24*BB25*BB26)/((1-EXP(-BB26*BB25))*BB34*(BB28/365)*(BB33/24)*BB31*BB32))/BB36</f>
        <v>0.25589366354413595</v>
      </c>
      <c r="BC21" s="667" t="s">
        <v>292</v>
      </c>
      <c r="BD21" s="663" t="s">
        <v>537</v>
      </c>
      <c r="BE21" s="304">
        <f>((BE24*BE25*BE26)/((1-EXP(-BE26*BE25))*BE34*(BE28/365)*(BE33/24)*BE31*BE32))/BE36</f>
        <v>9.0191350395549222E-2</v>
      </c>
      <c r="BF21" s="669" t="s">
        <v>290</v>
      </c>
      <c r="BJ21" s="665" t="s">
        <v>537</v>
      </c>
      <c r="BK21" s="285">
        <f>((BK24*BK25*BK26)/((1-EXP(-BK26*BK25))*BK35*(BK28/365)*(BK34/24)*BK32*BK33))/BK36</f>
        <v>20147.045069727978</v>
      </c>
      <c r="BL21" s="667" t="s">
        <v>292</v>
      </c>
      <c r="BM21" s="663" t="s">
        <v>537</v>
      </c>
      <c r="BN21" s="285">
        <f>((BN24*BN25*BN26)/((1-EXP(-BN26*BN25))*BN35*(BN28/365)*(BN34/24)*BN32*BN33))/BN36</f>
        <v>939.64005204510295</v>
      </c>
      <c r="BO21" s="669" t="s">
        <v>290</v>
      </c>
      <c r="BS21" s="52" t="s">
        <v>271</v>
      </c>
      <c r="BT21" s="145">
        <f>((BT5*BT24*BT6)/((1-EXP(-BT6*BT24))*BT16*BT8*(1/365)*BT15*(1/24)*BT17))/BT27</f>
        <v>9.1771172742347051E-4</v>
      </c>
      <c r="BU21" s="52" t="s">
        <v>16</v>
      </c>
      <c r="BV21" s="52" t="s">
        <v>444</v>
      </c>
      <c r="BW21" s="138">
        <f>B110</f>
        <v>1</v>
      </c>
      <c r="BX21" s="52" t="s">
        <v>89</v>
      </c>
      <c r="BY21" s="83" t="s">
        <v>430</v>
      </c>
      <c r="BZ21" s="141">
        <f>B94</f>
        <v>20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79"/>
      <c r="CN21" s="259"/>
      <c r="CO21" s="262"/>
      <c r="CP21" s="279"/>
      <c r="CQ21" s="259"/>
      <c r="CR21" s="262"/>
      <c r="CS21" s="265"/>
      <c r="CT21" s="91" t="s">
        <v>274</v>
      </c>
      <c r="CU21" s="144">
        <f>EN2</f>
        <v>0.1662736156350462</v>
      </c>
      <c r="CV21" s="92" t="s">
        <v>290</v>
      </c>
      <c r="CW21" s="52" t="s">
        <v>261</v>
      </c>
      <c r="CX21" s="144">
        <f>((CX5*CX10*CX6)/((CX15/CX16)*(1-EXP(-CX6*CX9))*CX11*CX12))/CX27</f>
        <v>3.7491199288758513E-2</v>
      </c>
      <c r="CY21" s="52" t="s">
        <v>16</v>
      </c>
      <c r="CZ21" s="91" t="s">
        <v>509</v>
      </c>
      <c r="DA21" s="144">
        <f>DV2</f>
        <v>12.150577689772849</v>
      </c>
      <c r="DB21" s="83" t="s">
        <v>290</v>
      </c>
      <c r="DC21" s="83" t="s">
        <v>476</v>
      </c>
      <c r="DD21" s="146">
        <f>B166</f>
        <v>0.85</v>
      </c>
      <c r="DF21" s="92" t="s">
        <v>73</v>
      </c>
      <c r="DG21" s="138">
        <f>B201</f>
        <v>1</v>
      </c>
      <c r="DH21" s="52" t="s">
        <v>41</v>
      </c>
      <c r="DL21" s="92"/>
      <c r="DO21" s="92" t="s">
        <v>73</v>
      </c>
      <c r="DP21" s="138">
        <f>B201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B201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B201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B201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B201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B201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91" t="s">
        <v>231</v>
      </c>
      <c r="B22" s="183">
        <f>B18*365</f>
        <v>11010.9915</v>
      </c>
      <c r="C22" s="52" t="s">
        <v>222</v>
      </c>
      <c r="D22" s="52" t="s">
        <v>271</v>
      </c>
      <c r="E22" s="145">
        <f>((E5*E10*E6)/((E15/E16)*E8*(1-EXP(-E6*E10))*E17*(1/365)*E18))/E27</f>
        <v>8.193854709138132E-6</v>
      </c>
      <c r="F22" s="52" t="s">
        <v>16</v>
      </c>
      <c r="G22" s="83" t="s">
        <v>398</v>
      </c>
      <c r="H22" s="149">
        <f>(H29*H23*H68)+(H30*H24*H69)</f>
        <v>56282.8</v>
      </c>
      <c r="I22" s="92" t="s">
        <v>347</v>
      </c>
      <c r="J22" s="83" t="s">
        <v>369</v>
      </c>
      <c r="K22" s="146">
        <f>B41</f>
        <v>100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B240</f>
        <v>0.4</v>
      </c>
      <c r="AD22" s="150">
        <f>B252</f>
        <v>0.4</v>
      </c>
      <c r="AE22" s="150">
        <f>B264</f>
        <v>0.4</v>
      </c>
      <c r="AF22" s="150">
        <f>B276</f>
        <v>0.4</v>
      </c>
      <c r="AG22" s="150">
        <f>B299</f>
        <v>0.4</v>
      </c>
      <c r="AI22" s="307"/>
      <c r="AJ22" s="304"/>
      <c r="AK22" s="291"/>
      <c r="AL22" s="288"/>
      <c r="AM22" s="304"/>
      <c r="AN22" s="282"/>
      <c r="AR22" s="665"/>
      <c r="AS22" s="304"/>
      <c r="AT22" s="667"/>
      <c r="AU22" s="663"/>
      <c r="AV22" s="304"/>
      <c r="AW22" s="669"/>
      <c r="BA22" s="665"/>
      <c r="BB22" s="304"/>
      <c r="BC22" s="667"/>
      <c r="BD22" s="663"/>
      <c r="BE22" s="304"/>
      <c r="BF22" s="669"/>
      <c r="BJ22" s="665"/>
      <c r="BK22" s="285"/>
      <c r="BL22" s="667"/>
      <c r="BM22" s="663"/>
      <c r="BN22" s="285"/>
      <c r="BO22" s="669"/>
      <c r="BS22" s="52" t="s">
        <v>433</v>
      </c>
      <c r="BT22" s="138">
        <f>B104</f>
        <v>75</v>
      </c>
      <c r="BU22" s="52" t="s">
        <v>24</v>
      </c>
      <c r="BV22" s="83" t="s">
        <v>90</v>
      </c>
      <c r="BW22" s="150">
        <f>B108</f>
        <v>1</v>
      </c>
      <c r="BX22" s="52" t="s">
        <v>194</v>
      </c>
      <c r="BY22" s="83" t="s">
        <v>140</v>
      </c>
      <c r="BZ22" s="150">
        <f>B103</f>
        <v>75</v>
      </c>
      <c r="CA22" s="83" t="s">
        <v>24</v>
      </c>
      <c r="CB22" s="52" t="s">
        <v>267</v>
      </c>
      <c r="CC22" s="136">
        <f>B5</f>
        <v>1</v>
      </c>
      <c r="CD22" s="52" t="s">
        <v>344</v>
      </c>
      <c r="CE22" s="52" t="s">
        <v>267</v>
      </c>
      <c r="CF22" s="136">
        <f>B5</f>
        <v>1</v>
      </c>
      <c r="CG22" s="52" t="s">
        <v>344</v>
      </c>
      <c r="CK22" s="269"/>
      <c r="CL22" s="263"/>
      <c r="CM22" s="280"/>
      <c r="CN22" s="260"/>
      <c r="CO22" s="263"/>
      <c r="CP22" s="280"/>
      <c r="CQ22" s="260"/>
      <c r="CR22" s="263"/>
      <c r="CS22" s="266"/>
      <c r="CT22" s="91" t="s">
        <v>275</v>
      </c>
      <c r="CU22" s="144">
        <f>DY2</f>
        <v>0.18647723218547907</v>
      </c>
      <c r="CV22" s="92" t="s">
        <v>290</v>
      </c>
      <c r="CW22" s="52" t="s">
        <v>271</v>
      </c>
      <c r="CX22" s="145">
        <f>((CX5*CX10*CX6)/((CX15/CX16)*CX8*(1-EXP(-CX6*CX10))*CX17*(1/365)*CX18))/CX27</f>
        <v>8.193854709138132E-6</v>
      </c>
      <c r="CY22" s="52" t="s">
        <v>16</v>
      </c>
      <c r="CZ22" s="91" t="s">
        <v>510</v>
      </c>
      <c r="DA22" s="144">
        <f>GD2</f>
        <v>21.170198266906972</v>
      </c>
      <c r="DB22" s="83" t="s">
        <v>290</v>
      </c>
      <c r="DC22" s="95" t="s">
        <v>287</v>
      </c>
      <c r="DD22" s="176">
        <v>27.027027027027</v>
      </c>
      <c r="DE22" s="52" t="s">
        <v>288</v>
      </c>
      <c r="DF22" s="92" t="s">
        <v>74</v>
      </c>
      <c r="DG22" s="138">
        <f>B202</f>
        <v>14</v>
      </c>
      <c r="DH22" s="52" t="s">
        <v>75</v>
      </c>
      <c r="DL22" s="92"/>
      <c r="DO22" s="92" t="s">
        <v>74</v>
      </c>
      <c r="DP22" s="138">
        <f>B202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B202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B202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B202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B202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B202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105</v>
      </c>
      <c r="B23" s="182">
        <v>2500</v>
      </c>
      <c r="C23" s="84" t="s">
        <v>18</v>
      </c>
      <c r="D23" s="52" t="s">
        <v>380</v>
      </c>
      <c r="E23" s="138">
        <f>B54</f>
        <v>350</v>
      </c>
      <c r="F23" s="52" t="s">
        <v>24</v>
      </c>
      <c r="G23" s="83" t="s">
        <v>399</v>
      </c>
      <c r="H23" s="146">
        <f>B149</f>
        <v>68.099999999999994</v>
      </c>
      <c r="I23" s="92" t="s">
        <v>221</v>
      </c>
      <c r="J23" s="83" t="s">
        <v>366</v>
      </c>
      <c r="K23" s="141">
        <f>B38</f>
        <v>10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666"/>
      <c r="AS23" s="305"/>
      <c r="AT23" s="668"/>
      <c r="AU23" s="664"/>
      <c r="AV23" s="305"/>
      <c r="AW23" s="670"/>
      <c r="BA23" s="666"/>
      <c r="BB23" s="305"/>
      <c r="BC23" s="668"/>
      <c r="BD23" s="664"/>
      <c r="BE23" s="305"/>
      <c r="BF23" s="670"/>
      <c r="BJ23" s="666"/>
      <c r="BK23" s="286"/>
      <c r="BL23" s="668"/>
      <c r="BM23" s="664"/>
      <c r="BN23" s="286"/>
      <c r="BO23" s="670"/>
      <c r="BS23" s="52" t="s">
        <v>434</v>
      </c>
      <c r="BT23" s="138">
        <f>B105</f>
        <v>75</v>
      </c>
      <c r="BU23" s="52" t="s">
        <v>24</v>
      </c>
      <c r="BV23" s="83" t="s">
        <v>435</v>
      </c>
      <c r="BW23" s="138">
        <f>B114</f>
        <v>1</v>
      </c>
      <c r="BX23" s="52" t="s">
        <v>80</v>
      </c>
      <c r="BY23" s="83" t="s">
        <v>434</v>
      </c>
      <c r="BZ23" s="150">
        <f>B105</f>
        <v>75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B5</f>
        <v>1</v>
      </c>
      <c r="CM23" s="52" t="s">
        <v>344</v>
      </c>
      <c r="CN23" s="52" t="s">
        <v>229</v>
      </c>
      <c r="CO23" s="136">
        <f>B29</f>
        <v>2.1999999999999999E-2</v>
      </c>
      <c r="CP23" s="52" t="s">
        <v>268</v>
      </c>
      <c r="CQ23" s="83" t="s">
        <v>229</v>
      </c>
      <c r="CR23" s="136">
        <f>CO23</f>
        <v>2.1999999999999999E-2</v>
      </c>
      <c r="CS23" s="52" t="s">
        <v>268</v>
      </c>
      <c r="CT23" s="91" t="s">
        <v>276</v>
      </c>
      <c r="CU23" s="144">
        <f>GG2</f>
        <v>0.1100991805940133</v>
      </c>
      <c r="CV23" s="92" t="s">
        <v>290</v>
      </c>
      <c r="CW23" s="52" t="s">
        <v>456</v>
      </c>
      <c r="CX23" s="138">
        <f>B167</f>
        <v>350</v>
      </c>
      <c r="CY23" s="52" t="s">
        <v>24</v>
      </c>
      <c r="CZ23" s="91" t="s">
        <v>277</v>
      </c>
      <c r="DA23" s="145">
        <f>FO2</f>
        <v>6.2845868189931667E-3</v>
      </c>
      <c r="DB23" s="83" t="s">
        <v>290</v>
      </c>
      <c r="DF23" s="83" t="s">
        <v>267</v>
      </c>
      <c r="DG23" s="136">
        <f>B22</f>
        <v>11010.9915</v>
      </c>
      <c r="DH23" s="52" t="s">
        <v>222</v>
      </c>
      <c r="DO23" s="83" t="s">
        <v>19</v>
      </c>
      <c r="DP23" s="161">
        <f>DP25</f>
        <v>2.5229999999999999E-2</v>
      </c>
      <c r="EA23" s="83"/>
      <c r="EB23" s="83"/>
      <c r="EC23" s="84"/>
      <c r="ED23" s="83" t="s">
        <v>19</v>
      </c>
      <c r="EE23" s="161">
        <f>EE25</f>
        <v>2.9000000000000001E-2</v>
      </c>
      <c r="EF23" s="84"/>
      <c r="EP23" s="83"/>
      <c r="EQ23" s="83"/>
      <c r="ER23" s="84"/>
      <c r="ES23" s="83" t="s">
        <v>19</v>
      </c>
      <c r="ET23" s="161">
        <f>ET25</f>
        <v>2.9000000000000001E-2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2.9000000000000001E-2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2.9000000000000001E-2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2.9000000000000001E-2</v>
      </c>
      <c r="HC23" s="84"/>
      <c r="HD23" s="67" t="s">
        <v>14</v>
      </c>
      <c r="HE23" s="126">
        <f>((HE25*HE42)*HE38*HE33*10^-3*HE32*HE27)/(HE31*HE41*(1-EXP(-HE27*HE32)))</f>
        <v>3.9745620480129203E-2</v>
      </c>
      <c r="HF23" s="220" t="s">
        <v>595</v>
      </c>
    </row>
    <row r="24" spans="1:214" ht="14.25" thickTop="1" thickBot="1" x14ac:dyDescent="0.25">
      <c r="A24" s="83" t="s">
        <v>239</v>
      </c>
      <c r="B24" s="183">
        <v>4.5999999999999999E-3</v>
      </c>
      <c r="C24" s="52" t="s">
        <v>601</v>
      </c>
      <c r="D24" s="52" t="s">
        <v>381</v>
      </c>
      <c r="E24" s="138">
        <f>B55</f>
        <v>350</v>
      </c>
      <c r="F24" s="52" t="s">
        <v>24</v>
      </c>
      <c r="G24" s="83" t="s">
        <v>310</v>
      </c>
      <c r="H24" s="146">
        <f>B46</f>
        <v>188.5</v>
      </c>
      <c r="I24" s="92" t="s">
        <v>221</v>
      </c>
      <c r="J24" s="83" t="s">
        <v>367</v>
      </c>
      <c r="K24" s="141">
        <f>B39</f>
        <v>20</v>
      </c>
      <c r="L24" s="52" t="s">
        <v>407</v>
      </c>
      <c r="M24" s="52" t="s">
        <v>267</v>
      </c>
      <c r="N24" s="136">
        <f>B5</f>
        <v>1</v>
      </c>
      <c r="O24" s="52" t="s">
        <v>344</v>
      </c>
      <c r="P24" s="52" t="s">
        <v>267</v>
      </c>
      <c r="Q24" s="136">
        <f>B5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2.2972045705420805E-2</v>
      </c>
      <c r="AD24" s="137">
        <f>0.693/AD25</f>
        <v>2.2972045705420805E-2</v>
      </c>
      <c r="AE24" s="137">
        <f>0.693/AE25</f>
        <v>2.2972045705420805E-2</v>
      </c>
      <c r="AF24" s="137">
        <f>0.693/AF25</f>
        <v>2.2972045705420805E-2</v>
      </c>
      <c r="AG24" s="137">
        <f>0.693/AG25</f>
        <v>2.2972045705420805E-2</v>
      </c>
      <c r="AI24" s="52" t="s">
        <v>267</v>
      </c>
      <c r="AJ24" s="136">
        <f>B5</f>
        <v>1</v>
      </c>
      <c r="AK24" s="52" t="s">
        <v>344</v>
      </c>
      <c r="AL24" s="52" t="s">
        <v>267</v>
      </c>
      <c r="AM24" s="136">
        <f>B5</f>
        <v>1</v>
      </c>
      <c r="AN24" s="52" t="s">
        <v>344</v>
      </c>
      <c r="AR24" s="52" t="s">
        <v>267</v>
      </c>
      <c r="AS24" s="136">
        <f>B5</f>
        <v>1</v>
      </c>
      <c r="AT24" s="52" t="s">
        <v>344</v>
      </c>
      <c r="AU24" s="52" t="s">
        <v>267</v>
      </c>
      <c r="AV24" s="136">
        <f>B5</f>
        <v>1</v>
      </c>
      <c r="AW24" s="52" t="s">
        <v>344</v>
      </c>
      <c r="BA24" s="52" t="s">
        <v>267</v>
      </c>
      <c r="BB24" s="136">
        <f>B5</f>
        <v>1</v>
      </c>
      <c r="BC24" s="52" t="s">
        <v>344</v>
      </c>
      <c r="BD24" s="52" t="s">
        <v>267</v>
      </c>
      <c r="BE24" s="136">
        <f>B5</f>
        <v>1</v>
      </c>
      <c r="BF24" s="52" t="s">
        <v>344</v>
      </c>
      <c r="BJ24" s="52" t="s">
        <v>267</v>
      </c>
      <c r="BK24" s="136">
        <f>B5</f>
        <v>1</v>
      </c>
      <c r="BL24" s="52" t="s">
        <v>344</v>
      </c>
      <c r="BM24" s="52" t="s">
        <v>267</v>
      </c>
      <c r="BN24" s="136">
        <f>B5</f>
        <v>1</v>
      </c>
      <c r="BO24" s="52" t="s">
        <v>344</v>
      </c>
      <c r="BS24" s="91" t="s">
        <v>95</v>
      </c>
      <c r="BT24" s="158">
        <f>B117</f>
        <v>1</v>
      </c>
      <c r="BU24" s="91" t="s">
        <v>60</v>
      </c>
      <c r="BV24" s="83" t="s">
        <v>436</v>
      </c>
      <c r="BW24" s="138">
        <f>B115</f>
        <v>1</v>
      </c>
      <c r="BX24" s="52" t="s">
        <v>80</v>
      </c>
      <c r="BY24" s="83" t="s">
        <v>433</v>
      </c>
      <c r="BZ24" s="150">
        <f>B104</f>
        <v>75</v>
      </c>
      <c r="CA24" s="83" t="s">
        <v>24</v>
      </c>
      <c r="CB24" s="83" t="s">
        <v>22</v>
      </c>
      <c r="CC24" s="137">
        <f>0.693/CC25</f>
        <v>2.2972045705420805E-2</v>
      </c>
      <c r="CE24" s="83" t="s">
        <v>22</v>
      </c>
      <c r="CF24" s="137">
        <f>0.693/CF25</f>
        <v>2.2972045705420805E-2</v>
      </c>
      <c r="CK24" s="52" t="s">
        <v>258</v>
      </c>
      <c r="CL24" s="136">
        <f>B17</f>
        <v>4.9109405245458101E-5</v>
      </c>
      <c r="CM24" s="92" t="s">
        <v>259</v>
      </c>
      <c r="CN24" s="52" t="s">
        <v>20</v>
      </c>
      <c r="CO24" s="139">
        <f>CO26</f>
        <v>2.9000000000000001E-2</v>
      </c>
      <c r="CQ24" s="84" t="s">
        <v>170</v>
      </c>
      <c r="CR24" s="162">
        <f>B139</f>
        <v>1</v>
      </c>
      <c r="CS24" s="52" t="s">
        <v>28</v>
      </c>
      <c r="CT24" s="91" t="s">
        <v>277</v>
      </c>
      <c r="CU24" s="145">
        <f>FR2</f>
        <v>6.3570480968855092E-5</v>
      </c>
      <c r="CV24" s="92" t="s">
        <v>290</v>
      </c>
      <c r="CW24" s="52" t="s">
        <v>465</v>
      </c>
      <c r="CX24" s="138">
        <f>B168</f>
        <v>350</v>
      </c>
      <c r="CY24" s="52" t="s">
        <v>24</v>
      </c>
      <c r="CZ24" s="83" t="s">
        <v>45</v>
      </c>
      <c r="DA24" s="149">
        <f>(DA35*DA27*DA49)+(DA36*DA28*DA50)</f>
        <v>784.7</v>
      </c>
      <c r="DB24" s="52" t="s">
        <v>345</v>
      </c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128">
        <f>((HE26*HE42)*HE38*HE33*10^-3*HE32*HE27)/(HE31*HE41*(1-EXP(-HE27*HE32)))</f>
        <v>6.115318055545662E-4</v>
      </c>
      <c r="HF24" s="221" t="s">
        <v>596</v>
      </c>
    </row>
    <row r="25" spans="1:214" ht="15" thickTop="1" x14ac:dyDescent="0.2">
      <c r="A25" s="83" t="s">
        <v>236</v>
      </c>
      <c r="B25" s="183">
        <v>2.1999999999999999E-2</v>
      </c>
      <c r="C25" s="52" t="s">
        <v>388</v>
      </c>
      <c r="D25" s="83" t="s">
        <v>376</v>
      </c>
      <c r="E25" s="146">
        <f>B49</f>
        <v>0.23</v>
      </c>
      <c r="G25" s="83" t="s">
        <v>400</v>
      </c>
      <c r="H25" s="149">
        <f>(H29*H26*H68)+(H30*H27*H69)</f>
        <v>38095.4</v>
      </c>
      <c r="I25" s="92" t="s">
        <v>347</v>
      </c>
      <c r="J25" s="83" t="s">
        <v>446</v>
      </c>
      <c r="K25" s="149">
        <f>(K31*K26*K51)+(K32*K27*K52)</f>
        <v>56282.8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3.4389813451345249E-5</v>
      </c>
      <c r="X25" s="62" t="s">
        <v>289</v>
      </c>
      <c r="Y25" s="202" t="s">
        <v>16</v>
      </c>
      <c r="Z25" s="187">
        <f>1/((1/Z41)+(1/Z40))</f>
        <v>1.8589088352078489E-5</v>
      </c>
      <c r="AA25" s="63" t="s">
        <v>289</v>
      </c>
      <c r="AB25" s="91" t="s">
        <v>231</v>
      </c>
      <c r="AC25" s="136">
        <f>B18</f>
        <v>30.167100000000001</v>
      </c>
      <c r="AD25" s="136">
        <f>B18</f>
        <v>30.167100000000001</v>
      </c>
      <c r="AE25" s="136">
        <f>B18</f>
        <v>30.167100000000001</v>
      </c>
      <c r="AF25" s="136">
        <f>B18</f>
        <v>30.167100000000001</v>
      </c>
      <c r="AG25" s="136">
        <f>B18</f>
        <v>30.167100000000001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B101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B108</f>
        <v>1</v>
      </c>
      <c r="CA25" s="94" t="s">
        <v>194</v>
      </c>
      <c r="CB25" s="91" t="s">
        <v>231</v>
      </c>
      <c r="CC25" s="136">
        <f>B18</f>
        <v>30.167100000000001</v>
      </c>
      <c r="CD25" s="52" t="s">
        <v>60</v>
      </c>
      <c r="CE25" s="91" t="s">
        <v>231</v>
      </c>
      <c r="CF25" s="136">
        <f>B18</f>
        <v>30.167100000000001</v>
      </c>
      <c r="CG25" s="52" t="s">
        <v>60</v>
      </c>
      <c r="CK25" s="52" t="s">
        <v>140</v>
      </c>
      <c r="CL25" s="138">
        <f>B103</f>
        <v>75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40250</v>
      </c>
      <c r="CV25" s="83" t="s">
        <v>346</v>
      </c>
      <c r="CW25" s="83" t="s">
        <v>475</v>
      </c>
      <c r="CX25" s="146">
        <f>B165</f>
        <v>0.15</v>
      </c>
      <c r="CZ25" s="83" t="s">
        <v>43</v>
      </c>
      <c r="DA25" s="140">
        <f>(DA35*DA29*(DA38/24)*DA49)+(DA36*DA30*(DA39/24)*DA50)</f>
        <v>6475</v>
      </c>
      <c r="DB25" s="83" t="s">
        <v>426</v>
      </c>
      <c r="DF25" s="52" t="s">
        <v>33</v>
      </c>
      <c r="DG25" s="136">
        <f>B32</f>
        <v>2.9000000000000001E-2</v>
      </c>
      <c r="DO25" s="83" t="s">
        <v>32</v>
      </c>
      <c r="DP25" s="136">
        <f>B31</f>
        <v>2.5229999999999999E-2</v>
      </c>
      <c r="EA25" s="83"/>
      <c r="EC25" s="84"/>
      <c r="ED25" s="83" t="s">
        <v>33</v>
      </c>
      <c r="EE25" s="136">
        <f>B32</f>
        <v>2.9000000000000001E-2</v>
      </c>
      <c r="EF25" s="84"/>
      <c r="EP25" s="83"/>
      <c r="ER25" s="84"/>
      <c r="ES25" s="83" t="s">
        <v>33</v>
      </c>
      <c r="ET25" s="136">
        <f>B32</f>
        <v>2.9000000000000001E-2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B32</f>
        <v>2.9000000000000001E-2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B32</f>
        <v>2.9000000000000001E-2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B32</f>
        <v>2.9000000000000001E-2</v>
      </c>
      <c r="HC25" s="84"/>
      <c r="HD25" s="89" t="s">
        <v>21</v>
      </c>
      <c r="HE25" s="150">
        <f>B34</f>
        <v>7.4000074000074001</v>
      </c>
      <c r="HF25" s="83" t="s">
        <v>291</v>
      </c>
    </row>
    <row r="26" spans="1:214" ht="13.5" thickBot="1" x14ac:dyDescent="0.25">
      <c r="A26" s="83" t="s">
        <v>237</v>
      </c>
      <c r="B26" s="183">
        <v>2.7</v>
      </c>
      <c r="C26" s="52" t="s">
        <v>388</v>
      </c>
      <c r="D26" s="83" t="s">
        <v>377</v>
      </c>
      <c r="E26" s="146">
        <f>B50</f>
        <v>0.77</v>
      </c>
      <c r="G26" s="83" t="s">
        <v>401</v>
      </c>
      <c r="H26" s="146">
        <f>B151</f>
        <v>41.7</v>
      </c>
      <c r="I26" s="92" t="s">
        <v>221</v>
      </c>
      <c r="J26" s="83" t="s">
        <v>399</v>
      </c>
      <c r="K26" s="146">
        <f>B45</f>
        <v>68.099999999999994</v>
      </c>
      <c r="L26" s="92" t="s">
        <v>221</v>
      </c>
      <c r="M26" s="83" t="s">
        <v>22</v>
      </c>
      <c r="N26" s="137">
        <f>0.693/N27</f>
        <v>2.2972045705420805E-2</v>
      </c>
      <c r="P26" s="83" t="s">
        <v>22</v>
      </c>
      <c r="Q26" s="137">
        <f>0.693/Q27</f>
        <v>2.2972045705420805E-2</v>
      </c>
      <c r="V26" s="201" t="s">
        <v>15</v>
      </c>
      <c r="W26" s="75">
        <f>1/((1/W38)+(1/W39))</f>
        <v>3.3997818646337446E-5</v>
      </c>
      <c r="X26" s="76" t="s">
        <v>289</v>
      </c>
      <c r="Y26" s="203" t="s">
        <v>15</v>
      </c>
      <c r="Z26" s="185">
        <f>1/((1/Z38)+(1/Z39))</f>
        <v>1.8377199268290494E-5</v>
      </c>
      <c r="AA26" s="77" t="s">
        <v>289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2.2972045705420805E-2</v>
      </c>
      <c r="AL26" s="83" t="s">
        <v>22</v>
      </c>
      <c r="AM26" s="137">
        <f>0.693/AM27</f>
        <v>2.2972045705420805E-2</v>
      </c>
      <c r="AR26" s="83" t="s">
        <v>22</v>
      </c>
      <c r="AS26" s="137">
        <f>0.693/AS27</f>
        <v>2.2972045705420805E-2</v>
      </c>
      <c r="AU26" s="83" t="s">
        <v>22</v>
      </c>
      <c r="AV26" s="137">
        <f>0.693/AV27</f>
        <v>2.2972045705420805E-2</v>
      </c>
      <c r="BA26" s="83" t="s">
        <v>22</v>
      </c>
      <c r="BB26" s="137">
        <f>0.693/BB27</f>
        <v>2.2972045705420805E-2</v>
      </c>
      <c r="BD26" s="83" t="s">
        <v>22</v>
      </c>
      <c r="BE26" s="137">
        <f>0.693/BE27</f>
        <v>2.2972045705420805E-2</v>
      </c>
      <c r="BJ26" s="83" t="s">
        <v>22</v>
      </c>
      <c r="BK26" s="137">
        <f>0.693/BK27</f>
        <v>2.2972045705420805E-2</v>
      </c>
      <c r="BM26" s="83" t="s">
        <v>22</v>
      </c>
      <c r="BN26" s="137">
        <f>0.693/BN27</f>
        <v>2.2972045705420805E-2</v>
      </c>
      <c r="BS26" s="91" t="s">
        <v>309</v>
      </c>
      <c r="BT26" s="177">
        <f>B102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B106</f>
        <v>1</v>
      </c>
      <c r="CA26" s="94" t="s">
        <v>194</v>
      </c>
      <c r="CB26" s="52" t="s">
        <v>140</v>
      </c>
      <c r="CC26" s="138">
        <f>B103</f>
        <v>75</v>
      </c>
      <c r="CD26" s="52" t="s">
        <v>24</v>
      </c>
      <c r="CE26" s="52" t="s">
        <v>140</v>
      </c>
      <c r="CF26" s="138">
        <f>B103</f>
        <v>75</v>
      </c>
      <c r="CG26" s="52" t="s">
        <v>24</v>
      </c>
      <c r="CK26" s="52" t="s">
        <v>160</v>
      </c>
      <c r="CL26" s="162">
        <f>B134</f>
        <v>1</v>
      </c>
      <c r="CM26" s="52" t="s">
        <v>221</v>
      </c>
      <c r="CN26" s="52" t="s">
        <v>33</v>
      </c>
      <c r="CO26" s="136">
        <f>B32</f>
        <v>2.9000000000000001E-2</v>
      </c>
      <c r="CT26" s="83" t="s">
        <v>506</v>
      </c>
      <c r="CU26" s="155">
        <f>((CU31*CU29*CU47)+(CU32*CU30*CU48))</f>
        <v>6475</v>
      </c>
      <c r="CV26" s="52" t="s">
        <v>426</v>
      </c>
      <c r="CW26" s="83" t="s">
        <v>476</v>
      </c>
      <c r="CX26" s="141">
        <f>B166</f>
        <v>0.85</v>
      </c>
      <c r="CY26" s="83"/>
      <c r="CZ26" s="83" t="s">
        <v>142</v>
      </c>
      <c r="DA26" s="149">
        <f>(DA35*DA40*DA42*DA49)+(DA36*DA41*DA43*DA50)</f>
        <v>239.57499999999999</v>
      </c>
      <c r="DB26" s="52" t="s">
        <v>356</v>
      </c>
      <c r="DF26" s="95"/>
      <c r="DG26" s="176"/>
      <c r="DO26" s="83" t="s">
        <v>393</v>
      </c>
      <c r="DP26" s="138">
        <f>B35</f>
        <v>0.26</v>
      </c>
      <c r="EA26" s="83"/>
      <c r="EB26" s="84"/>
      <c r="EC26" s="84"/>
      <c r="ED26" s="83" t="s">
        <v>392</v>
      </c>
      <c r="EE26" s="163">
        <f>B36</f>
        <v>0.25</v>
      </c>
      <c r="EF26" s="84"/>
      <c r="EP26" s="83"/>
      <c r="EQ26" s="84"/>
      <c r="ER26" s="84"/>
      <c r="ES26" s="83" t="s">
        <v>392</v>
      </c>
      <c r="ET26" s="163">
        <f>B36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B36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B36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B36</f>
        <v>0.25</v>
      </c>
      <c r="HC26" s="84"/>
      <c r="HD26" s="84" t="s">
        <v>265</v>
      </c>
      <c r="HE26" s="139">
        <f>H2</f>
        <v>0.11385757303011831</v>
      </c>
      <c r="HF26" s="83" t="s">
        <v>291</v>
      </c>
    </row>
    <row r="27" spans="1:214" ht="13.5" thickTop="1" x14ac:dyDescent="0.2">
      <c r="A27" s="83" t="s">
        <v>171</v>
      </c>
      <c r="B27" s="183">
        <v>0.4</v>
      </c>
      <c r="C27" s="52" t="s">
        <v>388</v>
      </c>
      <c r="D27" s="95" t="s">
        <v>287</v>
      </c>
      <c r="E27" s="176">
        <v>27.027027027027</v>
      </c>
      <c r="F27" s="52" t="s">
        <v>288</v>
      </c>
      <c r="G27" s="83" t="s">
        <v>402</v>
      </c>
      <c r="H27" s="146">
        <f>B48</f>
        <v>128.9</v>
      </c>
      <c r="I27" s="92" t="s">
        <v>221</v>
      </c>
      <c r="J27" s="83" t="s">
        <v>310</v>
      </c>
      <c r="K27" s="146">
        <f>B46</f>
        <v>188.5</v>
      </c>
      <c r="L27" s="92" t="s">
        <v>221</v>
      </c>
      <c r="M27" s="91" t="s">
        <v>231</v>
      </c>
      <c r="N27" s="136">
        <f>B18</f>
        <v>30.167100000000001</v>
      </c>
      <c r="O27" s="52" t="s">
        <v>60</v>
      </c>
      <c r="P27" s="91" t="s">
        <v>231</v>
      </c>
      <c r="Q27" s="136">
        <f>B18</f>
        <v>30.167100000000001</v>
      </c>
      <c r="R27" s="52" t="s">
        <v>60</v>
      </c>
      <c r="V27" s="52" t="s">
        <v>267</v>
      </c>
      <c r="W27" s="136">
        <f>B5</f>
        <v>1</v>
      </c>
      <c r="X27" s="52" t="s">
        <v>344</v>
      </c>
      <c r="Y27" s="52" t="s">
        <v>267</v>
      </c>
      <c r="Z27" s="136">
        <f>B5</f>
        <v>1</v>
      </c>
      <c r="AA27" s="52" t="s">
        <v>344</v>
      </c>
      <c r="AB27" s="84" t="s">
        <v>16</v>
      </c>
      <c r="AC27" s="156">
        <f>(AC23*AC24)/(1-EXP(-AC24*AC23))</f>
        <v>1.0115299987062558</v>
      </c>
      <c r="AD27" s="156">
        <f>(AD23*AD24)/(1-EXP(-AD24*AD23))</f>
        <v>1.0115299987062558</v>
      </c>
      <c r="AE27" s="156">
        <f>(AE23*AE24)/(1-EXP(-AE24*AE23))</f>
        <v>1.0115299987062558</v>
      </c>
      <c r="AF27" s="156">
        <f>(AF23*AF24)/(1-EXP(-AF24*AF23))</f>
        <v>1.0115299987062558</v>
      </c>
      <c r="AG27" s="156">
        <f>(AG23*AG24)/(1-EXP(-AG24*AG23))</f>
        <v>1.0115299987062558</v>
      </c>
      <c r="AI27" s="91" t="s">
        <v>231</v>
      </c>
      <c r="AJ27" s="136">
        <f>B18</f>
        <v>30.167100000000001</v>
      </c>
      <c r="AK27" s="52" t="s">
        <v>60</v>
      </c>
      <c r="AL27" s="91" t="s">
        <v>231</v>
      </c>
      <c r="AM27" s="136">
        <f>B18</f>
        <v>30.167100000000001</v>
      </c>
      <c r="AN27" s="52" t="s">
        <v>60</v>
      </c>
      <c r="AR27" s="91" t="s">
        <v>231</v>
      </c>
      <c r="AS27" s="136">
        <f>B18</f>
        <v>30.167100000000001</v>
      </c>
      <c r="AT27" s="52" t="s">
        <v>60</v>
      </c>
      <c r="AU27" s="91" t="s">
        <v>231</v>
      </c>
      <c r="AV27" s="136">
        <f>B18</f>
        <v>30.167100000000001</v>
      </c>
      <c r="AW27" s="52" t="s">
        <v>60</v>
      </c>
      <c r="BA27" s="91" t="s">
        <v>231</v>
      </c>
      <c r="BB27" s="136">
        <f>B18</f>
        <v>30.167100000000001</v>
      </c>
      <c r="BC27" s="52" t="s">
        <v>60</v>
      </c>
      <c r="BD27" s="91" t="s">
        <v>231</v>
      </c>
      <c r="BE27" s="136">
        <f>B18</f>
        <v>30.167100000000001</v>
      </c>
      <c r="BF27" s="52" t="s">
        <v>60</v>
      </c>
      <c r="BJ27" s="91" t="s">
        <v>231</v>
      </c>
      <c r="BK27" s="136">
        <f>B18</f>
        <v>30.167100000000001</v>
      </c>
      <c r="BL27" s="52" t="s">
        <v>60</v>
      </c>
      <c r="BM27" s="91" t="s">
        <v>231</v>
      </c>
      <c r="BN27" s="136">
        <f>B18</f>
        <v>30.167100000000001</v>
      </c>
      <c r="BO27" s="52" t="s">
        <v>60</v>
      </c>
      <c r="BS27" s="95" t="s">
        <v>287</v>
      </c>
      <c r="BT27" s="176">
        <v>27.027027027027</v>
      </c>
      <c r="BU27" s="52" t="s">
        <v>288</v>
      </c>
      <c r="BW27" s="138">
        <v>1000</v>
      </c>
      <c r="BX27" s="52" t="s">
        <v>218</v>
      </c>
      <c r="BY27" s="83" t="s">
        <v>90</v>
      </c>
      <c r="BZ27" s="150">
        <f>B107</f>
        <v>1</v>
      </c>
      <c r="CA27" s="52" t="s">
        <v>194</v>
      </c>
      <c r="CB27" s="52" t="s">
        <v>51</v>
      </c>
      <c r="CC27" s="138">
        <f>B117</f>
        <v>1</v>
      </c>
      <c r="CD27" s="52" t="s">
        <v>146</v>
      </c>
      <c r="CE27" s="52" t="s">
        <v>51</v>
      </c>
      <c r="CF27" s="138">
        <f>B117</f>
        <v>1</v>
      </c>
      <c r="CG27" s="52" t="s">
        <v>146</v>
      </c>
      <c r="CK27" s="95" t="s">
        <v>287</v>
      </c>
      <c r="CL27" s="176">
        <v>27.027027027027</v>
      </c>
      <c r="CM27" s="52" t="s">
        <v>288</v>
      </c>
      <c r="CN27" s="52" t="s">
        <v>392</v>
      </c>
      <c r="CO27" s="162">
        <f>B36</f>
        <v>0.25</v>
      </c>
      <c r="CT27" s="83" t="s">
        <v>449</v>
      </c>
      <c r="CU27" s="146">
        <f>B141</f>
        <v>200</v>
      </c>
      <c r="CV27" s="84" t="s">
        <v>48</v>
      </c>
      <c r="CW27" s="95" t="s">
        <v>287</v>
      </c>
      <c r="CX27" s="176">
        <v>27.027027027027</v>
      </c>
      <c r="CY27" s="52" t="s">
        <v>288</v>
      </c>
      <c r="CZ27" s="92" t="s">
        <v>451</v>
      </c>
      <c r="DA27" s="142">
        <f t="shared" ref="DA27:DA34" si="0">B145</f>
        <v>0.78</v>
      </c>
      <c r="DB27" s="83" t="s">
        <v>28</v>
      </c>
      <c r="DO27" s="95"/>
      <c r="DP27" s="176"/>
      <c r="DW27" s="88"/>
      <c r="DX27" s="88"/>
      <c r="DY27" s="88"/>
      <c r="DZ27" s="88"/>
      <c r="EA27" s="83"/>
      <c r="EB27" s="85"/>
      <c r="ED27" s="83" t="s">
        <v>517</v>
      </c>
      <c r="EE27" s="136">
        <f>B24</f>
        <v>4.5999999999999999E-3</v>
      </c>
      <c r="EF27" s="52" t="s">
        <v>601</v>
      </c>
      <c r="EP27" s="83"/>
      <c r="EQ27" s="86"/>
      <c r="ES27" s="83" t="s">
        <v>236</v>
      </c>
      <c r="ET27" s="169">
        <f>B25</f>
        <v>2.1999999999999999E-2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B27</f>
        <v>0.4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B26</f>
        <v>2.7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B28</f>
        <v>0.2</v>
      </c>
      <c r="HC27" s="52" t="s">
        <v>388</v>
      </c>
      <c r="HD27" s="83" t="s">
        <v>22</v>
      </c>
      <c r="HE27" s="137">
        <f>0.693/HE29</f>
        <v>2.2972045705420805E-2</v>
      </c>
    </row>
    <row r="28" spans="1:214" x14ac:dyDescent="0.2">
      <c r="A28" s="83" t="s">
        <v>238</v>
      </c>
      <c r="B28" s="183">
        <v>0.2</v>
      </c>
      <c r="C28" s="52" t="s">
        <v>388</v>
      </c>
      <c r="G28" s="83" t="s">
        <v>65</v>
      </c>
      <c r="H28" s="141">
        <f>B65</f>
        <v>0.5</v>
      </c>
      <c r="I28" s="52" t="s">
        <v>66</v>
      </c>
      <c r="J28" s="83" t="s">
        <v>447</v>
      </c>
      <c r="K28" s="149">
        <f>(K31*K29*K51)+(K32*K30*K52)</f>
        <v>38095.4</v>
      </c>
      <c r="L28" s="92" t="s">
        <v>347</v>
      </c>
      <c r="M28" s="52" t="s">
        <v>382</v>
      </c>
      <c r="N28" s="138">
        <f>B56</f>
        <v>350</v>
      </c>
      <c r="O28" s="52" t="s">
        <v>24</v>
      </c>
      <c r="P28" s="52" t="s">
        <v>382</v>
      </c>
      <c r="Q28" s="138">
        <f>B56</f>
        <v>350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B243</f>
        <v>250</v>
      </c>
      <c r="AK28" s="52" t="s">
        <v>24</v>
      </c>
      <c r="AL28" s="52" t="s">
        <v>35</v>
      </c>
      <c r="AM28" s="138">
        <f>B243</f>
        <v>250</v>
      </c>
      <c r="AN28" s="52" t="s">
        <v>24</v>
      </c>
      <c r="AR28" s="52" t="s">
        <v>423</v>
      </c>
      <c r="AS28" s="138">
        <f>B255</f>
        <v>225</v>
      </c>
      <c r="AT28" s="52" t="s">
        <v>24</v>
      </c>
      <c r="AU28" s="52" t="s">
        <v>423</v>
      </c>
      <c r="AV28" s="138">
        <f>B255</f>
        <v>225</v>
      </c>
      <c r="AW28" s="52" t="s">
        <v>24</v>
      </c>
      <c r="BA28" s="52" t="s">
        <v>316</v>
      </c>
      <c r="BB28" s="138">
        <f>B231</f>
        <v>250</v>
      </c>
      <c r="BC28" s="52" t="s">
        <v>24</v>
      </c>
      <c r="BD28" s="52" t="s">
        <v>316</v>
      </c>
      <c r="BE28" s="138">
        <f>B231</f>
        <v>250</v>
      </c>
      <c r="BF28" s="52" t="s">
        <v>24</v>
      </c>
      <c r="BJ28" s="52" t="s">
        <v>191</v>
      </c>
      <c r="BK28" s="138">
        <f>BK29*BK30</f>
        <v>250</v>
      </c>
      <c r="BL28" s="52" t="s">
        <v>24</v>
      </c>
      <c r="BM28" s="52" t="s">
        <v>191</v>
      </c>
      <c r="BN28" s="138">
        <f>BN29*BN30</f>
        <v>250</v>
      </c>
      <c r="BO28" s="52" t="s">
        <v>24</v>
      </c>
      <c r="BS28" s="96"/>
      <c r="BV28" s="83"/>
      <c r="BW28" s="146">
        <v>365</v>
      </c>
      <c r="BX28" s="84" t="s">
        <v>24</v>
      </c>
      <c r="BY28" s="83" t="s">
        <v>302</v>
      </c>
      <c r="BZ28" s="141">
        <f>B118</f>
        <v>2.41E-4</v>
      </c>
      <c r="CB28" s="52" t="s">
        <v>300</v>
      </c>
      <c r="CC28" s="138">
        <f>B126</f>
        <v>1.5699999999999999E-5</v>
      </c>
      <c r="CE28" s="52" t="s">
        <v>300</v>
      </c>
      <c r="CF28" s="138">
        <f>B122</f>
        <v>1.35E-4</v>
      </c>
      <c r="CN28" s="52" t="s">
        <v>165</v>
      </c>
      <c r="CO28" s="162">
        <f>B135</f>
        <v>1</v>
      </c>
      <c r="CP28" s="52" t="s">
        <v>246</v>
      </c>
      <c r="CT28" s="83" t="s">
        <v>458</v>
      </c>
      <c r="CU28" s="146">
        <f>B142</f>
        <v>100</v>
      </c>
      <c r="CV28" s="84" t="s">
        <v>48</v>
      </c>
      <c r="CZ28" s="92" t="s">
        <v>460</v>
      </c>
      <c r="DA28" s="142">
        <f t="shared" si="0"/>
        <v>2.5</v>
      </c>
      <c r="DB28" s="83" t="s">
        <v>28</v>
      </c>
      <c r="DW28" s="88"/>
      <c r="DX28" s="88"/>
      <c r="DY28" s="88"/>
      <c r="DZ28" s="88"/>
      <c r="ED28" s="95"/>
      <c r="EE28" s="176"/>
      <c r="ES28" s="95"/>
      <c r="ET28" s="176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95"/>
      <c r="FI28" s="176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95"/>
      <c r="GM28" s="176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95"/>
      <c r="HB28" s="176"/>
      <c r="HD28" s="52" t="s">
        <v>16</v>
      </c>
      <c r="HE28" s="137">
        <f>1-EXP(-HE27*HE32)</f>
        <v>2.2710197161529555E-2</v>
      </c>
    </row>
    <row r="29" spans="1:214" ht="15.75" thickBot="1" x14ac:dyDescent="0.25">
      <c r="A29" s="52" t="s">
        <v>229</v>
      </c>
      <c r="B29" s="183">
        <v>2.1999999999999999E-2</v>
      </c>
      <c r="C29" s="52" t="s">
        <v>388</v>
      </c>
      <c r="G29" s="83" t="s">
        <v>380</v>
      </c>
      <c r="H29" s="150">
        <f>B54</f>
        <v>350</v>
      </c>
      <c r="I29" s="83" t="s">
        <v>24</v>
      </c>
      <c r="J29" s="83" t="s">
        <v>401</v>
      </c>
      <c r="K29" s="146">
        <f>B47</f>
        <v>41.7</v>
      </c>
      <c r="L29" s="92" t="s">
        <v>221</v>
      </c>
      <c r="M29" s="52" t="s">
        <v>379</v>
      </c>
      <c r="N29" s="138">
        <f>B53</f>
        <v>1</v>
      </c>
      <c r="O29" s="52" t="s">
        <v>146</v>
      </c>
      <c r="P29" s="52" t="s">
        <v>379</v>
      </c>
      <c r="Q29" s="138">
        <f>B53</f>
        <v>1</v>
      </c>
      <c r="R29" s="52" t="s">
        <v>146</v>
      </c>
      <c r="V29" s="83" t="s">
        <v>22</v>
      </c>
      <c r="W29" s="137">
        <f>0.693/W30</f>
        <v>2.2972045705420805E-2</v>
      </c>
      <c r="Y29" s="83" t="s">
        <v>22</v>
      </c>
      <c r="Z29" s="137">
        <f>0.693/Z30</f>
        <v>2.2972045705420805E-2</v>
      </c>
      <c r="AB29" s="83" t="s">
        <v>260</v>
      </c>
      <c r="AC29" s="143">
        <f>((AC5/(AC8*AC13*AC7*AC9*(1/AC6)))*AC27)/AC35</f>
        <v>29.750882314889907</v>
      </c>
      <c r="AD29" s="143">
        <f>((AD5/(AD8*AD13*AD7*AD9*(1/AD6)))*AD27)/AD35</f>
        <v>59.501764629779814</v>
      </c>
      <c r="AE29" s="143">
        <f>((AE5/(AE8*AE13*AE7*AE9*(1/AE6)))*AE27)/AE35</f>
        <v>33.056535905433229</v>
      </c>
      <c r="AF29" s="143">
        <f>((AF5*AF23*AF24)/((1-EXP(-AF24*AF23))*AF8*AF7*AF9*AF13*(1/AF28)))/AF35</f>
        <v>9.0154188832999704</v>
      </c>
      <c r="AG29" s="143">
        <f>((AG5*AG23*AG24)/((1-EXP(-AG24*AG23))*AG8*AG7*AG9*AG13*(1/AG28)))/AG35</f>
        <v>9.0154188832999704</v>
      </c>
      <c r="AH29" s="83" t="s">
        <v>290</v>
      </c>
      <c r="AI29" s="52" t="s">
        <v>420</v>
      </c>
      <c r="AJ29" s="138">
        <f>B244</f>
        <v>1</v>
      </c>
      <c r="AK29" s="52" t="s">
        <v>146</v>
      </c>
      <c r="AL29" s="52" t="s">
        <v>420</v>
      </c>
      <c r="AM29" s="138">
        <f>B244</f>
        <v>1</v>
      </c>
      <c r="AN29" s="52" t="s">
        <v>146</v>
      </c>
      <c r="AR29" s="52" t="s">
        <v>424</v>
      </c>
      <c r="AS29" s="138">
        <f>B256</f>
        <v>1</v>
      </c>
      <c r="AT29" s="52" t="s">
        <v>146</v>
      </c>
      <c r="AU29" s="52" t="s">
        <v>424</v>
      </c>
      <c r="AV29" s="138">
        <f>B256</f>
        <v>1</v>
      </c>
      <c r="AW29" s="52" t="s">
        <v>146</v>
      </c>
      <c r="BA29" s="52" t="s">
        <v>422</v>
      </c>
      <c r="BB29" s="138">
        <f>B232</f>
        <v>1</v>
      </c>
      <c r="BC29" s="52" t="s">
        <v>146</v>
      </c>
      <c r="BD29" s="52" t="s">
        <v>422</v>
      </c>
      <c r="BE29" s="138">
        <f>B232</f>
        <v>1</v>
      </c>
      <c r="BF29" s="52" t="s">
        <v>146</v>
      </c>
      <c r="BJ29" s="52" t="s">
        <v>220</v>
      </c>
      <c r="BK29" s="138">
        <f>B278</f>
        <v>50</v>
      </c>
      <c r="BL29" s="52" t="s">
        <v>113</v>
      </c>
      <c r="BM29" s="52" t="s">
        <v>220</v>
      </c>
      <c r="BN29" s="138">
        <f>B278</f>
        <v>50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41">
        <f>B119</f>
        <v>0.753</v>
      </c>
      <c r="CB29" s="52" t="s">
        <v>411</v>
      </c>
      <c r="CC29" s="138">
        <f>B127</f>
        <v>0.80900000000000005</v>
      </c>
      <c r="CE29" s="52" t="s">
        <v>418</v>
      </c>
      <c r="CF29" s="138">
        <f>B123</f>
        <v>0.71099999999999997</v>
      </c>
      <c r="CN29" s="52" t="s">
        <v>166</v>
      </c>
      <c r="CO29" s="162">
        <f>B136</f>
        <v>1</v>
      </c>
      <c r="CP29" s="52" t="s">
        <v>246</v>
      </c>
      <c r="CT29" s="83" t="s">
        <v>450</v>
      </c>
      <c r="CU29" s="141">
        <f>B147</f>
        <v>10</v>
      </c>
      <c r="CV29" s="92" t="s">
        <v>407</v>
      </c>
      <c r="CZ29" s="92" t="s">
        <v>450</v>
      </c>
      <c r="DA29" s="142">
        <f t="shared" si="0"/>
        <v>10</v>
      </c>
      <c r="DB29" s="83" t="s">
        <v>143</v>
      </c>
      <c r="DW29" s="88"/>
      <c r="DX29" s="88"/>
      <c r="DY29" s="88"/>
      <c r="DZ29" s="8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B18</f>
        <v>30.167100000000001</v>
      </c>
      <c r="HF29" s="52" t="s">
        <v>60</v>
      </c>
    </row>
    <row r="30" spans="1:214" ht="19.5" thickTop="1" thickBot="1" x14ac:dyDescent="0.25">
      <c r="A30" s="83" t="s">
        <v>228</v>
      </c>
      <c r="B30" s="183">
        <v>2.7</v>
      </c>
      <c r="C30" s="52" t="s">
        <v>388</v>
      </c>
      <c r="D30" s="353" t="s">
        <v>528</v>
      </c>
      <c r="E30" s="354"/>
      <c r="F30" s="355"/>
      <c r="G30" s="83" t="s">
        <v>381</v>
      </c>
      <c r="H30" s="150">
        <f>B55</f>
        <v>350</v>
      </c>
      <c r="I30" s="83" t="s">
        <v>24</v>
      </c>
      <c r="J30" s="83" t="s">
        <v>402</v>
      </c>
      <c r="K30" s="146">
        <f>B48</f>
        <v>128.9</v>
      </c>
      <c r="L30" s="92" t="s">
        <v>221</v>
      </c>
      <c r="M30" s="52" t="s">
        <v>299</v>
      </c>
      <c r="N30" s="138">
        <f>B61</f>
        <v>0.4</v>
      </c>
      <c r="P30" s="52" t="s">
        <v>299</v>
      </c>
      <c r="Q30" s="138">
        <f>B61</f>
        <v>0.4</v>
      </c>
      <c r="V30" s="91" t="s">
        <v>231</v>
      </c>
      <c r="W30" s="136">
        <f>B18</f>
        <v>30.167100000000001</v>
      </c>
      <c r="X30" s="52" t="s">
        <v>60</v>
      </c>
      <c r="Y30" s="91" t="s">
        <v>231</v>
      </c>
      <c r="Z30" s="136">
        <f>B18</f>
        <v>30.167100000000001</v>
      </c>
      <c r="AA30" s="52" t="s">
        <v>60</v>
      </c>
      <c r="AB30" s="83" t="s">
        <v>261</v>
      </c>
      <c r="AC30" s="144">
        <f>((AC5/(AC19*AC15*AC7*AC9*(1/AC32)*((8/1)/(24/1))*AC28))*AC27)/AC35</f>
        <v>65997.673656642713</v>
      </c>
      <c r="AD30" s="144">
        <f>((AD5/(AD19*AD15*AD7*((8/1)/(24/1))*AD9*(1/AD32)*AD28))*AD27)/AD35</f>
        <v>65997.673656642713</v>
      </c>
      <c r="AE30" s="144">
        <f>((AE5/(AE19*AE15*AE7*((8/1)/(24/1))*AE9*(1/AE32)*AE28))*AE27)/AE35</f>
        <v>73330.74850738082</v>
      </c>
      <c r="AF30" s="144">
        <f>((AF5*AF23*AF24)/((1-EXP(-AF24*AF23))*AF19*AF7*AF9*(AF12/24)*AF15*(1/AF33)*AF28))/AF35</f>
        <v>37.681938880868131</v>
      </c>
      <c r="AG30" s="144">
        <f>((AG5*AG23*AG24)/((1-EXP(-AG24*AG23))*AG19*AG7*AG9*(AG12/24)*AG15*(1/AG34)*AG28))/AG35</f>
        <v>3377.0965474596005</v>
      </c>
      <c r="AH30" s="83" t="s">
        <v>290</v>
      </c>
      <c r="AI30" s="52" t="s">
        <v>299</v>
      </c>
      <c r="AJ30" s="138">
        <f>B248</f>
        <v>0.4</v>
      </c>
      <c r="AL30" s="52" t="s">
        <v>299</v>
      </c>
      <c r="AM30" s="138">
        <f>B248</f>
        <v>0.4</v>
      </c>
      <c r="AR30" s="52" t="s">
        <v>299</v>
      </c>
      <c r="AS30" s="138">
        <f>B260</f>
        <v>0.4</v>
      </c>
      <c r="AV30" s="138"/>
      <c r="BA30" s="52" t="s">
        <v>299</v>
      </c>
      <c r="BB30" s="138">
        <f>B236</f>
        <v>0.4</v>
      </c>
      <c r="BD30" s="52" t="s">
        <v>299</v>
      </c>
      <c r="BE30" s="138">
        <f>B236</f>
        <v>0.4</v>
      </c>
      <c r="BJ30" s="52" t="s">
        <v>219</v>
      </c>
      <c r="BK30" s="138">
        <f>B277</f>
        <v>5</v>
      </c>
      <c r="BL30" s="52" t="s">
        <v>112</v>
      </c>
      <c r="BM30" s="52" t="s">
        <v>219</v>
      </c>
      <c r="BN30" s="138">
        <f>B277</f>
        <v>5</v>
      </c>
      <c r="BO30" s="52" t="s">
        <v>112</v>
      </c>
      <c r="BS30" s="91"/>
      <c r="BT30" s="97"/>
      <c r="BU30" s="91"/>
      <c r="BV30" s="91" t="s">
        <v>308</v>
      </c>
      <c r="BW30" s="146">
        <f>B101</f>
        <v>0.23</v>
      </c>
      <c r="BY30" s="94" t="s">
        <v>95</v>
      </c>
      <c r="BZ30" s="150">
        <f>B117</f>
        <v>1</v>
      </c>
      <c r="CA30" s="94" t="s">
        <v>60</v>
      </c>
      <c r="CB30" s="52" t="s">
        <v>90</v>
      </c>
      <c r="CC30" s="138">
        <f>B108</f>
        <v>1</v>
      </c>
      <c r="CD30" s="52" t="s">
        <v>194</v>
      </c>
      <c r="CE30" s="52" t="s">
        <v>90</v>
      </c>
      <c r="CF30" s="138">
        <f>B108</f>
        <v>1</v>
      </c>
      <c r="CG30" s="52" t="s">
        <v>194</v>
      </c>
      <c r="CM30" s="83"/>
      <c r="CN30" s="93" t="s">
        <v>167</v>
      </c>
      <c r="CO30" s="162">
        <f>B137</f>
        <v>1</v>
      </c>
      <c r="CP30" s="52" t="s">
        <v>41</v>
      </c>
      <c r="CQ30" s="88"/>
      <c r="CR30" s="83"/>
      <c r="CS30" s="83"/>
      <c r="CT30" s="83" t="s">
        <v>459</v>
      </c>
      <c r="CU30" s="141">
        <f>B148</f>
        <v>20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20</v>
      </c>
      <c r="DB30" s="83" t="s">
        <v>143</v>
      </c>
      <c r="DW30" s="88"/>
      <c r="DX30" s="88"/>
      <c r="DY30" s="88"/>
      <c r="DZ30" s="8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B83</f>
        <v>0.3</v>
      </c>
    </row>
    <row r="31" spans="1:214" x14ac:dyDescent="0.2">
      <c r="A31" s="84" t="s">
        <v>32</v>
      </c>
      <c r="B31" s="183">
        <f>0.02523</f>
        <v>2.5229999999999999E-2</v>
      </c>
      <c r="D31" s="323" t="s">
        <v>530</v>
      </c>
      <c r="E31" s="347">
        <f>E38</f>
        <v>3.9863483336585827E-2</v>
      </c>
      <c r="F31" s="345" t="s">
        <v>290</v>
      </c>
      <c r="G31" s="83" t="s">
        <v>379</v>
      </c>
      <c r="H31" s="150">
        <f>B53</f>
        <v>1</v>
      </c>
      <c r="I31" s="84" t="s">
        <v>60</v>
      </c>
      <c r="J31" s="83" t="s">
        <v>380</v>
      </c>
      <c r="K31" s="150">
        <f>B54</f>
        <v>350</v>
      </c>
      <c r="L31" s="83" t="s">
        <v>24</v>
      </c>
      <c r="M31" s="52" t="s">
        <v>300</v>
      </c>
      <c r="N31" s="138">
        <f>B62</f>
        <v>1</v>
      </c>
      <c r="P31" s="52" t="s">
        <v>300</v>
      </c>
      <c r="Q31" s="138">
        <f>B62</f>
        <v>1</v>
      </c>
      <c r="V31" s="52" t="s">
        <v>35</v>
      </c>
      <c r="W31" s="138">
        <f>B243</f>
        <v>250</v>
      </c>
      <c r="X31" s="52" t="s">
        <v>24</v>
      </c>
      <c r="Y31" s="52" t="s">
        <v>191</v>
      </c>
      <c r="Z31" s="138">
        <f>B267</f>
        <v>250</v>
      </c>
      <c r="AA31" s="52" t="s">
        <v>24</v>
      </c>
      <c r="AB31" s="83" t="s">
        <v>262</v>
      </c>
      <c r="AC31" s="145">
        <f>((AC5*AC23*AC24)/((1-EXP(-AC24*AC23))*AC18*AC7*(1/365)*AC12*(1/24)*AC14*AC17))/AC35</f>
        <v>5.1319405809865125E-2</v>
      </c>
      <c r="AD31" s="145">
        <f>((AD5*AD23*AD24)/((1-EXP(-AD24*AD23))*AD18*AD7*(1/365)*AD12*(1/24)*AD16*AD17))/AD35</f>
        <v>0.12829851452466279</v>
      </c>
      <c r="AE31" s="145">
        <f>((AE5*AE23*AE24)/((1-EXP(-AE24*AE23))*AE18*AE7*(1/365)*AE12*(1/24)*AE14*AE17))/AE35</f>
        <v>5.7021562010961251E-2</v>
      </c>
      <c r="AF31" s="145">
        <f>((AF5*AF23*AF24)/((1-EXP(-AF24*AF23))*AF18*(AF11*AF10)*(1/365)*AF12*(1/24)*AF14*AF17))/AF35</f>
        <v>282.79361563353842</v>
      </c>
      <c r="AG31" s="145">
        <f>((AG5*AG23*AG24)/((1-EXP(-AG24*AG23))*AG18*AG7*(1/365)*AG9*(AG12/24)*AG14*AG17))/AG35</f>
        <v>282.79361563353842</v>
      </c>
      <c r="AH31" s="83" t="s">
        <v>290</v>
      </c>
      <c r="AI31" s="52" t="s">
        <v>300</v>
      </c>
      <c r="AJ31" s="138">
        <f>B235</f>
        <v>1</v>
      </c>
      <c r="AL31" s="52" t="s">
        <v>300</v>
      </c>
      <c r="AM31" s="138">
        <f>B235</f>
        <v>1</v>
      </c>
      <c r="AR31" s="52" t="s">
        <v>300</v>
      </c>
      <c r="AS31" s="138">
        <f>B259</f>
        <v>1</v>
      </c>
      <c r="AU31" s="52" t="s">
        <v>300</v>
      </c>
      <c r="AV31" s="138">
        <f>B259</f>
        <v>1</v>
      </c>
      <c r="BA31" s="52" t="s">
        <v>300</v>
      </c>
      <c r="BB31" s="138">
        <f>B235</f>
        <v>1</v>
      </c>
      <c r="BD31" s="52" t="s">
        <v>300</v>
      </c>
      <c r="BE31" s="138">
        <f>B235</f>
        <v>1</v>
      </c>
      <c r="BJ31" s="52" t="s">
        <v>158</v>
      </c>
      <c r="BK31" s="138">
        <f>B268</f>
        <v>1</v>
      </c>
      <c r="BL31" s="52" t="s">
        <v>146</v>
      </c>
      <c r="BM31" s="52" t="s">
        <v>158</v>
      </c>
      <c r="BN31" s="138">
        <f>B268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B102</f>
        <v>0.77</v>
      </c>
      <c r="BZ31" s="150">
        <v>365</v>
      </c>
      <c r="CA31" s="52" t="s">
        <v>24</v>
      </c>
      <c r="CB31" s="52" t="s">
        <v>410</v>
      </c>
      <c r="CC31" s="139">
        <f>B11</f>
        <v>0.64061199999999996</v>
      </c>
      <c r="CD31" s="84" t="s">
        <v>353</v>
      </c>
      <c r="CE31" s="52" t="s">
        <v>419</v>
      </c>
      <c r="CF31" s="139">
        <f>B13</f>
        <v>1.817564</v>
      </c>
      <c r="CG31" s="84" t="s">
        <v>353</v>
      </c>
      <c r="CM31" s="83"/>
      <c r="CN31" s="83" t="s">
        <v>168</v>
      </c>
      <c r="CO31" s="162">
        <f>B138</f>
        <v>1</v>
      </c>
      <c r="CP31" s="52" t="s">
        <v>41</v>
      </c>
      <c r="CQ31" s="83"/>
      <c r="CR31" s="83"/>
      <c r="CS31" s="83"/>
      <c r="CT31" s="83" t="s">
        <v>456</v>
      </c>
      <c r="CU31" s="150">
        <f>B167</f>
        <v>350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68.099999999999994</v>
      </c>
      <c r="DB31" s="83" t="s">
        <v>221</v>
      </c>
      <c r="DW31" s="88"/>
      <c r="DX31" s="88"/>
      <c r="DY31" s="88"/>
      <c r="DZ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B84</f>
        <v>1.5</v>
      </c>
    </row>
    <row r="32" spans="1:214" ht="13.5" thickBot="1" x14ac:dyDescent="0.25">
      <c r="A32" s="52" t="s">
        <v>33</v>
      </c>
      <c r="B32" s="183">
        <v>2.9000000000000001E-2</v>
      </c>
      <c r="D32" s="324"/>
      <c r="E32" s="348"/>
      <c r="F32" s="346"/>
      <c r="G32" s="52" t="s">
        <v>403</v>
      </c>
      <c r="H32" s="138">
        <f>B57</f>
        <v>0.54</v>
      </c>
      <c r="I32" s="52" t="s">
        <v>89</v>
      </c>
      <c r="J32" s="83" t="s">
        <v>381</v>
      </c>
      <c r="K32" s="150">
        <f>B55</f>
        <v>350</v>
      </c>
      <c r="L32" s="83" t="s">
        <v>24</v>
      </c>
      <c r="M32" s="52" t="s">
        <v>54</v>
      </c>
      <c r="N32" s="138">
        <f>B63</f>
        <v>1</v>
      </c>
      <c r="P32" s="52" t="s">
        <v>54</v>
      </c>
      <c r="Q32" s="138">
        <f>B63</f>
        <v>1</v>
      </c>
      <c r="V32" s="52" t="s">
        <v>420</v>
      </c>
      <c r="W32" s="138">
        <f>B244</f>
        <v>1</v>
      </c>
      <c r="X32" s="52" t="s">
        <v>146</v>
      </c>
      <c r="Y32" s="52" t="s">
        <v>158</v>
      </c>
      <c r="Z32" s="138">
        <f>B268</f>
        <v>1</v>
      </c>
      <c r="AA32" s="52" t="s">
        <v>146</v>
      </c>
      <c r="AB32" s="83" t="s">
        <v>77</v>
      </c>
      <c r="AC32" s="136">
        <f>B19</f>
        <v>1359344473.5814338</v>
      </c>
      <c r="AD32" s="136">
        <f>B19</f>
        <v>1359344473.5814338</v>
      </c>
      <c r="AE32" s="136">
        <f>B19</f>
        <v>1359344473.5814338</v>
      </c>
      <c r="AF32" s="136"/>
      <c r="AG32" s="136"/>
      <c r="AH32" s="104" t="s">
        <v>78</v>
      </c>
      <c r="AI32" s="52" t="s">
        <v>54</v>
      </c>
      <c r="AJ32" s="138">
        <f>B249</f>
        <v>1</v>
      </c>
      <c r="AL32" s="52" t="s">
        <v>54</v>
      </c>
      <c r="AM32" s="138">
        <f>B249</f>
        <v>1</v>
      </c>
      <c r="AR32" s="52" t="s">
        <v>54</v>
      </c>
      <c r="AS32" s="138">
        <f>B261</f>
        <v>1</v>
      </c>
      <c r="AU32" s="52" t="s">
        <v>54</v>
      </c>
      <c r="AV32" s="138">
        <f>B261</f>
        <v>1</v>
      </c>
      <c r="BA32" s="52" t="s">
        <v>54</v>
      </c>
      <c r="BB32" s="138">
        <f>B237</f>
        <v>1</v>
      </c>
      <c r="BD32" s="52" t="s">
        <v>54</v>
      </c>
      <c r="BE32" s="138">
        <f>B237</f>
        <v>1</v>
      </c>
      <c r="BJ32" s="52" t="s">
        <v>300</v>
      </c>
      <c r="BK32" s="136">
        <f>B281</f>
        <v>1.5699999999999999E-5</v>
      </c>
      <c r="BM32" s="52" t="s">
        <v>300</v>
      </c>
      <c r="BN32" s="136">
        <f>B285</f>
        <v>1.35E-4</v>
      </c>
      <c r="BS32" s="91"/>
      <c r="BT32" s="99"/>
      <c r="BU32" s="100"/>
      <c r="BV32" s="95" t="s">
        <v>287</v>
      </c>
      <c r="BW32" s="176">
        <v>27.027027027027</v>
      </c>
      <c r="BX32" s="52" t="s">
        <v>288</v>
      </c>
      <c r="BZ32" s="138">
        <v>1000</v>
      </c>
      <c r="CA32" s="52" t="s">
        <v>99</v>
      </c>
      <c r="CB32" s="95" t="s">
        <v>287</v>
      </c>
      <c r="CC32" s="176">
        <v>27.027027027027</v>
      </c>
      <c r="CD32" s="52" t="s">
        <v>288</v>
      </c>
      <c r="CE32" s="95" t="s">
        <v>287</v>
      </c>
      <c r="CF32" s="176">
        <v>27.027027027027</v>
      </c>
      <c r="CG32" s="52" t="s">
        <v>288</v>
      </c>
      <c r="CM32" s="83"/>
      <c r="CN32" s="83" t="s">
        <v>22</v>
      </c>
      <c r="CO32" s="137">
        <f>0.693/CO33</f>
        <v>2.2972045705420805E-2</v>
      </c>
      <c r="CR32" s="83"/>
      <c r="CS32" s="83"/>
      <c r="CT32" s="83" t="s">
        <v>465</v>
      </c>
      <c r="CU32" s="150">
        <f>B168</f>
        <v>350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176.8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2.75" customHeight="1" thickTop="1" x14ac:dyDescent="0.2">
      <c r="A33" s="83" t="s">
        <v>156</v>
      </c>
      <c r="B33" s="182">
        <v>10</v>
      </c>
      <c r="C33" s="83" t="s">
        <v>18</v>
      </c>
      <c r="D33" s="83" t="s">
        <v>267</v>
      </c>
      <c r="E33" s="136">
        <f>B5</f>
        <v>1</v>
      </c>
      <c r="F33" s="52" t="s">
        <v>344</v>
      </c>
      <c r="G33" s="52" t="s">
        <v>404</v>
      </c>
      <c r="H33" s="138">
        <f>B58</f>
        <v>0.71</v>
      </c>
      <c r="I33" s="52" t="s">
        <v>89</v>
      </c>
      <c r="J33" s="83" t="s">
        <v>379</v>
      </c>
      <c r="K33" s="141">
        <f>B53</f>
        <v>1</v>
      </c>
      <c r="L33" s="92" t="s">
        <v>60</v>
      </c>
      <c r="M33" s="52" t="s">
        <v>408</v>
      </c>
      <c r="N33" s="150">
        <f>B78</f>
        <v>1.752</v>
      </c>
      <c r="O33" s="52" t="s">
        <v>194</v>
      </c>
      <c r="P33" s="52" t="s">
        <v>408</v>
      </c>
      <c r="Q33" s="150">
        <f>B78</f>
        <v>1.752</v>
      </c>
      <c r="R33" s="52" t="s">
        <v>194</v>
      </c>
      <c r="V33" s="52" t="s">
        <v>247</v>
      </c>
      <c r="W33" s="139">
        <f>B6</f>
        <v>1.5417408700798101E-4</v>
      </c>
      <c r="X33" s="84" t="s">
        <v>39</v>
      </c>
      <c r="Y33" s="52" t="s">
        <v>247</v>
      </c>
      <c r="Z33" s="139">
        <f>B6</f>
        <v>1.5417408700798101E-4</v>
      </c>
      <c r="AA33" s="84" t="s">
        <v>39</v>
      </c>
      <c r="AB33" s="104" t="s">
        <v>103</v>
      </c>
      <c r="AC33" s="136"/>
      <c r="AD33" s="136"/>
      <c r="AE33" s="136"/>
      <c r="AF33" s="157">
        <f>B20</f>
        <v>776129.4078035407</v>
      </c>
      <c r="AG33" s="136"/>
      <c r="AH33" s="104" t="s">
        <v>78</v>
      </c>
      <c r="AI33" s="52" t="s">
        <v>57</v>
      </c>
      <c r="AJ33" s="136">
        <f>B250</f>
        <v>0</v>
      </c>
      <c r="AK33" s="52" t="s">
        <v>194</v>
      </c>
      <c r="AL33" s="52" t="s">
        <v>57</v>
      </c>
      <c r="AM33" s="136">
        <f>B250</f>
        <v>0</v>
      </c>
      <c r="AN33" s="52" t="s">
        <v>194</v>
      </c>
      <c r="AR33" s="52" t="s">
        <v>57</v>
      </c>
      <c r="AS33" s="136">
        <f>B262</f>
        <v>8</v>
      </c>
      <c r="AT33" s="52" t="s">
        <v>194</v>
      </c>
      <c r="AU33" s="52" t="s">
        <v>57</v>
      </c>
      <c r="AV33" s="136">
        <f>B262</f>
        <v>8</v>
      </c>
      <c r="AW33" s="52" t="s">
        <v>194</v>
      </c>
      <c r="BA33" s="52" t="s">
        <v>58</v>
      </c>
      <c r="BB33" s="136">
        <f>B238</f>
        <v>8</v>
      </c>
      <c r="BC33" s="52" t="s">
        <v>194</v>
      </c>
      <c r="BD33" s="52" t="s">
        <v>57</v>
      </c>
      <c r="BE33" s="136">
        <f>B238</f>
        <v>8</v>
      </c>
      <c r="BF33" s="52" t="s">
        <v>194</v>
      </c>
      <c r="BJ33" s="52" t="s">
        <v>411</v>
      </c>
      <c r="BK33" s="136">
        <f>B282</f>
        <v>0.80900000000000005</v>
      </c>
      <c r="BM33" s="52" t="s">
        <v>418</v>
      </c>
      <c r="BN33" s="136">
        <f>B286</f>
        <v>0.71099999999999997</v>
      </c>
      <c r="BS33" s="91"/>
      <c r="BT33" s="99"/>
      <c r="BU33" s="100"/>
      <c r="BW33" s="90"/>
      <c r="BZ33" s="146">
        <v>1000</v>
      </c>
      <c r="CA33" s="52" t="s">
        <v>23</v>
      </c>
      <c r="CM33" s="83"/>
      <c r="CN33" s="91" t="s">
        <v>231</v>
      </c>
      <c r="CO33" s="136">
        <f>B18</f>
        <v>30.167100000000001</v>
      </c>
      <c r="CP33" s="52" t="s">
        <v>60</v>
      </c>
      <c r="CR33" s="83"/>
      <c r="CS33" s="83"/>
      <c r="CT33" s="83" t="s">
        <v>363</v>
      </c>
      <c r="CU33" s="141">
        <f t="shared" ref="CU33:CU42" si="1">B170</f>
        <v>1</v>
      </c>
      <c r="CV33" s="92" t="s">
        <v>60</v>
      </c>
      <c r="CZ33" s="92" t="s">
        <v>513</v>
      </c>
      <c r="DA33" s="141">
        <f t="shared" si="0"/>
        <v>41.7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B82</f>
        <v>70</v>
      </c>
    </row>
    <row r="34" spans="1:214" ht="13.5" customHeight="1" x14ac:dyDescent="0.2">
      <c r="A34" s="84" t="s">
        <v>21</v>
      </c>
      <c r="B34" s="188">
        <f>200/27.027</f>
        <v>7.4000074000074001</v>
      </c>
      <c r="C34" s="52" t="s">
        <v>291</v>
      </c>
      <c r="D34" s="83" t="s">
        <v>382</v>
      </c>
      <c r="E34" s="150">
        <f>B56</f>
        <v>350</v>
      </c>
      <c r="F34" s="83" t="s">
        <v>24</v>
      </c>
      <c r="G34" s="83" t="s">
        <v>383</v>
      </c>
      <c r="H34" s="150">
        <f>B59</f>
        <v>24</v>
      </c>
      <c r="I34" s="94" t="s">
        <v>194</v>
      </c>
      <c r="J34" s="83" t="s">
        <v>383</v>
      </c>
      <c r="K34" s="150">
        <f>B59</f>
        <v>24</v>
      </c>
      <c r="L34" s="94" t="s">
        <v>194</v>
      </c>
      <c r="M34" s="52" t="s">
        <v>410</v>
      </c>
      <c r="N34" s="139">
        <f>B11</f>
        <v>0.64061199999999996</v>
      </c>
      <c r="O34" s="84" t="s">
        <v>354</v>
      </c>
      <c r="P34" s="52" t="s">
        <v>419</v>
      </c>
      <c r="Q34" s="139">
        <f>B13</f>
        <v>1.817564</v>
      </c>
      <c r="R34" s="84" t="s">
        <v>353</v>
      </c>
      <c r="V34" s="52" t="s">
        <v>421</v>
      </c>
      <c r="W34" s="150">
        <f>B251</f>
        <v>8</v>
      </c>
      <c r="X34" s="84" t="s">
        <v>194</v>
      </c>
      <c r="Y34" s="52" t="s">
        <v>192</v>
      </c>
      <c r="Z34" s="150">
        <f>B274</f>
        <v>8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B21</f>
        <v>69557565.807898715</v>
      </c>
      <c r="AH34" s="104" t="s">
        <v>78</v>
      </c>
      <c r="AI34" s="52" t="s">
        <v>410</v>
      </c>
      <c r="AJ34" s="139">
        <f>B11</f>
        <v>0.64061199999999996</v>
      </c>
      <c r="AK34" s="84" t="s">
        <v>353</v>
      </c>
      <c r="AL34" s="52" t="s">
        <v>419</v>
      </c>
      <c r="AM34" s="139">
        <f>B13</f>
        <v>1.817564</v>
      </c>
      <c r="AN34" s="84" t="s">
        <v>353</v>
      </c>
      <c r="AR34" s="52" t="s">
        <v>410</v>
      </c>
      <c r="AS34" s="139">
        <f>B11</f>
        <v>0.64061199999999996</v>
      </c>
      <c r="AT34" s="84" t="s">
        <v>353</v>
      </c>
      <c r="AU34" s="52" t="s">
        <v>419</v>
      </c>
      <c r="AV34" s="139">
        <f>B13</f>
        <v>1.817564</v>
      </c>
      <c r="AW34" s="84" t="s">
        <v>353</v>
      </c>
      <c r="BA34" s="52" t="s">
        <v>410</v>
      </c>
      <c r="BB34" s="139">
        <f>B11</f>
        <v>0.64061199999999996</v>
      </c>
      <c r="BC34" s="84" t="s">
        <v>353</v>
      </c>
      <c r="BD34" s="52" t="s">
        <v>419</v>
      </c>
      <c r="BE34" s="139">
        <f>B13</f>
        <v>1.817564</v>
      </c>
      <c r="BF34" s="84" t="s">
        <v>353</v>
      </c>
      <c r="BJ34" s="52" t="s">
        <v>57</v>
      </c>
      <c r="BK34" s="136">
        <f>B274</f>
        <v>8</v>
      </c>
      <c r="BL34" s="52" t="s">
        <v>194</v>
      </c>
      <c r="BM34" s="52" t="s">
        <v>57</v>
      </c>
      <c r="BN34" s="136">
        <f>B274</f>
        <v>8</v>
      </c>
      <c r="BO34" s="52" t="s">
        <v>194</v>
      </c>
      <c r="BT34" s="102"/>
      <c r="BU34" s="91"/>
      <c r="BY34" s="91" t="s">
        <v>308</v>
      </c>
      <c r="BZ34" s="146">
        <f>B101</f>
        <v>0.23</v>
      </c>
      <c r="CM34" s="83"/>
      <c r="CN34" s="84" t="s">
        <v>16</v>
      </c>
      <c r="CO34" s="137">
        <f>(CO31*CO32)/(1-EXP(-CO32*CO31))</f>
        <v>1.0115299987062558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125.7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B33</f>
        <v>10</v>
      </c>
    </row>
    <row r="35" spans="1:214" ht="12.75" customHeight="1" x14ac:dyDescent="0.2">
      <c r="A35" s="52" t="s">
        <v>393</v>
      </c>
      <c r="B35" s="131">
        <v>0.26</v>
      </c>
      <c r="D35" s="83" t="s">
        <v>258</v>
      </c>
      <c r="E35" s="136">
        <f>B17</f>
        <v>4.9109405245458101E-5</v>
      </c>
      <c r="F35" s="83" t="s">
        <v>87</v>
      </c>
      <c r="G35" s="83" t="s">
        <v>384</v>
      </c>
      <c r="H35" s="150">
        <f>B59</f>
        <v>24</v>
      </c>
      <c r="I35" s="52" t="s">
        <v>194</v>
      </c>
      <c r="J35" s="83" t="s">
        <v>384</v>
      </c>
      <c r="K35" s="150">
        <f>B59</f>
        <v>24</v>
      </c>
      <c r="L35" s="52" t="s">
        <v>194</v>
      </c>
      <c r="M35" s="52" t="s">
        <v>409</v>
      </c>
      <c r="N35" s="150">
        <f>B79</f>
        <v>16.416</v>
      </c>
      <c r="O35" s="52" t="s">
        <v>194</v>
      </c>
      <c r="P35" s="52" t="s">
        <v>409</v>
      </c>
      <c r="Q35" s="150">
        <f>B79</f>
        <v>16.416</v>
      </c>
      <c r="R35" s="52" t="s">
        <v>194</v>
      </c>
      <c r="V35" s="52" t="s">
        <v>304</v>
      </c>
      <c r="W35" s="146">
        <f>B242</f>
        <v>60</v>
      </c>
      <c r="X35" s="84" t="s">
        <v>407</v>
      </c>
      <c r="Y35" s="52" t="s">
        <v>348</v>
      </c>
      <c r="Z35" s="146">
        <f>B266</f>
        <v>60</v>
      </c>
      <c r="AA35" s="84" t="s">
        <v>407</v>
      </c>
      <c r="AB35" s="95" t="s">
        <v>287</v>
      </c>
      <c r="AC35" s="176">
        <v>27.027027027027</v>
      </c>
      <c r="AD35" s="176">
        <v>27.027027027027</v>
      </c>
      <c r="AE35" s="176">
        <v>27.027027027027</v>
      </c>
      <c r="AF35" s="176">
        <v>27.027027027027</v>
      </c>
      <c r="AG35" s="176">
        <v>27.027027027027</v>
      </c>
      <c r="AH35" s="52" t="s">
        <v>288</v>
      </c>
      <c r="AI35" s="52" t="s">
        <v>69</v>
      </c>
      <c r="AJ35" s="136">
        <f>B251</f>
        <v>8</v>
      </c>
      <c r="AK35" s="52" t="s">
        <v>194</v>
      </c>
      <c r="AL35" s="52" t="s">
        <v>69</v>
      </c>
      <c r="AM35" s="136">
        <f>B251</f>
        <v>8</v>
      </c>
      <c r="AN35" s="52" t="s">
        <v>194</v>
      </c>
      <c r="AR35" s="52" t="s">
        <v>69</v>
      </c>
      <c r="AS35" s="136">
        <f>B263</f>
        <v>0</v>
      </c>
      <c r="AT35" s="52" t="s">
        <v>194</v>
      </c>
      <c r="AU35" s="52" t="s">
        <v>69</v>
      </c>
      <c r="AV35" s="136">
        <f>B263</f>
        <v>0</v>
      </c>
      <c r="AW35" s="52" t="s">
        <v>194</v>
      </c>
      <c r="BA35" s="52" t="s">
        <v>69</v>
      </c>
      <c r="BB35" s="136">
        <f>B239</f>
        <v>8</v>
      </c>
      <c r="BC35" s="52" t="s">
        <v>194</v>
      </c>
      <c r="BD35" s="52" t="s">
        <v>69</v>
      </c>
      <c r="BE35" s="136">
        <f>B239</f>
        <v>8</v>
      </c>
      <c r="BF35" s="52" t="s">
        <v>194</v>
      </c>
      <c r="BJ35" s="52" t="s">
        <v>410</v>
      </c>
      <c r="BK35" s="139">
        <f>B11</f>
        <v>0.64061199999999996</v>
      </c>
      <c r="BL35" s="84" t="s">
        <v>353</v>
      </c>
      <c r="BM35" s="52" t="s">
        <v>419</v>
      </c>
      <c r="BN35" s="139">
        <f>B13</f>
        <v>1.817564</v>
      </c>
      <c r="BO35" s="84" t="s">
        <v>353</v>
      </c>
      <c r="BY35" s="91" t="s">
        <v>309</v>
      </c>
      <c r="BZ35" s="146">
        <f>B102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B167</f>
        <v>350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B65</f>
        <v>0.5</v>
      </c>
      <c r="HF35" s="52" t="s">
        <v>355</v>
      </c>
    </row>
    <row r="36" spans="1:214" ht="12.75" customHeight="1" x14ac:dyDescent="0.2">
      <c r="A36" s="52" t="s">
        <v>392</v>
      </c>
      <c r="B36" s="131">
        <v>0.25</v>
      </c>
      <c r="D36" s="83" t="s">
        <v>389</v>
      </c>
      <c r="E36" s="146">
        <f>B80</f>
        <v>1</v>
      </c>
      <c r="G36" s="83" t="s">
        <v>405</v>
      </c>
      <c r="H36" s="138">
        <f>B66</f>
        <v>1</v>
      </c>
      <c r="I36" s="52" t="s">
        <v>80</v>
      </c>
      <c r="J36" s="83" t="s">
        <v>390</v>
      </c>
      <c r="K36" s="141">
        <f>B68</f>
        <v>0.25</v>
      </c>
      <c r="M36" s="95" t="s">
        <v>287</v>
      </c>
      <c r="N36" s="176">
        <v>27.027027027027</v>
      </c>
      <c r="O36" s="52" t="s">
        <v>288</v>
      </c>
      <c r="P36" s="95" t="s">
        <v>287</v>
      </c>
      <c r="Q36" s="176">
        <v>27.027027027027</v>
      </c>
      <c r="R36" s="52" t="s">
        <v>288</v>
      </c>
      <c r="V36" s="83" t="s">
        <v>256</v>
      </c>
      <c r="W36" s="136">
        <f>B15</f>
        <v>4763.3999999999996</v>
      </c>
      <c r="X36" s="83" t="s">
        <v>343</v>
      </c>
      <c r="Y36" s="83" t="s">
        <v>256</v>
      </c>
      <c r="Z36" s="136">
        <f>B15</f>
        <v>4763.3999999999996</v>
      </c>
      <c r="AA36" s="83" t="s">
        <v>343</v>
      </c>
      <c r="AE36" s="352" t="s">
        <v>226</v>
      </c>
      <c r="AF36" s="352"/>
      <c r="AG36" s="352"/>
      <c r="AI36" s="95" t="s">
        <v>287</v>
      </c>
      <c r="AJ36" s="176">
        <v>27.027027027027</v>
      </c>
      <c r="AK36" s="52" t="s">
        <v>288</v>
      </c>
      <c r="AL36" s="95" t="s">
        <v>287</v>
      </c>
      <c r="AM36" s="176">
        <v>27.027027027027</v>
      </c>
      <c r="AN36" s="52" t="s">
        <v>288</v>
      </c>
      <c r="AR36" s="95" t="s">
        <v>287</v>
      </c>
      <c r="AS36" s="176">
        <v>27.027027027027</v>
      </c>
      <c r="AT36" s="52" t="s">
        <v>288</v>
      </c>
      <c r="AU36" s="95" t="s">
        <v>287</v>
      </c>
      <c r="AV36" s="176">
        <v>27.027027027027</v>
      </c>
      <c r="AW36" s="52" t="s">
        <v>288</v>
      </c>
      <c r="BA36" s="95" t="s">
        <v>287</v>
      </c>
      <c r="BB36" s="176">
        <v>27.027027027027</v>
      </c>
      <c r="BC36" s="52" t="s">
        <v>288</v>
      </c>
      <c r="BD36" s="95" t="s">
        <v>287</v>
      </c>
      <c r="BE36" s="176">
        <v>27.027027027027</v>
      </c>
      <c r="BF36" s="52" t="s">
        <v>288</v>
      </c>
      <c r="BJ36" s="95" t="s">
        <v>287</v>
      </c>
      <c r="BK36" s="176">
        <v>27.027027027027</v>
      </c>
      <c r="BL36" s="52" t="s">
        <v>288</v>
      </c>
      <c r="BM36" s="95" t="s">
        <v>287</v>
      </c>
      <c r="BN36" s="176">
        <v>27.027027027027</v>
      </c>
      <c r="BO36" s="52" t="s">
        <v>288</v>
      </c>
      <c r="BS36" s="100"/>
      <c r="BT36" s="100"/>
      <c r="BU36" s="91"/>
      <c r="BY36" s="95" t="s">
        <v>287</v>
      </c>
      <c r="BZ36" s="176">
        <v>27.027027027027</v>
      </c>
      <c r="CA36" s="52" t="s">
        <v>288</v>
      </c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B168</f>
        <v>350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B87</f>
        <v>5</v>
      </c>
      <c r="HF36" s="52" t="s">
        <v>94</v>
      </c>
    </row>
    <row r="37" spans="1:214" ht="12.75" customHeight="1" x14ac:dyDescent="0.2">
      <c r="A37" s="381" t="s">
        <v>2</v>
      </c>
      <c r="B37" s="382"/>
      <c r="C37" s="383"/>
      <c r="D37" s="83" t="s">
        <v>394</v>
      </c>
      <c r="E37" s="146">
        <f>B44</f>
        <v>54</v>
      </c>
      <c r="F37" s="52" t="s">
        <v>48</v>
      </c>
      <c r="G37" s="83" t="s">
        <v>406</v>
      </c>
      <c r="H37" s="138">
        <f>B67</f>
        <v>1</v>
      </c>
      <c r="I37" s="52" t="s">
        <v>80</v>
      </c>
      <c r="J37" s="83" t="s">
        <v>408</v>
      </c>
      <c r="K37" s="150">
        <f>B78</f>
        <v>1.752</v>
      </c>
      <c r="L37" s="84" t="s">
        <v>194</v>
      </c>
      <c r="V37" s="83" t="s">
        <v>301</v>
      </c>
      <c r="W37" s="142">
        <f>B246</f>
        <v>1</v>
      </c>
      <c r="Y37" s="83" t="s">
        <v>301</v>
      </c>
      <c r="Z37" s="142">
        <f>B270</f>
        <v>1</v>
      </c>
      <c r="AE37" s="352"/>
      <c r="AF37" s="352"/>
      <c r="AG37" s="352"/>
      <c r="BS37" s="91"/>
      <c r="BT37" s="91"/>
      <c r="BU37" s="91"/>
      <c r="BZ37" s="90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12.167999999999999</v>
      </c>
      <c r="CV37" s="84" t="s">
        <v>194</v>
      </c>
      <c r="CZ37" s="92" t="s">
        <v>363</v>
      </c>
      <c r="DA37" s="141">
        <f>B170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2.75" customHeight="1" x14ac:dyDescent="0.2">
      <c r="A38" s="83" t="s">
        <v>366</v>
      </c>
      <c r="B38" s="130">
        <v>10</v>
      </c>
      <c r="C38" s="92" t="s">
        <v>407</v>
      </c>
      <c r="D38" s="83" t="s">
        <v>260</v>
      </c>
      <c r="E38" s="152">
        <f>(E33/(E35*E34*E37*E36))/E39</f>
        <v>3.9863483336585827E-2</v>
      </c>
      <c r="F38" s="84" t="s">
        <v>290</v>
      </c>
      <c r="H38" s="138">
        <f>1/1000</f>
        <v>1E-3</v>
      </c>
      <c r="I38" s="52" t="s">
        <v>82</v>
      </c>
      <c r="J38" s="83" t="s">
        <v>409</v>
      </c>
      <c r="K38" s="150">
        <f>B79</f>
        <v>16.416</v>
      </c>
      <c r="L38" s="84" t="s">
        <v>194</v>
      </c>
      <c r="V38" s="52" t="s">
        <v>261</v>
      </c>
      <c r="W38" s="143">
        <f>((W27)/((W34/24)*W31*W32*W33*W35))/W42</f>
        <v>4.7997689777899824E-2</v>
      </c>
      <c r="X38" s="52" t="s">
        <v>15</v>
      </c>
      <c r="Y38" s="52" t="s">
        <v>261</v>
      </c>
      <c r="Z38" s="143">
        <f>((Z27)/((Z34/24)*Z31*Z32*Z33*Z35))/Z42</f>
        <v>2.5944697177243122E-2</v>
      </c>
      <c r="AA38" s="52" t="s">
        <v>15</v>
      </c>
      <c r="AE38" s="352"/>
      <c r="AF38" s="352"/>
      <c r="AG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10.007999999999999</v>
      </c>
      <c r="CV38" s="84" t="s">
        <v>194</v>
      </c>
      <c r="CZ38" s="92" t="s">
        <v>364</v>
      </c>
      <c r="DA38" s="141">
        <f>B171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B88</f>
        <v>0.18</v>
      </c>
      <c r="HF38" s="52" t="s">
        <v>355</v>
      </c>
    </row>
    <row r="39" spans="1:214" ht="15" customHeight="1" x14ac:dyDescent="0.2">
      <c r="A39" s="83" t="s">
        <v>367</v>
      </c>
      <c r="B39" s="130">
        <v>20</v>
      </c>
      <c r="C39" s="92" t="s">
        <v>407</v>
      </c>
      <c r="D39" s="95" t="s">
        <v>287</v>
      </c>
      <c r="E39" s="176">
        <v>27.027027027027</v>
      </c>
      <c r="F39" s="52" t="s">
        <v>288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((W27)/((W34/24)*W31*W36*(1/365)))/W42</f>
        <v>3.4021917118024975E-5</v>
      </c>
      <c r="X39" s="52" t="s">
        <v>15</v>
      </c>
      <c r="Y39" s="52" t="s">
        <v>271</v>
      </c>
      <c r="Z39" s="144">
        <f>((Z27)/((Z34/24)*Z31*Z36*(1/365)))/Z42</f>
        <v>1.839022546920267E-5</v>
      </c>
      <c r="AA39" s="52" t="s">
        <v>15</v>
      </c>
      <c r="BK39" s="352" t="s">
        <v>230</v>
      </c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B172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B89</f>
        <v>55</v>
      </c>
      <c r="HF39" s="52" t="s">
        <v>97</v>
      </c>
    </row>
    <row r="40" spans="1:214" x14ac:dyDescent="0.2">
      <c r="A40" s="83" t="s">
        <v>368</v>
      </c>
      <c r="B40" s="130">
        <v>200</v>
      </c>
      <c r="C40" s="84" t="s">
        <v>48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((W27*W29*W28)/((W34/24)*(1-EXP(-W29*W32))*W33*W35*W31*W32))/W42</f>
        <v>4.8551103078942268E-2</v>
      </c>
      <c r="X40" s="52" t="s">
        <v>16</v>
      </c>
      <c r="Y40" s="52" t="s">
        <v>261</v>
      </c>
      <c r="Z40" s="144">
        <f>((Z27*Z29*Z28)/((Z34/24)*(1-EXP(-Z29*Z32))*Z33*Z35*Z31*Z32))/Z42</f>
        <v>2.6243839502130929E-2</v>
      </c>
      <c r="AA40" s="52" t="s">
        <v>16</v>
      </c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0.4</v>
      </c>
      <c r="CZ40" s="92" t="s">
        <v>457</v>
      </c>
      <c r="DA40" s="141">
        <f>B181</f>
        <v>1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B90</f>
        <v>5</v>
      </c>
      <c r="HF40" s="52" t="s">
        <v>97</v>
      </c>
    </row>
    <row r="41" spans="1:214" ht="13.5" thickBot="1" x14ac:dyDescent="0.25">
      <c r="A41" s="83" t="s">
        <v>369</v>
      </c>
      <c r="B41" s="130">
        <v>100</v>
      </c>
      <c r="C41" s="84" t="s">
        <v>48</v>
      </c>
      <c r="E41" s="138"/>
      <c r="G41" s="83" t="s">
        <v>390</v>
      </c>
      <c r="H41" s="141">
        <f>B68</f>
        <v>0.25</v>
      </c>
      <c r="I41" s="84"/>
      <c r="J41" s="83" t="s">
        <v>302</v>
      </c>
      <c r="K41" s="141">
        <v>1</v>
      </c>
      <c r="V41" s="52" t="s">
        <v>271</v>
      </c>
      <c r="W41" s="145">
        <f>((W27*W29*W28)/((W34/24)*(1-EXP(-W29*W28))*W36*W31*(1/365)))/W42</f>
        <v>3.4414189778380151E-5</v>
      </c>
      <c r="X41" s="52" t="s">
        <v>16</v>
      </c>
      <c r="Y41" s="52" t="s">
        <v>271</v>
      </c>
      <c r="Z41" s="145">
        <f>((Z27*Z29*Z28)/((Z34/24)*(1-EXP(-Z29*Z28))*Z36*Z31*(1/365)))/Z42</f>
        <v>1.8602264745070331E-5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41">
        <f t="shared" si="1"/>
        <v>1</v>
      </c>
      <c r="CZ41" s="92" t="s">
        <v>466</v>
      </c>
      <c r="DA41" s="141">
        <f>B182</f>
        <v>1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B91</f>
        <v>5</v>
      </c>
      <c r="HF41" s="52" t="s">
        <v>97</v>
      </c>
    </row>
    <row r="42" spans="1:214" ht="19.5" thickTop="1" thickBot="1" x14ac:dyDescent="0.25">
      <c r="A42" s="83" t="s">
        <v>370</v>
      </c>
      <c r="B42" s="130">
        <v>0.78</v>
      </c>
      <c r="C42" s="83" t="s">
        <v>28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41">
        <v>1</v>
      </c>
      <c r="V42" s="95" t="s">
        <v>287</v>
      </c>
      <c r="W42" s="176">
        <v>27.027027027027</v>
      </c>
      <c r="X42" s="52" t="s">
        <v>288</v>
      </c>
      <c r="Y42" s="52" t="s">
        <v>220</v>
      </c>
      <c r="Z42" s="138">
        <f>B278</f>
        <v>50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41">
        <f t="shared" si="1"/>
        <v>1</v>
      </c>
      <c r="CW42" s="84"/>
      <c r="CX42" s="84"/>
      <c r="CY42" s="84"/>
      <c r="CZ42" s="52" t="s">
        <v>477</v>
      </c>
      <c r="DA42" s="141">
        <f>B183</f>
        <v>0.54</v>
      </c>
      <c r="DB42" s="92" t="s">
        <v>358</v>
      </c>
      <c r="DW42" s="88"/>
      <c r="DX42" s="88"/>
      <c r="DY42" s="88"/>
      <c r="DZ42" s="88"/>
      <c r="HD42" s="52" t="s">
        <v>225</v>
      </c>
      <c r="HE42" s="138">
        <f>1+((HE35*HE36*HE37)/(HE38*HE39))</f>
        <v>3.1605966718331597</v>
      </c>
    </row>
    <row r="43" spans="1:214" x14ac:dyDescent="0.2">
      <c r="A43" s="83" t="s">
        <v>371</v>
      </c>
      <c r="B43" s="130">
        <v>2.5</v>
      </c>
      <c r="C43" s="52" t="s">
        <v>28</v>
      </c>
      <c r="D43" s="323" t="s">
        <v>530</v>
      </c>
      <c r="E43" s="347">
        <f>E53</f>
        <v>1.5945393334634333E-2</v>
      </c>
      <c r="F43" s="345" t="s">
        <v>291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Y43" s="52" t="s">
        <v>219</v>
      </c>
      <c r="Z43" s="138">
        <f>B277</f>
        <v>5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B184</f>
        <v>0.71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83" t="s">
        <v>310</v>
      </c>
      <c r="B44" s="130">
        <v>54</v>
      </c>
      <c r="C44" s="52" t="s">
        <v>48</v>
      </c>
      <c r="D44" s="324"/>
      <c r="E44" s="348"/>
      <c r="F44" s="346"/>
      <c r="G44" s="52" t="s">
        <v>19</v>
      </c>
      <c r="H44" s="136">
        <f>H46</f>
        <v>2.5229999999999999E-2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5.75" thickTop="1" x14ac:dyDescent="0.2">
      <c r="A45" s="83" t="s">
        <v>372</v>
      </c>
      <c r="B45" s="130">
        <v>68.099999999999994</v>
      </c>
      <c r="C45" s="92" t="s">
        <v>221</v>
      </c>
      <c r="D45" s="83" t="s">
        <v>267</v>
      </c>
      <c r="E45" s="136">
        <f>B5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Y45" s="95" t="s">
        <v>287</v>
      </c>
      <c r="Z45" s="176">
        <v>27.027027027027</v>
      </c>
      <c r="AA45" s="52" t="s">
        <v>288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B185</f>
        <v>0.5</v>
      </c>
      <c r="DB45" s="92" t="s">
        <v>145</v>
      </c>
      <c r="DW45" s="88"/>
      <c r="DX45" s="88"/>
      <c r="DY45" s="88"/>
      <c r="DZ45" s="88"/>
    </row>
    <row r="46" spans="1:214" ht="13.5" customHeight="1" x14ac:dyDescent="0.2">
      <c r="A46" s="83" t="s">
        <v>373</v>
      </c>
      <c r="B46" s="130">
        <v>188.5</v>
      </c>
      <c r="C46" s="92" t="s">
        <v>221</v>
      </c>
      <c r="D46" s="83" t="s">
        <v>382</v>
      </c>
      <c r="E46" s="150">
        <f>B56</f>
        <v>350</v>
      </c>
      <c r="F46" s="83" t="s">
        <v>24</v>
      </c>
      <c r="G46" s="84" t="s">
        <v>32</v>
      </c>
      <c r="H46" s="139">
        <f>B31</f>
        <v>2.5229999999999999E-2</v>
      </c>
      <c r="K46" s="146">
        <v>1000</v>
      </c>
      <c r="L46" s="52" t="s">
        <v>23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83" t="s">
        <v>374</v>
      </c>
      <c r="B47" s="130">
        <v>41.7</v>
      </c>
      <c r="C47" s="92" t="s">
        <v>221</v>
      </c>
      <c r="D47" s="83" t="s">
        <v>258</v>
      </c>
      <c r="E47" s="136">
        <f>B17</f>
        <v>4.9109405245458101E-5</v>
      </c>
      <c r="F47" s="83" t="s">
        <v>87</v>
      </c>
      <c r="G47" s="83" t="s">
        <v>393</v>
      </c>
      <c r="H47" s="142">
        <f>B35</f>
        <v>0.26</v>
      </c>
      <c r="J47" s="52" t="s">
        <v>19</v>
      </c>
      <c r="K47" s="136">
        <f>K49</f>
        <v>2.5229999999999999E-2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B165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83" t="s">
        <v>375</v>
      </c>
      <c r="B48" s="130">
        <v>128.9</v>
      </c>
      <c r="C48" s="92" t="s">
        <v>221</v>
      </c>
      <c r="D48" s="83" t="s">
        <v>379</v>
      </c>
      <c r="E48" s="146">
        <f>B53</f>
        <v>1</v>
      </c>
      <c r="F48" s="52" t="s">
        <v>60</v>
      </c>
      <c r="G48" s="52" t="s">
        <v>17</v>
      </c>
      <c r="H48" s="137">
        <f>((H51*H52*H53)*((1-EXP(-H54*H55))))/(H56*H54)</f>
        <v>0.66271991443607436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B166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83" t="s">
        <v>376</v>
      </c>
      <c r="B49" s="130">
        <v>0.23</v>
      </c>
      <c r="D49" s="83" t="s">
        <v>394</v>
      </c>
      <c r="E49" s="146">
        <f>B44</f>
        <v>54</v>
      </c>
      <c r="F49" s="52" t="s">
        <v>48</v>
      </c>
      <c r="G49" s="52" t="s">
        <v>25</v>
      </c>
      <c r="H49" s="137">
        <f>(H51*H52*H57*((1-EXP(-H54*H55))))/(H56*H54)</f>
        <v>6.8294561138874093</v>
      </c>
      <c r="I49" s="52" t="s">
        <v>18</v>
      </c>
      <c r="J49" s="84" t="s">
        <v>32</v>
      </c>
      <c r="K49" s="139">
        <f>B31</f>
        <v>2.5229999999999999E-2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T49" s="95" t="s">
        <v>287</v>
      </c>
      <c r="CU49" s="176">
        <v>27.027027027027</v>
      </c>
      <c r="CV49" s="52" t="s">
        <v>288</v>
      </c>
      <c r="CZ49" s="83" t="s">
        <v>475</v>
      </c>
      <c r="DA49" s="146">
        <f>B165</f>
        <v>0.15</v>
      </c>
      <c r="DW49" s="88"/>
      <c r="DX49" s="88"/>
      <c r="DY49" s="88"/>
      <c r="DZ49" s="88"/>
    </row>
    <row r="50" spans="1:130" x14ac:dyDescent="0.2">
      <c r="A50" s="83" t="s">
        <v>377</v>
      </c>
      <c r="B50" s="130">
        <v>0.77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3.6385364930662121</v>
      </c>
      <c r="I50" s="52" t="s">
        <v>18</v>
      </c>
      <c r="J50" s="83" t="s">
        <v>393</v>
      </c>
      <c r="K50" s="142">
        <f>B35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Z50" s="83" t="s">
        <v>476</v>
      </c>
      <c r="DA50" s="146">
        <f>B166</f>
        <v>0.85</v>
      </c>
      <c r="DW50" s="88"/>
      <c r="DX50" s="88"/>
      <c r="DY50" s="88"/>
      <c r="DZ50" s="88"/>
    </row>
    <row r="51" spans="1:130" x14ac:dyDescent="0.2">
      <c r="A51" s="52" t="s">
        <v>378</v>
      </c>
      <c r="B51" s="131">
        <v>1</v>
      </c>
      <c r="C51" s="52" t="s">
        <v>60</v>
      </c>
      <c r="D51" s="83" t="s">
        <v>105</v>
      </c>
      <c r="E51" s="150">
        <f>B23</f>
        <v>2500</v>
      </c>
      <c r="F51" s="84" t="s">
        <v>18</v>
      </c>
      <c r="G51" s="83" t="s">
        <v>36</v>
      </c>
      <c r="H51" s="138">
        <f>B69</f>
        <v>3.62</v>
      </c>
      <c r="I51" s="52" t="s">
        <v>37</v>
      </c>
      <c r="J51" s="83" t="s">
        <v>376</v>
      </c>
      <c r="K51" s="146">
        <f>B49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CZ51" s="95" t="s">
        <v>287</v>
      </c>
      <c r="DA51" s="176">
        <v>27.027027027027</v>
      </c>
      <c r="DB51" s="52" t="s">
        <v>288</v>
      </c>
      <c r="DW51" s="88"/>
      <c r="DX51" s="88"/>
      <c r="DY51" s="88"/>
      <c r="DZ51" s="88"/>
    </row>
    <row r="52" spans="1:130" x14ac:dyDescent="0.2">
      <c r="A52" s="52" t="s">
        <v>448</v>
      </c>
      <c r="B52" s="131">
        <v>1</v>
      </c>
      <c r="C52" s="52" t="s">
        <v>60</v>
      </c>
      <c r="D52" s="83" t="s">
        <v>107</v>
      </c>
      <c r="E52" s="138">
        <f>B64</f>
        <v>1</v>
      </c>
      <c r="F52" s="84" t="s">
        <v>108</v>
      </c>
      <c r="G52" s="83" t="s">
        <v>40</v>
      </c>
      <c r="H52" s="138">
        <f>B70</f>
        <v>0.25</v>
      </c>
      <c r="I52" s="52" t="s">
        <v>41</v>
      </c>
      <c r="J52" s="83" t="s">
        <v>377</v>
      </c>
      <c r="K52" s="146">
        <f>B50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DW52" s="88"/>
      <c r="DX52" s="88"/>
      <c r="DY52" s="88"/>
      <c r="DZ52" s="88"/>
    </row>
    <row r="53" spans="1:130" x14ac:dyDescent="0.2">
      <c r="A53" s="52" t="s">
        <v>379</v>
      </c>
      <c r="B53" s="131">
        <v>1</v>
      </c>
      <c r="C53" s="52" t="s">
        <v>60</v>
      </c>
      <c r="D53" s="83" t="s">
        <v>260</v>
      </c>
      <c r="E53" s="152">
        <f>(E45/(E47*E46*E48*E49*E51*E52*(1/E50)))/E54</f>
        <v>1.5945393334634333E-2</v>
      </c>
      <c r="F53" s="52" t="s">
        <v>291</v>
      </c>
      <c r="G53" s="92" t="s">
        <v>32</v>
      </c>
      <c r="H53" s="136">
        <f>B31</f>
        <v>2.5229999999999999E-2</v>
      </c>
      <c r="J53" s="95" t="s">
        <v>287</v>
      </c>
      <c r="K53" s="176">
        <v>27.027027027027</v>
      </c>
      <c r="L53" s="52" t="s">
        <v>288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52" t="s">
        <v>380</v>
      </c>
      <c r="B54" s="131">
        <v>350</v>
      </c>
      <c r="C54" s="83" t="s">
        <v>24</v>
      </c>
      <c r="D54" s="95" t="s">
        <v>287</v>
      </c>
      <c r="E54" s="176">
        <v>27.027027027027</v>
      </c>
      <c r="F54" s="52" t="s">
        <v>288</v>
      </c>
      <c r="G54" s="92" t="s">
        <v>49</v>
      </c>
      <c r="H54" s="137">
        <f>H62+H63</f>
        <v>8.993711152170084E-5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52" t="s">
        <v>381</v>
      </c>
      <c r="B55" s="131">
        <v>350</v>
      </c>
      <c r="C55" s="83" t="s">
        <v>24</v>
      </c>
      <c r="G55" s="92" t="s">
        <v>52</v>
      </c>
      <c r="H55" s="138">
        <f>B71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52" t="s">
        <v>382</v>
      </c>
      <c r="B56" s="131">
        <v>350</v>
      </c>
      <c r="C56" s="83" t="s">
        <v>24</v>
      </c>
      <c r="G56" s="92" t="s">
        <v>55</v>
      </c>
      <c r="H56" s="138">
        <f>B72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52" t="s">
        <v>403</v>
      </c>
      <c r="B57" s="131">
        <v>0.54</v>
      </c>
      <c r="C57" s="52" t="s">
        <v>89</v>
      </c>
      <c r="G57" s="92" t="s">
        <v>393</v>
      </c>
      <c r="H57" s="138">
        <f>B35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52" t="s">
        <v>404</v>
      </c>
      <c r="B58" s="131">
        <v>0.71</v>
      </c>
      <c r="C58" s="52" t="s">
        <v>89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52" t="s">
        <v>385</v>
      </c>
      <c r="B59" s="131">
        <v>24</v>
      </c>
      <c r="C59" s="52" t="s">
        <v>194</v>
      </c>
      <c r="G59" s="92" t="s">
        <v>63</v>
      </c>
      <c r="H59" s="151">
        <f>H63+(0.693/H65)</f>
        <v>4.9562937111521696E-2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52" t="s">
        <v>318</v>
      </c>
      <c r="B60" s="131">
        <v>1</v>
      </c>
      <c r="G60" s="92" t="s">
        <v>67</v>
      </c>
      <c r="H60" s="142">
        <f>B73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52" t="s">
        <v>303</v>
      </c>
      <c r="B61" s="131">
        <v>0.4</v>
      </c>
      <c r="G61" s="92" t="s">
        <v>68</v>
      </c>
      <c r="H61" s="142">
        <f>B74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52" t="s">
        <v>302</v>
      </c>
      <c r="B62" s="131">
        <v>1</v>
      </c>
      <c r="G62" s="92" t="s">
        <v>70</v>
      </c>
      <c r="H62" s="138">
        <f>B75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386</v>
      </c>
      <c r="B63" s="131">
        <v>1</v>
      </c>
      <c r="G63" s="92" t="s">
        <v>71</v>
      </c>
      <c r="H63" s="137">
        <f>0.693/H67</f>
        <v>6.2937111521700834E-5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83" t="s">
        <v>107</v>
      </c>
      <c r="B64" s="131">
        <v>1</v>
      </c>
      <c r="C64" s="84" t="s">
        <v>108</v>
      </c>
      <c r="G64" s="92" t="s">
        <v>73</v>
      </c>
      <c r="H64" s="138">
        <f>B76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65</v>
      </c>
      <c r="B65" s="131">
        <v>0.5</v>
      </c>
      <c r="C65" s="52" t="s">
        <v>66</v>
      </c>
      <c r="G65" s="92" t="s">
        <v>74</v>
      </c>
      <c r="H65" s="138">
        <f>B77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79</v>
      </c>
      <c r="B66" s="131">
        <v>1</v>
      </c>
      <c r="C66" s="52" t="s">
        <v>80</v>
      </c>
      <c r="G66" s="52" t="s">
        <v>33</v>
      </c>
      <c r="H66" s="136">
        <f>B32</f>
        <v>2.9000000000000001E-2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81</v>
      </c>
      <c r="B67" s="131">
        <v>1</v>
      </c>
      <c r="C67" s="52" t="s">
        <v>80</v>
      </c>
      <c r="G67" s="83" t="s">
        <v>234</v>
      </c>
      <c r="H67" s="136">
        <f>B22</f>
        <v>11010.9915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390</v>
      </c>
      <c r="B68" s="131">
        <v>0.25</v>
      </c>
      <c r="G68" s="83" t="s">
        <v>376</v>
      </c>
      <c r="H68" s="146">
        <f>B49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83" t="s">
        <v>36</v>
      </c>
      <c r="B69" s="131">
        <v>3.62</v>
      </c>
      <c r="C69" s="52" t="s">
        <v>37</v>
      </c>
      <c r="G69" s="83" t="s">
        <v>377</v>
      </c>
      <c r="H69" s="146">
        <f>B50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83" t="s">
        <v>40</v>
      </c>
      <c r="B70" s="131">
        <v>0.25</v>
      </c>
      <c r="C70" s="52" t="s">
        <v>41</v>
      </c>
      <c r="G70" s="95" t="s">
        <v>287</v>
      </c>
      <c r="H70" s="176">
        <v>27.027027027027</v>
      </c>
      <c r="I70" s="52" t="s">
        <v>288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92" t="s">
        <v>52</v>
      </c>
      <c r="B71" s="131">
        <v>10950</v>
      </c>
      <c r="C71" s="52" t="s">
        <v>53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92" t="s">
        <v>55</v>
      </c>
      <c r="B72" s="131">
        <v>240</v>
      </c>
      <c r="C72" s="52" t="s">
        <v>56</v>
      </c>
      <c r="AF72" s="109"/>
      <c r="AG72" s="106"/>
      <c r="AH72" s="106"/>
      <c r="AI72" s="106"/>
      <c r="AJ72" s="106"/>
      <c r="AK72" s="106"/>
    </row>
    <row r="73" spans="1:105" x14ac:dyDescent="0.2">
      <c r="A73" s="92" t="s">
        <v>67</v>
      </c>
      <c r="B73" s="131">
        <v>60</v>
      </c>
      <c r="C73" s="83" t="s">
        <v>53</v>
      </c>
      <c r="AF73" s="109"/>
      <c r="AG73" s="106"/>
      <c r="AH73" s="106"/>
      <c r="AI73" s="106"/>
      <c r="AJ73" s="106"/>
      <c r="AK73" s="106"/>
    </row>
    <row r="74" spans="1:105" x14ac:dyDescent="0.2">
      <c r="A74" s="92" t="s">
        <v>68</v>
      </c>
      <c r="B74" s="131">
        <v>2</v>
      </c>
      <c r="C74" s="83" t="s">
        <v>56</v>
      </c>
      <c r="AF74" s="109"/>
      <c r="AG74" s="106"/>
      <c r="AH74" s="106"/>
      <c r="AI74" s="106"/>
      <c r="AJ74" s="106"/>
      <c r="AK74" s="106"/>
    </row>
    <row r="75" spans="1:105" x14ac:dyDescent="0.2">
      <c r="A75" s="92" t="s">
        <v>70</v>
      </c>
      <c r="B75" s="131">
        <v>2.6999999999999999E-5</v>
      </c>
      <c r="C75" s="52" t="s">
        <v>64</v>
      </c>
      <c r="AF75" s="108"/>
      <c r="AG75" s="106"/>
      <c r="AH75" s="106"/>
      <c r="AI75" s="106"/>
      <c r="AJ75" s="106"/>
      <c r="AK75" s="106"/>
    </row>
    <row r="76" spans="1:105" x14ac:dyDescent="0.2">
      <c r="A76" s="92" t="s">
        <v>73</v>
      </c>
      <c r="B76" s="131">
        <v>1</v>
      </c>
      <c r="C76" s="52" t="s">
        <v>41</v>
      </c>
      <c r="AF76" s="109"/>
      <c r="AG76" s="106"/>
      <c r="AH76" s="106"/>
      <c r="AI76" s="106"/>
      <c r="AJ76" s="106"/>
      <c r="AK76" s="106"/>
    </row>
    <row r="77" spans="1:105" x14ac:dyDescent="0.2">
      <c r="A77" s="92" t="s">
        <v>74</v>
      </c>
      <c r="B77" s="131">
        <v>14</v>
      </c>
      <c r="C77" s="52" t="s">
        <v>75</v>
      </c>
      <c r="AF77" s="109"/>
      <c r="AG77" s="106"/>
      <c r="AH77" s="106"/>
      <c r="AI77" s="106"/>
      <c r="AJ77" s="106"/>
      <c r="AK77" s="106"/>
    </row>
    <row r="78" spans="1:105" x14ac:dyDescent="0.2">
      <c r="A78" s="83" t="s">
        <v>408</v>
      </c>
      <c r="B78" s="130">
        <v>1.752</v>
      </c>
      <c r="C78" s="84" t="s">
        <v>194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409</v>
      </c>
      <c r="B79" s="130">
        <v>16.416</v>
      </c>
      <c r="C79" s="84" t="s">
        <v>194</v>
      </c>
      <c r="AF79" s="109"/>
      <c r="AG79" s="106"/>
    </row>
    <row r="80" spans="1:105" x14ac:dyDescent="0.2">
      <c r="A80" s="83" t="s">
        <v>389</v>
      </c>
      <c r="B80" s="130">
        <v>1</v>
      </c>
      <c r="C80" s="84"/>
      <c r="AF80" s="109"/>
      <c r="AG80" s="106"/>
      <c r="AH80" s="106"/>
      <c r="AI80" s="106"/>
      <c r="AJ80" s="106"/>
      <c r="AK80" s="106"/>
    </row>
    <row r="81" spans="1:37" x14ac:dyDescent="0.2">
      <c r="A81" s="385" t="s">
        <v>387</v>
      </c>
      <c r="B81" s="385"/>
      <c r="C81" s="385"/>
      <c r="AF81" s="109"/>
      <c r="AG81" s="106"/>
      <c r="AH81" s="106"/>
      <c r="AI81" s="106"/>
      <c r="AJ81" s="106"/>
      <c r="AK81" s="106"/>
    </row>
    <row r="82" spans="1:37" x14ac:dyDescent="0.2">
      <c r="A82" s="52" t="s">
        <v>34</v>
      </c>
      <c r="B82" s="131">
        <v>70</v>
      </c>
      <c r="C82" s="52" t="s">
        <v>60</v>
      </c>
      <c r="AF82" s="109"/>
      <c r="AG82" s="106"/>
      <c r="AH82" s="106"/>
      <c r="AI82" s="106"/>
      <c r="AJ82" s="106"/>
      <c r="AK82" s="106"/>
    </row>
    <row r="83" spans="1:37" x14ac:dyDescent="0.2">
      <c r="A83" s="84" t="s">
        <v>38</v>
      </c>
      <c r="B83" s="131">
        <v>0.3</v>
      </c>
      <c r="C83" s="52" t="s">
        <v>391</v>
      </c>
      <c r="AF83" s="109"/>
      <c r="AG83" s="106"/>
      <c r="AH83" s="106"/>
      <c r="AI83" s="106"/>
      <c r="AJ83" s="106"/>
      <c r="AK83" s="106"/>
    </row>
    <row r="84" spans="1:37" x14ac:dyDescent="0.2">
      <c r="A84" s="84" t="s">
        <v>42</v>
      </c>
      <c r="B84" s="130">
        <v>1.5</v>
      </c>
      <c r="C84" s="52" t="s">
        <v>286</v>
      </c>
      <c r="AF84" s="108"/>
      <c r="AG84" s="106"/>
    </row>
    <row r="85" spans="1:37" x14ac:dyDescent="0.2">
      <c r="A85" s="84" t="s">
        <v>47</v>
      </c>
      <c r="B85" s="131">
        <v>1</v>
      </c>
      <c r="C85" s="52" t="s">
        <v>60</v>
      </c>
      <c r="AF85" s="108"/>
      <c r="AG85" s="106"/>
      <c r="AH85" s="106"/>
      <c r="AI85" s="106"/>
      <c r="AJ85" s="106"/>
      <c r="AK85" s="106"/>
    </row>
    <row r="86" spans="1:37" x14ac:dyDescent="0.2">
      <c r="A86" s="84" t="s">
        <v>225</v>
      </c>
      <c r="B86" s="130">
        <v>1</v>
      </c>
      <c r="AF86" s="108"/>
      <c r="AG86" s="106"/>
    </row>
    <row r="87" spans="1:37" x14ac:dyDescent="0.2">
      <c r="A87" s="52" t="s">
        <v>93</v>
      </c>
      <c r="B87" s="130">
        <v>5</v>
      </c>
      <c r="C87" s="52" t="s">
        <v>94</v>
      </c>
      <c r="AH87" s="108"/>
      <c r="AI87" s="108"/>
      <c r="AJ87" s="108"/>
      <c r="AK87" s="108"/>
    </row>
    <row r="88" spans="1:37" x14ac:dyDescent="0.2">
      <c r="A88" s="52" t="s">
        <v>98</v>
      </c>
      <c r="B88" s="130">
        <v>0.18</v>
      </c>
      <c r="C88" s="52" t="s">
        <v>355</v>
      </c>
    </row>
    <row r="89" spans="1:37" x14ac:dyDescent="0.2">
      <c r="A89" s="52" t="s">
        <v>100</v>
      </c>
      <c r="B89" s="130">
        <v>55</v>
      </c>
      <c r="C89" s="52" t="s">
        <v>97</v>
      </c>
    </row>
    <row r="90" spans="1:37" x14ac:dyDescent="0.2">
      <c r="A90" s="52" t="s">
        <v>101</v>
      </c>
      <c r="B90" s="130">
        <v>5</v>
      </c>
      <c r="C90" s="52" t="s">
        <v>97</v>
      </c>
    </row>
    <row r="91" spans="1:37" x14ac:dyDescent="0.2">
      <c r="A91" s="52" t="s">
        <v>102</v>
      </c>
      <c r="B91" s="130">
        <v>5</v>
      </c>
      <c r="C91" s="52" t="s">
        <v>97</v>
      </c>
    </row>
    <row r="92" spans="1:37" x14ac:dyDescent="0.2">
      <c r="A92" s="384" t="s">
        <v>5</v>
      </c>
      <c r="B92" s="384"/>
      <c r="C92" s="384"/>
    </row>
    <row r="93" spans="1:37" x14ac:dyDescent="0.2">
      <c r="A93" s="83" t="s">
        <v>429</v>
      </c>
      <c r="B93" s="131">
        <v>10</v>
      </c>
      <c r="C93" s="92" t="s">
        <v>407</v>
      </c>
    </row>
    <row r="94" spans="1:37" x14ac:dyDescent="0.2">
      <c r="A94" s="83" t="s">
        <v>430</v>
      </c>
      <c r="B94" s="131">
        <v>20</v>
      </c>
      <c r="C94" s="92" t="s">
        <v>407</v>
      </c>
    </row>
    <row r="95" spans="1:37" x14ac:dyDescent="0.2">
      <c r="A95" s="83" t="s">
        <v>439</v>
      </c>
      <c r="B95" s="130">
        <v>0.05</v>
      </c>
      <c r="C95" s="83" t="s">
        <v>357</v>
      </c>
    </row>
    <row r="96" spans="1:37" x14ac:dyDescent="0.2">
      <c r="A96" s="83" t="s">
        <v>438</v>
      </c>
      <c r="B96" s="130">
        <v>0.05</v>
      </c>
      <c r="C96" s="83" t="s">
        <v>357</v>
      </c>
    </row>
    <row r="97" spans="1:3" x14ac:dyDescent="0.2">
      <c r="A97" s="83" t="s">
        <v>441</v>
      </c>
      <c r="B97" s="131">
        <v>200</v>
      </c>
      <c r="C97" s="84" t="s">
        <v>48</v>
      </c>
    </row>
    <row r="98" spans="1:3" x14ac:dyDescent="0.2">
      <c r="A98" s="83" t="s">
        <v>442</v>
      </c>
      <c r="B98" s="131">
        <v>100</v>
      </c>
      <c r="C98" s="84" t="s">
        <v>48</v>
      </c>
    </row>
    <row r="99" spans="1:3" x14ac:dyDescent="0.2">
      <c r="A99" s="52" t="s">
        <v>159</v>
      </c>
      <c r="B99" s="131">
        <v>1</v>
      </c>
      <c r="C99" s="52" t="s">
        <v>221</v>
      </c>
    </row>
    <row r="100" spans="1:3" x14ac:dyDescent="0.2">
      <c r="A100" s="52" t="s">
        <v>160</v>
      </c>
      <c r="B100" s="131">
        <v>1</v>
      </c>
      <c r="C100" s="52" t="s">
        <v>221</v>
      </c>
    </row>
    <row r="101" spans="1:3" x14ac:dyDescent="0.2">
      <c r="A101" s="83" t="s">
        <v>308</v>
      </c>
      <c r="B101" s="130">
        <v>0.23</v>
      </c>
    </row>
    <row r="102" spans="1:3" x14ac:dyDescent="0.2">
      <c r="A102" s="83" t="s">
        <v>309</v>
      </c>
      <c r="B102" s="130">
        <v>0.77</v>
      </c>
    </row>
    <row r="103" spans="1:3" x14ac:dyDescent="0.2">
      <c r="A103" s="52" t="s">
        <v>140</v>
      </c>
      <c r="B103" s="131">
        <v>75</v>
      </c>
      <c r="C103" s="52" t="s">
        <v>24</v>
      </c>
    </row>
    <row r="104" spans="1:3" x14ac:dyDescent="0.2">
      <c r="A104" s="52" t="s">
        <v>433</v>
      </c>
      <c r="B104" s="131">
        <v>75</v>
      </c>
      <c r="C104" s="52" t="s">
        <v>24</v>
      </c>
    </row>
    <row r="105" spans="1:3" x14ac:dyDescent="0.2">
      <c r="A105" s="52" t="s">
        <v>434</v>
      </c>
      <c r="B105" s="131">
        <v>75</v>
      </c>
      <c r="C105" s="52" t="s">
        <v>24</v>
      </c>
    </row>
    <row r="106" spans="1:3" x14ac:dyDescent="0.2">
      <c r="A106" s="52" t="s">
        <v>431</v>
      </c>
      <c r="B106" s="130">
        <v>1</v>
      </c>
      <c r="C106" s="52" t="s">
        <v>194</v>
      </c>
    </row>
    <row r="107" spans="1:3" x14ac:dyDescent="0.2">
      <c r="A107" s="52" t="s">
        <v>432</v>
      </c>
      <c r="B107" s="130">
        <v>1</v>
      </c>
      <c r="C107" s="52" t="s">
        <v>194</v>
      </c>
    </row>
    <row r="108" spans="1:3" x14ac:dyDescent="0.2">
      <c r="A108" s="52" t="s">
        <v>90</v>
      </c>
      <c r="B108" s="131">
        <v>1</v>
      </c>
      <c r="C108" s="52" t="s">
        <v>194</v>
      </c>
    </row>
    <row r="109" spans="1:3" x14ac:dyDescent="0.2">
      <c r="A109" s="52" t="s">
        <v>443</v>
      </c>
      <c r="B109" s="131">
        <v>1</v>
      </c>
      <c r="C109" s="52" t="s">
        <v>89</v>
      </c>
    </row>
    <row r="110" spans="1:3" x14ac:dyDescent="0.2">
      <c r="A110" s="52" t="s">
        <v>444</v>
      </c>
      <c r="B110" s="131">
        <v>1</v>
      </c>
      <c r="C110" s="52" t="s">
        <v>89</v>
      </c>
    </row>
    <row r="111" spans="1:3" x14ac:dyDescent="0.2">
      <c r="A111" s="83" t="s">
        <v>301</v>
      </c>
      <c r="B111" s="131">
        <v>1</v>
      </c>
    </row>
    <row r="112" spans="1:3" x14ac:dyDescent="0.2">
      <c r="A112" s="83" t="s">
        <v>433</v>
      </c>
      <c r="B112" s="130">
        <v>45</v>
      </c>
      <c r="C112" s="83" t="s">
        <v>24</v>
      </c>
    </row>
    <row r="113" spans="1:3" x14ac:dyDescent="0.2">
      <c r="A113" s="83" t="s">
        <v>434</v>
      </c>
      <c r="B113" s="130">
        <v>45</v>
      </c>
      <c r="C113" s="83" t="s">
        <v>24</v>
      </c>
    </row>
    <row r="114" spans="1:3" x14ac:dyDescent="0.2">
      <c r="A114" s="83" t="s">
        <v>435</v>
      </c>
      <c r="B114" s="131">
        <v>1</v>
      </c>
      <c r="C114" s="52" t="s">
        <v>80</v>
      </c>
    </row>
    <row r="115" spans="1:3" x14ac:dyDescent="0.2">
      <c r="A115" s="83" t="s">
        <v>436</v>
      </c>
      <c r="B115" s="131">
        <v>1</v>
      </c>
      <c r="C115" s="52" t="s">
        <v>80</v>
      </c>
    </row>
    <row r="116" spans="1:3" x14ac:dyDescent="0.2">
      <c r="A116" s="83" t="s">
        <v>65</v>
      </c>
      <c r="B116" s="130">
        <v>0.5</v>
      </c>
      <c r="C116" s="52" t="s">
        <v>66</v>
      </c>
    </row>
    <row r="117" spans="1:3" x14ac:dyDescent="0.2">
      <c r="A117" s="52" t="s">
        <v>51</v>
      </c>
      <c r="B117" s="131">
        <v>1</v>
      </c>
      <c r="C117" s="52" t="s">
        <v>60</v>
      </c>
    </row>
    <row r="118" spans="1:3" x14ac:dyDescent="0.2">
      <c r="A118" s="52" t="s">
        <v>329</v>
      </c>
      <c r="B118" s="131">
        <v>2.41E-4</v>
      </c>
    </row>
    <row r="119" spans="1:3" x14ac:dyDescent="0.2">
      <c r="A119" s="52" t="s">
        <v>330</v>
      </c>
      <c r="B119" s="131">
        <v>0.753</v>
      </c>
    </row>
    <row r="120" spans="1:3" x14ac:dyDescent="0.2">
      <c r="A120" s="52" t="s">
        <v>331</v>
      </c>
      <c r="B120" s="131">
        <v>1.17E-4</v>
      </c>
    </row>
    <row r="121" spans="1:3" x14ac:dyDescent="0.2">
      <c r="A121" s="52" t="s">
        <v>332</v>
      </c>
      <c r="B121" s="131">
        <v>0.74299999999999999</v>
      </c>
    </row>
    <row r="122" spans="1:3" x14ac:dyDescent="0.2">
      <c r="A122" s="52" t="s">
        <v>333</v>
      </c>
      <c r="B122" s="131">
        <v>1.35E-4</v>
      </c>
    </row>
    <row r="123" spans="1:3" x14ac:dyDescent="0.2">
      <c r="A123" s="52" t="s">
        <v>334</v>
      </c>
      <c r="B123" s="131">
        <v>0.71099999999999997</v>
      </c>
    </row>
    <row r="124" spans="1:3" x14ac:dyDescent="0.2">
      <c r="A124" s="52" t="s">
        <v>335</v>
      </c>
      <c r="B124" s="131">
        <v>2.2599999999999999E-4</v>
      </c>
    </row>
    <row r="125" spans="1:3" x14ac:dyDescent="0.2">
      <c r="A125" s="52" t="s">
        <v>336</v>
      </c>
      <c r="B125" s="131">
        <v>0.66200000000000003</v>
      </c>
    </row>
    <row r="126" spans="1:3" x14ac:dyDescent="0.2">
      <c r="A126" s="52" t="s">
        <v>337</v>
      </c>
      <c r="B126" s="131">
        <v>1.5699999999999999E-5</v>
      </c>
    </row>
    <row r="127" spans="1:3" x14ac:dyDescent="0.2">
      <c r="A127" s="52" t="s">
        <v>338</v>
      </c>
      <c r="B127" s="131">
        <v>0.80900000000000005</v>
      </c>
    </row>
    <row r="128" spans="1:3" x14ac:dyDescent="0.2">
      <c r="A128" s="52" t="s">
        <v>159</v>
      </c>
      <c r="B128" s="130">
        <v>1</v>
      </c>
      <c r="C128" s="52" t="s">
        <v>221</v>
      </c>
    </row>
    <row r="129" spans="1:3" x14ac:dyDescent="0.2">
      <c r="A129" s="84" t="s">
        <v>164</v>
      </c>
      <c r="B129" s="130">
        <v>1</v>
      </c>
      <c r="C129" s="52" t="s">
        <v>246</v>
      </c>
    </row>
    <row r="130" spans="1:3" x14ac:dyDescent="0.2">
      <c r="A130" s="84" t="s">
        <v>161</v>
      </c>
      <c r="B130" s="130">
        <v>1</v>
      </c>
      <c r="C130" s="52" t="s">
        <v>246</v>
      </c>
    </row>
    <row r="131" spans="1:3" x14ac:dyDescent="0.2">
      <c r="A131" s="84" t="s">
        <v>162</v>
      </c>
      <c r="B131" s="130">
        <v>1</v>
      </c>
      <c r="C131" s="52" t="s">
        <v>41</v>
      </c>
    </row>
    <row r="132" spans="1:3" x14ac:dyDescent="0.2">
      <c r="A132" s="84" t="s">
        <v>163</v>
      </c>
      <c r="B132" s="130">
        <v>1</v>
      </c>
      <c r="C132" s="52" t="s">
        <v>41</v>
      </c>
    </row>
    <row r="133" spans="1:3" x14ac:dyDescent="0.2">
      <c r="A133" s="84" t="s">
        <v>169</v>
      </c>
      <c r="B133" s="130">
        <v>1</v>
      </c>
      <c r="C133" s="52" t="s">
        <v>28</v>
      </c>
    </row>
    <row r="134" spans="1:3" x14ac:dyDescent="0.2">
      <c r="A134" s="52" t="s">
        <v>160</v>
      </c>
      <c r="B134" s="130">
        <v>1</v>
      </c>
      <c r="C134" s="52" t="s">
        <v>221</v>
      </c>
    </row>
    <row r="135" spans="1:3" x14ac:dyDescent="0.2">
      <c r="A135" s="52" t="s">
        <v>165</v>
      </c>
      <c r="B135" s="130">
        <v>1</v>
      </c>
      <c r="C135" s="52" t="s">
        <v>246</v>
      </c>
    </row>
    <row r="136" spans="1:3" x14ac:dyDescent="0.2">
      <c r="A136" s="52" t="s">
        <v>166</v>
      </c>
      <c r="B136" s="130">
        <v>1</v>
      </c>
      <c r="C136" s="52" t="s">
        <v>246</v>
      </c>
    </row>
    <row r="137" spans="1:3" x14ac:dyDescent="0.2">
      <c r="A137" s="93" t="s">
        <v>167</v>
      </c>
      <c r="B137" s="130">
        <v>1</v>
      </c>
      <c r="C137" s="52" t="s">
        <v>41</v>
      </c>
    </row>
    <row r="138" spans="1:3" x14ac:dyDescent="0.2">
      <c r="A138" s="83" t="s">
        <v>168</v>
      </c>
      <c r="B138" s="130">
        <v>1</v>
      </c>
      <c r="C138" s="52" t="s">
        <v>41</v>
      </c>
    </row>
    <row r="139" spans="1:3" x14ac:dyDescent="0.2">
      <c r="A139" s="84" t="s">
        <v>170</v>
      </c>
      <c r="B139" s="130">
        <v>1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200</v>
      </c>
      <c r="C141" s="84" t="s">
        <v>48</v>
      </c>
    </row>
    <row r="142" spans="1:3" x14ac:dyDescent="0.2">
      <c r="A142" s="83" t="s">
        <v>458</v>
      </c>
      <c r="B142" s="130">
        <v>100</v>
      </c>
      <c r="C142" s="84" t="s">
        <v>48</v>
      </c>
    </row>
    <row r="143" spans="1:3" x14ac:dyDescent="0.2">
      <c r="A143" s="83" t="s">
        <v>450</v>
      </c>
      <c r="B143" s="130">
        <v>10</v>
      </c>
      <c r="C143" s="92" t="s">
        <v>407</v>
      </c>
    </row>
    <row r="144" spans="1:3" x14ac:dyDescent="0.2">
      <c r="A144" s="83" t="s">
        <v>459</v>
      </c>
      <c r="B144" s="130">
        <v>20</v>
      </c>
      <c r="C144" s="92" t="s">
        <v>407</v>
      </c>
    </row>
    <row r="145" spans="1:3" x14ac:dyDescent="0.2">
      <c r="A145" s="92" t="s">
        <v>451</v>
      </c>
      <c r="B145" s="131">
        <v>0.78</v>
      </c>
      <c r="C145" s="83" t="s">
        <v>28</v>
      </c>
    </row>
    <row r="146" spans="1:3" x14ac:dyDescent="0.2">
      <c r="A146" s="92" t="s">
        <v>460</v>
      </c>
      <c r="B146" s="131">
        <v>2.5</v>
      </c>
      <c r="C146" s="83" t="s">
        <v>28</v>
      </c>
    </row>
    <row r="147" spans="1:3" ht="15" x14ac:dyDescent="0.2">
      <c r="A147" s="92" t="s">
        <v>450</v>
      </c>
      <c r="B147" s="131">
        <v>10</v>
      </c>
      <c r="C147" s="83" t="s">
        <v>143</v>
      </c>
    </row>
    <row r="148" spans="1:3" ht="15" x14ac:dyDescent="0.2">
      <c r="A148" s="92" t="s">
        <v>459</v>
      </c>
      <c r="B148" s="131">
        <v>20</v>
      </c>
      <c r="C148" s="83" t="s">
        <v>143</v>
      </c>
    </row>
    <row r="149" spans="1:3" x14ac:dyDescent="0.2">
      <c r="A149" s="83" t="s">
        <v>467</v>
      </c>
      <c r="B149" s="130">
        <v>68.099999999999994</v>
      </c>
      <c r="C149" s="92" t="s">
        <v>221</v>
      </c>
    </row>
    <row r="150" spans="1:3" x14ac:dyDescent="0.2">
      <c r="A150" s="83" t="s">
        <v>468</v>
      </c>
      <c r="B150" s="130">
        <v>176.8</v>
      </c>
      <c r="C150" s="92" t="s">
        <v>221</v>
      </c>
    </row>
    <row r="151" spans="1:3" x14ac:dyDescent="0.2">
      <c r="A151" s="83" t="s">
        <v>469</v>
      </c>
      <c r="B151" s="130">
        <v>41.7</v>
      </c>
      <c r="C151" s="92" t="s">
        <v>221</v>
      </c>
    </row>
    <row r="152" spans="1:3" x14ac:dyDescent="0.2">
      <c r="A152" s="83" t="s">
        <v>470</v>
      </c>
      <c r="B152" s="130">
        <v>125.7</v>
      </c>
      <c r="C152" s="92" t="s">
        <v>221</v>
      </c>
    </row>
    <row r="153" spans="1:3" x14ac:dyDescent="0.2">
      <c r="A153" s="83" t="s">
        <v>452</v>
      </c>
      <c r="B153" s="130">
        <v>349.5</v>
      </c>
      <c r="C153" s="92" t="s">
        <v>221</v>
      </c>
    </row>
    <row r="154" spans="1:3" x14ac:dyDescent="0.2">
      <c r="A154" s="83" t="s">
        <v>461</v>
      </c>
      <c r="B154" s="130">
        <v>445.6</v>
      </c>
      <c r="C154" s="92" t="s">
        <v>221</v>
      </c>
    </row>
    <row r="155" spans="1:3" x14ac:dyDescent="0.2">
      <c r="A155" s="83" t="s">
        <v>453</v>
      </c>
      <c r="B155" s="132">
        <v>40.1</v>
      </c>
      <c r="C155" s="92" t="s">
        <v>221</v>
      </c>
    </row>
    <row r="156" spans="1:3" x14ac:dyDescent="0.2">
      <c r="A156" s="83" t="s">
        <v>462</v>
      </c>
      <c r="B156" s="132">
        <v>178</v>
      </c>
      <c r="C156" s="92" t="s">
        <v>221</v>
      </c>
    </row>
    <row r="157" spans="1:3" x14ac:dyDescent="0.2">
      <c r="A157" s="83" t="s">
        <v>454</v>
      </c>
      <c r="B157" s="133">
        <v>10.95</v>
      </c>
      <c r="C157" s="92" t="s">
        <v>221</v>
      </c>
    </row>
    <row r="158" spans="1:3" x14ac:dyDescent="0.2">
      <c r="A158" s="83" t="s">
        <v>463</v>
      </c>
      <c r="B158" s="132">
        <v>53.4</v>
      </c>
      <c r="C158" s="92" t="s">
        <v>221</v>
      </c>
    </row>
    <row r="159" spans="1:3" x14ac:dyDescent="0.2">
      <c r="A159" s="83" t="s">
        <v>471</v>
      </c>
      <c r="B159" s="130">
        <v>32.799999999999997</v>
      </c>
      <c r="C159" s="92" t="s">
        <v>221</v>
      </c>
    </row>
    <row r="160" spans="1:3" x14ac:dyDescent="0.2">
      <c r="A160" s="83" t="s">
        <v>472</v>
      </c>
      <c r="B160" s="130">
        <v>155.4</v>
      </c>
      <c r="C160" s="92" t="s">
        <v>221</v>
      </c>
    </row>
    <row r="161" spans="1:3" x14ac:dyDescent="0.2">
      <c r="A161" s="83" t="s">
        <v>473</v>
      </c>
      <c r="B161" s="132">
        <v>23.6</v>
      </c>
      <c r="C161" s="92" t="s">
        <v>221</v>
      </c>
    </row>
    <row r="162" spans="1:3" x14ac:dyDescent="0.2">
      <c r="A162" s="83" t="s">
        <v>474</v>
      </c>
      <c r="B162" s="132">
        <v>106.6</v>
      </c>
      <c r="C162" s="92" t="s">
        <v>221</v>
      </c>
    </row>
    <row r="163" spans="1:3" x14ac:dyDescent="0.2">
      <c r="A163" s="83" t="s">
        <v>455</v>
      </c>
      <c r="B163" s="130">
        <v>18.5</v>
      </c>
      <c r="C163" s="92" t="s">
        <v>221</v>
      </c>
    </row>
    <row r="164" spans="1:3" x14ac:dyDescent="0.2">
      <c r="A164" s="83" t="s">
        <v>464</v>
      </c>
      <c r="B164" s="130">
        <v>97.9</v>
      </c>
      <c r="C164" s="92" t="s">
        <v>221</v>
      </c>
    </row>
    <row r="165" spans="1:3" x14ac:dyDescent="0.2">
      <c r="A165" s="83" t="s">
        <v>475</v>
      </c>
      <c r="B165" s="130">
        <v>0.15</v>
      </c>
      <c r="C165" s="88"/>
    </row>
    <row r="166" spans="1:3" x14ac:dyDescent="0.2">
      <c r="A166" s="83" t="s">
        <v>476</v>
      </c>
      <c r="B166" s="130">
        <v>0.85</v>
      </c>
      <c r="C166" s="88"/>
    </row>
    <row r="167" spans="1:3" x14ac:dyDescent="0.2">
      <c r="A167" s="83" t="s">
        <v>456</v>
      </c>
      <c r="B167" s="130">
        <v>350</v>
      </c>
      <c r="C167" s="83" t="s">
        <v>24</v>
      </c>
    </row>
    <row r="168" spans="1:3" x14ac:dyDescent="0.2">
      <c r="A168" s="83" t="s">
        <v>465</v>
      </c>
      <c r="B168" s="130">
        <v>350</v>
      </c>
      <c r="C168" s="83" t="s">
        <v>24</v>
      </c>
    </row>
    <row r="169" spans="1:3" x14ac:dyDescent="0.2">
      <c r="A169" s="52" t="s">
        <v>362</v>
      </c>
      <c r="B169" s="131">
        <v>350</v>
      </c>
      <c r="C169" s="83" t="s">
        <v>24</v>
      </c>
    </row>
    <row r="170" spans="1:3" x14ac:dyDescent="0.2">
      <c r="A170" s="83" t="s">
        <v>363</v>
      </c>
      <c r="B170" s="130">
        <v>1</v>
      </c>
      <c r="C170" s="92" t="s">
        <v>60</v>
      </c>
    </row>
    <row r="171" spans="1:3" x14ac:dyDescent="0.2">
      <c r="A171" s="83" t="s">
        <v>364</v>
      </c>
      <c r="B171" s="130">
        <v>24</v>
      </c>
      <c r="C171" s="94" t="s">
        <v>194</v>
      </c>
    </row>
    <row r="172" spans="1:3" x14ac:dyDescent="0.2">
      <c r="A172" s="83" t="s">
        <v>365</v>
      </c>
      <c r="B172" s="130">
        <v>24</v>
      </c>
      <c r="C172" s="52" t="s">
        <v>194</v>
      </c>
    </row>
    <row r="173" spans="1:3" x14ac:dyDescent="0.2">
      <c r="A173" s="83" t="s">
        <v>361</v>
      </c>
      <c r="B173" s="130">
        <v>1</v>
      </c>
    </row>
    <row r="174" spans="1:3" x14ac:dyDescent="0.2">
      <c r="A174" s="83" t="s">
        <v>83</v>
      </c>
      <c r="B174" s="130">
        <v>12.167999999999999</v>
      </c>
      <c r="C174" s="84" t="s">
        <v>194</v>
      </c>
    </row>
    <row r="175" spans="1:3" x14ac:dyDescent="0.2">
      <c r="A175" s="83" t="s">
        <v>85</v>
      </c>
      <c r="B175" s="130">
        <v>10.007999999999999</v>
      </c>
      <c r="C175" s="84" t="s">
        <v>194</v>
      </c>
    </row>
    <row r="176" spans="1:3" x14ac:dyDescent="0.2">
      <c r="A176" s="83" t="s">
        <v>88</v>
      </c>
      <c r="B176" s="130">
        <v>0.4</v>
      </c>
    </row>
    <row r="177" spans="1:3" x14ac:dyDescent="0.2">
      <c r="A177" s="83" t="s">
        <v>303</v>
      </c>
      <c r="B177" s="130">
        <v>0.4</v>
      </c>
    </row>
    <row r="178" spans="1:3" x14ac:dyDescent="0.2">
      <c r="A178" s="83" t="s">
        <v>302</v>
      </c>
      <c r="B178" s="130">
        <v>1</v>
      </c>
    </row>
    <row r="179" spans="1:3" x14ac:dyDescent="0.2">
      <c r="A179" s="83" t="s">
        <v>54</v>
      </c>
      <c r="B179" s="130">
        <v>1</v>
      </c>
    </row>
    <row r="180" spans="1:3" x14ac:dyDescent="0.2">
      <c r="A180" s="83" t="s">
        <v>301</v>
      </c>
      <c r="B180" s="131">
        <v>1</v>
      </c>
    </row>
    <row r="181" spans="1:3" x14ac:dyDescent="0.2">
      <c r="A181" s="92" t="s">
        <v>457</v>
      </c>
      <c r="B181" s="130">
        <v>1</v>
      </c>
      <c r="C181" s="92" t="s">
        <v>144</v>
      </c>
    </row>
    <row r="182" spans="1:3" x14ac:dyDescent="0.2">
      <c r="A182" s="92" t="s">
        <v>466</v>
      </c>
      <c r="B182" s="130">
        <v>1</v>
      </c>
      <c r="C182" s="92" t="s">
        <v>144</v>
      </c>
    </row>
    <row r="183" spans="1:3" x14ac:dyDescent="0.2">
      <c r="A183" s="52" t="s">
        <v>477</v>
      </c>
      <c r="B183" s="130">
        <v>0.54</v>
      </c>
      <c r="C183" s="92" t="s">
        <v>358</v>
      </c>
    </row>
    <row r="184" spans="1:3" x14ac:dyDescent="0.2">
      <c r="A184" s="52" t="s">
        <v>478</v>
      </c>
      <c r="B184" s="130">
        <v>0.71</v>
      </c>
      <c r="C184" s="92" t="s">
        <v>358</v>
      </c>
    </row>
    <row r="185" spans="1:3" ht="15" x14ac:dyDescent="0.2">
      <c r="A185" s="84" t="s">
        <v>65</v>
      </c>
      <c r="B185" s="130">
        <v>0.5</v>
      </c>
      <c r="C185" s="92" t="s">
        <v>145</v>
      </c>
    </row>
    <row r="186" spans="1:3" x14ac:dyDescent="0.2">
      <c r="A186" s="92" t="s">
        <v>361</v>
      </c>
      <c r="B186" s="130">
        <v>1</v>
      </c>
    </row>
    <row r="187" spans="1:3" x14ac:dyDescent="0.2">
      <c r="A187" s="92" t="s">
        <v>479</v>
      </c>
      <c r="B187" s="130">
        <v>1</v>
      </c>
    </row>
    <row r="188" spans="1:3" x14ac:dyDescent="0.2">
      <c r="A188" s="92" t="s">
        <v>480</v>
      </c>
      <c r="B188" s="130">
        <v>1</v>
      </c>
    </row>
    <row r="189" spans="1:3" x14ac:dyDescent="0.2">
      <c r="A189" s="92" t="s">
        <v>481</v>
      </c>
      <c r="B189" s="130">
        <v>1</v>
      </c>
    </row>
    <row r="190" spans="1:3" x14ac:dyDescent="0.2">
      <c r="A190" s="92" t="s">
        <v>482</v>
      </c>
      <c r="B190" s="130">
        <v>1</v>
      </c>
    </row>
    <row r="191" spans="1:3" x14ac:dyDescent="0.2">
      <c r="A191" s="92" t="s">
        <v>483</v>
      </c>
      <c r="B191" s="130">
        <v>1</v>
      </c>
    </row>
    <row r="192" spans="1:3" x14ac:dyDescent="0.2">
      <c r="A192" s="92" t="s">
        <v>484</v>
      </c>
      <c r="B192" s="131">
        <v>1</v>
      </c>
    </row>
    <row r="193" spans="1:3" x14ac:dyDescent="0.2">
      <c r="A193" s="83" t="s">
        <v>36</v>
      </c>
      <c r="B193" s="131">
        <v>3.62</v>
      </c>
      <c r="C193" s="52" t="s">
        <v>37</v>
      </c>
    </row>
    <row r="194" spans="1:3" x14ac:dyDescent="0.2">
      <c r="A194" s="83" t="s">
        <v>40</v>
      </c>
      <c r="B194" s="131">
        <v>0.25</v>
      </c>
      <c r="C194" s="52" t="s">
        <v>41</v>
      </c>
    </row>
    <row r="195" spans="1:3" x14ac:dyDescent="0.2">
      <c r="A195" s="92" t="s">
        <v>52</v>
      </c>
      <c r="B195" s="131">
        <v>10950</v>
      </c>
      <c r="C195" s="52" t="s">
        <v>53</v>
      </c>
    </row>
    <row r="196" spans="1:3" x14ac:dyDescent="0.2">
      <c r="A196" s="92" t="s">
        <v>55</v>
      </c>
      <c r="B196" s="131">
        <v>240</v>
      </c>
      <c r="C196" s="52" t="s">
        <v>56</v>
      </c>
    </row>
    <row r="197" spans="1:3" x14ac:dyDescent="0.2">
      <c r="A197" s="92" t="s">
        <v>61</v>
      </c>
      <c r="B197" s="131">
        <v>0.42</v>
      </c>
      <c r="C197" s="52" t="s">
        <v>41</v>
      </c>
    </row>
    <row r="198" spans="1:3" x14ac:dyDescent="0.2">
      <c r="A198" s="92" t="s">
        <v>67</v>
      </c>
      <c r="B198" s="131">
        <v>60</v>
      </c>
      <c r="C198" s="83" t="s">
        <v>53</v>
      </c>
    </row>
    <row r="199" spans="1:3" x14ac:dyDescent="0.2">
      <c r="A199" s="92" t="s">
        <v>68</v>
      </c>
      <c r="B199" s="131">
        <v>2</v>
      </c>
      <c r="C199" s="83" t="s">
        <v>56</v>
      </c>
    </row>
    <row r="200" spans="1:3" x14ac:dyDescent="0.2">
      <c r="A200" s="92" t="s">
        <v>70</v>
      </c>
      <c r="B200" s="131">
        <v>2.6999999999999999E-5</v>
      </c>
      <c r="C200" s="52" t="s">
        <v>64</v>
      </c>
    </row>
    <row r="201" spans="1:3" x14ac:dyDescent="0.2">
      <c r="A201" s="92" t="s">
        <v>73</v>
      </c>
      <c r="B201" s="131">
        <v>1</v>
      </c>
      <c r="C201" s="52" t="s">
        <v>41</v>
      </c>
    </row>
    <row r="202" spans="1:3" x14ac:dyDescent="0.2">
      <c r="A202" s="92" t="s">
        <v>74</v>
      </c>
      <c r="B202" s="131">
        <v>14</v>
      </c>
      <c r="C202" s="52" t="s">
        <v>75</v>
      </c>
    </row>
    <row r="203" spans="1:3" x14ac:dyDescent="0.2">
      <c r="A203" s="83" t="s">
        <v>27</v>
      </c>
      <c r="B203" s="131">
        <v>92</v>
      </c>
      <c r="C203" s="83" t="s">
        <v>28</v>
      </c>
    </row>
    <row r="204" spans="1:3" x14ac:dyDescent="0.2">
      <c r="A204" s="52" t="s">
        <v>285</v>
      </c>
      <c r="B204" s="130">
        <v>1.03</v>
      </c>
      <c r="C204" s="52" t="s">
        <v>286</v>
      </c>
    </row>
    <row r="205" spans="1:3" x14ac:dyDescent="0.2">
      <c r="A205" s="83" t="s">
        <v>498</v>
      </c>
      <c r="B205" s="131">
        <v>20.3</v>
      </c>
      <c r="C205" s="52" t="s">
        <v>246</v>
      </c>
    </row>
    <row r="206" spans="1:3" x14ac:dyDescent="0.2">
      <c r="A206" s="83" t="s">
        <v>499</v>
      </c>
      <c r="B206" s="131">
        <v>0.04</v>
      </c>
      <c r="C206" s="52" t="s">
        <v>246</v>
      </c>
    </row>
    <row r="207" spans="1:3" x14ac:dyDescent="0.2">
      <c r="A207" s="83" t="s">
        <v>500</v>
      </c>
      <c r="B207" s="131">
        <v>1</v>
      </c>
    </row>
    <row r="208" spans="1:3" x14ac:dyDescent="0.2">
      <c r="A208" s="83" t="s">
        <v>501</v>
      </c>
      <c r="B208" s="131">
        <v>1</v>
      </c>
    </row>
    <row r="209" spans="1:3" x14ac:dyDescent="0.2">
      <c r="A209" s="83" t="s">
        <v>29</v>
      </c>
      <c r="B209" s="131">
        <v>53</v>
      </c>
      <c r="C209" s="83" t="s">
        <v>28</v>
      </c>
    </row>
    <row r="210" spans="1:3" x14ac:dyDescent="0.2">
      <c r="A210" s="83" t="s">
        <v>494</v>
      </c>
      <c r="B210" s="131">
        <v>11.77</v>
      </c>
      <c r="C210" s="52" t="s">
        <v>246</v>
      </c>
    </row>
    <row r="211" spans="1:3" x14ac:dyDescent="0.2">
      <c r="A211" s="83" t="s">
        <v>495</v>
      </c>
      <c r="B211" s="131">
        <v>0.5</v>
      </c>
      <c r="C211" s="52" t="s">
        <v>246</v>
      </c>
    </row>
    <row r="212" spans="1:3" x14ac:dyDescent="0.2">
      <c r="A212" s="83" t="s">
        <v>496</v>
      </c>
      <c r="B212" s="131">
        <v>1</v>
      </c>
    </row>
    <row r="213" spans="1:3" x14ac:dyDescent="0.2">
      <c r="A213" s="83" t="s">
        <v>497</v>
      </c>
      <c r="B213" s="131">
        <v>1</v>
      </c>
    </row>
    <row r="214" spans="1:3" x14ac:dyDescent="0.2">
      <c r="A214" s="83" t="s">
        <v>148</v>
      </c>
      <c r="B214" s="130">
        <v>0.4</v>
      </c>
      <c r="C214" s="83" t="s">
        <v>28</v>
      </c>
    </row>
    <row r="215" spans="1:3" x14ac:dyDescent="0.2">
      <c r="A215" s="83" t="s">
        <v>152</v>
      </c>
      <c r="B215" s="131">
        <v>0.2</v>
      </c>
      <c r="C215" s="52" t="s">
        <v>246</v>
      </c>
    </row>
    <row r="216" spans="1:3" x14ac:dyDescent="0.2">
      <c r="A216" s="83" t="s">
        <v>151</v>
      </c>
      <c r="B216" s="131">
        <v>2.1999999999999999E-2</v>
      </c>
      <c r="C216" s="52" t="s">
        <v>246</v>
      </c>
    </row>
    <row r="217" spans="1:3" x14ac:dyDescent="0.2">
      <c r="A217" s="83" t="s">
        <v>153</v>
      </c>
      <c r="B217" s="130">
        <v>1</v>
      </c>
    </row>
    <row r="218" spans="1:3" x14ac:dyDescent="0.2">
      <c r="A218" s="83" t="s">
        <v>154</v>
      </c>
      <c r="B218" s="130">
        <v>1</v>
      </c>
    </row>
    <row r="219" spans="1:3" x14ac:dyDescent="0.2">
      <c r="A219" s="83" t="s">
        <v>485</v>
      </c>
      <c r="B219" s="130">
        <v>0.4</v>
      </c>
      <c r="C219" s="83" t="s">
        <v>28</v>
      </c>
    </row>
    <row r="220" spans="1:3" x14ac:dyDescent="0.2">
      <c r="A220" s="83" t="s">
        <v>486</v>
      </c>
      <c r="B220" s="131">
        <v>0.2</v>
      </c>
      <c r="C220" s="52" t="s">
        <v>246</v>
      </c>
    </row>
    <row r="221" spans="1:3" x14ac:dyDescent="0.2">
      <c r="A221" s="83" t="s">
        <v>487</v>
      </c>
      <c r="B221" s="131">
        <v>2.1999999999999999E-2</v>
      </c>
      <c r="C221" s="52" t="s">
        <v>246</v>
      </c>
    </row>
    <row r="222" spans="1:3" x14ac:dyDescent="0.2">
      <c r="A222" s="83" t="s">
        <v>488</v>
      </c>
      <c r="B222" s="131">
        <v>1</v>
      </c>
    </row>
    <row r="223" spans="1:3" x14ac:dyDescent="0.2">
      <c r="A223" s="83" t="s">
        <v>489</v>
      </c>
      <c r="B223" s="131">
        <v>1</v>
      </c>
    </row>
    <row r="224" spans="1:3" x14ac:dyDescent="0.2">
      <c r="A224" s="83" t="s">
        <v>150</v>
      </c>
      <c r="B224" s="131">
        <v>11.4</v>
      </c>
      <c r="C224" s="83" t="s">
        <v>28</v>
      </c>
    </row>
    <row r="225" spans="1:3" x14ac:dyDescent="0.2">
      <c r="A225" s="83" t="s">
        <v>490</v>
      </c>
      <c r="B225" s="131">
        <v>4.7</v>
      </c>
      <c r="C225" s="52" t="s">
        <v>246</v>
      </c>
    </row>
    <row r="226" spans="1:3" x14ac:dyDescent="0.2">
      <c r="A226" s="83" t="s">
        <v>491</v>
      </c>
      <c r="B226" s="131">
        <v>0.37</v>
      </c>
      <c r="C226" s="52" t="s">
        <v>246</v>
      </c>
    </row>
    <row r="227" spans="1:3" x14ac:dyDescent="0.2">
      <c r="A227" s="83" t="s">
        <v>492</v>
      </c>
      <c r="B227" s="131">
        <v>1</v>
      </c>
    </row>
    <row r="228" spans="1:3" x14ac:dyDescent="0.2">
      <c r="A228" s="83" t="s">
        <v>493</v>
      </c>
      <c r="B228" s="131">
        <v>1</v>
      </c>
    </row>
    <row r="229" spans="1:3" x14ac:dyDescent="0.2">
      <c r="A229" s="370" t="s">
        <v>311</v>
      </c>
      <c r="B229" s="370"/>
      <c r="C229" s="370"/>
    </row>
    <row r="230" spans="1:3" x14ac:dyDescent="0.2">
      <c r="A230" s="52" t="s">
        <v>504</v>
      </c>
      <c r="B230" s="130">
        <v>60</v>
      </c>
      <c r="C230" s="84" t="s">
        <v>407</v>
      </c>
    </row>
    <row r="231" spans="1:3" x14ac:dyDescent="0.2">
      <c r="A231" s="83" t="s">
        <v>316</v>
      </c>
      <c r="B231" s="130">
        <v>250</v>
      </c>
      <c r="C231" s="52" t="s">
        <v>24</v>
      </c>
    </row>
    <row r="232" spans="1:3" x14ac:dyDescent="0.2">
      <c r="A232" s="83" t="s">
        <v>422</v>
      </c>
      <c r="B232" s="131">
        <v>1</v>
      </c>
      <c r="C232" s="52" t="s">
        <v>60</v>
      </c>
    </row>
    <row r="233" spans="1:3" x14ac:dyDescent="0.2">
      <c r="A233" s="83" t="s">
        <v>317</v>
      </c>
      <c r="B233" s="130">
        <v>100</v>
      </c>
      <c r="C233" s="84" t="s">
        <v>48</v>
      </c>
    </row>
    <row r="234" spans="1:3" x14ac:dyDescent="0.2">
      <c r="A234" s="52" t="s">
        <v>318</v>
      </c>
      <c r="B234" s="131">
        <v>1</v>
      </c>
    </row>
    <row r="235" spans="1:3" x14ac:dyDescent="0.2">
      <c r="A235" s="83" t="s">
        <v>300</v>
      </c>
      <c r="B235" s="131">
        <v>1</v>
      </c>
    </row>
    <row r="236" spans="1:3" x14ac:dyDescent="0.2">
      <c r="A236" s="83" t="s">
        <v>299</v>
      </c>
      <c r="B236" s="131">
        <v>0.4</v>
      </c>
    </row>
    <row r="237" spans="1:3" x14ac:dyDescent="0.2">
      <c r="A237" s="83" t="s">
        <v>54</v>
      </c>
      <c r="B237" s="131">
        <v>1</v>
      </c>
    </row>
    <row r="238" spans="1:3" x14ac:dyDescent="0.2">
      <c r="A238" s="83" t="s">
        <v>83</v>
      </c>
      <c r="B238" s="130">
        <v>8</v>
      </c>
      <c r="C238" s="52" t="s">
        <v>194</v>
      </c>
    </row>
    <row r="239" spans="1:3" x14ac:dyDescent="0.2">
      <c r="A239" s="83" t="s">
        <v>85</v>
      </c>
      <c r="B239" s="130">
        <v>8</v>
      </c>
      <c r="C239" s="52" t="s">
        <v>194</v>
      </c>
    </row>
    <row r="240" spans="1:3" x14ac:dyDescent="0.2">
      <c r="A240" s="83" t="s">
        <v>88</v>
      </c>
      <c r="B240" s="130">
        <v>0.4</v>
      </c>
    </row>
    <row r="241" spans="1:3" x14ac:dyDescent="0.2">
      <c r="A241" s="370" t="s">
        <v>312</v>
      </c>
      <c r="B241" s="370"/>
      <c r="C241" s="370"/>
    </row>
    <row r="242" spans="1:3" x14ac:dyDescent="0.2">
      <c r="A242" s="52" t="s">
        <v>304</v>
      </c>
      <c r="B242" s="130">
        <v>60</v>
      </c>
      <c r="C242" s="84" t="s">
        <v>407</v>
      </c>
    </row>
    <row r="243" spans="1:3" x14ac:dyDescent="0.2">
      <c r="A243" s="83" t="s">
        <v>35</v>
      </c>
      <c r="B243" s="130">
        <v>250</v>
      </c>
      <c r="C243" s="52" t="s">
        <v>24</v>
      </c>
    </row>
    <row r="244" spans="1:3" x14ac:dyDescent="0.2">
      <c r="A244" s="83" t="s">
        <v>420</v>
      </c>
      <c r="B244" s="131">
        <v>1</v>
      </c>
      <c r="C244" s="52" t="s">
        <v>60</v>
      </c>
    </row>
    <row r="245" spans="1:3" x14ac:dyDescent="0.2">
      <c r="A245" s="83" t="s">
        <v>62</v>
      </c>
      <c r="B245" s="130">
        <v>50</v>
      </c>
      <c r="C245" s="84" t="s">
        <v>48</v>
      </c>
    </row>
    <row r="246" spans="1:3" x14ac:dyDescent="0.2">
      <c r="A246" s="52" t="s">
        <v>318</v>
      </c>
      <c r="B246" s="131">
        <v>1</v>
      </c>
    </row>
    <row r="247" spans="1:3" x14ac:dyDescent="0.2">
      <c r="A247" s="83" t="s">
        <v>300</v>
      </c>
      <c r="B247" s="131">
        <v>1</v>
      </c>
    </row>
    <row r="248" spans="1:3" x14ac:dyDescent="0.2">
      <c r="A248" s="83" t="s">
        <v>299</v>
      </c>
      <c r="B248" s="131">
        <v>0.4</v>
      </c>
    </row>
    <row r="249" spans="1:3" x14ac:dyDescent="0.2">
      <c r="A249" s="83" t="s">
        <v>54</v>
      </c>
      <c r="B249" s="131">
        <v>1</v>
      </c>
    </row>
    <row r="250" spans="1:3" x14ac:dyDescent="0.2">
      <c r="A250" s="83" t="s">
        <v>83</v>
      </c>
      <c r="B250" s="130">
        <v>0</v>
      </c>
      <c r="C250" s="52" t="s">
        <v>194</v>
      </c>
    </row>
    <row r="251" spans="1:3" x14ac:dyDescent="0.2">
      <c r="A251" s="83" t="s">
        <v>85</v>
      </c>
      <c r="B251" s="130">
        <v>8</v>
      </c>
      <c r="C251" s="52" t="s">
        <v>194</v>
      </c>
    </row>
    <row r="252" spans="1:3" x14ac:dyDescent="0.2">
      <c r="A252" s="83" t="s">
        <v>88</v>
      </c>
      <c r="B252" s="130">
        <v>0.4</v>
      </c>
    </row>
    <row r="253" spans="1:3" x14ac:dyDescent="0.2">
      <c r="A253" s="370" t="s">
        <v>313</v>
      </c>
      <c r="B253" s="370"/>
      <c r="C253" s="370"/>
    </row>
    <row r="254" spans="1:3" x14ac:dyDescent="0.2">
      <c r="A254" s="52" t="s">
        <v>50</v>
      </c>
      <c r="B254" s="130">
        <v>60</v>
      </c>
      <c r="C254" s="84" t="s">
        <v>407</v>
      </c>
    </row>
    <row r="255" spans="1:3" x14ac:dyDescent="0.2">
      <c r="A255" s="83" t="s">
        <v>423</v>
      </c>
      <c r="B255" s="130">
        <v>225</v>
      </c>
      <c r="C255" s="52" t="s">
        <v>24</v>
      </c>
    </row>
    <row r="256" spans="1:3" x14ac:dyDescent="0.2">
      <c r="A256" s="83" t="s">
        <v>424</v>
      </c>
      <c r="B256" s="131">
        <v>1</v>
      </c>
      <c r="C256" s="52" t="s">
        <v>60</v>
      </c>
    </row>
    <row r="257" spans="1:3" x14ac:dyDescent="0.2">
      <c r="A257" s="83" t="s">
        <v>503</v>
      </c>
      <c r="B257" s="130">
        <v>100</v>
      </c>
      <c r="C257" s="84" t="s">
        <v>48</v>
      </c>
    </row>
    <row r="258" spans="1:3" x14ac:dyDescent="0.2">
      <c r="A258" s="52" t="s">
        <v>318</v>
      </c>
      <c r="B258" s="131">
        <v>1</v>
      </c>
    </row>
    <row r="259" spans="1:3" x14ac:dyDescent="0.2">
      <c r="A259" s="83" t="s">
        <v>300</v>
      </c>
      <c r="B259" s="131">
        <v>1</v>
      </c>
    </row>
    <row r="260" spans="1:3" x14ac:dyDescent="0.2">
      <c r="A260" s="83" t="s">
        <v>299</v>
      </c>
      <c r="B260" s="131">
        <v>0.4</v>
      </c>
    </row>
    <row r="261" spans="1:3" x14ac:dyDescent="0.2">
      <c r="A261" s="83" t="s">
        <v>54</v>
      </c>
      <c r="B261" s="131">
        <v>1</v>
      </c>
    </row>
    <row r="262" spans="1:3" x14ac:dyDescent="0.2">
      <c r="A262" s="83" t="s">
        <v>83</v>
      </c>
      <c r="B262" s="130">
        <v>8</v>
      </c>
      <c r="C262" s="52" t="s">
        <v>194</v>
      </c>
    </row>
    <row r="263" spans="1:3" x14ac:dyDescent="0.2">
      <c r="A263" s="83" t="s">
        <v>85</v>
      </c>
      <c r="B263" s="130">
        <v>0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370" t="s">
        <v>314</v>
      </c>
      <c r="B265" s="370"/>
      <c r="C265" s="370"/>
    </row>
    <row r="266" spans="1:3" x14ac:dyDescent="0.2">
      <c r="A266" s="52" t="s">
        <v>348</v>
      </c>
      <c r="B266" s="130">
        <v>60</v>
      </c>
      <c r="C266" s="84" t="s">
        <v>407</v>
      </c>
    </row>
    <row r="267" spans="1:3" x14ac:dyDescent="0.2">
      <c r="A267" s="83" t="s">
        <v>191</v>
      </c>
      <c r="B267" s="130">
        <v>250</v>
      </c>
      <c r="C267" s="52" t="s">
        <v>24</v>
      </c>
    </row>
    <row r="268" spans="1:3" x14ac:dyDescent="0.2">
      <c r="A268" s="83" t="s">
        <v>158</v>
      </c>
      <c r="B268" s="131">
        <v>1</v>
      </c>
      <c r="C268" s="52" t="s">
        <v>60</v>
      </c>
    </row>
    <row r="269" spans="1:3" x14ac:dyDescent="0.2">
      <c r="A269" s="83" t="s">
        <v>502</v>
      </c>
      <c r="B269" s="130">
        <v>330</v>
      </c>
      <c r="C269" s="84" t="s">
        <v>48</v>
      </c>
    </row>
    <row r="270" spans="1:3" x14ac:dyDescent="0.2">
      <c r="A270" s="52" t="s">
        <v>318</v>
      </c>
      <c r="B270" s="131">
        <v>1</v>
      </c>
    </row>
    <row r="271" spans="1:3" x14ac:dyDescent="0.2">
      <c r="A271" s="83" t="s">
        <v>300</v>
      </c>
      <c r="B271" s="131">
        <v>1</v>
      </c>
    </row>
    <row r="272" spans="1:3" x14ac:dyDescent="0.2">
      <c r="A272" s="83" t="s">
        <v>299</v>
      </c>
      <c r="B272" s="131">
        <v>0.4</v>
      </c>
    </row>
    <row r="273" spans="1:3" x14ac:dyDescent="0.2">
      <c r="A273" s="83" t="s">
        <v>54</v>
      </c>
      <c r="B273" s="131">
        <v>1</v>
      </c>
    </row>
    <row r="274" spans="1:3" x14ac:dyDescent="0.2">
      <c r="A274" s="83" t="s">
        <v>83</v>
      </c>
      <c r="B274" s="130">
        <v>8</v>
      </c>
      <c r="C274" s="52" t="s">
        <v>194</v>
      </c>
    </row>
    <row r="275" spans="1:3" x14ac:dyDescent="0.2">
      <c r="A275" s="83" t="s">
        <v>85</v>
      </c>
      <c r="B275" s="130">
        <v>8</v>
      </c>
      <c r="C275" s="52" t="s">
        <v>194</v>
      </c>
    </row>
    <row r="276" spans="1:3" x14ac:dyDescent="0.2">
      <c r="A276" s="83" t="s">
        <v>88</v>
      </c>
      <c r="B276" s="130">
        <v>0.4</v>
      </c>
    </row>
    <row r="277" spans="1:3" x14ac:dyDescent="0.2">
      <c r="A277" s="83" t="s">
        <v>219</v>
      </c>
      <c r="B277" s="130">
        <v>5</v>
      </c>
      <c r="C277" s="52" t="s">
        <v>112</v>
      </c>
    </row>
    <row r="278" spans="1:3" x14ac:dyDescent="0.2">
      <c r="A278" s="83" t="s">
        <v>220</v>
      </c>
      <c r="B278" s="130">
        <v>50</v>
      </c>
      <c r="C278" s="52" t="s">
        <v>113</v>
      </c>
    </row>
    <row r="279" spans="1:3" x14ac:dyDescent="0.2">
      <c r="A279" s="52" t="s">
        <v>319</v>
      </c>
      <c r="B279" s="131">
        <v>2.41E-4</v>
      </c>
    </row>
    <row r="280" spans="1:3" x14ac:dyDescent="0.2">
      <c r="A280" s="52" t="s">
        <v>320</v>
      </c>
      <c r="B280" s="131">
        <v>0.753</v>
      </c>
    </row>
    <row r="281" spans="1:3" x14ac:dyDescent="0.2">
      <c r="A281" s="52" t="s">
        <v>321</v>
      </c>
      <c r="B281" s="131">
        <v>1.5699999999999999E-5</v>
      </c>
    </row>
    <row r="282" spans="1:3" x14ac:dyDescent="0.2">
      <c r="A282" s="52" t="s">
        <v>322</v>
      </c>
      <c r="B282" s="131">
        <v>0.80900000000000005</v>
      </c>
    </row>
    <row r="283" spans="1:3" x14ac:dyDescent="0.2">
      <c r="A283" s="52" t="s">
        <v>323</v>
      </c>
      <c r="B283" s="131">
        <v>1.17E-4</v>
      </c>
    </row>
    <row r="284" spans="1:3" x14ac:dyDescent="0.2">
      <c r="A284" s="52" t="s">
        <v>324</v>
      </c>
      <c r="B284" s="131">
        <v>0.74299999999999999</v>
      </c>
    </row>
    <row r="285" spans="1:3" x14ac:dyDescent="0.2">
      <c r="A285" s="52" t="s">
        <v>325</v>
      </c>
      <c r="B285" s="131">
        <v>1.35E-4</v>
      </c>
    </row>
    <row r="286" spans="1:3" x14ac:dyDescent="0.2">
      <c r="A286" s="52" t="s">
        <v>326</v>
      </c>
      <c r="B286" s="131">
        <v>0.71099999999999997</v>
      </c>
    </row>
    <row r="287" spans="1:3" x14ac:dyDescent="0.2">
      <c r="A287" s="52" t="s">
        <v>327</v>
      </c>
      <c r="B287" s="131">
        <v>2.2599999999999999E-4</v>
      </c>
    </row>
    <row r="288" spans="1:3" x14ac:dyDescent="0.2">
      <c r="A288" s="52" t="s">
        <v>328</v>
      </c>
      <c r="B288" s="131">
        <v>0.66200000000000003</v>
      </c>
    </row>
    <row r="289" spans="1:3" x14ac:dyDescent="0.2">
      <c r="A289" s="370" t="s">
        <v>315</v>
      </c>
      <c r="B289" s="370"/>
      <c r="C289" s="370"/>
    </row>
    <row r="290" spans="1:3" x14ac:dyDescent="0.2">
      <c r="A290" s="52" t="s">
        <v>348</v>
      </c>
      <c r="B290" s="130">
        <v>60</v>
      </c>
      <c r="C290" s="84" t="s">
        <v>407</v>
      </c>
    </row>
    <row r="291" spans="1:3" x14ac:dyDescent="0.2">
      <c r="A291" s="83" t="s">
        <v>191</v>
      </c>
      <c r="B291" s="130">
        <v>250</v>
      </c>
      <c r="C291" s="52" t="s">
        <v>24</v>
      </c>
    </row>
    <row r="292" spans="1:3" x14ac:dyDescent="0.2">
      <c r="A292" s="83" t="s">
        <v>158</v>
      </c>
      <c r="B292" s="131">
        <v>1</v>
      </c>
      <c r="C292" s="52" t="s">
        <v>60</v>
      </c>
    </row>
    <row r="293" spans="1:3" x14ac:dyDescent="0.2">
      <c r="A293" s="83" t="s">
        <v>502</v>
      </c>
      <c r="B293" s="130">
        <v>330</v>
      </c>
      <c r="C293" s="84" t="s">
        <v>48</v>
      </c>
    </row>
    <row r="294" spans="1:3" x14ac:dyDescent="0.2">
      <c r="A294" s="83" t="s">
        <v>300</v>
      </c>
      <c r="B294" s="131">
        <v>1</v>
      </c>
    </row>
    <row r="295" spans="1:3" x14ac:dyDescent="0.2">
      <c r="A295" s="83" t="s">
        <v>299</v>
      </c>
      <c r="B295" s="131">
        <v>0.4</v>
      </c>
    </row>
    <row r="296" spans="1:3" x14ac:dyDescent="0.2">
      <c r="A296" s="83" t="s">
        <v>54</v>
      </c>
      <c r="B296" s="131">
        <v>1</v>
      </c>
    </row>
    <row r="297" spans="1:3" x14ac:dyDescent="0.2">
      <c r="A297" s="83" t="s">
        <v>83</v>
      </c>
      <c r="B297" s="130">
        <v>8</v>
      </c>
      <c r="C297" s="52" t="s">
        <v>194</v>
      </c>
    </row>
    <row r="298" spans="1:3" x14ac:dyDescent="0.2">
      <c r="A298" s="83" t="s">
        <v>85</v>
      </c>
      <c r="B298" s="130">
        <v>8</v>
      </c>
      <c r="C298" s="52" t="s">
        <v>194</v>
      </c>
    </row>
    <row r="299" spans="1:3" x14ac:dyDescent="0.2">
      <c r="A299" s="83" t="s">
        <v>88</v>
      </c>
      <c r="B299" s="130">
        <v>0.4</v>
      </c>
    </row>
    <row r="300" spans="1:3" x14ac:dyDescent="0.2">
      <c r="A300" s="83" t="s">
        <v>219</v>
      </c>
      <c r="B300" s="130">
        <v>5</v>
      </c>
      <c r="C300" s="52" t="s">
        <v>112</v>
      </c>
    </row>
    <row r="301" spans="1:3" x14ac:dyDescent="0.2">
      <c r="A301" s="83" t="s">
        <v>220</v>
      </c>
      <c r="B301" s="130">
        <v>50</v>
      </c>
      <c r="C301" s="52" t="s">
        <v>113</v>
      </c>
    </row>
  </sheetData>
  <mergeCells count="346">
    <mergeCell ref="CC35:CG38"/>
    <mergeCell ref="BK39:BO42"/>
    <mergeCell ref="G2:G4"/>
    <mergeCell ref="H2:H4"/>
    <mergeCell ref="I2:I4"/>
    <mergeCell ref="J2:J4"/>
    <mergeCell ref="K2:K4"/>
    <mergeCell ref="L2:L4"/>
    <mergeCell ref="F43:F44"/>
    <mergeCell ref="V23:X23"/>
    <mergeCell ref="Y23:AA23"/>
    <mergeCell ref="D30:F30"/>
    <mergeCell ref="D31:D32"/>
    <mergeCell ref="E31:E32"/>
    <mergeCell ref="F31:F32"/>
    <mergeCell ref="N21:N23"/>
    <mergeCell ref="O21:O23"/>
    <mergeCell ref="P21:P23"/>
    <mergeCell ref="Q21:Q23"/>
    <mergeCell ref="R21:R23"/>
    <mergeCell ref="AR21:AR23"/>
    <mergeCell ref="AS21:AS23"/>
    <mergeCell ref="AT21:AT23"/>
    <mergeCell ref="AU21:AU23"/>
    <mergeCell ref="HD21:HF21"/>
    <mergeCell ref="CB19:CB21"/>
    <mergeCell ref="CC19:CC21"/>
    <mergeCell ref="CD19:CD21"/>
    <mergeCell ref="CE19:CE21"/>
    <mergeCell ref="CF19:CF21"/>
    <mergeCell ref="CG19:CG21"/>
    <mergeCell ref="M20:O20"/>
    <mergeCell ref="P20:R20"/>
    <mergeCell ref="M21:M23"/>
    <mergeCell ref="BK21:BK23"/>
    <mergeCell ref="BL21:BL23"/>
    <mergeCell ref="BM21:BM23"/>
    <mergeCell ref="BN21:BN23"/>
    <mergeCell ref="BO21:BO23"/>
    <mergeCell ref="CQ20:CQ22"/>
    <mergeCell ref="CR20:CR22"/>
    <mergeCell ref="CS20:CS22"/>
    <mergeCell ref="AI21:AI23"/>
    <mergeCell ref="AJ21:AJ23"/>
    <mergeCell ref="AK21:AK23"/>
    <mergeCell ref="AL21:AL23"/>
    <mergeCell ref="AM21:AM23"/>
    <mergeCell ref="AN21:AN23"/>
    <mergeCell ref="AV21:AV23"/>
    <mergeCell ref="AW21:AW23"/>
    <mergeCell ref="BA21:BA23"/>
    <mergeCell ref="CQ19:CS19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CK20:CK22"/>
    <mergeCell ref="CK19:CM19"/>
    <mergeCell ref="CN19:CP19"/>
    <mergeCell ref="CL20:CL22"/>
    <mergeCell ref="CM20:CM22"/>
    <mergeCell ref="CN20:CN22"/>
    <mergeCell ref="CO20:CO22"/>
    <mergeCell ref="CP20:CP22"/>
    <mergeCell ref="BB21:BB23"/>
    <mergeCell ref="BC21:BC23"/>
    <mergeCell ref="BD21:BD23"/>
    <mergeCell ref="BE21:BE23"/>
    <mergeCell ref="BF21:BF23"/>
    <mergeCell ref="BJ21:BJ23"/>
    <mergeCell ref="CB18:CD18"/>
    <mergeCell ref="CE18:CG18"/>
    <mergeCell ref="HA2:HA4"/>
    <mergeCell ref="HB2:HB4"/>
    <mergeCell ref="HC2:HC4"/>
    <mergeCell ref="GV2:GV4"/>
    <mergeCell ref="GW2:GW4"/>
    <mergeCell ref="GX2:GX4"/>
    <mergeCell ref="GY2:GY4"/>
    <mergeCell ref="GZ2:GZ4"/>
    <mergeCell ref="GQ2:GQ4"/>
    <mergeCell ref="GR2:GR4"/>
    <mergeCell ref="GS2:GS4"/>
    <mergeCell ref="GT2:GT4"/>
    <mergeCell ref="GU2:GU4"/>
    <mergeCell ref="GL2:GL4"/>
    <mergeCell ref="GM2:GM4"/>
    <mergeCell ref="GN2:GN4"/>
    <mergeCell ref="GO2:GO4"/>
    <mergeCell ref="GP2:GP4"/>
    <mergeCell ref="GG2:GG4"/>
    <mergeCell ref="GH2:GH4"/>
    <mergeCell ref="GI2:GI4"/>
    <mergeCell ref="GJ2:GJ4"/>
    <mergeCell ref="GK2:GK4"/>
    <mergeCell ref="GB2:GB4"/>
    <mergeCell ref="GC2:GC4"/>
    <mergeCell ref="GD2:GD4"/>
    <mergeCell ref="GE2:GE4"/>
    <mergeCell ref="GF2:GF4"/>
    <mergeCell ref="FW2:FW4"/>
    <mergeCell ref="FX2:FX4"/>
    <mergeCell ref="FY2:FY4"/>
    <mergeCell ref="FZ2:FZ4"/>
    <mergeCell ref="GA2:GA4"/>
    <mergeCell ref="FR2:FR4"/>
    <mergeCell ref="FS2:FS4"/>
    <mergeCell ref="FT2:FT4"/>
    <mergeCell ref="FU2:FU4"/>
    <mergeCell ref="FV2:FV4"/>
    <mergeCell ref="FM2:FM4"/>
    <mergeCell ref="FN2:FN4"/>
    <mergeCell ref="FO2:FO4"/>
    <mergeCell ref="FP2:FP4"/>
    <mergeCell ref="FQ2:FQ4"/>
    <mergeCell ref="FH2:FH4"/>
    <mergeCell ref="FI2:FI4"/>
    <mergeCell ref="FJ2:FJ4"/>
    <mergeCell ref="FK2:FK4"/>
    <mergeCell ref="FL2:FL4"/>
    <mergeCell ref="FC2:FC4"/>
    <mergeCell ref="FD2:FD4"/>
    <mergeCell ref="FE2:FE4"/>
    <mergeCell ref="FF2:FF4"/>
    <mergeCell ref="FG2:FG4"/>
    <mergeCell ref="EX2:EX4"/>
    <mergeCell ref="EY2:EY4"/>
    <mergeCell ref="EZ2:EZ4"/>
    <mergeCell ref="FA2:FA4"/>
    <mergeCell ref="FB2:FB4"/>
    <mergeCell ref="ES2:ES4"/>
    <mergeCell ref="ET2:ET4"/>
    <mergeCell ref="EU2:EU4"/>
    <mergeCell ref="EV2:EV4"/>
    <mergeCell ref="EW2:EW4"/>
    <mergeCell ref="EN2:EN4"/>
    <mergeCell ref="EO2:EO4"/>
    <mergeCell ref="EP2:EP4"/>
    <mergeCell ref="EQ2:EQ4"/>
    <mergeCell ref="ER2:ER4"/>
    <mergeCell ref="EI2:EI4"/>
    <mergeCell ref="EJ2:EJ4"/>
    <mergeCell ref="EK2:EK4"/>
    <mergeCell ref="EL2:EL4"/>
    <mergeCell ref="EM2:EM4"/>
    <mergeCell ref="ED2:ED4"/>
    <mergeCell ref="EE2:EE4"/>
    <mergeCell ref="EF2:EF4"/>
    <mergeCell ref="EG2:EG4"/>
    <mergeCell ref="EH2:EH4"/>
    <mergeCell ref="DY2:DY4"/>
    <mergeCell ref="DZ2:DZ4"/>
    <mergeCell ref="EA2:EA4"/>
    <mergeCell ref="EB2:EB4"/>
    <mergeCell ref="EC2:EC4"/>
    <mergeCell ref="DT2:DT4"/>
    <mergeCell ref="DU2:DU4"/>
    <mergeCell ref="DV2:DV4"/>
    <mergeCell ref="DW2:DW4"/>
    <mergeCell ref="DX2:DX4"/>
    <mergeCell ref="DO2:DO4"/>
    <mergeCell ref="DP2:DP4"/>
    <mergeCell ref="DQ2:DQ4"/>
    <mergeCell ref="DR2:DR4"/>
    <mergeCell ref="DS2:DS4"/>
    <mergeCell ref="DJ2:DJ4"/>
    <mergeCell ref="DK2:DK4"/>
    <mergeCell ref="DL2:DL4"/>
    <mergeCell ref="DM2:DM4"/>
    <mergeCell ref="DN2:DN4"/>
    <mergeCell ref="DE2:DE4"/>
    <mergeCell ref="DF2:DF4"/>
    <mergeCell ref="DG2:DG4"/>
    <mergeCell ref="DH2:DH4"/>
    <mergeCell ref="DI2:DI4"/>
    <mergeCell ref="CZ2:CZ4"/>
    <mergeCell ref="DA2:DA4"/>
    <mergeCell ref="DB2:DB4"/>
    <mergeCell ref="DC2:DC4"/>
    <mergeCell ref="DD2:DD4"/>
    <mergeCell ref="CR2:CR4"/>
    <mergeCell ref="CS2:CS4"/>
    <mergeCell ref="CT2:CT4"/>
    <mergeCell ref="CU2:CU4"/>
    <mergeCell ref="CV2:CV4"/>
    <mergeCell ref="CM2:CM4"/>
    <mergeCell ref="CN2:CN4"/>
    <mergeCell ref="CO2:CO4"/>
    <mergeCell ref="CP2:CP4"/>
    <mergeCell ref="CQ2:CQ4"/>
    <mergeCell ref="CH2:CH4"/>
    <mergeCell ref="CI2:CI4"/>
    <mergeCell ref="CJ2:CJ4"/>
    <mergeCell ref="CK2:CK4"/>
    <mergeCell ref="CL2:CL4"/>
    <mergeCell ref="CD2:CD4"/>
    <mergeCell ref="CE2:CE4"/>
    <mergeCell ref="CF2:CF4"/>
    <mergeCell ref="CG2:CG4"/>
    <mergeCell ref="BX2:BX4"/>
    <mergeCell ref="BY2:BY4"/>
    <mergeCell ref="BZ2:BZ4"/>
    <mergeCell ref="CA2:CA4"/>
    <mergeCell ref="CB2:CB4"/>
    <mergeCell ref="S2:S4"/>
    <mergeCell ref="T2:T4"/>
    <mergeCell ref="U2:U4"/>
    <mergeCell ref="GU1:GW1"/>
    <mergeCell ref="GX1:GZ1"/>
    <mergeCell ref="HA1:HC1"/>
    <mergeCell ref="HD1:HF1"/>
    <mergeCell ref="EA1:EC1"/>
    <mergeCell ref="ED1:EF1"/>
    <mergeCell ref="EG1:EI1"/>
    <mergeCell ref="EJ1:EL1"/>
    <mergeCell ref="DI1:DK1"/>
    <mergeCell ref="DL1:DN1"/>
    <mergeCell ref="DO1:DQ1"/>
    <mergeCell ref="DR1:DT1"/>
    <mergeCell ref="DU1:DW1"/>
    <mergeCell ref="DX1:DZ1"/>
    <mergeCell ref="FN1:FP1"/>
    <mergeCell ref="GF1:GH1"/>
    <mergeCell ref="GI1:GK1"/>
    <mergeCell ref="GL1:GN1"/>
    <mergeCell ref="GO1:GQ1"/>
    <mergeCell ref="GR1:GT1"/>
    <mergeCell ref="FQ1:FS1"/>
    <mergeCell ref="AL2:AL4"/>
    <mergeCell ref="AM2:AM4"/>
    <mergeCell ref="AN2:AN4"/>
    <mergeCell ref="AO2:AO4"/>
    <mergeCell ref="AP2:AP4"/>
    <mergeCell ref="CT1:CV1"/>
    <mergeCell ref="CW1:CY1"/>
    <mergeCell ref="CZ1:DB1"/>
    <mergeCell ref="DC1:DE1"/>
    <mergeCell ref="AL1:AN1"/>
    <mergeCell ref="AO1:AQ1"/>
    <mergeCell ref="AR1:AT1"/>
    <mergeCell ref="AX1:AZ1"/>
    <mergeCell ref="BP2:BP4"/>
    <mergeCell ref="BQ2:BQ4"/>
    <mergeCell ref="BR2:BR4"/>
    <mergeCell ref="BV2:BV4"/>
    <mergeCell ref="BW2:BW4"/>
    <mergeCell ref="BK2:BK4"/>
    <mergeCell ref="BL2:BL4"/>
    <mergeCell ref="BM2:BM4"/>
    <mergeCell ref="BN2:BN4"/>
    <mergeCell ref="BO2:BO4"/>
    <mergeCell ref="CC2:CC4"/>
    <mergeCell ref="BG2:BG4"/>
    <mergeCell ref="BH2:BH4"/>
    <mergeCell ref="BI2:BI4"/>
    <mergeCell ref="BJ2:BJ4"/>
    <mergeCell ref="BA2:BA4"/>
    <mergeCell ref="BG1:BI1"/>
    <mergeCell ref="BJ1:BL1"/>
    <mergeCell ref="BM1:BO1"/>
    <mergeCell ref="AU1:AW1"/>
    <mergeCell ref="GC1:GE1"/>
    <mergeCell ref="CK1:CM1"/>
    <mergeCell ref="CN1:CP1"/>
    <mergeCell ref="CQ1:CS1"/>
    <mergeCell ref="BP1:BR1"/>
    <mergeCell ref="BS1:BU1"/>
    <mergeCell ref="BV1:BX1"/>
    <mergeCell ref="BY1:CA1"/>
    <mergeCell ref="CB1:CD1"/>
    <mergeCell ref="CH1:CJ1"/>
    <mergeCell ref="DF1:DH1"/>
    <mergeCell ref="CE1:CG1"/>
    <mergeCell ref="FB1:FD1"/>
    <mergeCell ref="FE1:FG1"/>
    <mergeCell ref="FH1:FJ1"/>
    <mergeCell ref="FK1:FM1"/>
    <mergeCell ref="EM1:EO1"/>
    <mergeCell ref="EP1:ER1"/>
    <mergeCell ref="ES1:EU1"/>
    <mergeCell ref="EV1:EX1"/>
    <mergeCell ref="EY1:FA1"/>
    <mergeCell ref="FT1:FV1"/>
    <mergeCell ref="FW1:FX1"/>
    <mergeCell ref="FZ1:GB1"/>
    <mergeCell ref="AI1:AK1"/>
    <mergeCell ref="AF2:AF4"/>
    <mergeCell ref="AG2:AG4"/>
    <mergeCell ref="AH2:AH4"/>
    <mergeCell ref="AI2:AI4"/>
    <mergeCell ref="AJ2:AJ4"/>
    <mergeCell ref="AK2:AK4"/>
    <mergeCell ref="BA1:BC1"/>
    <mergeCell ref="BD1:BF1"/>
    <mergeCell ref="BB2:BB4"/>
    <mergeCell ref="BC2:BC4"/>
    <mergeCell ref="BD2:BD4"/>
    <mergeCell ref="BE2:BE4"/>
    <mergeCell ref="AY2:AY4"/>
    <mergeCell ref="AZ2:AZ4"/>
    <mergeCell ref="AQ2:AQ4"/>
    <mergeCell ref="AR2:AR4"/>
    <mergeCell ref="AS2:AS4"/>
    <mergeCell ref="AT2:AT4"/>
    <mergeCell ref="AU2:AU4"/>
    <mergeCell ref="AV2:AV4"/>
    <mergeCell ref="AW2:AW4"/>
    <mergeCell ref="AX2:AX4"/>
    <mergeCell ref="BF2:BF4"/>
    <mergeCell ref="J1:L1"/>
    <mergeCell ref="M1:O1"/>
    <mergeCell ref="P1:R1"/>
    <mergeCell ref="A37:C37"/>
    <mergeCell ref="A81:C81"/>
    <mergeCell ref="AE36:AG38"/>
    <mergeCell ref="D42:F42"/>
    <mergeCell ref="D43:D44"/>
    <mergeCell ref="E43:E44"/>
    <mergeCell ref="A1:C1"/>
    <mergeCell ref="A2:C4"/>
    <mergeCell ref="S1:U1"/>
    <mergeCell ref="V1:X1"/>
    <mergeCell ref="Y1:AA1"/>
    <mergeCell ref="AB1:AB4"/>
    <mergeCell ref="AC2:AC4"/>
    <mergeCell ref="AD2:AD4"/>
    <mergeCell ref="AE2:AE4"/>
    <mergeCell ref="M2:M4"/>
    <mergeCell ref="N2:N4"/>
    <mergeCell ref="O2:O4"/>
    <mergeCell ref="P2:P4"/>
    <mergeCell ref="Q2:Q4"/>
    <mergeCell ref="R2:R4"/>
    <mergeCell ref="A253:C253"/>
    <mergeCell ref="A265:C265"/>
    <mergeCell ref="A289:C289"/>
    <mergeCell ref="A92:C92"/>
    <mergeCell ref="A140:C140"/>
    <mergeCell ref="A229:C229"/>
    <mergeCell ref="A241:C241"/>
    <mergeCell ref="D1:F1"/>
    <mergeCell ref="G1:I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301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C1"/>
    </sheetView>
  </sheetViews>
  <sheetFormatPr defaultColWidth="13.85546875" defaultRowHeight="12.75" x14ac:dyDescent="0.2"/>
  <cols>
    <col min="1" max="1" width="13.7109375" style="52" customWidth="1"/>
    <col min="2" max="2" width="10.85546875" style="52" bestFit="1" customWidth="1"/>
    <col min="3" max="3" width="20.1406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85546875" style="52" bestFit="1" customWidth="1"/>
    <col min="79" max="79" width="18.85546875" style="52" bestFit="1" customWidth="1"/>
    <col min="80" max="80" width="11" style="52" bestFit="1" customWidth="1"/>
    <col min="81" max="81" width="10.85546875" style="52" bestFit="1" customWidth="1"/>
    <col min="82" max="82" width="20.28515625" style="52" bestFit="1" customWidth="1"/>
    <col min="83" max="83" width="12.42578125" style="52" bestFit="1" customWidth="1"/>
    <col min="84" max="84" width="9.85546875" style="52" bestFit="1" customWidth="1"/>
    <col min="85" max="85" width="20.28515625" style="52" bestFit="1" customWidth="1"/>
    <col min="86" max="86" width="13.5703125" style="52" bestFit="1" customWidth="1"/>
    <col min="87" max="87" width="9.8554687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5.57031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8.85546875" style="52" bestFit="1" customWidth="1"/>
    <col min="142" max="142" width="7" style="52" bestFit="1" customWidth="1"/>
    <col min="143" max="143" width="12" style="52" bestFit="1" customWidth="1"/>
    <col min="144" max="144" width="9.28515625" style="52" bestFit="1" customWidth="1"/>
    <col min="145" max="145" width="7" style="52" bestFit="1" customWidth="1"/>
    <col min="146" max="146" width="12" style="52" bestFit="1" customWidth="1"/>
    <col min="147" max="147" width="8.85546875" style="52" bestFit="1" customWidth="1"/>
    <col min="148" max="148" width="7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7" style="52" bestFit="1" customWidth="1"/>
    <col min="158" max="158" width="12" style="52" bestFit="1" customWidth="1"/>
    <col min="159" max="159" width="9.28515625" style="52" bestFit="1" customWidth="1"/>
    <col min="160" max="160" width="7" style="52" bestFit="1" customWidth="1"/>
    <col min="161" max="161" width="12" style="52" bestFit="1" customWidth="1"/>
    <col min="162" max="162" width="8.85546875" style="52" bestFit="1" customWidth="1"/>
    <col min="163" max="163" width="7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5.57031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5.57031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9.28515625" style="52" bestFit="1" customWidth="1"/>
    <col min="187" max="187" width="6" style="52" bestFit="1" customWidth="1"/>
    <col min="188" max="188" width="12" style="52" bestFit="1" customWidth="1"/>
    <col min="189" max="189" width="9.28515625" style="52" bestFit="1" customWidth="1"/>
    <col min="190" max="190" width="7" style="52" bestFit="1" customWidth="1"/>
    <col min="191" max="191" width="12" style="52" bestFit="1" customWidth="1"/>
    <col min="192" max="192" width="9.28515625" style="52" bestFit="1" customWidth="1"/>
    <col min="193" max="193" width="7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7" style="52" bestFit="1" customWidth="1"/>
    <col min="203" max="203" width="12" style="52" bestFit="1" customWidth="1"/>
    <col min="204" max="204" width="9.28515625" style="52" bestFit="1" customWidth="1"/>
    <col min="205" max="205" width="7" style="52" bestFit="1" customWidth="1"/>
    <col min="206" max="206" width="12" style="52" bestFit="1" customWidth="1"/>
    <col min="207" max="207" width="9.28515625" style="52" bestFit="1" customWidth="1"/>
    <col min="208" max="208" width="7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13" style="52" bestFit="1" customWidth="1"/>
    <col min="214" max="214" width="20.5703125" style="52" bestFit="1" customWidth="1"/>
    <col min="215" max="16384" width="13.85546875" style="52"/>
  </cols>
  <sheetData>
    <row r="1" spans="1:214" ht="21.75" customHeight="1" thickTop="1" thickBot="1" x14ac:dyDescent="0.25">
      <c r="A1" s="652" t="s">
        <v>359</v>
      </c>
      <c r="B1" s="653"/>
      <c r="C1" s="654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532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658" t="s">
        <v>557</v>
      </c>
      <c r="AJ1" s="659"/>
      <c r="AK1" s="660"/>
      <c r="AL1" s="661" t="s">
        <v>546</v>
      </c>
      <c r="AM1" s="659"/>
      <c r="AN1" s="660"/>
      <c r="AO1" s="661" t="s">
        <v>547</v>
      </c>
      <c r="AP1" s="659"/>
      <c r="AQ1" s="662"/>
      <c r="AR1" s="658" t="s">
        <v>559</v>
      </c>
      <c r="AS1" s="659"/>
      <c r="AT1" s="660"/>
      <c r="AU1" s="661" t="s">
        <v>548</v>
      </c>
      <c r="AV1" s="659"/>
      <c r="AW1" s="660"/>
      <c r="AX1" s="661" t="s">
        <v>549</v>
      </c>
      <c r="AY1" s="659"/>
      <c r="AZ1" s="662"/>
      <c r="BA1" s="658" t="s">
        <v>561</v>
      </c>
      <c r="BB1" s="659"/>
      <c r="BC1" s="660"/>
      <c r="BD1" s="661" t="s">
        <v>551</v>
      </c>
      <c r="BE1" s="659"/>
      <c r="BF1" s="660"/>
      <c r="BG1" s="661" t="s">
        <v>552</v>
      </c>
      <c r="BH1" s="659"/>
      <c r="BI1" s="662"/>
      <c r="BJ1" s="658" t="s">
        <v>564</v>
      </c>
      <c r="BK1" s="659"/>
      <c r="BL1" s="660"/>
      <c r="BM1" s="661" t="s">
        <v>554</v>
      </c>
      <c r="BN1" s="659"/>
      <c r="BO1" s="660"/>
      <c r="BP1" s="661" t="s">
        <v>555</v>
      </c>
      <c r="BQ1" s="659"/>
      <c r="BR1" s="662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675" t="s">
        <v>569</v>
      </c>
      <c r="CC1" s="673"/>
      <c r="CD1" s="673"/>
      <c r="CE1" s="676" t="s">
        <v>570</v>
      </c>
      <c r="CF1" s="673"/>
      <c r="CG1" s="677"/>
      <c r="CH1" s="673" t="s">
        <v>571</v>
      </c>
      <c r="CI1" s="673"/>
      <c r="CJ1" s="674"/>
      <c r="CK1" s="675" t="s">
        <v>575</v>
      </c>
      <c r="CL1" s="673"/>
      <c r="CM1" s="673"/>
      <c r="CN1" s="676" t="s">
        <v>575</v>
      </c>
      <c r="CO1" s="673"/>
      <c r="CP1" s="677"/>
      <c r="CQ1" s="673" t="s">
        <v>575</v>
      </c>
      <c r="CR1" s="673"/>
      <c r="CS1" s="674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3.5" customHeight="1" thickTop="1" x14ac:dyDescent="0.2">
      <c r="A2" s="372" t="s">
        <v>233</v>
      </c>
      <c r="B2" s="373"/>
      <c r="C2" s="374"/>
      <c r="D2" s="193"/>
      <c r="E2" s="194"/>
      <c r="F2" s="194"/>
      <c r="G2" s="363" t="s">
        <v>531</v>
      </c>
      <c r="H2" s="360">
        <f>1/((1/H10)+(1/H12)+(1/H13)+(1/H11))</f>
        <v>3.0704118497646202E-4</v>
      </c>
      <c r="I2" s="625" t="s">
        <v>291</v>
      </c>
      <c r="J2" s="622" t="s">
        <v>531</v>
      </c>
      <c r="K2" s="360">
        <f>1/((1/K14)+(1/K15)+(1/K16)+(1/K17))</f>
        <v>2.5657712963068945E-3</v>
      </c>
      <c r="L2" s="345" t="s">
        <v>290</v>
      </c>
      <c r="M2" s="330" t="s">
        <v>537</v>
      </c>
      <c r="N2" s="333">
        <f>((N5*N6*N7)/((1-EXP(-N7*N6))*N15*N13*(N9/365)*(((N14/24)*N12)+((N16/24)*N11))))/N17</f>
        <v>1.0682698305269514E-2</v>
      </c>
      <c r="O2" s="336" t="s">
        <v>290</v>
      </c>
      <c r="P2" s="339" t="s">
        <v>537</v>
      </c>
      <c r="Q2" s="333">
        <f>((Q5*Q6*Q7)/((1-EXP(-Q7*Q6))*Q15*Q13*(Q9/365)*(((Q14/24)*Q12)+((Q16/24)*Q11))))/Q17</f>
        <v>5.7873258780003774E-2</v>
      </c>
      <c r="R2" s="336" t="s">
        <v>290</v>
      </c>
      <c r="S2" s="339" t="s">
        <v>537</v>
      </c>
      <c r="T2" s="333">
        <f>((T5*T6*T7)/((1-EXP(-T7*T6))*T15*T13*(T9/365)*(((T14/24)*T12)+((T16/24)*T11))))/T17</f>
        <v>1.2602422102199551E-2</v>
      </c>
      <c r="U2" s="342" t="s">
        <v>290</v>
      </c>
      <c r="V2" s="204"/>
      <c r="W2" s="205"/>
      <c r="X2" s="205"/>
      <c r="Y2" s="206"/>
      <c r="Z2" s="205"/>
      <c r="AA2" s="207"/>
      <c r="AB2" s="310"/>
      <c r="AC2" s="312">
        <f>1/((1/AC29)+(1/AC30)+(1/AC31))</f>
        <v>1.5382697688577461E-2</v>
      </c>
      <c r="AD2" s="315">
        <f>1/((1/AD29)+(1/AD30)+(1/AD31))</f>
        <v>3.835018299390465E-2</v>
      </c>
      <c r="AE2" s="315">
        <f>1/((1/AE29)+(1/AE30)+(1/AE31))</f>
        <v>1.7091886320641625E-2</v>
      </c>
      <c r="AF2" s="315">
        <f>1/((1/AF29)+(1/AF30)+(1/AF31))</f>
        <v>0.11181038629712836</v>
      </c>
      <c r="AG2" s="320">
        <f>1/((1/AG29)+(1/AG31)+(1/AG30))</f>
        <v>0.41752533188422714</v>
      </c>
      <c r="AH2" s="318" t="s">
        <v>290</v>
      </c>
      <c r="AI2" s="307" t="s">
        <v>537</v>
      </c>
      <c r="AJ2" s="304">
        <f>((AJ5*AJ6*AJ7)/((1-EXP(-AJ7*AJ6))*AJ15*(AJ9/365)*AJ10*(AJ16/24)*AJ11*AJ13))/AJ17</f>
        <v>3.8877543942367344E-2</v>
      </c>
      <c r="AK2" s="291" t="s">
        <v>290</v>
      </c>
      <c r="AL2" s="288" t="s">
        <v>537</v>
      </c>
      <c r="AM2" s="304">
        <f>((AM5*AM6*AM7)/((1-EXP(-AM7*AM6))*AM15*(AM9/365)*AM10*(AM16/24)*AM11*AM13))/AM17</f>
        <v>0.21061815067806772</v>
      </c>
      <c r="AN2" s="291" t="s">
        <v>290</v>
      </c>
      <c r="AO2" s="288" t="s">
        <v>537</v>
      </c>
      <c r="AP2" s="304">
        <f>((AP5*AP6*AP7)/((1-EXP(-AP7*AP6))*AP15*(AP9/365)*AP10*(AP16/24)*AP11*AP13))/AP17</f>
        <v>4.5863994756534833E-2</v>
      </c>
      <c r="AQ2" s="282" t="s">
        <v>290</v>
      </c>
      <c r="AR2" s="665" t="s">
        <v>537</v>
      </c>
      <c r="AS2" s="304">
        <f>((AS5*AS6*AS7)/((1-EXP(-AS7*AS6))*AS15*(AS9/365)*AS10*(AS14/24)*AS12*AS13))/AS17</f>
        <v>1.7278908418829928E-2</v>
      </c>
      <c r="AT2" s="667" t="s">
        <v>290</v>
      </c>
      <c r="AU2" s="663" t="s">
        <v>537</v>
      </c>
      <c r="AV2" s="304">
        <f>((AV5*AV6*AV7)/((1-EXP(-AV7*AV6))*AV15*(AV9/365)*AV10*(AV14/24)*AV12*AV13))/AV17</f>
        <v>9.360806696803009E-2</v>
      </c>
      <c r="AW2" s="671" t="s">
        <v>290</v>
      </c>
      <c r="AX2" s="663" t="s">
        <v>537</v>
      </c>
      <c r="AY2" s="304">
        <f>((AY5*AY6*AY7)/((1-EXP(-AY7*AY6))*AY15*(AY9/365)*AY10*(AY14/24)*AY12*AY13))/AY17</f>
        <v>2.0383997669571035E-2</v>
      </c>
      <c r="AZ2" s="669" t="s">
        <v>290</v>
      </c>
      <c r="BA2" s="665" t="s">
        <v>537</v>
      </c>
      <c r="BB2" s="304">
        <f>((BB5*BB6*BB7)/((1-EXP(-BB7*BB6))*BB15*(BB9/365)*(BB14/24)*BB12*BB13))/BB17</f>
        <v>1.5551017576946937E-2</v>
      </c>
      <c r="BC2" s="667" t="s">
        <v>290</v>
      </c>
      <c r="BD2" s="663" t="s">
        <v>537</v>
      </c>
      <c r="BE2" s="304">
        <f>((BE5*BE6*BE7)/((1-EXP(-BE7*BE6))*BE15*(BE9/365)*(BE14/24)*BE12*BE13))/BE17</f>
        <v>8.4247260271227101E-2</v>
      </c>
      <c r="BF2" s="667" t="s">
        <v>290</v>
      </c>
      <c r="BG2" s="663" t="s">
        <v>537</v>
      </c>
      <c r="BH2" s="304">
        <f>((BH5*BH6*BH7)/((1-EXP(-BH7*BH6))*BH15*(BH9/365)*(BH14/24)*BH12*BH13))/BH17</f>
        <v>1.8345597902613933E-2</v>
      </c>
      <c r="BI2" s="669" t="s">
        <v>290</v>
      </c>
      <c r="BJ2" s="665" t="s">
        <v>537</v>
      </c>
      <c r="BK2" s="285">
        <f>((BK5*BK6*BK7)/((1-EXP(-BK7*BK6))*BK16*(BK9/365)*(BK15/24)*BK13*BK14))/BK17</f>
        <v>85.693285375493517</v>
      </c>
      <c r="BL2" s="667" t="s">
        <v>290</v>
      </c>
      <c r="BM2" s="663" t="s">
        <v>537</v>
      </c>
      <c r="BN2" s="285">
        <f>((BN5*BN6*BN7)/((1-EXP(-BN7*BN6))*BN16*(BN9/365)*(BN15/24)*BN13*BN14))/BN17</f>
        <v>969.12793216720252</v>
      </c>
      <c r="BO2" s="667" t="s">
        <v>290</v>
      </c>
      <c r="BP2" s="663" t="s">
        <v>537</v>
      </c>
      <c r="BQ2" s="285">
        <f>((BQ5*BQ6*BQ7)/((1-EXP(-BQ7*BQ6))*BQ16*(BQ9/365)*(BQ15/24)*BQ13*BQ14))/BQ17</f>
        <v>122.62116610040594</v>
      </c>
      <c r="BR2" s="669" t="s">
        <v>290</v>
      </c>
      <c r="BS2" s="214"/>
      <c r="BT2" s="120"/>
      <c r="BU2" s="215"/>
      <c r="BV2" s="258" t="s">
        <v>531</v>
      </c>
      <c r="BW2" s="261">
        <f>1/((1/BW10)+(1/BW12))</f>
        <v>0.21077284370184196</v>
      </c>
      <c r="BX2" s="278" t="s">
        <v>291</v>
      </c>
      <c r="BY2" s="258" t="s">
        <v>531</v>
      </c>
      <c r="BZ2" s="261">
        <f>1/((1/BZ13)+(1/BZ14)+(1/BZ15))</f>
        <v>2.3864538136200468</v>
      </c>
      <c r="CA2" s="264" t="s">
        <v>290</v>
      </c>
      <c r="CB2" s="268" t="s">
        <v>537</v>
      </c>
      <c r="CC2" s="262">
        <f>((CC5*CC6*CC7)/((1-EXP(-CC7*CC6))*CC14*(CC9/365)*CC12*(CC13/24)*CC11))/CC15</f>
        <v>2285.1542766798279</v>
      </c>
      <c r="CD2" s="279" t="s">
        <v>290</v>
      </c>
      <c r="CE2" s="259" t="s">
        <v>537</v>
      </c>
      <c r="CF2" s="262">
        <f>((CF5*CF6*CF7)/((1-EXP(-CF7*CF6))*CF14*(CF9/365)*CF12*(CF13/24)*CF11))/CF15</f>
        <v>25843.411524458741</v>
      </c>
      <c r="CG2" s="279" t="s">
        <v>290</v>
      </c>
      <c r="CH2" s="259" t="s">
        <v>537</v>
      </c>
      <c r="CI2" s="262">
        <f>((CI5*CI6*CI7)/((1-EXP(-CI7*CI6))*CI14*(CI9/365)*CI12*(CI13/24)*CI11))/CI15</f>
        <v>3269.8977626774918</v>
      </c>
      <c r="CJ2" s="265" t="s">
        <v>290</v>
      </c>
      <c r="CK2" s="268" t="s">
        <v>530</v>
      </c>
      <c r="CL2" s="262">
        <f>(CL5/(CL6*CL7*CL8))/CL9</f>
        <v>0.2938064195038359</v>
      </c>
      <c r="CM2" s="279" t="s">
        <v>290</v>
      </c>
      <c r="CN2" s="259" t="s">
        <v>7</v>
      </c>
      <c r="CO2" s="262" t="e">
        <f>(CL2/(CO5*((CO10*CO12*CO13*(CO6+CO7))+(CO11*CO12))))*CO17</f>
        <v>#DIV/0!</v>
      </c>
      <c r="CP2" s="279" t="s">
        <v>290</v>
      </c>
      <c r="CQ2" s="259" t="s">
        <v>6</v>
      </c>
      <c r="CR2" s="262" t="e">
        <f>CL2/(CR5*CR6*(1/CR7))</f>
        <v>#DIV/0!</v>
      </c>
      <c r="CS2" s="265" t="s">
        <v>290</v>
      </c>
      <c r="CT2" s="395" t="s">
        <v>531</v>
      </c>
      <c r="CU2" s="392">
        <f>1/((1/CU14)+(1/CU15)+(1/CU16)+(1/CU17)+(1/CU21)+(1/CU22)+(1/CU24))</f>
        <v>9.8904144693828669E-5</v>
      </c>
      <c r="CV2" s="389" t="s">
        <v>290</v>
      </c>
      <c r="CW2" s="218"/>
      <c r="CX2" s="219"/>
      <c r="CY2" s="219"/>
      <c r="CZ2" s="407" t="s">
        <v>531</v>
      </c>
      <c r="DA2" s="404">
        <f>1/((1/DA13)+(1/DA15)+(1/DA16)+(1/DA14))</f>
        <v>2.9007212569007141E-4</v>
      </c>
      <c r="DB2" s="401" t="s">
        <v>291</v>
      </c>
      <c r="DC2" s="442" t="s">
        <v>530</v>
      </c>
      <c r="DD2" s="439">
        <f>DD7</f>
        <v>2.3011574942929399E-4</v>
      </c>
      <c r="DE2" s="436" t="s">
        <v>290</v>
      </c>
      <c r="DF2" s="433" t="s">
        <v>530</v>
      </c>
      <c r="DG2" s="424">
        <f>DD7/((1/DG24)*(DG5+DG6+DG7))</f>
        <v>1.7166364745642711E-2</v>
      </c>
      <c r="DH2" s="430" t="s">
        <v>291</v>
      </c>
      <c r="DI2" s="427" t="s">
        <v>530</v>
      </c>
      <c r="DJ2" s="424">
        <f>(DD7/(DJ5+DJ6))*DJ12</f>
        <v>8.3757491800838535E-4</v>
      </c>
      <c r="DK2" s="430" t="s">
        <v>290</v>
      </c>
      <c r="DL2" s="427" t="s">
        <v>581</v>
      </c>
      <c r="DM2" s="424">
        <f>((DD7)/(DM5+DM6))*DJ12</f>
        <v>8.3757491800838535E-4</v>
      </c>
      <c r="DN2" s="430" t="s">
        <v>290</v>
      </c>
      <c r="DO2" s="427" t="s">
        <v>582</v>
      </c>
      <c r="DP2" s="424">
        <f>-(DP5+DP6+DP7)/(DP23+DP24)</f>
        <v>-49.001215422593845</v>
      </c>
      <c r="DQ2" s="421" t="s">
        <v>18</v>
      </c>
      <c r="DR2" s="574" t="s">
        <v>530</v>
      </c>
      <c r="DS2" s="445">
        <f>DS7</f>
        <v>1.4601277517795771E-4</v>
      </c>
      <c r="DT2" s="484" t="s">
        <v>290</v>
      </c>
      <c r="DU2" s="481" t="s">
        <v>530</v>
      </c>
      <c r="DV2" s="463">
        <f>(DS7*DV8)/(DV5*DV6*(1/1000))</f>
        <v>4.3018637995794178</v>
      </c>
      <c r="DW2" s="466" t="s">
        <v>291</v>
      </c>
      <c r="DX2" s="478" t="s">
        <v>530</v>
      </c>
      <c r="DY2" s="463">
        <f>(DS7*DY14)/(DY9*((DY10*DY12*DY13*(DY5+DY6))+(DY11*DY12)))*DY18</f>
        <v>6.8015529803151425E-2</v>
      </c>
      <c r="DZ2" s="466" t="s">
        <v>290</v>
      </c>
      <c r="EA2" s="478" t="s">
        <v>581</v>
      </c>
      <c r="EB2" s="463">
        <f>(DS7*DY14)/(EB9*((EB10*EB12*EB13*(EB5+EB6))+(EB11*EB12)))*DY18</f>
        <v>6.8015529803151425E-2</v>
      </c>
      <c r="EC2" s="466" t="s">
        <v>290</v>
      </c>
      <c r="ED2" s="478" t="s">
        <v>582</v>
      </c>
      <c r="EE2" s="463">
        <f>-EE15/((EE10*EE12*EE13*(EE5+EE6))+(EE11*EE12))</f>
        <v>-15.807288534561259</v>
      </c>
      <c r="EF2" s="460" t="s">
        <v>18</v>
      </c>
      <c r="EG2" s="475" t="s">
        <v>530</v>
      </c>
      <c r="EH2" s="469">
        <f>EH7</f>
        <v>4.0020670924646528E-4</v>
      </c>
      <c r="EI2" s="457" t="s">
        <v>290</v>
      </c>
      <c r="EJ2" s="472" t="s">
        <v>530</v>
      </c>
      <c r="EK2" s="454">
        <f>EH7/(EK5*EK6)</f>
        <v>4.4418058739896255E-3</v>
      </c>
      <c r="EL2" s="451" t="s">
        <v>291</v>
      </c>
      <c r="EM2" s="448" t="s">
        <v>530</v>
      </c>
      <c r="EN2" s="454">
        <f>(EH7/(EN9*((EN10*EN12*EN13*(EN5+EN6))+(EN11*EN12))))*EN17</f>
        <v>6.464265734455775E-2</v>
      </c>
      <c r="EO2" s="451" t="s">
        <v>290</v>
      </c>
      <c r="EP2" s="448" t="s">
        <v>581</v>
      </c>
      <c r="EQ2" s="454">
        <f>(EH7/(EQ9*((EQ10*EQ12*EQ13*(EQ5+EQ6))+(EQ11*EQ12))))*EN17</f>
        <v>6.464265734455775E-2</v>
      </c>
      <c r="ER2" s="451" t="s">
        <v>290</v>
      </c>
      <c r="ES2" s="448" t="s">
        <v>582</v>
      </c>
      <c r="ET2" s="454">
        <f>-ET15/((ET10*ET12*ET13*(ET5+ET6))+(ET11*ET12))</f>
        <v>-14.550086614194845</v>
      </c>
      <c r="EU2" s="499" t="s">
        <v>18</v>
      </c>
      <c r="EV2" s="496" t="s">
        <v>530</v>
      </c>
      <c r="EW2" s="493">
        <f>EW7</f>
        <v>1.3386173064393278E-3</v>
      </c>
      <c r="EX2" s="490" t="s">
        <v>290</v>
      </c>
      <c r="EY2" s="487" t="s">
        <v>530</v>
      </c>
      <c r="EZ2" s="586" t="e">
        <f>EW7/(EZ5*EZ6*(1/EZ7))</f>
        <v>#DIV/0!</v>
      </c>
      <c r="FA2" s="592" t="s">
        <v>291</v>
      </c>
      <c r="FB2" s="589" t="s">
        <v>530</v>
      </c>
      <c r="FC2" s="586" t="e">
        <f>(EW7/(FC9*((FC10*FC12*FC13*(FC5+FC6))+(FC11*FC12))))*FC17</f>
        <v>#DIV/0!</v>
      </c>
      <c r="FD2" s="595" t="s">
        <v>290</v>
      </c>
      <c r="FE2" s="589" t="s">
        <v>581</v>
      </c>
      <c r="FF2" s="586" t="e">
        <f>(EW7/(FF9*((FF10*FF12*FF13*(FF5+FF6))+(FF11*FF12))))*FC17</f>
        <v>#DIV/0!</v>
      </c>
      <c r="FG2" s="592" t="s">
        <v>290</v>
      </c>
      <c r="FH2" s="589" t="s">
        <v>582</v>
      </c>
      <c r="FI2" s="586">
        <f>-FI15/((FI10*FI12*FI13*(FI5+FI6))+(FI11*FI12))</f>
        <v>-5.3050397877984095</v>
      </c>
      <c r="FJ2" s="583" t="s">
        <v>18</v>
      </c>
      <c r="FK2" s="580" t="s">
        <v>530</v>
      </c>
      <c r="FL2" s="577">
        <f>FL7</f>
        <v>4.5951768823522142E-4</v>
      </c>
      <c r="FM2" s="571" t="s">
        <v>290</v>
      </c>
      <c r="FN2" s="568" t="s">
        <v>530</v>
      </c>
      <c r="FO2" s="505">
        <f>FL7/(FO5*(1/FO6))</f>
        <v>0.11487942205880536</v>
      </c>
      <c r="FP2" s="511" t="s">
        <v>291</v>
      </c>
      <c r="FQ2" s="508" t="s">
        <v>530</v>
      </c>
      <c r="FR2" s="505">
        <f>((FL7*FR6)/FR5)*FR10</f>
        <v>1.1490430242956746E-4</v>
      </c>
      <c r="FS2" s="511" t="s">
        <v>290</v>
      </c>
      <c r="FT2" s="508" t="s">
        <v>581</v>
      </c>
      <c r="FU2" s="505">
        <f>((FL7*FU6)/FU5)*FR10</f>
        <v>1.1490430242956746E-4</v>
      </c>
      <c r="FV2" s="511" t="s">
        <v>290</v>
      </c>
      <c r="FW2" s="508" t="s">
        <v>582</v>
      </c>
      <c r="FX2" s="505">
        <f>-FX5/FX6</f>
        <v>-1E-3</v>
      </c>
      <c r="FY2" s="502" t="s">
        <v>18</v>
      </c>
      <c r="FZ2" s="556" t="s">
        <v>530</v>
      </c>
      <c r="GA2" s="553">
        <f>GA7</f>
        <v>6.6870439155717145E-4</v>
      </c>
      <c r="GB2" s="550" t="s">
        <v>290</v>
      </c>
      <c r="GC2" s="559" t="s">
        <v>530</v>
      </c>
      <c r="GD2" s="538" t="e">
        <f>GA7/(GD5*GD6*(1/GD7))</f>
        <v>#DIV/0!</v>
      </c>
      <c r="GE2" s="544" t="s">
        <v>291</v>
      </c>
      <c r="GF2" s="541" t="s">
        <v>530</v>
      </c>
      <c r="GG2" s="538" t="e">
        <f>(GA7/((GG9)*((GG10*GG12*GG13*(GG5+GG6))+(GG11*GG12))))*GG17</f>
        <v>#DIV/0!</v>
      </c>
      <c r="GH2" s="544" t="s">
        <v>290</v>
      </c>
      <c r="GI2" s="541" t="s">
        <v>581</v>
      </c>
      <c r="GJ2" s="538" t="e">
        <f>(GA7/((GJ9)*((GJ10*GJ12*GJ13*(GJ5+GJ6))+(GJ11*GJ12))))*GG17</f>
        <v>#DIV/0!</v>
      </c>
      <c r="GK2" s="544" t="s">
        <v>290</v>
      </c>
      <c r="GL2" s="541" t="s">
        <v>582</v>
      </c>
      <c r="GM2" s="688">
        <f>-GM15/((GM10*GM12*GM13*(GM5+GM6))+(GM11*GM12))</f>
        <v>-5.3050397877984095</v>
      </c>
      <c r="GN2" s="535" t="s">
        <v>18</v>
      </c>
      <c r="GO2" s="532" t="s">
        <v>530</v>
      </c>
      <c r="GP2" s="529">
        <f>GP7</f>
        <v>7.3216093109789153E-4</v>
      </c>
      <c r="GQ2" s="526" t="s">
        <v>290</v>
      </c>
      <c r="GR2" s="523" t="s">
        <v>530</v>
      </c>
      <c r="GS2" s="517" t="e">
        <f>GP7/(GS5*GS6*(1/GS7))</f>
        <v>#DIV/0!</v>
      </c>
      <c r="GT2" s="514" t="s">
        <v>291</v>
      </c>
      <c r="GU2" s="520" t="s">
        <v>530</v>
      </c>
      <c r="GV2" s="517" t="e">
        <f>(GP7/((GV9)*((GV10*GV12*GV13*(GV5+GV6))+(GV11*GV12))))*GV17</f>
        <v>#DIV/0!</v>
      </c>
      <c r="GW2" s="514" t="s">
        <v>290</v>
      </c>
      <c r="GX2" s="520" t="s">
        <v>581</v>
      </c>
      <c r="GY2" s="517" t="e">
        <f>(GP7/((GY9*((GY10*GY12*GY13*(GY5+GY6))+(GY11*GY12)))))*GV17</f>
        <v>#DIV/0!</v>
      </c>
      <c r="GZ2" s="514" t="s">
        <v>290</v>
      </c>
      <c r="HA2" s="520" t="s">
        <v>582</v>
      </c>
      <c r="HB2" s="517">
        <f>-HB15/((HB10*HB12*HB13*(HB5+HB6))+(HB11*HB12))</f>
        <v>-7.0158163579297179</v>
      </c>
      <c r="HC2" s="547" t="s">
        <v>18</v>
      </c>
      <c r="HD2" s="54"/>
      <c r="HE2" s="55"/>
      <c r="HF2" s="56"/>
    </row>
    <row r="3" spans="1:214" ht="12.75" customHeight="1" x14ac:dyDescent="0.2">
      <c r="A3" s="375"/>
      <c r="B3" s="376"/>
      <c r="C3" s="377"/>
      <c r="D3" s="189" t="s">
        <v>15</v>
      </c>
      <c r="E3" s="134">
        <f>1/((1/E19)+(1/E20))</f>
        <v>2.461535945997031E-6</v>
      </c>
      <c r="F3" s="58" t="s">
        <v>289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1.1074674279611652E-5</v>
      </c>
      <c r="X3" s="62" t="s">
        <v>289</v>
      </c>
      <c r="Y3" s="202" t="s">
        <v>16</v>
      </c>
      <c r="Z3" s="187">
        <f>1/((1/Z18)+(1/Z19))</f>
        <v>9.9672068516504862E-6</v>
      </c>
      <c r="AA3" s="63" t="s">
        <v>289</v>
      </c>
      <c r="AB3" s="310"/>
      <c r="AC3" s="313"/>
      <c r="AD3" s="316"/>
      <c r="AE3" s="316"/>
      <c r="AF3" s="316"/>
      <c r="AG3" s="321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665"/>
      <c r="AS3" s="304"/>
      <c r="AT3" s="667"/>
      <c r="AU3" s="663"/>
      <c r="AV3" s="304"/>
      <c r="AW3" s="671"/>
      <c r="AX3" s="663"/>
      <c r="AY3" s="304"/>
      <c r="AZ3" s="669"/>
      <c r="BA3" s="665"/>
      <c r="BB3" s="304"/>
      <c r="BC3" s="667"/>
      <c r="BD3" s="663"/>
      <c r="BE3" s="304"/>
      <c r="BF3" s="667"/>
      <c r="BG3" s="663"/>
      <c r="BH3" s="304"/>
      <c r="BI3" s="669"/>
      <c r="BJ3" s="665"/>
      <c r="BK3" s="285"/>
      <c r="BL3" s="667"/>
      <c r="BM3" s="663"/>
      <c r="BN3" s="285"/>
      <c r="BO3" s="667"/>
      <c r="BP3" s="663"/>
      <c r="BQ3" s="285"/>
      <c r="BR3" s="669"/>
      <c r="BS3" s="212" t="s">
        <v>15</v>
      </c>
      <c r="BT3" s="64">
        <f>1/((1/BT18)+(1/BT19))</f>
        <v>2.7569202595166748E-4</v>
      </c>
      <c r="BU3" s="53" t="s">
        <v>289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79"/>
      <c r="CN3" s="259"/>
      <c r="CO3" s="262"/>
      <c r="CP3" s="279"/>
      <c r="CQ3" s="259"/>
      <c r="CR3" s="262"/>
      <c r="CS3" s="265"/>
      <c r="CT3" s="396"/>
      <c r="CU3" s="393"/>
      <c r="CV3" s="390"/>
      <c r="CW3" s="216" t="s">
        <v>15</v>
      </c>
      <c r="CX3" s="65">
        <f>1/((1/CX19)+(1/CX20))</f>
        <v>2.4597927519204421E-6</v>
      </c>
      <c r="CY3" s="66" t="s">
        <v>289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68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126">
        <f>(HE5*HE14)*(10^-3)*(HE13+(HE10/HE11))*((HE12*HE7)/HE8)</f>
        <v>2.2204830239385252E-4</v>
      </c>
      <c r="HF3" s="220" t="s">
        <v>595</v>
      </c>
    </row>
    <row r="4" spans="1:214" ht="13.5" customHeight="1" thickBot="1" x14ac:dyDescent="0.25">
      <c r="A4" s="378"/>
      <c r="B4" s="379"/>
      <c r="C4" s="380"/>
      <c r="D4" s="190" t="s">
        <v>16</v>
      </c>
      <c r="E4" s="135">
        <f>1/((1/E21)+(1/E22))</f>
        <v>2.4620690608567951E-6</v>
      </c>
      <c r="F4" s="68" t="s">
        <v>289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1.107227626668855E-5</v>
      </c>
      <c r="X4" s="76" t="s">
        <v>289</v>
      </c>
      <c r="Y4" s="203" t="s">
        <v>15</v>
      </c>
      <c r="Z4" s="186">
        <f>1/((1/Z16)+(1/Z17))</f>
        <v>9.9650486400196941E-6</v>
      </c>
      <c r="AA4" s="77" t="s">
        <v>289</v>
      </c>
      <c r="AB4" s="311"/>
      <c r="AC4" s="314"/>
      <c r="AD4" s="317"/>
      <c r="AE4" s="317"/>
      <c r="AF4" s="317"/>
      <c r="AG4" s="322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666"/>
      <c r="AS4" s="305"/>
      <c r="AT4" s="668"/>
      <c r="AU4" s="664"/>
      <c r="AV4" s="305"/>
      <c r="AW4" s="672"/>
      <c r="AX4" s="664"/>
      <c r="AY4" s="305"/>
      <c r="AZ4" s="670"/>
      <c r="BA4" s="666"/>
      <c r="BB4" s="305"/>
      <c r="BC4" s="668"/>
      <c r="BD4" s="664"/>
      <c r="BE4" s="305"/>
      <c r="BF4" s="668"/>
      <c r="BG4" s="664"/>
      <c r="BH4" s="305"/>
      <c r="BI4" s="670"/>
      <c r="BJ4" s="666"/>
      <c r="BK4" s="286"/>
      <c r="BL4" s="668"/>
      <c r="BM4" s="664"/>
      <c r="BN4" s="286"/>
      <c r="BO4" s="668"/>
      <c r="BP4" s="664"/>
      <c r="BQ4" s="286"/>
      <c r="BR4" s="670"/>
      <c r="BS4" s="213" t="s">
        <v>16</v>
      </c>
      <c r="BT4" s="78">
        <f>1/((1/BT20)+(1/BT21))</f>
        <v>2.7575173481596098E-4</v>
      </c>
      <c r="BU4" s="79" t="s">
        <v>289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80"/>
      <c r="CN4" s="260"/>
      <c r="CO4" s="263"/>
      <c r="CP4" s="280"/>
      <c r="CQ4" s="260"/>
      <c r="CR4" s="263"/>
      <c r="CS4" s="266"/>
      <c r="CT4" s="397"/>
      <c r="CU4" s="394"/>
      <c r="CV4" s="391"/>
      <c r="CW4" s="217" t="s">
        <v>16</v>
      </c>
      <c r="CX4" s="80">
        <f>1/((1/CX21)+(1/CX22))</f>
        <v>2.4603254892424877E-6</v>
      </c>
      <c r="CY4" s="81" t="s">
        <v>289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69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127">
        <f>(HE6*HE14)*10^-3*(HE13+(HE10/HE11))*((HE12*HE7)/(HE8))</f>
        <v>3.6852922005971006E-7</v>
      </c>
      <c r="HF4" s="221" t="s">
        <v>596</v>
      </c>
    </row>
    <row r="5" spans="1:214" ht="13.5" thickTop="1" x14ac:dyDescent="0.2">
      <c r="A5" s="52" t="s">
        <v>267</v>
      </c>
      <c r="B5" s="129">
        <v>1</v>
      </c>
      <c r="C5" s="52" t="s">
        <v>344</v>
      </c>
      <c r="D5" s="52" t="s">
        <v>267</v>
      </c>
      <c r="E5" s="136">
        <f>B5</f>
        <v>1</v>
      </c>
      <c r="F5" s="52" t="s">
        <v>344</v>
      </c>
      <c r="G5" s="83" t="s">
        <v>267</v>
      </c>
      <c r="H5" s="136">
        <f>B5</f>
        <v>1</v>
      </c>
      <c r="I5" s="52" t="s">
        <v>344</v>
      </c>
      <c r="J5" s="83" t="s">
        <v>267</v>
      </c>
      <c r="K5" s="136">
        <f>B5</f>
        <v>1</v>
      </c>
      <c r="L5" s="52" t="s">
        <v>344</v>
      </c>
      <c r="M5" s="52" t="s">
        <v>267</v>
      </c>
      <c r="N5" s="136">
        <f>B5</f>
        <v>1</v>
      </c>
      <c r="O5" s="52" t="s">
        <v>344</v>
      </c>
      <c r="P5" s="52" t="s">
        <v>267</v>
      </c>
      <c r="Q5" s="136">
        <f>B5</f>
        <v>1</v>
      </c>
      <c r="R5" s="52" t="s">
        <v>344</v>
      </c>
      <c r="S5" s="52" t="s">
        <v>267</v>
      </c>
      <c r="T5" s="136">
        <f>B5</f>
        <v>1</v>
      </c>
      <c r="U5" s="52" t="s">
        <v>344</v>
      </c>
      <c r="V5" s="52" t="s">
        <v>267</v>
      </c>
      <c r="W5" s="136">
        <f>B5</f>
        <v>1</v>
      </c>
      <c r="X5" s="52" t="s">
        <v>344</v>
      </c>
      <c r="Y5" s="52" t="s">
        <v>267</v>
      </c>
      <c r="Z5" s="136">
        <f>B5</f>
        <v>1</v>
      </c>
      <c r="AA5" s="52" t="s">
        <v>344</v>
      </c>
      <c r="AB5" s="83" t="s">
        <v>267</v>
      </c>
      <c r="AC5" s="136">
        <f>B5</f>
        <v>1</v>
      </c>
      <c r="AD5" s="136">
        <f>B5</f>
        <v>1</v>
      </c>
      <c r="AE5" s="136">
        <f>B5</f>
        <v>1</v>
      </c>
      <c r="AF5" s="136">
        <f>B5</f>
        <v>1</v>
      </c>
      <c r="AG5" s="136">
        <f>B5</f>
        <v>1</v>
      </c>
      <c r="AH5" s="52" t="s">
        <v>344</v>
      </c>
      <c r="AI5" s="52" t="s">
        <v>267</v>
      </c>
      <c r="AJ5" s="136">
        <f>B5</f>
        <v>1</v>
      </c>
      <c r="AK5" s="52" t="s">
        <v>344</v>
      </c>
      <c r="AL5" s="52" t="s">
        <v>267</v>
      </c>
      <c r="AM5" s="136">
        <f>B5</f>
        <v>1</v>
      </c>
      <c r="AN5" s="52" t="s">
        <v>344</v>
      </c>
      <c r="AO5" s="52" t="s">
        <v>267</v>
      </c>
      <c r="AP5" s="136">
        <f>B5</f>
        <v>1</v>
      </c>
      <c r="AQ5" s="52" t="s">
        <v>344</v>
      </c>
      <c r="AR5" s="52" t="s">
        <v>267</v>
      </c>
      <c r="AS5" s="136">
        <f>B5</f>
        <v>1</v>
      </c>
      <c r="AT5" s="52" t="s">
        <v>344</v>
      </c>
      <c r="AU5" s="52" t="s">
        <v>267</v>
      </c>
      <c r="AV5" s="136">
        <f>B5</f>
        <v>1</v>
      </c>
      <c r="AW5" s="52" t="s">
        <v>344</v>
      </c>
      <c r="AX5" s="52" t="s">
        <v>267</v>
      </c>
      <c r="AY5" s="136">
        <f>B5</f>
        <v>1</v>
      </c>
      <c r="AZ5" s="52" t="s">
        <v>344</v>
      </c>
      <c r="BA5" s="52" t="s">
        <v>267</v>
      </c>
      <c r="BB5" s="136">
        <f>B5</f>
        <v>1</v>
      </c>
      <c r="BC5" s="52" t="s">
        <v>344</v>
      </c>
      <c r="BD5" s="52" t="s">
        <v>267</v>
      </c>
      <c r="BE5" s="136">
        <f>B5</f>
        <v>1</v>
      </c>
      <c r="BF5" s="52" t="s">
        <v>344</v>
      </c>
      <c r="BG5" s="52" t="s">
        <v>267</v>
      </c>
      <c r="BH5" s="136">
        <f>B5</f>
        <v>1</v>
      </c>
      <c r="BI5" s="52" t="s">
        <v>344</v>
      </c>
      <c r="BJ5" s="52" t="s">
        <v>267</v>
      </c>
      <c r="BK5" s="136">
        <f>B5</f>
        <v>1</v>
      </c>
      <c r="BL5" s="52" t="s">
        <v>344</v>
      </c>
      <c r="BM5" s="52" t="s">
        <v>267</v>
      </c>
      <c r="BN5" s="136">
        <f>B5</f>
        <v>1</v>
      </c>
      <c r="BO5" s="52" t="s">
        <v>344</v>
      </c>
      <c r="BP5" s="52" t="s">
        <v>267</v>
      </c>
      <c r="BQ5" s="136">
        <f>B5</f>
        <v>1</v>
      </c>
      <c r="BR5" s="52" t="s">
        <v>344</v>
      </c>
      <c r="BS5" s="52" t="s">
        <v>267</v>
      </c>
      <c r="BT5" s="136">
        <f>B5</f>
        <v>1</v>
      </c>
      <c r="BU5" s="52" t="s">
        <v>344</v>
      </c>
      <c r="BV5" s="83" t="s">
        <v>267</v>
      </c>
      <c r="BW5" s="136">
        <f>B5</f>
        <v>1</v>
      </c>
      <c r="BX5" s="52" t="s">
        <v>344</v>
      </c>
      <c r="BY5" s="83" t="s">
        <v>267</v>
      </c>
      <c r="BZ5" s="136">
        <f>B5</f>
        <v>1</v>
      </c>
      <c r="CA5" s="52" t="s">
        <v>344</v>
      </c>
      <c r="CB5" s="52" t="s">
        <v>267</v>
      </c>
      <c r="CC5" s="136">
        <f>B5</f>
        <v>1</v>
      </c>
      <c r="CD5" s="52" t="s">
        <v>344</v>
      </c>
      <c r="CE5" s="52" t="s">
        <v>267</v>
      </c>
      <c r="CF5" s="136">
        <f>B5</f>
        <v>1</v>
      </c>
      <c r="CG5" s="52" t="s">
        <v>344</v>
      </c>
      <c r="CH5" s="52" t="s">
        <v>267</v>
      </c>
      <c r="CI5" s="136">
        <f>B5</f>
        <v>1</v>
      </c>
      <c r="CJ5" s="52" t="s">
        <v>344</v>
      </c>
      <c r="CK5" s="52" t="s">
        <v>267</v>
      </c>
      <c r="CL5" s="136">
        <f>B5</f>
        <v>1</v>
      </c>
      <c r="CM5" s="52" t="s">
        <v>344</v>
      </c>
      <c r="CN5" s="83" t="s">
        <v>228</v>
      </c>
      <c r="CO5" s="136">
        <f>B30</f>
        <v>0</v>
      </c>
      <c r="CP5" s="52" t="s">
        <v>268</v>
      </c>
      <c r="CQ5" s="83" t="s">
        <v>228</v>
      </c>
      <c r="CR5" s="136">
        <f>CO5</f>
        <v>0</v>
      </c>
      <c r="CS5" s="52" t="s">
        <v>268</v>
      </c>
      <c r="CT5" s="83" t="s">
        <v>267</v>
      </c>
      <c r="CU5" s="136">
        <f>B5</f>
        <v>1</v>
      </c>
      <c r="CV5" s="52" t="s">
        <v>344</v>
      </c>
      <c r="CW5" s="52" t="s">
        <v>267</v>
      </c>
      <c r="CX5" s="136">
        <f>B5</f>
        <v>1</v>
      </c>
      <c r="CY5" s="52" t="s">
        <v>344</v>
      </c>
      <c r="CZ5" s="83" t="s">
        <v>267</v>
      </c>
      <c r="DA5" s="136">
        <f>B5</f>
        <v>1</v>
      </c>
      <c r="DB5" s="52" t="s">
        <v>344</v>
      </c>
      <c r="DC5" s="83" t="s">
        <v>267</v>
      </c>
      <c r="DD5" s="136">
        <f>B5</f>
        <v>1</v>
      </c>
      <c r="DE5" s="52" t="s">
        <v>344</v>
      </c>
      <c r="DF5" s="52" t="s">
        <v>17</v>
      </c>
      <c r="DG5" s="137">
        <f>(DG8*DG9*DG10*((1-EXP(-DG11*DG12))))/(DG13*DG11)</f>
        <v>0.52579260245651049</v>
      </c>
      <c r="DH5" s="52" t="s">
        <v>18</v>
      </c>
      <c r="DI5" s="83" t="s">
        <v>19</v>
      </c>
      <c r="DJ5" s="161">
        <f>DJ7</f>
        <v>1.4800000000000001E-2</v>
      </c>
      <c r="DK5" s="83"/>
      <c r="DL5" s="83" t="s">
        <v>19</v>
      </c>
      <c r="DM5" s="161">
        <f>DM7</f>
        <v>1.4800000000000001E-2</v>
      </c>
      <c r="DO5" s="52" t="s">
        <v>17</v>
      </c>
      <c r="DP5" s="137">
        <f>(DP8*DP9*DP10*((1-EXP(-DP11*DP12))))/(DP13*DP11)</f>
        <v>0.52904687928279526</v>
      </c>
      <c r="DQ5" s="52" t="s">
        <v>18</v>
      </c>
      <c r="DR5" s="83" t="s">
        <v>267</v>
      </c>
      <c r="DS5" s="136">
        <f>B5</f>
        <v>1</v>
      </c>
      <c r="DT5" s="52" t="s">
        <v>344</v>
      </c>
      <c r="DU5" s="83" t="s">
        <v>239</v>
      </c>
      <c r="DV5" s="169">
        <f>B24</f>
        <v>3.8000000000000002E-4</v>
      </c>
      <c r="DW5" s="52" t="s">
        <v>601</v>
      </c>
      <c r="DX5" s="83" t="s">
        <v>20</v>
      </c>
      <c r="DY5" s="161">
        <f>DY7</f>
        <v>1.7000000000000001E-2</v>
      </c>
      <c r="DZ5" s="83"/>
      <c r="EA5" s="83" t="s">
        <v>20</v>
      </c>
      <c r="EB5" s="161">
        <f>EB7</f>
        <v>1.7000000000000001E-2</v>
      </c>
      <c r="EC5" s="84"/>
      <c r="ED5" s="83" t="s">
        <v>20</v>
      </c>
      <c r="EE5" s="161">
        <f>EE7</f>
        <v>1.7000000000000001E-2</v>
      </c>
      <c r="EF5" s="84"/>
      <c r="EG5" s="83" t="s">
        <v>267</v>
      </c>
      <c r="EH5" s="136">
        <f>B5</f>
        <v>1</v>
      </c>
      <c r="EI5" s="52" t="s">
        <v>344</v>
      </c>
      <c r="EJ5" s="83" t="s">
        <v>236</v>
      </c>
      <c r="EK5" s="169">
        <f>B25</f>
        <v>1.6999999999999999E-3</v>
      </c>
      <c r="EL5" s="52" t="s">
        <v>388</v>
      </c>
      <c r="EM5" s="83" t="s">
        <v>20</v>
      </c>
      <c r="EN5" s="161">
        <f>EN7</f>
        <v>1.7000000000000001E-2</v>
      </c>
      <c r="EO5" s="83"/>
      <c r="EP5" s="83" t="s">
        <v>20</v>
      </c>
      <c r="EQ5" s="161">
        <f>EQ7</f>
        <v>1.7000000000000001E-2</v>
      </c>
      <c r="ER5" s="84"/>
      <c r="ES5" s="83" t="s">
        <v>20</v>
      </c>
      <c r="ET5" s="161">
        <f>ET7</f>
        <v>1.7000000000000001E-2</v>
      </c>
      <c r="EU5" s="84"/>
      <c r="EV5" s="83" t="s">
        <v>267</v>
      </c>
      <c r="EW5" s="136">
        <f>B5</f>
        <v>1</v>
      </c>
      <c r="EX5" s="52" t="s">
        <v>344</v>
      </c>
      <c r="EY5" s="83" t="s">
        <v>171</v>
      </c>
      <c r="EZ5" s="169">
        <f>B27</f>
        <v>0</v>
      </c>
      <c r="FA5" s="52" t="s">
        <v>388</v>
      </c>
      <c r="FB5" s="83" t="s">
        <v>20</v>
      </c>
      <c r="FC5" s="161">
        <f>FC7</f>
        <v>1.7000000000000001E-2</v>
      </c>
      <c r="FD5" s="83"/>
      <c r="FE5" s="83" t="s">
        <v>20</v>
      </c>
      <c r="FF5" s="161">
        <f>FF7</f>
        <v>1.7000000000000001E-2</v>
      </c>
      <c r="FG5" s="83"/>
      <c r="FH5" s="83" t="s">
        <v>20</v>
      </c>
      <c r="FI5" s="161">
        <f>FI7</f>
        <v>1.7000000000000001E-2</v>
      </c>
      <c r="FJ5" s="84"/>
      <c r="FK5" s="83" t="s">
        <v>267</v>
      </c>
      <c r="FL5" s="136">
        <f>B5</f>
        <v>1</v>
      </c>
      <c r="FM5" s="52" t="s">
        <v>344</v>
      </c>
      <c r="FN5" s="83" t="s">
        <v>105</v>
      </c>
      <c r="FO5" s="161">
        <f>B23</f>
        <v>4</v>
      </c>
      <c r="FP5" s="52" t="s">
        <v>286</v>
      </c>
      <c r="FQ5" s="83" t="s">
        <v>105</v>
      </c>
      <c r="FR5" s="161">
        <f>B23</f>
        <v>4</v>
      </c>
      <c r="FS5" s="52" t="s">
        <v>286</v>
      </c>
      <c r="FT5" s="83" t="s">
        <v>105</v>
      </c>
      <c r="FU5" s="161">
        <f>B23</f>
        <v>4</v>
      </c>
      <c r="FV5" s="52" t="s">
        <v>286</v>
      </c>
      <c r="FW5" s="83" t="s">
        <v>156</v>
      </c>
      <c r="FX5" s="161">
        <f>B33</f>
        <v>1</v>
      </c>
      <c r="FY5" s="88" t="s">
        <v>18</v>
      </c>
      <c r="FZ5" s="83" t="s">
        <v>267</v>
      </c>
      <c r="GA5" s="136">
        <f>B5</f>
        <v>1</v>
      </c>
      <c r="GB5" s="52" t="s">
        <v>344</v>
      </c>
      <c r="GC5" s="83" t="s">
        <v>237</v>
      </c>
      <c r="GD5" s="169">
        <f>B26</f>
        <v>0</v>
      </c>
      <c r="GE5" s="83"/>
      <c r="GF5" s="83" t="s">
        <v>20</v>
      </c>
      <c r="GG5" s="161">
        <f>GG7</f>
        <v>1.7000000000000001E-2</v>
      </c>
      <c r="GH5" s="83"/>
      <c r="GI5" s="83" t="s">
        <v>20</v>
      </c>
      <c r="GJ5" s="161">
        <f>GJ7</f>
        <v>1.7000000000000001E-2</v>
      </c>
      <c r="GK5" s="83"/>
      <c r="GL5" s="83" t="s">
        <v>20</v>
      </c>
      <c r="GM5" s="161">
        <f>GM7</f>
        <v>1.7000000000000001E-2</v>
      </c>
      <c r="GN5" s="84"/>
      <c r="GO5" s="83" t="s">
        <v>267</v>
      </c>
      <c r="GP5" s="136">
        <f>B5</f>
        <v>1</v>
      </c>
      <c r="GQ5" s="52" t="s">
        <v>344</v>
      </c>
      <c r="GR5" s="83" t="s">
        <v>238</v>
      </c>
      <c r="GS5" s="169">
        <f>B28</f>
        <v>0</v>
      </c>
      <c r="GT5" s="52" t="s">
        <v>388</v>
      </c>
      <c r="GU5" s="83" t="s">
        <v>20</v>
      </c>
      <c r="GV5" s="161">
        <f>GV7</f>
        <v>1.7000000000000001E-2</v>
      </c>
      <c r="GW5" s="83"/>
      <c r="GX5" s="83" t="s">
        <v>20</v>
      </c>
      <c r="GY5" s="161">
        <f>GY7</f>
        <v>1.7000000000000001E-2</v>
      </c>
      <c r="GZ5" s="83"/>
      <c r="HA5" s="83" t="s">
        <v>20</v>
      </c>
      <c r="HB5" s="161">
        <f>HB7</f>
        <v>1.7000000000000001E-2</v>
      </c>
      <c r="HC5" s="84"/>
      <c r="HD5" s="89" t="s">
        <v>21</v>
      </c>
      <c r="HE5" s="175">
        <f>B34</f>
        <v>0.185000185000185</v>
      </c>
      <c r="HF5" s="83" t="s">
        <v>291</v>
      </c>
    </row>
    <row r="6" spans="1:214" x14ac:dyDescent="0.2">
      <c r="A6" s="83" t="s">
        <v>247</v>
      </c>
      <c r="B6" s="184">
        <v>3.8043873993229303E-2</v>
      </c>
      <c r="C6" s="84" t="s">
        <v>259</v>
      </c>
      <c r="D6" s="83" t="s">
        <v>22</v>
      </c>
      <c r="E6" s="137">
        <f>0.693/E7</f>
        <v>4.3312499999999997E-4</v>
      </c>
      <c r="G6" s="83" t="s">
        <v>248</v>
      </c>
      <c r="H6" s="136">
        <f>B7</f>
        <v>1.67911012348351E-3</v>
      </c>
      <c r="I6" s="83" t="s">
        <v>259</v>
      </c>
      <c r="J6" s="83" t="s">
        <v>249</v>
      </c>
      <c r="K6" s="136">
        <f>B8</f>
        <v>1.67911012348351E-3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4.3312499999999997E-4</v>
      </c>
      <c r="BV6" s="83" t="s">
        <v>248</v>
      </c>
      <c r="BW6" s="136">
        <f>B7</f>
        <v>1.67911012348351E-3</v>
      </c>
      <c r="BX6" s="83" t="s">
        <v>259</v>
      </c>
      <c r="BY6" s="83" t="s">
        <v>249</v>
      </c>
      <c r="BZ6" s="136">
        <f>B8</f>
        <v>1.67911012348351E-3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B17</f>
        <v>1.67911012348351E-3</v>
      </c>
      <c r="CM6" s="92" t="s">
        <v>259</v>
      </c>
      <c r="CN6" s="84" t="s">
        <v>20</v>
      </c>
      <c r="CO6" s="139">
        <f>CO8</f>
        <v>1.7000000000000001E-2</v>
      </c>
      <c r="CQ6" s="84" t="s">
        <v>169</v>
      </c>
      <c r="CR6" s="162">
        <f>B133</f>
        <v>1</v>
      </c>
      <c r="CS6" s="52" t="s">
        <v>28</v>
      </c>
      <c r="CT6" s="83" t="s">
        <v>249</v>
      </c>
      <c r="CU6" s="136">
        <f>B8</f>
        <v>1.67911012348351E-3</v>
      </c>
      <c r="CV6" s="83" t="s">
        <v>259</v>
      </c>
      <c r="CW6" s="83" t="s">
        <v>22</v>
      </c>
      <c r="CX6" s="137">
        <f>0.693/CX7</f>
        <v>4.3312499999999997E-4</v>
      </c>
      <c r="CZ6" s="83" t="s">
        <v>248</v>
      </c>
      <c r="DA6" s="136">
        <f>B7</f>
        <v>1.67911012348351E-3</v>
      </c>
      <c r="DB6" s="83" t="s">
        <v>259</v>
      </c>
      <c r="DC6" s="83" t="s">
        <v>258</v>
      </c>
      <c r="DD6" s="136">
        <f>B17</f>
        <v>1.67911012348351E-3</v>
      </c>
      <c r="DE6" s="92" t="s">
        <v>259</v>
      </c>
      <c r="DF6" s="52" t="s">
        <v>25</v>
      </c>
      <c r="DG6" s="137">
        <f>(DG8*DG9*DG14*((1-EXP(-DG11*DG12))))/(DG13*DG11)</f>
        <v>9.2368970701819411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B17</f>
        <v>1.67911012348351E-3</v>
      </c>
      <c r="DT6" s="83" t="s">
        <v>259</v>
      </c>
      <c r="DU6" s="83" t="s">
        <v>27</v>
      </c>
      <c r="DV6" s="142">
        <f>B203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B17</f>
        <v>1.67911012348351E-3</v>
      </c>
      <c r="EI6" s="83" t="s">
        <v>259</v>
      </c>
      <c r="EJ6" s="83" t="s">
        <v>29</v>
      </c>
      <c r="EK6" s="142">
        <f>B209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B17</f>
        <v>1.67911012348351E-3</v>
      </c>
      <c r="EX6" s="83" t="s">
        <v>259</v>
      </c>
      <c r="EY6" s="83" t="s">
        <v>148</v>
      </c>
      <c r="EZ6" s="164">
        <f>B214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B17</f>
        <v>1.67911012348351E-3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B33</f>
        <v>1</v>
      </c>
      <c r="FS6" s="83" t="s">
        <v>18</v>
      </c>
      <c r="FT6" s="83" t="s">
        <v>156</v>
      </c>
      <c r="FU6" s="161">
        <f>B33</f>
        <v>1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B17</f>
        <v>1.67911012348351E-3</v>
      </c>
      <c r="GB6" s="83" t="s">
        <v>259</v>
      </c>
      <c r="GC6" s="83" t="s">
        <v>485</v>
      </c>
      <c r="GD6" s="164">
        <f>B219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B17</f>
        <v>1.67911012348351E-3</v>
      </c>
      <c r="GQ6" s="83" t="s">
        <v>259</v>
      </c>
      <c r="GR6" s="83" t="s">
        <v>150</v>
      </c>
      <c r="GS6" s="142">
        <f>B224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3.0704118497646202E-4</v>
      </c>
      <c r="HF6" s="83" t="s">
        <v>291</v>
      </c>
    </row>
    <row r="7" spans="1:214" x14ac:dyDescent="0.2">
      <c r="A7" s="83" t="s">
        <v>248</v>
      </c>
      <c r="B7" s="183">
        <v>1.67911012348351E-3</v>
      </c>
      <c r="C7" s="84" t="s">
        <v>259</v>
      </c>
      <c r="D7" s="91" t="s">
        <v>231</v>
      </c>
      <c r="E7" s="136">
        <f>B18</f>
        <v>1600</v>
      </c>
      <c r="F7" s="52" t="s">
        <v>60</v>
      </c>
      <c r="G7" s="83" t="s">
        <v>247</v>
      </c>
      <c r="H7" s="139">
        <f>B6</f>
        <v>3.8043873993229303E-2</v>
      </c>
      <c r="I7" s="84" t="s">
        <v>259</v>
      </c>
      <c r="J7" s="83" t="s">
        <v>247</v>
      </c>
      <c r="K7" s="136">
        <f>B6</f>
        <v>3.8043873993229303E-2</v>
      </c>
      <c r="L7" s="84" t="s">
        <v>259</v>
      </c>
      <c r="M7" s="83" t="s">
        <v>22</v>
      </c>
      <c r="N7" s="137">
        <f>0.693/N8</f>
        <v>4.3312499999999997E-4</v>
      </c>
      <c r="P7" s="83" t="s">
        <v>22</v>
      </c>
      <c r="Q7" s="137">
        <f>0.693/Q8</f>
        <v>4.3312499999999997E-4</v>
      </c>
      <c r="S7" s="83" t="s">
        <v>22</v>
      </c>
      <c r="T7" s="137">
        <f>0.693/T8</f>
        <v>4.3312499999999997E-4</v>
      </c>
      <c r="V7" s="83" t="s">
        <v>22</v>
      </c>
      <c r="W7" s="137">
        <f>0.693/W8</f>
        <v>4.3312499999999997E-4</v>
      </c>
      <c r="Y7" s="83" t="s">
        <v>22</v>
      </c>
      <c r="Z7" s="137">
        <f>0.693/Z8</f>
        <v>4.3312499999999997E-4</v>
      </c>
      <c r="AB7" s="83" t="s">
        <v>425</v>
      </c>
      <c r="AC7" s="150">
        <f>B231</f>
        <v>250</v>
      </c>
      <c r="AD7" s="150">
        <f>B243</f>
        <v>250</v>
      </c>
      <c r="AE7" s="150">
        <f>B255</f>
        <v>225</v>
      </c>
      <c r="AF7" s="150">
        <f>B267</f>
        <v>250</v>
      </c>
      <c r="AG7" s="150">
        <f>B291</f>
        <v>250</v>
      </c>
      <c r="AH7" s="83" t="s">
        <v>24</v>
      </c>
      <c r="AI7" s="83" t="s">
        <v>22</v>
      </c>
      <c r="AJ7" s="137">
        <f>0.693/AJ8</f>
        <v>4.3312499999999997E-4</v>
      </c>
      <c r="AL7" s="83" t="s">
        <v>22</v>
      </c>
      <c r="AM7" s="137">
        <f>0.693/AM8</f>
        <v>4.3312499999999997E-4</v>
      </c>
      <c r="AO7" s="83" t="s">
        <v>22</v>
      </c>
      <c r="AP7" s="137">
        <f>0.693/AP8</f>
        <v>4.3312499999999997E-4</v>
      </c>
      <c r="AR7" s="83" t="s">
        <v>22</v>
      </c>
      <c r="AS7" s="137">
        <f>0.693/AS8</f>
        <v>4.3312499999999997E-4</v>
      </c>
      <c r="AU7" s="83" t="s">
        <v>22</v>
      </c>
      <c r="AV7" s="137">
        <f>0.693/AV8</f>
        <v>4.3312499999999997E-4</v>
      </c>
      <c r="AX7" s="83" t="s">
        <v>22</v>
      </c>
      <c r="AY7" s="137">
        <f>0.693/AY8</f>
        <v>4.3312499999999997E-4</v>
      </c>
      <c r="BA7" s="83" t="s">
        <v>22</v>
      </c>
      <c r="BB7" s="137">
        <f>0.693/BB8</f>
        <v>4.3312499999999997E-4</v>
      </c>
      <c r="BD7" s="83" t="s">
        <v>22</v>
      </c>
      <c r="BE7" s="137">
        <f>0.693/BE8</f>
        <v>4.3312499999999997E-4</v>
      </c>
      <c r="BG7" s="83" t="s">
        <v>22</v>
      </c>
      <c r="BH7" s="137">
        <f>0.693/BH8</f>
        <v>4.3312499999999997E-4</v>
      </c>
      <c r="BJ7" s="83" t="s">
        <v>22</v>
      </c>
      <c r="BK7" s="137">
        <f>0.693/BK8</f>
        <v>4.3312499999999997E-4</v>
      </c>
      <c r="BM7" s="83" t="s">
        <v>22</v>
      </c>
      <c r="BN7" s="137">
        <f>0.693/BN8</f>
        <v>4.3312499999999997E-4</v>
      </c>
      <c r="BP7" s="83" t="s">
        <v>22</v>
      </c>
      <c r="BQ7" s="137">
        <f>0.693/BQ8</f>
        <v>4.3312499999999997E-4</v>
      </c>
      <c r="BS7" s="91" t="s">
        <v>231</v>
      </c>
      <c r="BT7" s="136">
        <f>B18</f>
        <v>1600</v>
      </c>
      <c r="BU7" s="52" t="s">
        <v>60</v>
      </c>
      <c r="BV7" s="83" t="s">
        <v>247</v>
      </c>
      <c r="BW7" s="139">
        <f>B6</f>
        <v>3.8043873993229303E-2</v>
      </c>
      <c r="BX7" s="84" t="s">
        <v>259</v>
      </c>
      <c r="BY7" s="83" t="s">
        <v>247</v>
      </c>
      <c r="BZ7" s="139">
        <f>B6</f>
        <v>3.8043873993229303E-2</v>
      </c>
      <c r="CA7" s="84" t="s">
        <v>259</v>
      </c>
      <c r="CB7" s="83" t="s">
        <v>22</v>
      </c>
      <c r="CC7" s="137">
        <f>0.693/CC8</f>
        <v>4.3312499999999997E-4</v>
      </c>
      <c r="CE7" s="83" t="s">
        <v>22</v>
      </c>
      <c r="CF7" s="137">
        <f>0.693/CF8</f>
        <v>4.3312499999999997E-4</v>
      </c>
      <c r="CH7" s="83" t="s">
        <v>22</v>
      </c>
      <c r="CI7" s="137">
        <f>0.693/CI8</f>
        <v>4.3312499999999997E-4</v>
      </c>
      <c r="CK7" s="52" t="s">
        <v>140</v>
      </c>
      <c r="CL7" s="138">
        <f>B103</f>
        <v>75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B6</f>
        <v>3.8043873993229303E-2</v>
      </c>
      <c r="CV7" s="84" t="s">
        <v>259</v>
      </c>
      <c r="CW7" s="91" t="s">
        <v>231</v>
      </c>
      <c r="CX7" s="136">
        <f>B18</f>
        <v>1600</v>
      </c>
      <c r="CY7" s="52" t="s">
        <v>60</v>
      </c>
      <c r="CZ7" s="84" t="s">
        <v>247</v>
      </c>
      <c r="DA7" s="139">
        <f>B6</f>
        <v>3.8043873993229303E-2</v>
      </c>
      <c r="DB7" s="84" t="s">
        <v>259</v>
      </c>
      <c r="DC7" s="83" t="s">
        <v>260</v>
      </c>
      <c r="DD7" s="166">
        <f>((DD5)/(DD6*(DD8+DD11)*DD19))/DD22</f>
        <v>2.3011574942929399E-4</v>
      </c>
      <c r="DE7" s="92" t="s">
        <v>290</v>
      </c>
      <c r="DF7" s="52" t="s">
        <v>31</v>
      </c>
      <c r="DG7" s="137">
        <f>(DG8*DG9*DG15*DG21*((1-EXP(-DG16*DG17))))/(DG18*DG16)</f>
        <v>3.6423470278489711</v>
      </c>
      <c r="DH7" s="52" t="s">
        <v>18</v>
      </c>
      <c r="DI7" s="83" t="s">
        <v>32</v>
      </c>
      <c r="DJ7" s="136">
        <f>B31</f>
        <v>1.4800000000000001E-2</v>
      </c>
      <c r="DL7" s="83" t="s">
        <v>32</v>
      </c>
      <c r="DM7" s="136">
        <f>B31</f>
        <v>1.4800000000000001E-2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>
        <f>(DS5/(DS6*DS8*DS15))/DS19</f>
        <v>1.4601277517795771E-4</v>
      </c>
      <c r="DT7" s="52" t="s">
        <v>290</v>
      </c>
      <c r="DV7" s="138"/>
      <c r="DX7" s="83" t="s">
        <v>33</v>
      </c>
      <c r="DY7" s="136">
        <f>B32</f>
        <v>1.7000000000000001E-2</v>
      </c>
      <c r="EA7" s="83" t="s">
        <v>33</v>
      </c>
      <c r="EB7" s="136">
        <f>B32</f>
        <v>1.7000000000000001E-2</v>
      </c>
      <c r="EC7" s="84"/>
      <c r="ED7" s="83" t="s">
        <v>33</v>
      </c>
      <c r="EE7" s="136">
        <f>B32</f>
        <v>1.7000000000000001E-2</v>
      </c>
      <c r="EF7" s="84"/>
      <c r="EG7" s="83" t="s">
        <v>260</v>
      </c>
      <c r="EH7" s="168">
        <f>(EH5/(EH6*EH8*EH15))/EH19</f>
        <v>4.0020670924646528E-4</v>
      </c>
      <c r="EI7" s="52" t="s">
        <v>290</v>
      </c>
      <c r="EJ7" s="95"/>
      <c r="EK7" s="176"/>
      <c r="EM7" s="83" t="s">
        <v>33</v>
      </c>
      <c r="EN7" s="136">
        <f>B32</f>
        <v>1.7000000000000001E-2</v>
      </c>
      <c r="EP7" s="83" t="s">
        <v>33</v>
      </c>
      <c r="EQ7" s="136">
        <f>B32</f>
        <v>1.7000000000000001E-2</v>
      </c>
      <c r="ER7" s="84"/>
      <c r="ES7" s="83" t="s">
        <v>33</v>
      </c>
      <c r="ET7" s="136">
        <f>B32</f>
        <v>1.7000000000000001E-2</v>
      </c>
      <c r="EU7" s="84"/>
      <c r="EV7" s="83" t="s">
        <v>260</v>
      </c>
      <c r="EW7" s="168">
        <f>(EW5/(EW6*EW8*EW15))/EW19</f>
        <v>1.3386173064393278E-3</v>
      </c>
      <c r="EX7" s="52" t="s">
        <v>290</v>
      </c>
      <c r="EY7" s="83"/>
      <c r="EZ7" s="142">
        <v>1000</v>
      </c>
      <c r="FA7" s="83" t="s">
        <v>132</v>
      </c>
      <c r="FB7" s="83" t="s">
        <v>33</v>
      </c>
      <c r="FC7" s="161">
        <f>B32</f>
        <v>1.7000000000000001E-2</v>
      </c>
      <c r="FD7" s="83"/>
      <c r="FE7" s="83" t="s">
        <v>33</v>
      </c>
      <c r="FF7" s="161">
        <f>B32</f>
        <v>1.7000000000000001E-2</v>
      </c>
      <c r="FG7" s="83"/>
      <c r="FH7" s="83" t="s">
        <v>33</v>
      </c>
      <c r="FI7" s="161">
        <f>B32</f>
        <v>1.7000000000000001E-2</v>
      </c>
      <c r="FJ7" s="84"/>
      <c r="FK7" s="83" t="s">
        <v>260</v>
      </c>
      <c r="FL7" s="168">
        <f>(FL5/(FL6*FL8*FL15))/FL19</f>
        <v>4.5951768823522142E-4</v>
      </c>
      <c r="FM7" s="52" t="s">
        <v>290</v>
      </c>
      <c r="FN7" s="95"/>
      <c r="FO7" s="176"/>
      <c r="FQ7" s="52" t="s">
        <v>350</v>
      </c>
      <c r="FR7" s="164">
        <f>B170</f>
        <v>1</v>
      </c>
      <c r="FT7" s="95"/>
      <c r="FU7" s="176"/>
      <c r="FV7" s="83"/>
      <c r="FW7" s="95"/>
      <c r="FX7" s="176"/>
      <c r="FZ7" s="83" t="s">
        <v>260</v>
      </c>
      <c r="GA7" s="168">
        <f>(GA5/(GA6*GA8*GA15))/GA19</f>
        <v>6.6870439155717145E-4</v>
      </c>
      <c r="GB7" s="52" t="s">
        <v>290</v>
      </c>
      <c r="GC7" s="83"/>
      <c r="GD7" s="142">
        <v>1000</v>
      </c>
      <c r="GE7" s="83" t="s">
        <v>132</v>
      </c>
      <c r="GF7" s="83" t="s">
        <v>33</v>
      </c>
      <c r="GG7" s="161">
        <f>B32</f>
        <v>1.7000000000000001E-2</v>
      </c>
      <c r="GH7" s="83"/>
      <c r="GI7" s="83" t="s">
        <v>33</v>
      </c>
      <c r="GJ7" s="161">
        <f>B32</f>
        <v>1.7000000000000001E-2</v>
      </c>
      <c r="GK7" s="83"/>
      <c r="GL7" s="83" t="s">
        <v>33</v>
      </c>
      <c r="GM7" s="161">
        <f>B32</f>
        <v>1.7000000000000001E-2</v>
      </c>
      <c r="GN7" s="84"/>
      <c r="GO7" s="83" t="s">
        <v>260</v>
      </c>
      <c r="GP7" s="168">
        <f>(GP5/(GP6*GP8*GP14))/GP18</f>
        <v>7.3216093109789153E-4</v>
      </c>
      <c r="GQ7" s="52" t="s">
        <v>290</v>
      </c>
      <c r="GR7" s="88"/>
      <c r="GS7" s="142">
        <v>1000</v>
      </c>
      <c r="GT7" s="83" t="s">
        <v>132</v>
      </c>
      <c r="GU7" s="83" t="s">
        <v>33</v>
      </c>
      <c r="GV7" s="161">
        <f>B32</f>
        <v>1.7000000000000001E-2</v>
      </c>
      <c r="GW7" s="83"/>
      <c r="GX7" s="83" t="s">
        <v>33</v>
      </c>
      <c r="GY7" s="161">
        <f>B32</f>
        <v>1.7000000000000001E-2</v>
      </c>
      <c r="GZ7" s="83"/>
      <c r="HA7" s="83" t="s">
        <v>33</v>
      </c>
      <c r="HB7" s="161">
        <f>B32</f>
        <v>1.7000000000000001E-2</v>
      </c>
      <c r="HC7" s="84"/>
      <c r="HD7" s="83" t="s">
        <v>22</v>
      </c>
      <c r="HE7" s="137">
        <f>0.693/HE9</f>
        <v>4.3312499999999997E-4</v>
      </c>
    </row>
    <row r="8" spans="1:214" x14ac:dyDescent="0.2">
      <c r="A8" s="83" t="s">
        <v>249</v>
      </c>
      <c r="B8" s="183">
        <v>1.67911012348351E-3</v>
      </c>
      <c r="C8" s="83" t="s">
        <v>259</v>
      </c>
      <c r="D8" s="52" t="s">
        <v>382</v>
      </c>
      <c r="E8" s="138">
        <f>B56</f>
        <v>350</v>
      </c>
      <c r="F8" s="52" t="s">
        <v>24</v>
      </c>
      <c r="G8" s="91" t="s">
        <v>257</v>
      </c>
      <c r="H8" s="136">
        <f>B16</f>
        <v>33.437199999999997</v>
      </c>
      <c r="I8" s="84" t="s">
        <v>259</v>
      </c>
      <c r="J8" s="83" t="s">
        <v>269</v>
      </c>
      <c r="K8" s="136">
        <f>B10</f>
        <v>10.423439999999999</v>
      </c>
      <c r="L8" s="83" t="s">
        <v>351</v>
      </c>
      <c r="M8" s="91" t="s">
        <v>231</v>
      </c>
      <c r="N8" s="136">
        <f>B18</f>
        <v>1600</v>
      </c>
      <c r="O8" s="52" t="s">
        <v>60</v>
      </c>
      <c r="P8" s="91" t="s">
        <v>231</v>
      </c>
      <c r="Q8" s="136">
        <f>B18</f>
        <v>1600</v>
      </c>
      <c r="R8" s="52" t="s">
        <v>60</v>
      </c>
      <c r="S8" s="91" t="s">
        <v>231</v>
      </c>
      <c r="T8" s="136">
        <f>B18</f>
        <v>1600</v>
      </c>
      <c r="U8" s="52" t="s">
        <v>60</v>
      </c>
      <c r="V8" s="91" t="s">
        <v>231</v>
      </c>
      <c r="W8" s="136">
        <f>B18</f>
        <v>1600</v>
      </c>
      <c r="X8" s="52" t="s">
        <v>60</v>
      </c>
      <c r="Y8" s="91" t="s">
        <v>231</v>
      </c>
      <c r="Z8" s="136">
        <f>B18</f>
        <v>1600</v>
      </c>
      <c r="AA8" s="52" t="s">
        <v>60</v>
      </c>
      <c r="AB8" s="83" t="s">
        <v>249</v>
      </c>
      <c r="AC8" s="136">
        <f>B9</f>
        <v>1.036E-3</v>
      </c>
      <c r="AD8" s="136">
        <f>B9</f>
        <v>1.036E-3</v>
      </c>
      <c r="AE8" s="136">
        <f>B9</f>
        <v>1.036E-3</v>
      </c>
      <c r="AF8" s="136">
        <f>B9</f>
        <v>1.036E-3</v>
      </c>
      <c r="AG8" s="136">
        <f>B9</f>
        <v>1.036E-3</v>
      </c>
      <c r="AH8" s="83" t="s">
        <v>259</v>
      </c>
      <c r="AI8" s="91" t="s">
        <v>231</v>
      </c>
      <c r="AJ8" s="136">
        <f>B18</f>
        <v>1600</v>
      </c>
      <c r="AK8" s="52" t="s">
        <v>60</v>
      </c>
      <c r="AL8" s="91" t="s">
        <v>231</v>
      </c>
      <c r="AM8" s="136">
        <f>B18</f>
        <v>1600</v>
      </c>
      <c r="AN8" s="52" t="s">
        <v>60</v>
      </c>
      <c r="AO8" s="91" t="s">
        <v>231</v>
      </c>
      <c r="AP8" s="136">
        <f>B18</f>
        <v>1600</v>
      </c>
      <c r="AQ8" s="52" t="s">
        <v>60</v>
      </c>
      <c r="AR8" s="91" t="s">
        <v>231</v>
      </c>
      <c r="AS8" s="136">
        <f>B18</f>
        <v>1600</v>
      </c>
      <c r="AT8" s="52" t="s">
        <v>60</v>
      </c>
      <c r="AU8" s="91" t="s">
        <v>231</v>
      </c>
      <c r="AV8" s="136">
        <f>B18</f>
        <v>1600</v>
      </c>
      <c r="AW8" s="52" t="s">
        <v>60</v>
      </c>
      <c r="AX8" s="91" t="s">
        <v>231</v>
      </c>
      <c r="AY8" s="136">
        <f>B18</f>
        <v>1600</v>
      </c>
      <c r="AZ8" s="52" t="s">
        <v>60</v>
      </c>
      <c r="BA8" s="91" t="s">
        <v>231</v>
      </c>
      <c r="BB8" s="136">
        <f>B18</f>
        <v>1600</v>
      </c>
      <c r="BC8" s="52" t="s">
        <v>60</v>
      </c>
      <c r="BD8" s="91" t="s">
        <v>231</v>
      </c>
      <c r="BE8" s="136">
        <f>B18</f>
        <v>1600</v>
      </c>
      <c r="BF8" s="52" t="s">
        <v>60</v>
      </c>
      <c r="BG8" s="91" t="s">
        <v>231</v>
      </c>
      <c r="BH8" s="136">
        <f>B18</f>
        <v>1600</v>
      </c>
      <c r="BI8" s="52" t="s">
        <v>60</v>
      </c>
      <c r="BJ8" s="91" t="s">
        <v>231</v>
      </c>
      <c r="BK8" s="136">
        <f>B18</f>
        <v>1600</v>
      </c>
      <c r="BL8" s="52" t="s">
        <v>60</v>
      </c>
      <c r="BM8" s="91" t="s">
        <v>231</v>
      </c>
      <c r="BN8" s="136">
        <f>B18</f>
        <v>1600</v>
      </c>
      <c r="BO8" s="52" t="s">
        <v>60</v>
      </c>
      <c r="BP8" s="91" t="s">
        <v>231</v>
      </c>
      <c r="BQ8" s="136">
        <f>B18</f>
        <v>1600</v>
      </c>
      <c r="BR8" s="52" t="s">
        <v>60</v>
      </c>
      <c r="BS8" s="52" t="s">
        <v>140</v>
      </c>
      <c r="BT8" s="138">
        <f>B103</f>
        <v>75</v>
      </c>
      <c r="BU8" s="52" t="s">
        <v>24</v>
      </c>
      <c r="BV8" s="91" t="s">
        <v>257</v>
      </c>
      <c r="BW8" s="136">
        <f>B16</f>
        <v>33.437199999999997</v>
      </c>
      <c r="BX8" s="84" t="s">
        <v>259</v>
      </c>
      <c r="BY8" s="83" t="s">
        <v>269</v>
      </c>
      <c r="BZ8" s="136">
        <f>B10</f>
        <v>10.423439999999999</v>
      </c>
      <c r="CA8" s="83" t="s">
        <v>351</v>
      </c>
      <c r="CB8" s="91" t="s">
        <v>231</v>
      </c>
      <c r="CC8" s="136">
        <f>B18</f>
        <v>1600</v>
      </c>
      <c r="CD8" s="52" t="s">
        <v>60</v>
      </c>
      <c r="CE8" s="91" t="s">
        <v>231</v>
      </c>
      <c r="CF8" s="136">
        <f>B18</f>
        <v>1600</v>
      </c>
      <c r="CG8" s="52" t="s">
        <v>60</v>
      </c>
      <c r="CH8" s="91" t="s">
        <v>231</v>
      </c>
      <c r="CI8" s="136">
        <f>B18</f>
        <v>1600</v>
      </c>
      <c r="CJ8" s="52" t="s">
        <v>60</v>
      </c>
      <c r="CK8" s="52" t="s">
        <v>159</v>
      </c>
      <c r="CL8" s="162">
        <f>B128</f>
        <v>1</v>
      </c>
      <c r="CM8" s="52" t="s">
        <v>221</v>
      </c>
      <c r="CN8" s="84" t="s">
        <v>33</v>
      </c>
      <c r="CO8" s="136">
        <f>B32</f>
        <v>1.7000000000000001E-2</v>
      </c>
      <c r="CT8" s="83" t="s">
        <v>269</v>
      </c>
      <c r="CU8" s="136">
        <f>B10</f>
        <v>10.423439999999999</v>
      </c>
      <c r="CV8" s="83" t="s">
        <v>351</v>
      </c>
      <c r="CW8" s="52" t="s">
        <v>362</v>
      </c>
      <c r="CX8" s="138">
        <f>B169</f>
        <v>350</v>
      </c>
      <c r="CY8" s="52" t="s">
        <v>24</v>
      </c>
      <c r="CZ8" s="83" t="s">
        <v>270</v>
      </c>
      <c r="DA8" s="165">
        <f>B16</f>
        <v>33.437199999999997</v>
      </c>
      <c r="DB8" s="83" t="s">
        <v>259</v>
      </c>
      <c r="DC8" s="83" t="s">
        <v>516</v>
      </c>
      <c r="DD8" s="149">
        <f>(DD9*DD15*DD20)+(DD10*DD14*DD21)</f>
        <v>39585</v>
      </c>
      <c r="DE8" s="92" t="s">
        <v>347</v>
      </c>
      <c r="DF8" s="83" t="s">
        <v>36</v>
      </c>
      <c r="DG8" s="138">
        <f>B193</f>
        <v>3.62</v>
      </c>
      <c r="DH8" s="52" t="s">
        <v>37</v>
      </c>
      <c r="DI8" s="83" t="s">
        <v>393</v>
      </c>
      <c r="DJ8" s="138">
        <f>B35</f>
        <v>0.26</v>
      </c>
      <c r="DL8" s="83" t="s">
        <v>393</v>
      </c>
      <c r="DM8" s="138">
        <f>B35</f>
        <v>0.26</v>
      </c>
      <c r="DO8" s="83" t="s">
        <v>36</v>
      </c>
      <c r="DP8" s="138">
        <f>B193</f>
        <v>3.62</v>
      </c>
      <c r="DQ8" s="52" t="s">
        <v>37</v>
      </c>
      <c r="DR8" s="83" t="s">
        <v>147</v>
      </c>
      <c r="DS8" s="149">
        <f>(DS11*DS9*DS17)+(DS12*DS10*DS18)</f>
        <v>150914.75</v>
      </c>
      <c r="DT8" s="92" t="s">
        <v>347</v>
      </c>
      <c r="DU8" s="52" t="s">
        <v>518</v>
      </c>
      <c r="DV8" s="146">
        <f>B204</f>
        <v>1.03</v>
      </c>
      <c r="DW8" s="52" t="s">
        <v>286</v>
      </c>
      <c r="DX8" s="83" t="s">
        <v>392</v>
      </c>
      <c r="DY8" s="138">
        <f>B36</f>
        <v>0.25</v>
      </c>
      <c r="EA8" s="83" t="s">
        <v>392</v>
      </c>
      <c r="EB8" s="138">
        <f>B36</f>
        <v>0.25</v>
      </c>
      <c r="EC8" s="84"/>
      <c r="ED8" s="83" t="s">
        <v>392</v>
      </c>
      <c r="EE8" s="138">
        <f>B36</f>
        <v>0.25</v>
      </c>
      <c r="EF8" s="84"/>
      <c r="EG8" s="83" t="s">
        <v>519</v>
      </c>
      <c r="EH8" s="149">
        <f>(EH11*EH9*EH17)+(EH12*EH10*EH18)</f>
        <v>55060.25</v>
      </c>
      <c r="EI8" s="92" t="s">
        <v>347</v>
      </c>
      <c r="EJ8" s="83"/>
      <c r="EM8" s="83" t="s">
        <v>392</v>
      </c>
      <c r="EN8" s="138">
        <f>B36</f>
        <v>0.25</v>
      </c>
      <c r="EP8" s="83" t="s">
        <v>392</v>
      </c>
      <c r="EQ8" s="138">
        <f>B36</f>
        <v>0.25</v>
      </c>
      <c r="ER8" s="84"/>
      <c r="ES8" s="83" t="s">
        <v>392</v>
      </c>
      <c r="ET8" s="138">
        <f>B36</f>
        <v>0.25</v>
      </c>
      <c r="EU8" s="84"/>
      <c r="EV8" s="83" t="s">
        <v>520</v>
      </c>
      <c r="EW8" s="149">
        <f>(EW11*EW9*EW17)+(EW12*EW10*EW18)</f>
        <v>16461.375</v>
      </c>
      <c r="EX8" s="92" t="s">
        <v>347</v>
      </c>
      <c r="EY8" s="95"/>
      <c r="EZ8" s="176"/>
      <c r="FA8" s="83"/>
      <c r="FB8" s="83" t="s">
        <v>392</v>
      </c>
      <c r="FC8" s="142">
        <f>B36</f>
        <v>0.25</v>
      </c>
      <c r="FD8" s="83"/>
      <c r="FE8" s="83" t="s">
        <v>392</v>
      </c>
      <c r="FF8" s="142">
        <f>B36</f>
        <v>0.25</v>
      </c>
      <c r="FG8" s="83"/>
      <c r="FH8" s="83" t="s">
        <v>392</v>
      </c>
      <c r="FI8" s="142">
        <f>B36</f>
        <v>0.25</v>
      </c>
      <c r="FJ8" s="84"/>
      <c r="FK8" s="83" t="s">
        <v>521</v>
      </c>
      <c r="FL8" s="173">
        <f>(FL9*FL11*FL17)+(FL10*FL12*FL18)</f>
        <v>47953.5</v>
      </c>
      <c r="FM8" s="92" t="s">
        <v>347</v>
      </c>
      <c r="FN8" s="83"/>
      <c r="FO8" s="83"/>
      <c r="FP8" s="83"/>
      <c r="FQ8" s="83" t="s">
        <v>22</v>
      </c>
      <c r="FR8" s="137">
        <f>0.693/FR9</f>
        <v>4.3312499999999997E-4</v>
      </c>
      <c r="FT8" s="83"/>
      <c r="FU8" s="83"/>
      <c r="FV8" s="83"/>
      <c r="FZ8" s="83" t="s">
        <v>522</v>
      </c>
      <c r="GA8" s="173">
        <f>(GA11*GA9*GA17)+(GA10*GA12*GA18)</f>
        <v>32952.5</v>
      </c>
      <c r="GB8" s="92" t="s">
        <v>347</v>
      </c>
      <c r="GC8" s="95"/>
      <c r="GD8" s="176"/>
      <c r="GE8" s="83"/>
      <c r="GF8" s="83" t="s">
        <v>392</v>
      </c>
      <c r="GG8" s="142">
        <f>B36</f>
        <v>0.25</v>
      </c>
      <c r="GH8" s="83"/>
      <c r="GI8" s="83" t="s">
        <v>392</v>
      </c>
      <c r="GJ8" s="142">
        <f>B36</f>
        <v>0.25</v>
      </c>
      <c r="GK8" s="83"/>
      <c r="GL8" s="83" t="s">
        <v>392</v>
      </c>
      <c r="GM8" s="142">
        <f>B36</f>
        <v>0.25</v>
      </c>
      <c r="GN8" s="84"/>
      <c r="GO8" s="83" t="s">
        <v>523</v>
      </c>
      <c r="GP8" s="149">
        <f>(GP9*GP11*GP16)+(GP10*GP12*GP17)</f>
        <v>30096.5</v>
      </c>
      <c r="GQ8" s="92" t="s">
        <v>347</v>
      </c>
      <c r="GR8" s="95"/>
      <c r="GS8" s="176"/>
      <c r="GT8" s="83"/>
      <c r="GU8" s="83" t="s">
        <v>392</v>
      </c>
      <c r="GV8" s="142">
        <f>B36</f>
        <v>0.25</v>
      </c>
      <c r="GW8" s="83"/>
      <c r="GX8" s="83" t="s">
        <v>392</v>
      </c>
      <c r="GY8" s="142">
        <f>B36</f>
        <v>0.25</v>
      </c>
      <c r="GZ8" s="83"/>
      <c r="HA8" s="83" t="s">
        <v>392</v>
      </c>
      <c r="HB8" s="142">
        <f>B36</f>
        <v>0.25</v>
      </c>
      <c r="HC8" s="84"/>
      <c r="HD8" s="52" t="s">
        <v>16</v>
      </c>
      <c r="HE8" s="137">
        <f>1-EXP(-HE7*HE12)</f>
        <v>4.3303121490789742E-4</v>
      </c>
    </row>
    <row r="9" spans="1:214" x14ac:dyDescent="0.2">
      <c r="A9" s="83" t="s">
        <v>250</v>
      </c>
      <c r="B9" s="183">
        <v>1.036E-3</v>
      </c>
      <c r="C9" s="83" t="s">
        <v>259</v>
      </c>
      <c r="D9" s="52" t="s">
        <v>379</v>
      </c>
      <c r="E9" s="138">
        <f>B53</f>
        <v>1</v>
      </c>
      <c r="F9" s="52" t="s">
        <v>146</v>
      </c>
      <c r="G9" s="83" t="s">
        <v>258</v>
      </c>
      <c r="H9" s="136">
        <f>B17</f>
        <v>1.67911012348351E-3</v>
      </c>
      <c r="I9" s="92" t="s">
        <v>259</v>
      </c>
      <c r="J9" s="83" t="s">
        <v>258</v>
      </c>
      <c r="K9" s="136">
        <f>B17</f>
        <v>1.67911012348351E-3</v>
      </c>
      <c r="L9" s="92" t="s">
        <v>259</v>
      </c>
      <c r="M9" s="52" t="s">
        <v>382</v>
      </c>
      <c r="N9" s="138">
        <f>B56</f>
        <v>350</v>
      </c>
      <c r="O9" s="52" t="s">
        <v>24</v>
      </c>
      <c r="P9" s="52" t="s">
        <v>382</v>
      </c>
      <c r="Q9" s="138">
        <f>B56</f>
        <v>350</v>
      </c>
      <c r="R9" s="52" t="s">
        <v>24</v>
      </c>
      <c r="S9" s="52" t="s">
        <v>382</v>
      </c>
      <c r="T9" s="138">
        <f>B56</f>
        <v>350</v>
      </c>
      <c r="U9" s="52" t="s">
        <v>24</v>
      </c>
      <c r="V9" s="52" t="s">
        <v>423</v>
      </c>
      <c r="W9" s="138">
        <f>B255</f>
        <v>225</v>
      </c>
      <c r="X9" s="52" t="s">
        <v>24</v>
      </c>
      <c r="Y9" s="52" t="s">
        <v>316</v>
      </c>
      <c r="Z9" s="138">
        <f>B231</f>
        <v>250</v>
      </c>
      <c r="AA9" s="52" t="s">
        <v>24</v>
      </c>
      <c r="AB9" s="83" t="s">
        <v>34</v>
      </c>
      <c r="AC9" s="146">
        <f>B232</f>
        <v>1</v>
      </c>
      <c r="AD9" s="146">
        <f>B244</f>
        <v>1</v>
      </c>
      <c r="AE9" s="146">
        <f>B256</f>
        <v>1</v>
      </c>
      <c r="AF9" s="146">
        <f>B268</f>
        <v>1</v>
      </c>
      <c r="AG9" s="146">
        <f>B292</f>
        <v>1</v>
      </c>
      <c r="AH9" s="83" t="s">
        <v>60</v>
      </c>
      <c r="AI9" s="52" t="s">
        <v>35</v>
      </c>
      <c r="AJ9" s="138">
        <f>B243</f>
        <v>250</v>
      </c>
      <c r="AK9" s="52" t="s">
        <v>24</v>
      </c>
      <c r="AL9" s="52" t="s">
        <v>35</v>
      </c>
      <c r="AM9" s="138">
        <f>B243</f>
        <v>250</v>
      </c>
      <c r="AN9" s="52" t="s">
        <v>24</v>
      </c>
      <c r="AO9" s="52" t="s">
        <v>35</v>
      </c>
      <c r="AP9" s="138">
        <f>B243</f>
        <v>250</v>
      </c>
      <c r="AQ9" s="52" t="s">
        <v>24</v>
      </c>
      <c r="AR9" s="52" t="s">
        <v>423</v>
      </c>
      <c r="AS9" s="138">
        <f>B255</f>
        <v>225</v>
      </c>
      <c r="AT9" s="52" t="s">
        <v>24</v>
      </c>
      <c r="AU9" s="52" t="s">
        <v>423</v>
      </c>
      <c r="AV9" s="138">
        <f>B255</f>
        <v>225</v>
      </c>
      <c r="AW9" s="52" t="s">
        <v>24</v>
      </c>
      <c r="AX9" s="52" t="s">
        <v>423</v>
      </c>
      <c r="AY9" s="138">
        <f>B255</f>
        <v>225</v>
      </c>
      <c r="AZ9" s="52" t="s">
        <v>24</v>
      </c>
      <c r="BA9" s="52" t="s">
        <v>316</v>
      </c>
      <c r="BB9" s="138">
        <f>B231</f>
        <v>250</v>
      </c>
      <c r="BC9" s="52" t="s">
        <v>24</v>
      </c>
      <c r="BD9" s="52" t="s">
        <v>316</v>
      </c>
      <c r="BE9" s="138">
        <f>B231</f>
        <v>250</v>
      </c>
      <c r="BF9" s="52" t="s">
        <v>24</v>
      </c>
      <c r="BG9" s="52" t="s">
        <v>316</v>
      </c>
      <c r="BH9" s="138">
        <f>B231</f>
        <v>250</v>
      </c>
      <c r="BI9" s="52" t="s">
        <v>24</v>
      </c>
      <c r="BJ9" s="52" t="s">
        <v>191</v>
      </c>
      <c r="BK9" s="138">
        <f>BK10*BK11</f>
        <v>250</v>
      </c>
      <c r="BL9" s="52" t="s">
        <v>24</v>
      </c>
      <c r="BM9" s="52" t="s">
        <v>191</v>
      </c>
      <c r="BN9" s="138">
        <f>BN10*BN11</f>
        <v>250</v>
      </c>
      <c r="BO9" s="52" t="s">
        <v>24</v>
      </c>
      <c r="BP9" s="52" t="s">
        <v>191</v>
      </c>
      <c r="BQ9" s="138">
        <f>BQ10*BQ11</f>
        <v>250</v>
      </c>
      <c r="BR9" s="52" t="s">
        <v>24</v>
      </c>
      <c r="BS9" s="52" t="s">
        <v>247</v>
      </c>
      <c r="BT9" s="139">
        <f>E11</f>
        <v>3.8043873993229303E-2</v>
      </c>
      <c r="BU9" s="84" t="s">
        <v>259</v>
      </c>
      <c r="BV9" s="83" t="s">
        <v>258</v>
      </c>
      <c r="BW9" s="136">
        <f>B17</f>
        <v>1.67911012348351E-3</v>
      </c>
      <c r="BX9" s="92" t="s">
        <v>259</v>
      </c>
      <c r="BY9" s="83" t="s">
        <v>77</v>
      </c>
      <c r="BZ9" s="136">
        <f>B19</f>
        <v>1359344473.5814338</v>
      </c>
      <c r="CA9" s="83" t="s">
        <v>78</v>
      </c>
      <c r="CB9" s="52" t="s">
        <v>140</v>
      </c>
      <c r="CC9" s="138">
        <f>B103</f>
        <v>75</v>
      </c>
      <c r="CD9" s="52" t="s">
        <v>24</v>
      </c>
      <c r="CE9" s="52" t="s">
        <v>140</v>
      </c>
      <c r="CF9" s="138">
        <f>B103</f>
        <v>75</v>
      </c>
      <c r="CG9" s="52" t="s">
        <v>24</v>
      </c>
      <c r="CH9" s="52" t="s">
        <v>140</v>
      </c>
      <c r="CI9" s="138">
        <f>B103</f>
        <v>75</v>
      </c>
      <c r="CJ9" s="52" t="s">
        <v>24</v>
      </c>
      <c r="CK9" s="95" t="s">
        <v>287</v>
      </c>
      <c r="CL9" s="176">
        <v>27.027027027027</v>
      </c>
      <c r="CM9" s="52" t="s">
        <v>288</v>
      </c>
      <c r="CN9" s="84" t="s">
        <v>392</v>
      </c>
      <c r="CO9" s="162">
        <f>B36</f>
        <v>0.25</v>
      </c>
      <c r="CT9" s="83" t="s">
        <v>258</v>
      </c>
      <c r="CU9" s="136">
        <f>B17</f>
        <v>1.67911012348351E-3</v>
      </c>
      <c r="CV9" s="92" t="s">
        <v>259</v>
      </c>
      <c r="CW9" s="52" t="s">
        <v>363</v>
      </c>
      <c r="CX9" s="138">
        <f>B170</f>
        <v>1</v>
      </c>
      <c r="CY9" s="52" t="s">
        <v>146</v>
      </c>
      <c r="CZ9" s="83" t="s">
        <v>258</v>
      </c>
      <c r="DA9" s="136">
        <f>B17</f>
        <v>1.67911012348351E-3</v>
      </c>
      <c r="DB9" s="84" t="s">
        <v>259</v>
      </c>
      <c r="DC9" s="83" t="s">
        <v>513</v>
      </c>
      <c r="DD9" s="146">
        <f>B151</f>
        <v>41.7</v>
      </c>
      <c r="DE9" s="92" t="s">
        <v>221</v>
      </c>
      <c r="DF9" s="83" t="s">
        <v>40</v>
      </c>
      <c r="DG9" s="138">
        <f>B194</f>
        <v>0.25</v>
      </c>
      <c r="DH9" s="52" t="s">
        <v>41</v>
      </c>
      <c r="DI9" s="52" t="s">
        <v>350</v>
      </c>
      <c r="DJ9" s="164">
        <f>B170</f>
        <v>1</v>
      </c>
      <c r="DL9" s="95"/>
      <c r="DM9" s="176"/>
      <c r="DO9" s="83" t="s">
        <v>40</v>
      </c>
      <c r="DP9" s="138">
        <f>B194</f>
        <v>0.25</v>
      </c>
      <c r="DQ9" s="52" t="s">
        <v>41</v>
      </c>
      <c r="DR9" s="83" t="s">
        <v>452</v>
      </c>
      <c r="DS9" s="146">
        <f>B153</f>
        <v>349.5</v>
      </c>
      <c r="DT9" s="92" t="s">
        <v>221</v>
      </c>
      <c r="DU9" s="95"/>
      <c r="DV9" s="176"/>
      <c r="DX9" s="83" t="s">
        <v>517</v>
      </c>
      <c r="DY9" s="136">
        <f>B24</f>
        <v>3.8000000000000002E-4</v>
      </c>
      <c r="DZ9" s="52" t="s">
        <v>601</v>
      </c>
      <c r="EA9" s="83" t="s">
        <v>517</v>
      </c>
      <c r="EB9" s="136">
        <f>B24</f>
        <v>3.8000000000000002E-4</v>
      </c>
      <c r="EC9" s="52" t="s">
        <v>601</v>
      </c>
      <c r="ED9" s="83" t="s">
        <v>517</v>
      </c>
      <c r="EE9" s="136">
        <f>B24</f>
        <v>3.8000000000000002E-4</v>
      </c>
      <c r="EF9" s="52" t="s">
        <v>601</v>
      </c>
      <c r="EG9" s="83" t="s">
        <v>453</v>
      </c>
      <c r="EH9" s="170">
        <f>B155</f>
        <v>40.1</v>
      </c>
      <c r="EI9" s="92" t="s">
        <v>221</v>
      </c>
      <c r="EJ9" s="83"/>
      <c r="EM9" s="83" t="s">
        <v>236</v>
      </c>
      <c r="EN9" s="136">
        <f>B25</f>
        <v>1.6999999999999999E-3</v>
      </c>
      <c r="EO9" s="52" t="s">
        <v>388</v>
      </c>
      <c r="EP9" s="83" t="s">
        <v>236</v>
      </c>
      <c r="EQ9" s="169">
        <f>B25</f>
        <v>1.6999999999999999E-3</v>
      </c>
      <c r="ER9" s="52" t="s">
        <v>388</v>
      </c>
      <c r="ES9" s="83" t="s">
        <v>236</v>
      </c>
      <c r="ET9" s="169">
        <f>B25</f>
        <v>1.6999999999999999E-3</v>
      </c>
      <c r="EU9" s="52" t="s">
        <v>388</v>
      </c>
      <c r="EV9" s="83" t="s">
        <v>454</v>
      </c>
      <c r="EW9" s="171">
        <f>B157</f>
        <v>10.95</v>
      </c>
      <c r="EX9" s="92" t="s">
        <v>221</v>
      </c>
      <c r="EY9" s="83"/>
      <c r="EZ9" s="83"/>
      <c r="FA9" s="83"/>
      <c r="FB9" s="83" t="s">
        <v>171</v>
      </c>
      <c r="FC9" s="169">
        <f>B27</f>
        <v>0</v>
      </c>
      <c r="FD9" s="52" t="s">
        <v>388</v>
      </c>
      <c r="FE9" s="83" t="s">
        <v>171</v>
      </c>
      <c r="FF9" s="169">
        <f>B27</f>
        <v>0</v>
      </c>
      <c r="FG9" s="52" t="s">
        <v>388</v>
      </c>
      <c r="FH9" s="83" t="s">
        <v>171</v>
      </c>
      <c r="FI9" s="169">
        <f>B27</f>
        <v>0</v>
      </c>
      <c r="FJ9" s="52" t="s">
        <v>388</v>
      </c>
      <c r="FK9" s="83" t="s">
        <v>471</v>
      </c>
      <c r="FL9" s="150">
        <f>B159</f>
        <v>32.799999999999997</v>
      </c>
      <c r="FM9" s="92" t="s">
        <v>221</v>
      </c>
      <c r="FN9" s="83"/>
      <c r="FO9" s="83"/>
      <c r="FP9" s="83"/>
      <c r="FQ9" s="91" t="s">
        <v>231</v>
      </c>
      <c r="FR9" s="136">
        <f>B18</f>
        <v>1600</v>
      </c>
      <c r="FS9" s="52" t="s">
        <v>60</v>
      </c>
      <c r="FT9" s="83"/>
      <c r="FU9" s="93"/>
      <c r="FV9" s="83"/>
      <c r="FW9" s="83"/>
      <c r="FX9" s="93"/>
      <c r="FY9" s="83"/>
      <c r="FZ9" s="83" t="s">
        <v>473</v>
      </c>
      <c r="GA9" s="174">
        <f>B161</f>
        <v>23.6</v>
      </c>
      <c r="GB9" s="92" t="s">
        <v>221</v>
      </c>
      <c r="GC9" s="83"/>
      <c r="GD9" s="83"/>
      <c r="GE9" s="83"/>
      <c r="GF9" s="83" t="s">
        <v>237</v>
      </c>
      <c r="GG9" s="169">
        <f>B26</f>
        <v>0</v>
      </c>
      <c r="GH9" s="52" t="s">
        <v>388</v>
      </c>
      <c r="GI9" s="83" t="s">
        <v>237</v>
      </c>
      <c r="GJ9" s="169">
        <f>B26</f>
        <v>0</v>
      </c>
      <c r="GK9" s="52" t="s">
        <v>388</v>
      </c>
      <c r="GL9" s="83" t="s">
        <v>237</v>
      </c>
      <c r="GM9" s="169">
        <f>B26</f>
        <v>0</v>
      </c>
      <c r="GN9" s="84"/>
      <c r="GO9" s="83" t="s">
        <v>455</v>
      </c>
      <c r="GP9" s="150">
        <f>B163</f>
        <v>18.5</v>
      </c>
      <c r="GQ9" s="92" t="s">
        <v>221</v>
      </c>
      <c r="GR9" s="83"/>
      <c r="GS9" s="83"/>
      <c r="GT9" s="83"/>
      <c r="GU9" s="83" t="s">
        <v>238</v>
      </c>
      <c r="GV9" s="169">
        <f>B28</f>
        <v>0</v>
      </c>
      <c r="GW9" s="52" t="s">
        <v>388</v>
      </c>
      <c r="GX9" s="83" t="s">
        <v>238</v>
      </c>
      <c r="GY9" s="169">
        <f>B28</f>
        <v>0</v>
      </c>
      <c r="GZ9" s="52" t="s">
        <v>388</v>
      </c>
      <c r="HA9" s="83" t="s">
        <v>238</v>
      </c>
      <c r="HB9" s="169">
        <f>B28</f>
        <v>0</v>
      </c>
      <c r="HC9" s="52" t="s">
        <v>388</v>
      </c>
      <c r="HD9" s="91" t="s">
        <v>231</v>
      </c>
      <c r="HE9" s="136">
        <f>B18</f>
        <v>1600</v>
      </c>
      <c r="HF9" s="52" t="s">
        <v>60</v>
      </c>
    </row>
    <row r="10" spans="1:214" x14ac:dyDescent="0.2">
      <c r="A10" s="83" t="s">
        <v>251</v>
      </c>
      <c r="B10" s="183">
        <v>10.423439999999999</v>
      </c>
      <c r="C10" s="83" t="s">
        <v>351</v>
      </c>
      <c r="D10" s="52" t="s">
        <v>92</v>
      </c>
      <c r="E10" s="138">
        <f>E9</f>
        <v>1</v>
      </c>
      <c r="G10" s="83" t="s">
        <v>260</v>
      </c>
      <c r="H10" s="143">
        <f>(H5/(H6*H15))/H70</f>
        <v>2.9917562471539486E-2</v>
      </c>
      <c r="I10" s="92" t="s">
        <v>291</v>
      </c>
      <c r="J10" s="83" t="s">
        <v>77</v>
      </c>
      <c r="K10" s="136">
        <f>B19</f>
        <v>1359344473.5814338</v>
      </c>
      <c r="L10" s="83" t="s">
        <v>78</v>
      </c>
      <c r="M10" s="52" t="s">
        <v>379</v>
      </c>
      <c r="N10" s="138">
        <f>B53</f>
        <v>1</v>
      </c>
      <c r="O10" s="52" t="s">
        <v>146</v>
      </c>
      <c r="P10" s="52" t="s">
        <v>379</v>
      </c>
      <c r="Q10" s="138">
        <f>B53</f>
        <v>1</v>
      </c>
      <c r="R10" s="52" t="s">
        <v>146</v>
      </c>
      <c r="S10" s="52" t="s">
        <v>379</v>
      </c>
      <c r="T10" s="138">
        <f>B53</f>
        <v>1</v>
      </c>
      <c r="U10" s="52" t="s">
        <v>146</v>
      </c>
      <c r="V10" s="52" t="s">
        <v>424</v>
      </c>
      <c r="W10" s="138">
        <f>B256</f>
        <v>1</v>
      </c>
      <c r="X10" s="52" t="s">
        <v>146</v>
      </c>
      <c r="Y10" s="52" t="s">
        <v>422</v>
      </c>
      <c r="Z10" s="138">
        <f>B232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B277</f>
        <v>5</v>
      </c>
      <c r="AG10" s="146">
        <f>B300</f>
        <v>5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B244</f>
        <v>1</v>
      </c>
      <c r="AN10" s="52" t="s">
        <v>146</v>
      </c>
      <c r="AO10" s="52" t="s">
        <v>420</v>
      </c>
      <c r="AP10" s="138">
        <f>B244</f>
        <v>1</v>
      </c>
      <c r="AQ10" s="52" t="s">
        <v>146</v>
      </c>
      <c r="AR10" s="52" t="s">
        <v>424</v>
      </c>
      <c r="AS10" s="138">
        <f>B256</f>
        <v>1</v>
      </c>
      <c r="AT10" s="52" t="s">
        <v>146</v>
      </c>
      <c r="AU10" s="52" t="s">
        <v>424</v>
      </c>
      <c r="AV10" s="138">
        <f>B256</f>
        <v>1</v>
      </c>
      <c r="AW10" s="52" t="s">
        <v>146</v>
      </c>
      <c r="AX10" s="52" t="s">
        <v>424</v>
      </c>
      <c r="AY10" s="138">
        <f>B256</f>
        <v>1</v>
      </c>
      <c r="AZ10" s="52" t="s">
        <v>146</v>
      </c>
      <c r="BA10" s="52" t="s">
        <v>422</v>
      </c>
      <c r="BB10" s="138">
        <f>B232</f>
        <v>1</v>
      </c>
      <c r="BC10" s="52" t="s">
        <v>146</v>
      </c>
      <c r="BD10" s="52" t="s">
        <v>422</v>
      </c>
      <c r="BE10" s="138">
        <f>B232</f>
        <v>1</v>
      </c>
      <c r="BF10" s="52" t="s">
        <v>146</v>
      </c>
      <c r="BG10" s="52" t="s">
        <v>422</v>
      </c>
      <c r="BH10" s="138">
        <f>B232</f>
        <v>1</v>
      </c>
      <c r="BI10" s="52" t="s">
        <v>146</v>
      </c>
      <c r="BJ10" s="52" t="s">
        <v>220</v>
      </c>
      <c r="BK10" s="138">
        <f>B278</f>
        <v>50</v>
      </c>
      <c r="BL10" s="52" t="s">
        <v>113</v>
      </c>
      <c r="BM10" s="52" t="s">
        <v>220</v>
      </c>
      <c r="BN10" s="138">
        <f>B278</f>
        <v>50</v>
      </c>
      <c r="BO10" s="52" t="s">
        <v>113</v>
      </c>
      <c r="BP10" s="52" t="s">
        <v>220</v>
      </c>
      <c r="BQ10" s="138">
        <f>B278</f>
        <v>50</v>
      </c>
      <c r="BR10" s="52" t="s">
        <v>113</v>
      </c>
      <c r="BS10" s="83" t="s">
        <v>428</v>
      </c>
      <c r="BT10" s="149">
        <f>(BT22*BT13*(1/24)*BT11*BT25)+(BT23*BT14*(1/24)*BT12*BT26)</f>
        <v>55.3125</v>
      </c>
      <c r="BU10" s="52" t="s">
        <v>426</v>
      </c>
      <c r="BV10" s="83" t="s">
        <v>260</v>
      </c>
      <c r="BW10" s="143">
        <f>(BW5/(BW6*BW13))/BW32</f>
        <v>9.7935473167945304</v>
      </c>
      <c r="BX10" s="92" t="s">
        <v>291</v>
      </c>
      <c r="BY10" s="84" t="s">
        <v>16</v>
      </c>
      <c r="BZ10" s="137">
        <f>(BZ30*BZ11)/(1-EXP(-BZ11*BZ30))</f>
        <v>1.0002165781331087</v>
      </c>
      <c r="CB10" s="52" t="s">
        <v>51</v>
      </c>
      <c r="CC10" s="138">
        <f>B117</f>
        <v>1</v>
      </c>
      <c r="CD10" s="52" t="s">
        <v>146</v>
      </c>
      <c r="CE10" s="52" t="s">
        <v>51</v>
      </c>
      <c r="CF10" s="138">
        <f>B117</f>
        <v>1</v>
      </c>
      <c r="CG10" s="52" t="s">
        <v>146</v>
      </c>
      <c r="CH10" s="52" t="s">
        <v>51</v>
      </c>
      <c r="CI10" s="138">
        <f>B117</f>
        <v>1</v>
      </c>
      <c r="CJ10" s="52" t="s">
        <v>146</v>
      </c>
      <c r="CN10" s="84" t="s">
        <v>164</v>
      </c>
      <c r="CO10" s="162">
        <f>B129</f>
        <v>1</v>
      </c>
      <c r="CP10" s="52" t="s">
        <v>246</v>
      </c>
      <c r="CT10" s="83" t="s">
        <v>77</v>
      </c>
      <c r="CU10" s="136">
        <f>B19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1.0002165781331087</v>
      </c>
      <c r="DC10" s="83" t="s">
        <v>514</v>
      </c>
      <c r="DD10" s="146">
        <f>B152</f>
        <v>125.7</v>
      </c>
      <c r="DE10" s="92" t="s">
        <v>221</v>
      </c>
      <c r="DF10" s="92" t="s">
        <v>32</v>
      </c>
      <c r="DG10" s="136">
        <f>B31</f>
        <v>1.4800000000000001E-2</v>
      </c>
      <c r="DI10" s="83" t="s">
        <v>22</v>
      </c>
      <c r="DJ10" s="137">
        <f>0.693/DJ11</f>
        <v>4.3312499999999997E-4</v>
      </c>
      <c r="DL10" s="92"/>
      <c r="DO10" s="92" t="s">
        <v>32</v>
      </c>
      <c r="DP10" s="136">
        <f>B31</f>
        <v>1.4800000000000001E-2</v>
      </c>
      <c r="DR10" s="83" t="s">
        <v>461</v>
      </c>
      <c r="DS10" s="146">
        <f>B154</f>
        <v>445.6</v>
      </c>
      <c r="DT10" s="92" t="s">
        <v>221</v>
      </c>
      <c r="DU10" s="92"/>
      <c r="DX10" s="83" t="s">
        <v>498</v>
      </c>
      <c r="DY10" s="138">
        <f>B205</f>
        <v>20.3</v>
      </c>
      <c r="DZ10" s="52" t="s">
        <v>246</v>
      </c>
      <c r="EA10" s="83" t="s">
        <v>498</v>
      </c>
      <c r="EB10" s="138">
        <f>B205</f>
        <v>20.3</v>
      </c>
      <c r="EC10" s="52" t="s">
        <v>246</v>
      </c>
      <c r="ED10" s="83" t="s">
        <v>498</v>
      </c>
      <c r="EE10" s="138">
        <f>B205</f>
        <v>20.3</v>
      </c>
      <c r="EF10" s="52" t="s">
        <v>246</v>
      </c>
      <c r="EG10" s="83" t="s">
        <v>462</v>
      </c>
      <c r="EH10" s="170">
        <f>B156</f>
        <v>178</v>
      </c>
      <c r="EI10" s="92" t="s">
        <v>221</v>
      </c>
      <c r="EJ10" s="92"/>
      <c r="EM10" s="83" t="s">
        <v>494</v>
      </c>
      <c r="EN10" s="138">
        <f>B210</f>
        <v>11.77</v>
      </c>
      <c r="EO10" s="52" t="s">
        <v>246</v>
      </c>
      <c r="EP10" s="83" t="s">
        <v>494</v>
      </c>
      <c r="EQ10" s="138">
        <f>B210</f>
        <v>11.77</v>
      </c>
      <c r="ER10" s="52" t="s">
        <v>246</v>
      </c>
      <c r="ES10" s="83" t="s">
        <v>494</v>
      </c>
      <c r="ET10" s="138">
        <f>B210</f>
        <v>11.77</v>
      </c>
      <c r="EU10" s="52" t="s">
        <v>246</v>
      </c>
      <c r="EV10" s="83" t="s">
        <v>463</v>
      </c>
      <c r="EW10" s="170">
        <f>B158</f>
        <v>53.4</v>
      </c>
      <c r="EX10" s="92" t="s">
        <v>221</v>
      </c>
      <c r="EY10" s="83"/>
      <c r="EZ10" s="83"/>
      <c r="FA10" s="83"/>
      <c r="FB10" s="83" t="s">
        <v>152</v>
      </c>
      <c r="FC10" s="142">
        <f>B215</f>
        <v>0.2</v>
      </c>
      <c r="FD10" s="52" t="s">
        <v>246</v>
      </c>
      <c r="FE10" s="83" t="s">
        <v>152</v>
      </c>
      <c r="FF10" s="142">
        <f>B215</f>
        <v>0.2</v>
      </c>
      <c r="FG10" s="52" t="s">
        <v>246</v>
      </c>
      <c r="FH10" s="83" t="s">
        <v>152</v>
      </c>
      <c r="FI10" s="142">
        <f>B215</f>
        <v>0.2</v>
      </c>
      <c r="FJ10" s="52" t="s">
        <v>246</v>
      </c>
      <c r="FK10" s="83" t="s">
        <v>472</v>
      </c>
      <c r="FL10" s="150">
        <f>B160</f>
        <v>155.4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1.0002165781331087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B162</f>
        <v>106.6</v>
      </c>
      <c r="GB10" s="92" t="s">
        <v>221</v>
      </c>
      <c r="GC10" s="83"/>
      <c r="GD10" s="83"/>
      <c r="GE10" s="83"/>
      <c r="GF10" s="83" t="s">
        <v>486</v>
      </c>
      <c r="GG10" s="142">
        <f>B220</f>
        <v>0.2</v>
      </c>
      <c r="GH10" s="52" t="s">
        <v>246</v>
      </c>
      <c r="GI10" s="83" t="s">
        <v>486</v>
      </c>
      <c r="GJ10" s="142">
        <f>B220</f>
        <v>0.2</v>
      </c>
      <c r="GK10" s="52" t="s">
        <v>246</v>
      </c>
      <c r="GL10" s="83" t="s">
        <v>486</v>
      </c>
      <c r="GM10" s="142">
        <f>B220</f>
        <v>0.2</v>
      </c>
      <c r="GN10" s="52" t="s">
        <v>246</v>
      </c>
      <c r="GO10" s="83" t="s">
        <v>464</v>
      </c>
      <c r="GP10" s="150">
        <f>B164</f>
        <v>97.9</v>
      </c>
      <c r="GQ10" s="92" t="s">
        <v>221</v>
      </c>
      <c r="GR10" s="83"/>
      <c r="GS10" s="83"/>
      <c r="GT10" s="83"/>
      <c r="GU10" s="83" t="s">
        <v>490</v>
      </c>
      <c r="GV10" s="142">
        <f>B225</f>
        <v>4.7</v>
      </c>
      <c r="GW10" s="52" t="s">
        <v>246</v>
      </c>
      <c r="GX10" s="83" t="s">
        <v>490</v>
      </c>
      <c r="GY10" s="142">
        <f>B225</f>
        <v>4.7</v>
      </c>
      <c r="GZ10" s="52" t="s">
        <v>246</v>
      </c>
      <c r="HA10" s="83" t="s">
        <v>490</v>
      </c>
      <c r="HB10" s="142">
        <f>B225</f>
        <v>4.7</v>
      </c>
      <c r="HC10" s="52" t="s">
        <v>246</v>
      </c>
      <c r="HD10" s="84" t="s">
        <v>38</v>
      </c>
      <c r="HE10" s="163">
        <f>B83</f>
        <v>0.3</v>
      </c>
    </row>
    <row r="11" spans="1:214" x14ac:dyDescent="0.2">
      <c r="A11" s="83" t="s">
        <v>252</v>
      </c>
      <c r="B11" s="183">
        <v>1.9522299999999999</v>
      </c>
      <c r="C11" s="83" t="s">
        <v>352</v>
      </c>
      <c r="D11" s="52" t="s">
        <v>247</v>
      </c>
      <c r="E11" s="139">
        <f>B6</f>
        <v>3.8043873993229303E-2</v>
      </c>
      <c r="F11" s="84" t="s">
        <v>259</v>
      </c>
      <c r="G11" s="83" t="s">
        <v>261</v>
      </c>
      <c r="H11" s="144">
        <f>(H5/(H7*H16*H28))/H70</f>
        <v>3.1398266727485969E-4</v>
      </c>
      <c r="I11" s="92" t="s">
        <v>291</v>
      </c>
      <c r="J11" s="84" t="s">
        <v>16</v>
      </c>
      <c r="K11" s="137">
        <f>(K43*K12)/(1-EXP(-K12*K43))</f>
        <v>1.0002165781331087</v>
      </c>
      <c r="M11" s="52" t="s">
        <v>299</v>
      </c>
      <c r="N11" s="138">
        <f>B61</f>
        <v>0.4</v>
      </c>
      <c r="P11" s="52" t="s">
        <v>299</v>
      </c>
      <c r="Q11" s="138">
        <f>B61</f>
        <v>0.4</v>
      </c>
      <c r="S11" s="52" t="s">
        <v>299</v>
      </c>
      <c r="T11" s="138">
        <f>B61</f>
        <v>0.4</v>
      </c>
      <c r="V11" s="52" t="s">
        <v>247</v>
      </c>
      <c r="W11" s="139">
        <f>B6</f>
        <v>3.8043873993229303E-2</v>
      </c>
      <c r="X11" s="84" t="s">
        <v>39</v>
      </c>
      <c r="Y11" s="52" t="s">
        <v>247</v>
      </c>
      <c r="Z11" s="139">
        <f>B6</f>
        <v>3.8043873993229303E-2</v>
      </c>
      <c r="AA11" s="84" t="s">
        <v>39</v>
      </c>
      <c r="AB11" s="83" t="s">
        <v>220</v>
      </c>
      <c r="AC11" s="146"/>
      <c r="AD11" s="146"/>
      <c r="AE11" s="146"/>
      <c r="AF11" s="146">
        <f>B278</f>
        <v>50</v>
      </c>
      <c r="AG11" s="146">
        <f>B301</f>
        <v>50</v>
      </c>
      <c r="AH11" s="83" t="s">
        <v>113</v>
      </c>
      <c r="AI11" s="52" t="s">
        <v>299</v>
      </c>
      <c r="AJ11" s="138">
        <f>B248</f>
        <v>0.4</v>
      </c>
      <c r="AL11" s="52" t="s">
        <v>299</v>
      </c>
      <c r="AM11" s="138">
        <f>B248</f>
        <v>0.4</v>
      </c>
      <c r="AO11" s="52" t="s">
        <v>299</v>
      </c>
      <c r="AP11" s="138">
        <f>B248</f>
        <v>0.4</v>
      </c>
      <c r="AR11" s="52" t="s">
        <v>299</v>
      </c>
      <c r="AS11" s="138">
        <f>B260</f>
        <v>0.4</v>
      </c>
      <c r="AU11" s="52" t="s">
        <v>299</v>
      </c>
      <c r="AV11" s="138">
        <f>B260</f>
        <v>0.4</v>
      </c>
      <c r="AX11" s="52" t="s">
        <v>299</v>
      </c>
      <c r="AY11" s="138">
        <f>B260</f>
        <v>0.4</v>
      </c>
      <c r="BA11" s="52" t="s">
        <v>299</v>
      </c>
      <c r="BB11" s="138">
        <f>B236</f>
        <v>0.4</v>
      </c>
      <c r="BD11" s="52" t="s">
        <v>299</v>
      </c>
      <c r="BE11" s="138">
        <f>B236</f>
        <v>0.4</v>
      </c>
      <c r="BG11" s="52" t="s">
        <v>299</v>
      </c>
      <c r="BH11" s="138">
        <f>B236</f>
        <v>0.4</v>
      </c>
      <c r="BJ11" s="52" t="s">
        <v>219</v>
      </c>
      <c r="BK11" s="138">
        <f>B277</f>
        <v>5</v>
      </c>
      <c r="BL11" s="52" t="s">
        <v>112</v>
      </c>
      <c r="BM11" s="52" t="s">
        <v>219</v>
      </c>
      <c r="BN11" s="138">
        <f>B277</f>
        <v>5</v>
      </c>
      <c r="BO11" s="52" t="s">
        <v>112</v>
      </c>
      <c r="BP11" s="52" t="s">
        <v>219</v>
      </c>
      <c r="BQ11" s="138">
        <f>B277</f>
        <v>5</v>
      </c>
      <c r="BR11" s="52" t="s">
        <v>112</v>
      </c>
      <c r="BS11" s="83" t="s">
        <v>429</v>
      </c>
      <c r="BT11" s="141">
        <f>B93</f>
        <v>10</v>
      </c>
      <c r="BU11" s="92" t="s">
        <v>407</v>
      </c>
      <c r="BV11" s="83" t="s">
        <v>261</v>
      </c>
      <c r="BW11" s="159"/>
      <c r="BX11" s="92" t="s">
        <v>291</v>
      </c>
      <c r="BY11" s="83" t="s">
        <v>22</v>
      </c>
      <c r="BZ11" s="137">
        <f>0.693/BZ12</f>
        <v>4.3312499999999997E-4</v>
      </c>
      <c r="CB11" s="52" t="s">
        <v>300</v>
      </c>
      <c r="CC11" s="138">
        <f>B118</f>
        <v>2.41E-4</v>
      </c>
      <c r="CE11" s="52" t="s">
        <v>300</v>
      </c>
      <c r="CF11" s="138">
        <f>B120</f>
        <v>1.17E-4</v>
      </c>
      <c r="CH11" s="52" t="s">
        <v>300</v>
      </c>
      <c r="CI11" s="138">
        <f>B124</f>
        <v>2.2599999999999999E-4</v>
      </c>
      <c r="CN11" s="84" t="s">
        <v>161</v>
      </c>
      <c r="CO11" s="162">
        <f>B130</f>
        <v>1</v>
      </c>
      <c r="CP11" s="52" t="s">
        <v>246</v>
      </c>
      <c r="CT11" s="84" t="s">
        <v>16</v>
      </c>
      <c r="CU11" s="137">
        <f>(CU43*CU12)/(1-EXP(-CU12*CU43))</f>
        <v>1.0002165781331087</v>
      </c>
      <c r="CW11" s="52" t="s">
        <v>247</v>
      </c>
      <c r="CX11" s="139">
        <f>B6</f>
        <v>3.8043873993229303E-2</v>
      </c>
      <c r="CY11" s="84" t="s">
        <v>259</v>
      </c>
      <c r="CZ11" s="83" t="s">
        <v>22</v>
      </c>
      <c r="DA11" s="137">
        <f>0.693/DA12</f>
        <v>4.3312499999999997E-4</v>
      </c>
      <c r="DC11" s="83" t="s">
        <v>515</v>
      </c>
      <c r="DD11" s="149">
        <f>(DD12*DD15*DD20)+(DD13*DD14*DD21)</f>
        <v>56173.250000000007</v>
      </c>
      <c r="DE11" s="92" t="s">
        <v>347</v>
      </c>
      <c r="DF11" s="92" t="s">
        <v>49</v>
      </c>
      <c r="DG11" s="137">
        <f>DG19+DG20</f>
        <v>2.8186643835616437E-5</v>
      </c>
      <c r="DI11" s="91" t="s">
        <v>231</v>
      </c>
      <c r="DJ11" s="136">
        <f>B18</f>
        <v>1600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B168</f>
        <v>350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B168</f>
        <v>350</v>
      </c>
      <c r="EI11" s="83" t="s">
        <v>24</v>
      </c>
      <c r="EJ11" s="92"/>
      <c r="EM11" s="83" t="s">
        <v>495</v>
      </c>
      <c r="EN11" s="138">
        <f>B211</f>
        <v>0.5</v>
      </c>
      <c r="EO11" s="52" t="s">
        <v>246</v>
      </c>
      <c r="EP11" s="83" t="s">
        <v>495</v>
      </c>
      <c r="EQ11" s="138">
        <f>B211</f>
        <v>0.5</v>
      </c>
      <c r="ER11" s="52" t="s">
        <v>246</v>
      </c>
      <c r="ES11" s="83" t="s">
        <v>495</v>
      </c>
      <c r="ET11" s="138">
        <f>B211</f>
        <v>0.5</v>
      </c>
      <c r="EU11" s="52" t="s">
        <v>246</v>
      </c>
      <c r="EV11" s="83" t="s">
        <v>456</v>
      </c>
      <c r="EW11" s="150">
        <f>B168</f>
        <v>350</v>
      </c>
      <c r="EX11" s="83" t="s">
        <v>24</v>
      </c>
      <c r="EY11" s="83"/>
      <c r="EZ11" s="83"/>
      <c r="FA11" s="83"/>
      <c r="FB11" s="83" t="s">
        <v>151</v>
      </c>
      <c r="FC11" s="142">
        <f>B216</f>
        <v>2.1999999999999999E-2</v>
      </c>
      <c r="FD11" s="52" t="s">
        <v>246</v>
      </c>
      <c r="FE11" s="83" t="s">
        <v>151</v>
      </c>
      <c r="FF11" s="142">
        <f>B216</f>
        <v>2.1999999999999999E-2</v>
      </c>
      <c r="FG11" s="52" t="s">
        <v>246</v>
      </c>
      <c r="FH11" s="83" t="s">
        <v>151</v>
      </c>
      <c r="FI11" s="142">
        <f>B216</f>
        <v>2.1999999999999999E-2</v>
      </c>
      <c r="FJ11" s="52" t="s">
        <v>246</v>
      </c>
      <c r="FK11" s="83" t="s">
        <v>456</v>
      </c>
      <c r="FL11" s="150">
        <f>B168</f>
        <v>350</v>
      </c>
      <c r="FM11" s="83" t="s">
        <v>24</v>
      </c>
      <c r="FN11" s="83"/>
      <c r="FO11" s="83"/>
      <c r="FP11" s="83"/>
      <c r="FQ11" s="95"/>
      <c r="FR11" s="176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B168</f>
        <v>350</v>
      </c>
      <c r="GB11" s="83" t="s">
        <v>24</v>
      </c>
      <c r="GC11" s="83"/>
      <c r="GD11" s="83"/>
      <c r="GE11" s="83"/>
      <c r="GF11" s="83" t="s">
        <v>487</v>
      </c>
      <c r="GG11" s="142">
        <f>B221</f>
        <v>2.1999999999999999E-2</v>
      </c>
      <c r="GH11" s="52" t="s">
        <v>246</v>
      </c>
      <c r="GI11" s="83" t="s">
        <v>487</v>
      </c>
      <c r="GJ11" s="142">
        <f>B221</f>
        <v>2.1999999999999999E-2</v>
      </c>
      <c r="GK11" s="52" t="s">
        <v>246</v>
      </c>
      <c r="GL11" s="83" t="s">
        <v>487</v>
      </c>
      <c r="GM11" s="142">
        <f>B221</f>
        <v>2.1999999999999999E-2</v>
      </c>
      <c r="GN11" s="52" t="s">
        <v>246</v>
      </c>
      <c r="GO11" s="83" t="s">
        <v>456</v>
      </c>
      <c r="GP11" s="150">
        <f>B168</f>
        <v>350</v>
      </c>
      <c r="GQ11" s="83" t="s">
        <v>24</v>
      </c>
      <c r="GR11" s="83"/>
      <c r="GS11" s="83"/>
      <c r="GT11" s="83"/>
      <c r="GU11" s="83" t="s">
        <v>491</v>
      </c>
      <c r="GV11" s="142">
        <f>B226</f>
        <v>0.37</v>
      </c>
      <c r="GW11" s="52" t="s">
        <v>246</v>
      </c>
      <c r="GX11" s="83" t="s">
        <v>491</v>
      </c>
      <c r="GY11" s="142">
        <f>B226</f>
        <v>0.37</v>
      </c>
      <c r="GZ11" s="52" t="s">
        <v>246</v>
      </c>
      <c r="HA11" s="83" t="s">
        <v>491</v>
      </c>
      <c r="HB11" s="142">
        <f>B226</f>
        <v>0.37</v>
      </c>
      <c r="HC11" s="52" t="s">
        <v>246</v>
      </c>
      <c r="HD11" s="84" t="s">
        <v>42</v>
      </c>
      <c r="HE11" s="150">
        <f>B84</f>
        <v>1.5</v>
      </c>
    </row>
    <row r="12" spans="1:214" x14ac:dyDescent="0.2">
      <c r="A12" s="83" t="s">
        <v>253</v>
      </c>
      <c r="B12" s="183">
        <v>1.92404</v>
      </c>
      <c r="C12" s="83" t="s">
        <v>351</v>
      </c>
      <c r="D12" s="83" t="s">
        <v>43</v>
      </c>
      <c r="E12" s="140">
        <f>((E15/E16)*E23*E13*E25)+((E15/E16)*E24*E14*E26)</f>
        <v>6195</v>
      </c>
      <c r="F12" s="52" t="s">
        <v>426</v>
      </c>
      <c r="G12" s="83" t="s">
        <v>266</v>
      </c>
      <c r="H12" s="144">
        <f>(H5/(H8*(1/H43)*H21))/H70</f>
        <v>4.1280988778382745E-2</v>
      </c>
      <c r="I12" s="92" t="s">
        <v>291</v>
      </c>
      <c r="J12" s="83" t="s">
        <v>22</v>
      </c>
      <c r="K12" s="137">
        <f>0.693/K13</f>
        <v>4.3312499999999997E-4</v>
      </c>
      <c r="M12" s="52" t="s">
        <v>300</v>
      </c>
      <c r="N12" s="138">
        <f>B62</f>
        <v>1</v>
      </c>
      <c r="P12" s="52" t="s">
        <v>300</v>
      </c>
      <c r="Q12" s="138">
        <f>B62</f>
        <v>1</v>
      </c>
      <c r="S12" s="52" t="s">
        <v>300</v>
      </c>
      <c r="T12" s="138">
        <f>B62</f>
        <v>1</v>
      </c>
      <c r="V12" s="52" t="s">
        <v>44</v>
      </c>
      <c r="W12" s="150">
        <f>B262</f>
        <v>8</v>
      </c>
      <c r="X12" s="84" t="s">
        <v>194</v>
      </c>
      <c r="Y12" s="52" t="s">
        <v>44</v>
      </c>
      <c r="Z12" s="150">
        <f>B239</f>
        <v>8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B274</f>
        <v>8</v>
      </c>
      <c r="AG12" s="150">
        <f>B297</f>
        <v>8</v>
      </c>
      <c r="AH12" s="83" t="s">
        <v>194</v>
      </c>
      <c r="AI12" s="52" t="s">
        <v>300</v>
      </c>
      <c r="AJ12" s="138">
        <f>B235</f>
        <v>1</v>
      </c>
      <c r="AL12" s="52" t="s">
        <v>300</v>
      </c>
      <c r="AM12" s="138">
        <f>B235</f>
        <v>1</v>
      </c>
      <c r="AO12" s="52" t="s">
        <v>300</v>
      </c>
      <c r="AP12" s="138">
        <f>B247</f>
        <v>1</v>
      </c>
      <c r="AR12" s="52" t="s">
        <v>300</v>
      </c>
      <c r="AS12" s="138">
        <f>B259</f>
        <v>1</v>
      </c>
      <c r="AU12" s="52" t="s">
        <v>300</v>
      </c>
      <c r="AV12" s="138">
        <f>B259</f>
        <v>1</v>
      </c>
      <c r="AX12" s="52" t="s">
        <v>300</v>
      </c>
      <c r="AY12" s="138">
        <f>B259</f>
        <v>1</v>
      </c>
      <c r="BA12" s="52" t="s">
        <v>300</v>
      </c>
      <c r="BB12" s="138">
        <f>B235</f>
        <v>1</v>
      </c>
      <c r="BD12" s="52" t="s">
        <v>300</v>
      </c>
      <c r="BE12" s="138">
        <f>B235</f>
        <v>1</v>
      </c>
      <c r="BG12" s="52" t="s">
        <v>300</v>
      </c>
      <c r="BH12" s="138">
        <f>B235</f>
        <v>1</v>
      </c>
      <c r="BJ12" s="52" t="s">
        <v>158</v>
      </c>
      <c r="BK12" s="138">
        <f>B268</f>
        <v>1</v>
      </c>
      <c r="BL12" s="52" t="s">
        <v>146</v>
      </c>
      <c r="BM12" s="52" t="s">
        <v>158</v>
      </c>
      <c r="BN12" s="138">
        <f>B268</f>
        <v>1</v>
      </c>
      <c r="BO12" s="52" t="s">
        <v>146</v>
      </c>
      <c r="BP12" s="52" t="s">
        <v>158</v>
      </c>
      <c r="BQ12" s="138">
        <f>B268</f>
        <v>1</v>
      </c>
      <c r="BR12" s="52" t="s">
        <v>146</v>
      </c>
      <c r="BS12" s="83" t="s">
        <v>430</v>
      </c>
      <c r="BT12" s="141">
        <f>B94</f>
        <v>20</v>
      </c>
      <c r="BU12" s="92" t="s">
        <v>407</v>
      </c>
      <c r="BV12" s="83" t="s">
        <v>266</v>
      </c>
      <c r="BW12" s="145">
        <f>(BW5/(BW8*(1/BW29)*BW16))/BW32</f>
        <v>0.21540878622213208</v>
      </c>
      <c r="BX12" s="92" t="s">
        <v>291</v>
      </c>
      <c r="BY12" s="91" t="s">
        <v>231</v>
      </c>
      <c r="BZ12" s="136">
        <f>B18</f>
        <v>1600</v>
      </c>
      <c r="CA12" s="52" t="s">
        <v>60</v>
      </c>
      <c r="CB12" s="52" t="s">
        <v>413</v>
      </c>
      <c r="CC12" s="138">
        <f>B119</f>
        <v>0.753</v>
      </c>
      <c r="CE12" s="52" t="s">
        <v>414</v>
      </c>
      <c r="CF12" s="138">
        <f>B121</f>
        <v>0.74299999999999999</v>
      </c>
      <c r="CH12" s="52" t="s">
        <v>416</v>
      </c>
      <c r="CI12" s="138">
        <f>B125</f>
        <v>0.66200000000000003</v>
      </c>
      <c r="CN12" s="84" t="s">
        <v>162</v>
      </c>
      <c r="CO12" s="162">
        <f>B131</f>
        <v>1</v>
      </c>
      <c r="CP12" s="52" t="s">
        <v>41</v>
      </c>
      <c r="CT12" s="83" t="s">
        <v>22</v>
      </c>
      <c r="CU12" s="137">
        <f>0.693/CU13</f>
        <v>4.3312499999999997E-4</v>
      </c>
      <c r="CW12" s="83" t="s">
        <v>506</v>
      </c>
      <c r="CX12" s="140">
        <f>((CX16/24)*CX23*CX13*CX25)+((CX15/24)*CX24*CX14*CX26)</f>
        <v>6475</v>
      </c>
      <c r="CY12" s="52" t="s">
        <v>426</v>
      </c>
      <c r="CZ12" s="91" t="s">
        <v>231</v>
      </c>
      <c r="DA12" s="136">
        <f>B18</f>
        <v>1600</v>
      </c>
      <c r="DB12" s="52" t="s">
        <v>60</v>
      </c>
      <c r="DC12" s="83" t="s">
        <v>467</v>
      </c>
      <c r="DD12" s="146">
        <f>B149</f>
        <v>68.099999999999994</v>
      </c>
      <c r="DE12" s="92" t="s">
        <v>221</v>
      </c>
      <c r="DF12" s="92" t="s">
        <v>52</v>
      </c>
      <c r="DG12" s="138">
        <f>B195</f>
        <v>10950</v>
      </c>
      <c r="DH12" s="52" t="s">
        <v>53</v>
      </c>
      <c r="DI12" s="84" t="s">
        <v>16</v>
      </c>
      <c r="DJ12" s="137">
        <f>(DJ9*DJ10)/(1-EXP(-DJ10*DJ9))</f>
        <v>1.0002165781331087</v>
      </c>
      <c r="DL12" s="92"/>
      <c r="DO12" s="92" t="s">
        <v>52</v>
      </c>
      <c r="DP12" s="138">
        <f>B195</f>
        <v>10950</v>
      </c>
      <c r="DQ12" s="52" t="s">
        <v>53</v>
      </c>
      <c r="DR12" s="83" t="s">
        <v>465</v>
      </c>
      <c r="DS12" s="150">
        <f>B168</f>
        <v>350</v>
      </c>
      <c r="DT12" s="83" t="s">
        <v>24</v>
      </c>
      <c r="DU12" s="92"/>
      <c r="DX12" s="83" t="s">
        <v>500</v>
      </c>
      <c r="DY12" s="138">
        <f>B207</f>
        <v>1</v>
      </c>
      <c r="EA12" s="83" t="s">
        <v>500</v>
      </c>
      <c r="EB12" s="138">
        <f>B207</f>
        <v>1</v>
      </c>
      <c r="EC12" s="84"/>
      <c r="ED12" s="83" t="s">
        <v>500</v>
      </c>
      <c r="EE12" s="138">
        <f>B207</f>
        <v>1</v>
      </c>
      <c r="EF12" s="84"/>
      <c r="EG12" s="83" t="s">
        <v>465</v>
      </c>
      <c r="EH12" s="150">
        <f>B168</f>
        <v>350</v>
      </c>
      <c r="EI12" s="83" t="s">
        <v>24</v>
      </c>
      <c r="EJ12" s="92"/>
      <c r="EM12" s="83" t="s">
        <v>496</v>
      </c>
      <c r="EN12" s="138">
        <f>B212</f>
        <v>1</v>
      </c>
      <c r="EP12" s="83" t="s">
        <v>496</v>
      </c>
      <c r="EQ12" s="138">
        <f>B212</f>
        <v>1</v>
      </c>
      <c r="ER12" s="84"/>
      <c r="ES12" s="83" t="s">
        <v>496</v>
      </c>
      <c r="ET12" s="138">
        <f>B212</f>
        <v>1</v>
      </c>
      <c r="EU12" s="84"/>
      <c r="EV12" s="83" t="s">
        <v>465</v>
      </c>
      <c r="EW12" s="150">
        <f>B168</f>
        <v>350</v>
      </c>
      <c r="EX12" s="83" t="s">
        <v>24</v>
      </c>
      <c r="EY12" s="83"/>
      <c r="EZ12" s="83"/>
      <c r="FA12" s="83"/>
      <c r="FB12" s="83" t="s">
        <v>153</v>
      </c>
      <c r="FC12" s="164">
        <f>B217</f>
        <v>1</v>
      </c>
      <c r="FD12" s="83"/>
      <c r="FE12" s="83" t="s">
        <v>153</v>
      </c>
      <c r="FF12" s="164">
        <f>B217</f>
        <v>1</v>
      </c>
      <c r="FG12" s="83"/>
      <c r="FH12" s="83" t="s">
        <v>153</v>
      </c>
      <c r="FI12" s="164">
        <f>B217</f>
        <v>1</v>
      </c>
      <c r="FJ12" s="84"/>
      <c r="FK12" s="83" t="s">
        <v>465</v>
      </c>
      <c r="FL12" s="150">
        <f>B168</f>
        <v>350</v>
      </c>
      <c r="FM12" s="83" t="s">
        <v>24</v>
      </c>
      <c r="FN12" s="83"/>
      <c r="FO12" s="83"/>
      <c r="FP12" s="83"/>
      <c r="FQ12" s="88"/>
      <c r="FR12" s="88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B168</f>
        <v>350</v>
      </c>
      <c r="GB12" s="83" t="s">
        <v>24</v>
      </c>
      <c r="GC12" s="83"/>
      <c r="GD12" s="83"/>
      <c r="GE12" s="83"/>
      <c r="GF12" s="83" t="s">
        <v>488</v>
      </c>
      <c r="GG12" s="142">
        <f>B222</f>
        <v>1</v>
      </c>
      <c r="GH12" s="83"/>
      <c r="GI12" s="83" t="s">
        <v>488</v>
      </c>
      <c r="GJ12" s="142">
        <f>B222</f>
        <v>1</v>
      </c>
      <c r="GK12" s="83"/>
      <c r="GL12" s="83" t="s">
        <v>488</v>
      </c>
      <c r="GM12" s="142">
        <f>B222</f>
        <v>1</v>
      </c>
      <c r="GN12" s="84"/>
      <c r="GO12" s="83" t="s">
        <v>465</v>
      </c>
      <c r="GP12" s="150">
        <f>B168</f>
        <v>350</v>
      </c>
      <c r="GQ12" s="83" t="s">
        <v>24</v>
      </c>
      <c r="GR12" s="83"/>
      <c r="GS12" s="83"/>
      <c r="GT12" s="83"/>
      <c r="GU12" s="83" t="s">
        <v>492</v>
      </c>
      <c r="GV12" s="142">
        <f>B227</f>
        <v>1</v>
      </c>
      <c r="GW12" s="83"/>
      <c r="GX12" s="83" t="s">
        <v>492</v>
      </c>
      <c r="GY12" s="142">
        <f>B227</f>
        <v>1</v>
      </c>
      <c r="GZ12" s="83"/>
      <c r="HA12" s="83" t="s">
        <v>492</v>
      </c>
      <c r="HB12" s="142">
        <f>B227</f>
        <v>1</v>
      </c>
      <c r="HC12" s="84"/>
      <c r="HD12" s="84" t="s">
        <v>47</v>
      </c>
      <c r="HE12" s="163">
        <v>1</v>
      </c>
    </row>
    <row r="13" spans="1:214" x14ac:dyDescent="0.2">
      <c r="A13" s="83" t="s">
        <v>254</v>
      </c>
      <c r="B13" s="183">
        <v>5.52928</v>
      </c>
      <c r="C13" s="83" t="s">
        <v>351</v>
      </c>
      <c r="D13" s="83" t="s">
        <v>366</v>
      </c>
      <c r="E13" s="141">
        <f>B38</f>
        <v>10</v>
      </c>
      <c r="F13" s="92" t="s">
        <v>407</v>
      </c>
      <c r="G13" s="83" t="s">
        <v>263</v>
      </c>
      <c r="H13" s="144">
        <f>(H14/((1/H40)*(H48+H49+H50)))</f>
        <v>6.9669523127351071E-2</v>
      </c>
      <c r="I13" s="92" t="s">
        <v>291</v>
      </c>
      <c r="J13" s="91" t="s">
        <v>231</v>
      </c>
      <c r="K13" s="136">
        <f>B18</f>
        <v>1600</v>
      </c>
      <c r="L13" s="52" t="s">
        <v>60</v>
      </c>
      <c r="M13" s="52" t="s">
        <v>54</v>
      </c>
      <c r="N13" s="138">
        <f>B63</f>
        <v>1</v>
      </c>
      <c r="P13" s="52" t="s">
        <v>54</v>
      </c>
      <c r="Q13" s="138">
        <f>B63</f>
        <v>1</v>
      </c>
      <c r="S13" s="52" t="s">
        <v>54</v>
      </c>
      <c r="T13" s="138">
        <f>B63</f>
        <v>1</v>
      </c>
      <c r="V13" s="52" t="s">
        <v>50</v>
      </c>
      <c r="W13" s="146">
        <f>B254</f>
        <v>60</v>
      </c>
      <c r="X13" s="84" t="s">
        <v>407</v>
      </c>
      <c r="Y13" s="52" t="s">
        <v>50</v>
      </c>
      <c r="Z13" s="146">
        <f>B230</f>
        <v>60</v>
      </c>
      <c r="AA13" s="84" t="s">
        <v>407</v>
      </c>
      <c r="AB13" s="83" t="s">
        <v>349</v>
      </c>
      <c r="AC13" s="146">
        <f>B233</f>
        <v>100</v>
      </c>
      <c r="AD13" s="146">
        <f>B245</f>
        <v>50</v>
      </c>
      <c r="AE13" s="146">
        <f>B257</f>
        <v>100</v>
      </c>
      <c r="AF13" s="146">
        <f>B269</f>
        <v>330</v>
      </c>
      <c r="AG13" s="146">
        <f>B293</f>
        <v>330</v>
      </c>
      <c r="AH13" s="52" t="s">
        <v>48</v>
      </c>
      <c r="AI13" s="52" t="s">
        <v>54</v>
      </c>
      <c r="AJ13" s="138">
        <f>B249</f>
        <v>1</v>
      </c>
      <c r="AL13" s="52" t="s">
        <v>54</v>
      </c>
      <c r="AM13" s="138">
        <f>B249</f>
        <v>1</v>
      </c>
      <c r="AO13" s="52" t="s">
        <v>54</v>
      </c>
      <c r="AP13" s="138">
        <f>B249</f>
        <v>1</v>
      </c>
      <c r="AR13" s="52" t="s">
        <v>54</v>
      </c>
      <c r="AS13" s="138">
        <f>B261</f>
        <v>1</v>
      </c>
      <c r="AU13" s="52" t="s">
        <v>54</v>
      </c>
      <c r="AV13" s="138">
        <f>B261</f>
        <v>1</v>
      </c>
      <c r="AX13" s="52" t="s">
        <v>54</v>
      </c>
      <c r="AY13" s="138">
        <f>B261</f>
        <v>1</v>
      </c>
      <c r="BA13" s="52" t="s">
        <v>54</v>
      </c>
      <c r="BB13" s="138">
        <f>B237</f>
        <v>1</v>
      </c>
      <c r="BD13" s="52" t="s">
        <v>54</v>
      </c>
      <c r="BE13" s="138">
        <f>B237</f>
        <v>1</v>
      </c>
      <c r="BG13" s="52" t="s">
        <v>54</v>
      </c>
      <c r="BH13" s="138">
        <f>B237</f>
        <v>1</v>
      </c>
      <c r="BJ13" s="52" t="s">
        <v>300</v>
      </c>
      <c r="BK13" s="136">
        <f>B279</f>
        <v>2.41E-4</v>
      </c>
      <c r="BM13" s="52" t="s">
        <v>300</v>
      </c>
      <c r="BN13" s="136">
        <f>B283</f>
        <v>1.17E-4</v>
      </c>
      <c r="BP13" s="52" t="s">
        <v>300</v>
      </c>
      <c r="BQ13" s="136">
        <f>B287</f>
        <v>2.2599999999999999E-4</v>
      </c>
      <c r="BS13" s="52" t="s">
        <v>431</v>
      </c>
      <c r="BT13" s="141">
        <f>B106</f>
        <v>1</v>
      </c>
      <c r="BU13" s="52" t="s">
        <v>194</v>
      </c>
      <c r="BV13" s="83" t="s">
        <v>440</v>
      </c>
      <c r="BW13" s="160">
        <f>((BW18*BW20*BW23*BW14*BW30)+(BW19*BW21*BW24*BW15*BW31))</f>
        <v>2.25</v>
      </c>
      <c r="BX13" s="83" t="s">
        <v>345</v>
      </c>
      <c r="BY13" s="83" t="s">
        <v>260</v>
      </c>
      <c r="BZ13" s="143">
        <f>((BZ5/(BZ6*BZ16*(1/BZ33)))*BZ10)/BZ36</f>
        <v>2.3891874109729052</v>
      </c>
      <c r="CA13" s="92" t="s">
        <v>290</v>
      </c>
      <c r="CB13" s="52" t="s">
        <v>90</v>
      </c>
      <c r="CC13" s="138">
        <f>B108</f>
        <v>1</v>
      </c>
      <c r="CD13" s="52" t="s">
        <v>194</v>
      </c>
      <c r="CE13" s="52" t="s">
        <v>90</v>
      </c>
      <c r="CF13" s="138">
        <f>B108</f>
        <v>1</v>
      </c>
      <c r="CG13" s="52" t="s">
        <v>194</v>
      </c>
      <c r="CH13" s="52" t="s">
        <v>90</v>
      </c>
      <c r="CI13" s="138">
        <f>B108</f>
        <v>1</v>
      </c>
      <c r="CJ13" s="52" t="s">
        <v>194</v>
      </c>
      <c r="CN13" s="84" t="s">
        <v>163</v>
      </c>
      <c r="CO13" s="162">
        <f>B132</f>
        <v>1</v>
      </c>
      <c r="CP13" s="52" t="s">
        <v>41</v>
      </c>
      <c r="CT13" s="91" t="s">
        <v>231</v>
      </c>
      <c r="CU13" s="136">
        <f>B18</f>
        <v>1600</v>
      </c>
      <c r="CV13" s="52" t="s">
        <v>60</v>
      </c>
      <c r="CW13" s="83" t="s">
        <v>450</v>
      </c>
      <c r="CX13" s="141">
        <f>B147</f>
        <v>10</v>
      </c>
      <c r="CY13" s="92" t="s">
        <v>407</v>
      </c>
      <c r="CZ13" s="83" t="s">
        <v>260</v>
      </c>
      <c r="DA13" s="143">
        <f>(DA5/(DA6*DA24))/DA51</f>
        <v>2.8081408771234474E-2</v>
      </c>
      <c r="DB13" s="83" t="s">
        <v>291</v>
      </c>
      <c r="DC13" s="83" t="s">
        <v>468</v>
      </c>
      <c r="DD13" s="146">
        <f>B150</f>
        <v>176.8</v>
      </c>
      <c r="DE13" s="92" t="s">
        <v>221</v>
      </c>
      <c r="DF13" s="92" t="s">
        <v>55</v>
      </c>
      <c r="DG13" s="138">
        <f>B196</f>
        <v>240</v>
      </c>
      <c r="DH13" s="52" t="s">
        <v>56</v>
      </c>
      <c r="DI13" s="95"/>
      <c r="DJ13" s="176"/>
      <c r="DL13" s="92"/>
      <c r="DO13" s="92" t="s">
        <v>55</v>
      </c>
      <c r="DP13" s="138">
        <f>B196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B208</f>
        <v>1</v>
      </c>
      <c r="EA13" s="83" t="s">
        <v>501</v>
      </c>
      <c r="EB13" s="138">
        <f>B208</f>
        <v>1</v>
      </c>
      <c r="EC13" s="84"/>
      <c r="ED13" s="83" t="s">
        <v>501</v>
      </c>
      <c r="EE13" s="138">
        <f>B208</f>
        <v>1</v>
      </c>
      <c r="EF13" s="84"/>
      <c r="EG13" s="83" t="s">
        <v>363</v>
      </c>
      <c r="EH13" s="150">
        <f>B170</f>
        <v>1</v>
      </c>
      <c r="EI13" s="84" t="s">
        <v>60</v>
      </c>
      <c r="EJ13" s="92"/>
      <c r="EM13" s="83" t="s">
        <v>497</v>
      </c>
      <c r="EN13" s="138">
        <f>B213</f>
        <v>1</v>
      </c>
      <c r="EP13" s="83" t="s">
        <v>497</v>
      </c>
      <c r="EQ13" s="138">
        <f>B213</f>
        <v>1</v>
      </c>
      <c r="ER13" s="84"/>
      <c r="ES13" s="83" t="s">
        <v>497</v>
      </c>
      <c r="ET13" s="138">
        <f>B213</f>
        <v>1</v>
      </c>
      <c r="EU13" s="84"/>
      <c r="EV13" s="83" t="s">
        <v>363</v>
      </c>
      <c r="EW13" s="150">
        <f>B170</f>
        <v>1</v>
      </c>
      <c r="EX13" s="84" t="s">
        <v>60</v>
      </c>
      <c r="EY13" s="83"/>
      <c r="EZ13" s="83"/>
      <c r="FA13" s="83"/>
      <c r="FB13" s="83" t="s">
        <v>154</v>
      </c>
      <c r="FC13" s="164">
        <f>B218</f>
        <v>1</v>
      </c>
      <c r="FD13" s="83"/>
      <c r="FE13" s="83" t="s">
        <v>154</v>
      </c>
      <c r="FF13" s="164">
        <f>B218</f>
        <v>1</v>
      </c>
      <c r="FG13" s="83"/>
      <c r="FH13" s="83" t="s">
        <v>154</v>
      </c>
      <c r="FI13" s="164">
        <f>B218</f>
        <v>1</v>
      </c>
      <c r="FJ13" s="84"/>
      <c r="FK13" s="83" t="s">
        <v>363</v>
      </c>
      <c r="FL13" s="141">
        <f>B170</f>
        <v>1</v>
      </c>
      <c r="FM13" s="92" t="s">
        <v>60</v>
      </c>
      <c r="FN13" s="83"/>
      <c r="FO13" s="83"/>
      <c r="FP13" s="83"/>
      <c r="FQ13" s="88"/>
      <c r="FR13" s="88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B170</f>
        <v>1</v>
      </c>
      <c r="GB13" s="92" t="s">
        <v>60</v>
      </c>
      <c r="GC13" s="83"/>
      <c r="GD13" s="83"/>
      <c r="GE13" s="83"/>
      <c r="GF13" s="83" t="s">
        <v>489</v>
      </c>
      <c r="GG13" s="142">
        <f>B223</f>
        <v>1</v>
      </c>
      <c r="GH13" s="83"/>
      <c r="GI13" s="83" t="s">
        <v>489</v>
      </c>
      <c r="GJ13" s="142">
        <f>B223</f>
        <v>1</v>
      </c>
      <c r="GK13" s="83"/>
      <c r="GL13" s="83" t="s">
        <v>489</v>
      </c>
      <c r="GM13" s="142">
        <f>B223</f>
        <v>1</v>
      </c>
      <c r="GN13" s="84"/>
      <c r="GO13" s="83" t="s">
        <v>363</v>
      </c>
      <c r="GP13" s="141">
        <f>B170</f>
        <v>1</v>
      </c>
      <c r="GQ13" s="92" t="s">
        <v>60</v>
      </c>
      <c r="GR13" s="83"/>
      <c r="GS13" s="83"/>
      <c r="GT13" s="83"/>
      <c r="GU13" s="83" t="s">
        <v>493</v>
      </c>
      <c r="GV13" s="142">
        <f>B228</f>
        <v>1</v>
      </c>
      <c r="GW13" s="83"/>
      <c r="GX13" s="83" t="s">
        <v>493</v>
      </c>
      <c r="GY13" s="142">
        <f>B228</f>
        <v>1</v>
      </c>
      <c r="GZ13" s="83"/>
      <c r="HA13" s="83" t="s">
        <v>493</v>
      </c>
      <c r="HB13" s="142">
        <f>B228</f>
        <v>1</v>
      </c>
      <c r="HC13" s="84"/>
      <c r="HD13" s="84" t="s">
        <v>59</v>
      </c>
      <c r="HE13" s="150">
        <f>B33</f>
        <v>1</v>
      </c>
    </row>
    <row r="14" spans="1:214" x14ac:dyDescent="0.2">
      <c r="A14" s="83" t="s">
        <v>255</v>
      </c>
      <c r="B14" s="183">
        <v>8.8356399999999997</v>
      </c>
      <c r="C14" s="83" t="s">
        <v>351</v>
      </c>
      <c r="D14" s="83" t="s">
        <v>367</v>
      </c>
      <c r="E14" s="141">
        <f>B39</f>
        <v>20</v>
      </c>
      <c r="F14" s="92" t="s">
        <v>407</v>
      </c>
      <c r="G14" s="83" t="s">
        <v>264</v>
      </c>
      <c r="H14" s="145">
        <f>(H5/(H9*(H22+H25)*H41))/H70</f>
        <v>9.339225144275984E-4</v>
      </c>
      <c r="I14" s="92" t="s">
        <v>290</v>
      </c>
      <c r="J14" s="83" t="s">
        <v>260</v>
      </c>
      <c r="K14" s="143">
        <f>((K5/(K6*K19*(1/K46)))*K11)/K53</f>
        <v>0.5119687309227654</v>
      </c>
      <c r="L14" s="92" t="s">
        <v>290</v>
      </c>
      <c r="M14" s="52" t="s">
        <v>408</v>
      </c>
      <c r="N14" s="150">
        <f>B78</f>
        <v>1.752</v>
      </c>
      <c r="O14" s="52" t="s">
        <v>194</v>
      </c>
      <c r="P14" s="52" t="s">
        <v>408</v>
      </c>
      <c r="Q14" s="150">
        <f>B78</f>
        <v>1.752</v>
      </c>
      <c r="R14" s="52" t="s">
        <v>194</v>
      </c>
      <c r="S14" s="52" t="s">
        <v>408</v>
      </c>
      <c r="T14" s="150">
        <f>B78</f>
        <v>1.752</v>
      </c>
      <c r="U14" s="52" t="s">
        <v>194</v>
      </c>
      <c r="V14" s="83" t="s">
        <v>256</v>
      </c>
      <c r="W14" s="136">
        <f>B15</f>
        <v>15429.68</v>
      </c>
      <c r="X14" s="83" t="s">
        <v>343</v>
      </c>
      <c r="Y14" s="83" t="s">
        <v>256</v>
      </c>
      <c r="Z14" s="136">
        <f>B15</f>
        <v>15429.68</v>
      </c>
      <c r="AA14" s="83" t="s">
        <v>343</v>
      </c>
      <c r="AB14" s="83" t="s">
        <v>300</v>
      </c>
      <c r="AC14" s="141">
        <f>B235</f>
        <v>1</v>
      </c>
      <c r="AD14" s="141">
        <f>B247</f>
        <v>1</v>
      </c>
      <c r="AE14" s="141">
        <f>B259</f>
        <v>1</v>
      </c>
      <c r="AF14" s="141">
        <f>B279</f>
        <v>2.41E-4</v>
      </c>
      <c r="AG14" s="141">
        <f>B279</f>
        <v>2.41E-4</v>
      </c>
      <c r="AH14" s="92"/>
      <c r="AI14" s="52" t="s">
        <v>57</v>
      </c>
      <c r="AJ14" s="136">
        <f>B250</f>
        <v>0</v>
      </c>
      <c r="AK14" s="52" t="s">
        <v>194</v>
      </c>
      <c r="AL14" s="52" t="s">
        <v>57</v>
      </c>
      <c r="AM14" s="136">
        <f>B250</f>
        <v>0</v>
      </c>
      <c r="AN14" s="52" t="s">
        <v>194</v>
      </c>
      <c r="AO14" s="52" t="s">
        <v>57</v>
      </c>
      <c r="AP14" s="136">
        <f>B250</f>
        <v>0</v>
      </c>
      <c r="AQ14" s="52" t="s">
        <v>194</v>
      </c>
      <c r="AR14" s="52" t="s">
        <v>57</v>
      </c>
      <c r="AS14" s="136">
        <f>B262</f>
        <v>8</v>
      </c>
      <c r="AT14" s="52" t="s">
        <v>194</v>
      </c>
      <c r="AU14" s="52" t="s">
        <v>57</v>
      </c>
      <c r="AV14" s="136">
        <f>B262</f>
        <v>8</v>
      </c>
      <c r="AW14" s="52" t="s">
        <v>194</v>
      </c>
      <c r="AX14" s="52" t="s">
        <v>57</v>
      </c>
      <c r="AY14" s="136">
        <f>B262</f>
        <v>8</v>
      </c>
      <c r="AZ14" s="52" t="s">
        <v>194</v>
      </c>
      <c r="BA14" s="52" t="s">
        <v>57</v>
      </c>
      <c r="BB14" s="136">
        <f>B238</f>
        <v>8</v>
      </c>
      <c r="BC14" s="52" t="s">
        <v>194</v>
      </c>
      <c r="BD14" s="52" t="s">
        <v>57</v>
      </c>
      <c r="BE14" s="136">
        <f>B238</f>
        <v>8</v>
      </c>
      <c r="BF14" s="52" t="s">
        <v>194</v>
      </c>
      <c r="BG14" s="52" t="s">
        <v>58</v>
      </c>
      <c r="BH14" s="136">
        <f>B238</f>
        <v>8</v>
      </c>
      <c r="BI14" s="52" t="s">
        <v>194</v>
      </c>
      <c r="BJ14" s="52" t="s">
        <v>413</v>
      </c>
      <c r="BK14" s="136">
        <f>B280</f>
        <v>0.753</v>
      </c>
      <c r="BM14" s="52" t="s">
        <v>414</v>
      </c>
      <c r="BN14" s="136">
        <f>B284</f>
        <v>0.74299999999999999</v>
      </c>
      <c r="BP14" s="52" t="s">
        <v>416</v>
      </c>
      <c r="BQ14" s="136">
        <f>B288</f>
        <v>0.66200000000000003</v>
      </c>
      <c r="BS14" s="52" t="s">
        <v>432</v>
      </c>
      <c r="BT14" s="141">
        <f>B107</f>
        <v>1</v>
      </c>
      <c r="BU14" s="52" t="s">
        <v>194</v>
      </c>
      <c r="BV14" s="83" t="s">
        <v>439</v>
      </c>
      <c r="BW14" s="146">
        <f>B95</f>
        <v>0.05</v>
      </c>
      <c r="BX14" s="83" t="s">
        <v>357</v>
      </c>
      <c r="BY14" s="83" t="s">
        <v>261</v>
      </c>
      <c r="BZ14" s="144">
        <f>((BZ5/(BZ7*BZ17*(1/BZ9)*BZ32))*BZ10)/BZ36</f>
        <v>23906.570318632334</v>
      </c>
      <c r="CA14" s="92" t="s">
        <v>290</v>
      </c>
      <c r="CB14" s="52" t="s">
        <v>412</v>
      </c>
      <c r="CC14" s="139">
        <f>B10</f>
        <v>10.423439999999999</v>
      </c>
      <c r="CD14" s="84" t="s">
        <v>353</v>
      </c>
      <c r="CE14" s="52" t="s">
        <v>415</v>
      </c>
      <c r="CF14" s="139">
        <f>B12</f>
        <v>1.92404</v>
      </c>
      <c r="CG14" s="84" t="s">
        <v>353</v>
      </c>
      <c r="CH14" s="52" t="s">
        <v>417</v>
      </c>
      <c r="CI14" s="139">
        <f>B14</f>
        <v>8.8356399999999997</v>
      </c>
      <c r="CJ14" s="84" t="s">
        <v>353</v>
      </c>
      <c r="CK14" s="84"/>
      <c r="CL14" s="84"/>
      <c r="CM14" s="84"/>
      <c r="CN14" s="52" t="s">
        <v>95</v>
      </c>
      <c r="CO14" s="164">
        <f>B117</f>
        <v>1</v>
      </c>
      <c r="CQ14" s="84"/>
      <c r="CR14" s="84"/>
      <c r="CS14" s="84"/>
      <c r="CT14" s="83" t="s">
        <v>260</v>
      </c>
      <c r="CU14" s="143">
        <f>((CU5/(CU6*CU25*(1/CU46)))*CU11)/CU49</f>
        <v>0.54758394698695789</v>
      </c>
      <c r="CV14" s="92" t="s">
        <v>290</v>
      </c>
      <c r="CW14" s="83" t="s">
        <v>459</v>
      </c>
      <c r="CX14" s="141">
        <f>B148</f>
        <v>20</v>
      </c>
      <c r="CY14" s="92" t="s">
        <v>407</v>
      </c>
      <c r="CZ14" s="83" t="s">
        <v>261</v>
      </c>
      <c r="DA14" s="144">
        <f>(DA5/(DA7*DA25*DA45))/DA51</f>
        <v>3.0040503841973062E-4</v>
      </c>
      <c r="DB14" s="83" t="s">
        <v>291</v>
      </c>
      <c r="DC14" s="83" t="s">
        <v>465</v>
      </c>
      <c r="DD14" s="146">
        <f>B168</f>
        <v>350</v>
      </c>
      <c r="DE14" s="83" t="s">
        <v>24</v>
      </c>
      <c r="DF14" s="92" t="s">
        <v>393</v>
      </c>
      <c r="DG14" s="138">
        <f>B35</f>
        <v>0.26</v>
      </c>
      <c r="DL14" s="92"/>
      <c r="DO14" s="92" t="s">
        <v>393</v>
      </c>
      <c r="DP14" s="138">
        <f>B35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B204</f>
        <v>1.03</v>
      </c>
      <c r="DZ14" s="52" t="s">
        <v>286</v>
      </c>
      <c r="EA14" s="52" t="s">
        <v>518</v>
      </c>
      <c r="EB14" s="146">
        <f>B204</f>
        <v>1.03</v>
      </c>
      <c r="EC14" s="52" t="s">
        <v>286</v>
      </c>
      <c r="ED14" s="92" t="s">
        <v>392</v>
      </c>
      <c r="EE14" s="163">
        <f>B36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B170</f>
        <v>1</v>
      </c>
      <c r="EP14" s="95"/>
      <c r="EQ14" s="176"/>
      <c r="ER14" s="84"/>
      <c r="ES14" s="92" t="s">
        <v>392</v>
      </c>
      <c r="ET14" s="163">
        <f>B36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B170</f>
        <v>1</v>
      </c>
      <c r="FE14" s="95"/>
      <c r="FF14" s="176"/>
      <c r="FG14" s="83"/>
      <c r="FH14" s="83" t="s">
        <v>392</v>
      </c>
      <c r="FI14" s="142">
        <f>B36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88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B170</f>
        <v>1</v>
      </c>
      <c r="GI14" s="95"/>
      <c r="GJ14" s="176"/>
      <c r="GK14" s="83"/>
      <c r="GL14" s="83" t="s">
        <v>392</v>
      </c>
      <c r="GM14" s="142">
        <f>B36</f>
        <v>0.25</v>
      </c>
      <c r="GN14" s="84"/>
      <c r="GO14" s="92" t="s">
        <v>484</v>
      </c>
      <c r="GP14" s="146">
        <f>B192</f>
        <v>1</v>
      </c>
      <c r="GR14" s="83"/>
      <c r="GS14" s="83"/>
      <c r="GT14" s="83"/>
      <c r="GU14" s="52" t="s">
        <v>350</v>
      </c>
      <c r="GV14" s="164">
        <f>B170</f>
        <v>1</v>
      </c>
      <c r="GX14" s="95"/>
      <c r="GY14" s="176"/>
      <c r="GZ14" s="83"/>
      <c r="HA14" s="83" t="s">
        <v>392</v>
      </c>
      <c r="HB14" s="142">
        <f>B36</f>
        <v>0.25</v>
      </c>
      <c r="HC14" s="84"/>
      <c r="HD14" s="52" t="s">
        <v>225</v>
      </c>
      <c r="HE14" s="138">
        <v>1</v>
      </c>
    </row>
    <row r="15" spans="1:214" x14ac:dyDescent="0.2">
      <c r="A15" s="83" t="s">
        <v>256</v>
      </c>
      <c r="B15" s="183">
        <v>15429.68</v>
      </c>
      <c r="C15" s="83" t="s">
        <v>351</v>
      </c>
      <c r="D15" s="52" t="s">
        <v>384</v>
      </c>
      <c r="E15" s="138">
        <f>B59</f>
        <v>24</v>
      </c>
      <c r="F15" s="52" t="s">
        <v>194</v>
      </c>
      <c r="G15" s="83" t="s">
        <v>395</v>
      </c>
      <c r="H15" s="147">
        <f>(H29*H17*H68)+(H30*H18*H69)</f>
        <v>736.54</v>
      </c>
      <c r="I15" s="83" t="s">
        <v>345</v>
      </c>
      <c r="J15" s="83" t="s">
        <v>261</v>
      </c>
      <c r="K15" s="144">
        <f>((K5/(K7*K20*(1/K10)*K45))*K11)/K53</f>
        <v>213.45152070207442</v>
      </c>
      <c r="L15" s="92" t="s">
        <v>290</v>
      </c>
      <c r="M15" s="52" t="s">
        <v>412</v>
      </c>
      <c r="N15" s="139">
        <f>B10</f>
        <v>10.423439999999999</v>
      </c>
      <c r="O15" s="84" t="s">
        <v>353</v>
      </c>
      <c r="P15" s="52" t="s">
        <v>415</v>
      </c>
      <c r="Q15" s="139">
        <f>B12</f>
        <v>1.92404</v>
      </c>
      <c r="R15" s="84" t="s">
        <v>353</v>
      </c>
      <c r="S15" s="52" t="s">
        <v>417</v>
      </c>
      <c r="T15" s="139">
        <f>B14</f>
        <v>8.8356399999999997</v>
      </c>
      <c r="U15" s="84" t="s">
        <v>353</v>
      </c>
      <c r="V15" s="83" t="s">
        <v>301</v>
      </c>
      <c r="W15" s="142">
        <f>B258</f>
        <v>1</v>
      </c>
      <c r="Y15" s="83" t="s">
        <v>301</v>
      </c>
      <c r="Z15" s="142">
        <f>B234</f>
        <v>1</v>
      </c>
      <c r="AB15" s="83" t="s">
        <v>232</v>
      </c>
      <c r="AC15" s="141">
        <f>B230</f>
        <v>60</v>
      </c>
      <c r="AD15" s="141">
        <f>B242</f>
        <v>60</v>
      </c>
      <c r="AE15" s="141">
        <f>B254</f>
        <v>60</v>
      </c>
      <c r="AF15" s="141">
        <f>B266</f>
        <v>60</v>
      </c>
      <c r="AG15" s="141">
        <f>B290</f>
        <v>60</v>
      </c>
      <c r="AH15" s="92" t="s">
        <v>407</v>
      </c>
      <c r="AI15" s="52" t="s">
        <v>412</v>
      </c>
      <c r="AJ15" s="139">
        <f>B10</f>
        <v>10.423439999999999</v>
      </c>
      <c r="AK15" s="84" t="s">
        <v>353</v>
      </c>
      <c r="AL15" s="52" t="s">
        <v>415</v>
      </c>
      <c r="AM15" s="139">
        <f>B12</f>
        <v>1.92404</v>
      </c>
      <c r="AN15" s="84" t="s">
        <v>353</v>
      </c>
      <c r="AO15" s="52" t="s">
        <v>417</v>
      </c>
      <c r="AP15" s="139">
        <f>B14</f>
        <v>8.8356399999999997</v>
      </c>
      <c r="AQ15" s="84" t="s">
        <v>353</v>
      </c>
      <c r="AR15" s="52" t="s">
        <v>412</v>
      </c>
      <c r="AS15" s="139">
        <f>B10</f>
        <v>10.423439999999999</v>
      </c>
      <c r="AT15" s="84" t="s">
        <v>353</v>
      </c>
      <c r="AU15" s="52" t="s">
        <v>415</v>
      </c>
      <c r="AV15" s="139">
        <f>B12</f>
        <v>1.92404</v>
      </c>
      <c r="AW15" s="84" t="s">
        <v>353</v>
      </c>
      <c r="AX15" s="52" t="s">
        <v>417</v>
      </c>
      <c r="AY15" s="139">
        <f>B14</f>
        <v>8.8356399999999997</v>
      </c>
      <c r="AZ15" s="84" t="s">
        <v>353</v>
      </c>
      <c r="BA15" s="52" t="s">
        <v>412</v>
      </c>
      <c r="BB15" s="139">
        <f>B10</f>
        <v>10.423439999999999</v>
      </c>
      <c r="BC15" s="84" t="s">
        <v>353</v>
      </c>
      <c r="BD15" s="52" t="s">
        <v>415</v>
      </c>
      <c r="BE15" s="139">
        <f>B12</f>
        <v>1.92404</v>
      </c>
      <c r="BF15" s="84" t="s">
        <v>353</v>
      </c>
      <c r="BG15" s="52" t="s">
        <v>417</v>
      </c>
      <c r="BH15" s="139">
        <f>B14</f>
        <v>8.8356399999999997</v>
      </c>
      <c r="BI15" s="84" t="s">
        <v>353</v>
      </c>
      <c r="BJ15" s="52" t="s">
        <v>57</v>
      </c>
      <c r="BK15" s="136">
        <f>B274</f>
        <v>8</v>
      </c>
      <c r="BL15" s="52" t="s">
        <v>194</v>
      </c>
      <c r="BM15" s="52" t="s">
        <v>57</v>
      </c>
      <c r="BN15" s="136">
        <f>B274</f>
        <v>8</v>
      </c>
      <c r="BO15" s="52" t="s">
        <v>194</v>
      </c>
      <c r="BP15" s="52" t="s">
        <v>57</v>
      </c>
      <c r="BQ15" s="136">
        <f>B274</f>
        <v>8</v>
      </c>
      <c r="BR15" s="52" t="s">
        <v>194</v>
      </c>
      <c r="BS15" s="52" t="s">
        <v>90</v>
      </c>
      <c r="BT15" s="138">
        <f>B108</f>
        <v>1</v>
      </c>
      <c r="BU15" s="52" t="s">
        <v>194</v>
      </c>
      <c r="BV15" s="83" t="s">
        <v>438</v>
      </c>
      <c r="BW15" s="146">
        <f>B96</f>
        <v>0.05</v>
      </c>
      <c r="BX15" s="83" t="s">
        <v>357</v>
      </c>
      <c r="BY15" s="83" t="s">
        <v>262</v>
      </c>
      <c r="BZ15" s="145">
        <f>(((BZ5)/(BZ8*BZ22*(1/BZ31)*BZ25*(1/24)*BZ28*BZ29))*BZ10)/BZ36</f>
        <v>2285.1542766798275</v>
      </c>
      <c r="CA15" s="92" t="s">
        <v>290</v>
      </c>
      <c r="CB15" s="95" t="s">
        <v>287</v>
      </c>
      <c r="CC15" s="176">
        <v>27.027027027027</v>
      </c>
      <c r="CD15" s="52" t="s">
        <v>288</v>
      </c>
      <c r="CE15" s="95" t="s">
        <v>287</v>
      </c>
      <c r="CF15" s="176">
        <v>27.027027027027</v>
      </c>
      <c r="CG15" s="52" t="s">
        <v>288</v>
      </c>
      <c r="CH15" s="95" t="s">
        <v>287</v>
      </c>
      <c r="CI15" s="176">
        <v>27.027027027027</v>
      </c>
      <c r="CJ15" s="52" t="s">
        <v>288</v>
      </c>
      <c r="CN15" s="83" t="s">
        <v>22</v>
      </c>
      <c r="CO15" s="137">
        <f>0.693/CO16</f>
        <v>4.3312499999999997E-4</v>
      </c>
      <c r="CT15" s="83" t="s">
        <v>261</v>
      </c>
      <c r="CU15" s="144">
        <f>((CU5/(CU7*CU26*(1/CU10)*CU45))*CU11)/CU49</f>
        <v>204.22118467171441</v>
      </c>
      <c r="CV15" s="92" t="s">
        <v>290</v>
      </c>
      <c r="CW15" s="52" t="s">
        <v>365</v>
      </c>
      <c r="CX15" s="138">
        <f>B172</f>
        <v>24</v>
      </c>
      <c r="CY15" s="52" t="s">
        <v>194</v>
      </c>
      <c r="CZ15" s="83" t="s">
        <v>266</v>
      </c>
      <c r="DA15" s="153">
        <f>(DA5/(DA8*DA26*(DA46/DA47)))/DA51</f>
        <v>4.0460796744217646E-2</v>
      </c>
      <c r="DB15" s="83" t="s">
        <v>291</v>
      </c>
      <c r="DC15" s="83" t="s">
        <v>456</v>
      </c>
      <c r="DD15" s="146">
        <f>B167</f>
        <v>350</v>
      </c>
      <c r="DE15" s="83" t="s">
        <v>24</v>
      </c>
      <c r="DF15" s="92" t="s">
        <v>61</v>
      </c>
      <c r="DG15" s="138">
        <f>B197</f>
        <v>0.42</v>
      </c>
      <c r="DH15" s="52" t="s">
        <v>41</v>
      </c>
      <c r="DL15" s="92"/>
      <c r="DO15" s="92" t="s">
        <v>61</v>
      </c>
      <c r="DP15" s="138">
        <f>B197</f>
        <v>0.42</v>
      </c>
      <c r="DQ15" s="52" t="s">
        <v>41</v>
      </c>
      <c r="DR15" s="92" t="s">
        <v>479</v>
      </c>
      <c r="DS15" s="146">
        <f>B187</f>
        <v>1</v>
      </c>
      <c r="DU15" s="92"/>
      <c r="DX15" s="52" t="s">
        <v>350</v>
      </c>
      <c r="DY15" s="164">
        <f>B170</f>
        <v>1</v>
      </c>
      <c r="EA15" s="95"/>
      <c r="EB15" s="176"/>
      <c r="EC15" s="84"/>
      <c r="ED15" s="83" t="s">
        <v>27</v>
      </c>
      <c r="EE15" s="142">
        <f>B203</f>
        <v>92</v>
      </c>
      <c r="EF15" s="83" t="s">
        <v>28</v>
      </c>
      <c r="EG15" s="92" t="s">
        <v>480</v>
      </c>
      <c r="EH15" s="146">
        <f>B188</f>
        <v>1</v>
      </c>
      <c r="EJ15" s="92"/>
      <c r="EM15" s="83" t="s">
        <v>22</v>
      </c>
      <c r="EN15" s="137">
        <f>0.693/EN16</f>
        <v>4.3312499999999997E-4</v>
      </c>
      <c r="EP15" s="92"/>
      <c r="EQ15" s="84"/>
      <c r="ER15" s="84"/>
      <c r="ES15" s="83" t="s">
        <v>29</v>
      </c>
      <c r="ET15" s="142">
        <f>B209</f>
        <v>53</v>
      </c>
      <c r="EU15" s="83" t="s">
        <v>28</v>
      </c>
      <c r="EV15" s="92" t="s">
        <v>481</v>
      </c>
      <c r="EW15" s="146">
        <f>B189</f>
        <v>1</v>
      </c>
      <c r="EY15" s="83"/>
      <c r="EZ15" s="83"/>
      <c r="FA15" s="83"/>
      <c r="FB15" s="83" t="s">
        <v>22</v>
      </c>
      <c r="FC15" s="137">
        <f>0.693/FC16</f>
        <v>4.3312499999999997E-4</v>
      </c>
      <c r="FE15" s="83"/>
      <c r="FF15" s="83"/>
      <c r="FG15" s="83"/>
      <c r="FH15" s="83" t="s">
        <v>148</v>
      </c>
      <c r="FI15" s="164">
        <f>B214</f>
        <v>0.4</v>
      </c>
      <c r="FJ15" s="83" t="s">
        <v>28</v>
      </c>
      <c r="FK15" s="92" t="s">
        <v>482</v>
      </c>
      <c r="FL15" s="146">
        <f>B190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B191</f>
        <v>1</v>
      </c>
      <c r="GC15" s="83"/>
      <c r="GD15" s="83"/>
      <c r="GE15" s="83"/>
      <c r="GF15" s="83" t="s">
        <v>22</v>
      </c>
      <c r="GG15" s="137">
        <f>0.693/GG16</f>
        <v>4.3312499999999997E-4</v>
      </c>
      <c r="GI15" s="83"/>
      <c r="GJ15" s="83"/>
      <c r="GK15" s="83"/>
      <c r="GL15" s="83" t="s">
        <v>149</v>
      </c>
      <c r="GM15" s="164">
        <f>B219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4.3312499999999997E-4</v>
      </c>
      <c r="GX15" s="83"/>
      <c r="GY15" s="83"/>
      <c r="GZ15" s="83"/>
      <c r="HA15" s="83" t="s">
        <v>150</v>
      </c>
      <c r="HB15" s="142">
        <f>B224</f>
        <v>11.4</v>
      </c>
      <c r="HC15" s="83" t="s">
        <v>28</v>
      </c>
      <c r="HD15" s="84"/>
    </row>
    <row r="16" spans="1:214" x14ac:dyDescent="0.2">
      <c r="A16" s="91" t="s">
        <v>257</v>
      </c>
      <c r="B16" s="183">
        <v>33.437199999999997</v>
      </c>
      <c r="C16" s="84" t="s">
        <v>259</v>
      </c>
      <c r="E16" s="138">
        <v>24</v>
      </c>
      <c r="F16" s="52" t="s">
        <v>194</v>
      </c>
      <c r="G16" s="83" t="s">
        <v>396</v>
      </c>
      <c r="H16" s="137">
        <f>(H29*H19*H68)+(H30*H20*H69)</f>
        <v>6195</v>
      </c>
      <c r="I16" s="83" t="s">
        <v>426</v>
      </c>
      <c r="J16" s="83" t="s">
        <v>262</v>
      </c>
      <c r="K16" s="144">
        <f>((K5/(K8*K42*((K37*K41*(1/K35))+(K38*K40*(1/K35)))*K32*(1/K44)*K33))*K11)/K53</f>
        <v>1.0682698305269514E-2</v>
      </c>
      <c r="L16" s="92" t="s">
        <v>290</v>
      </c>
      <c r="M16" s="52" t="s">
        <v>409</v>
      </c>
      <c r="N16" s="150">
        <f>B79</f>
        <v>16.416</v>
      </c>
      <c r="O16" s="52" t="s">
        <v>194</v>
      </c>
      <c r="P16" s="52" t="s">
        <v>409</v>
      </c>
      <c r="Q16" s="150">
        <f>B79</f>
        <v>16.416</v>
      </c>
      <c r="R16" s="52" t="s">
        <v>194</v>
      </c>
      <c r="S16" s="52" t="s">
        <v>409</v>
      </c>
      <c r="T16" s="150">
        <f>B79</f>
        <v>16.416</v>
      </c>
      <c r="U16" s="52" t="s">
        <v>194</v>
      </c>
      <c r="V16" s="52" t="s">
        <v>261</v>
      </c>
      <c r="W16" s="143">
        <f>((W5)/((W12/24)*W9*W10*W11*W13))/W20</f>
        <v>2.1612473597419513E-4</v>
      </c>
      <c r="X16" s="52" t="s">
        <v>15</v>
      </c>
      <c r="Y16" s="52" t="s">
        <v>261</v>
      </c>
      <c r="Z16" s="143">
        <f>((Z5)/((Z12/24)*Z9*Z10*Z11*Z13))/Z20</f>
        <v>1.9451226237677562E-4</v>
      </c>
      <c r="AA16" s="52" t="s">
        <v>15</v>
      </c>
      <c r="AB16" s="83" t="s">
        <v>299</v>
      </c>
      <c r="AC16" s="141">
        <f>B236</f>
        <v>0.4</v>
      </c>
      <c r="AD16" s="141">
        <f>B248</f>
        <v>0.4</v>
      </c>
      <c r="AE16" s="141">
        <f>B260</f>
        <v>0.4</v>
      </c>
      <c r="AF16" s="141">
        <f>B272</f>
        <v>0.4</v>
      </c>
      <c r="AG16" s="141">
        <f>B295</f>
        <v>0.4</v>
      </c>
      <c r="AH16" s="92"/>
      <c r="AI16" s="52" t="s">
        <v>69</v>
      </c>
      <c r="AJ16" s="136">
        <f>B251</f>
        <v>8</v>
      </c>
      <c r="AK16" s="52" t="s">
        <v>194</v>
      </c>
      <c r="AL16" s="52" t="s">
        <v>69</v>
      </c>
      <c r="AM16" s="136">
        <f>B251</f>
        <v>8</v>
      </c>
      <c r="AN16" s="52" t="s">
        <v>194</v>
      </c>
      <c r="AO16" s="52" t="s">
        <v>69</v>
      </c>
      <c r="AP16" s="136">
        <f>B251</f>
        <v>8</v>
      </c>
      <c r="AQ16" s="52" t="s">
        <v>194</v>
      </c>
      <c r="AR16" s="52" t="s">
        <v>69</v>
      </c>
      <c r="AS16" s="136">
        <f>B263</f>
        <v>0</v>
      </c>
      <c r="AT16" s="52" t="s">
        <v>194</v>
      </c>
      <c r="AU16" s="52" t="s">
        <v>69</v>
      </c>
      <c r="AV16" s="136">
        <f>B263</f>
        <v>0</v>
      </c>
      <c r="AW16" s="52" t="s">
        <v>194</v>
      </c>
      <c r="AX16" s="52" t="s">
        <v>69</v>
      </c>
      <c r="AY16" s="136">
        <f>B263</f>
        <v>0</v>
      </c>
      <c r="AZ16" s="52" t="s">
        <v>194</v>
      </c>
      <c r="BA16" s="52" t="s">
        <v>69</v>
      </c>
      <c r="BB16" s="136">
        <f>B239</f>
        <v>8</v>
      </c>
      <c r="BC16" s="52" t="s">
        <v>194</v>
      </c>
      <c r="BD16" s="52" t="s">
        <v>69</v>
      </c>
      <c r="BE16" s="136">
        <f>B239</f>
        <v>8</v>
      </c>
      <c r="BF16" s="52" t="s">
        <v>194</v>
      </c>
      <c r="BG16" s="52" t="s">
        <v>69</v>
      </c>
      <c r="BH16" s="136">
        <f>B239</f>
        <v>8</v>
      </c>
      <c r="BI16" s="52" t="s">
        <v>194</v>
      </c>
      <c r="BJ16" s="52" t="s">
        <v>412</v>
      </c>
      <c r="BK16" s="139">
        <f>B10</f>
        <v>10.423439999999999</v>
      </c>
      <c r="BL16" s="84" t="s">
        <v>353</v>
      </c>
      <c r="BM16" s="52" t="s">
        <v>415</v>
      </c>
      <c r="BN16" s="139">
        <f>B12</f>
        <v>1.92404</v>
      </c>
      <c r="BO16" s="84" t="s">
        <v>353</v>
      </c>
      <c r="BP16" s="52" t="s">
        <v>417</v>
      </c>
      <c r="BQ16" s="139">
        <f>B14</f>
        <v>8.8356399999999997</v>
      </c>
      <c r="BR16" s="84" t="s">
        <v>353</v>
      </c>
      <c r="BS16" s="83" t="s">
        <v>256</v>
      </c>
      <c r="BT16" s="136">
        <f>E17</f>
        <v>15429.68</v>
      </c>
      <c r="BU16" s="83" t="s">
        <v>343</v>
      </c>
      <c r="BV16" s="83" t="s">
        <v>437</v>
      </c>
      <c r="BW16" s="140">
        <f>((BW18*BW20*BW23*BW30)+(BW19*BW21*BW24*BW31))</f>
        <v>45</v>
      </c>
      <c r="BX16" s="83" t="s">
        <v>356</v>
      </c>
      <c r="BY16" s="83" t="s">
        <v>46</v>
      </c>
      <c r="BZ16" s="149">
        <f>(BZ18*BZ22*BZ34)+(BZ19*BZ23*BZ35)</f>
        <v>9225</v>
      </c>
      <c r="CA16" s="83" t="s">
        <v>346</v>
      </c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91" t="s">
        <v>231</v>
      </c>
      <c r="CO16" s="136">
        <f>B18</f>
        <v>1600</v>
      </c>
      <c r="CP16" s="52" t="s">
        <v>60</v>
      </c>
      <c r="CQ16" s="83"/>
      <c r="CR16" s="83"/>
      <c r="CS16" s="83"/>
      <c r="CT16" s="83" t="s">
        <v>262</v>
      </c>
      <c r="CU16" s="144">
        <f>((CU5/(CU8*CU42*((CU37*CU41*(1/24))+(CU38*CU40*(1/24)))*CU32*(1/CU44)))*CU11)/CU49</f>
        <v>5.4951368842481646E-3</v>
      </c>
      <c r="CV16" s="92" t="s">
        <v>290</v>
      </c>
      <c r="CW16" s="52" t="s">
        <v>364</v>
      </c>
      <c r="CX16" s="138">
        <f>B171</f>
        <v>24</v>
      </c>
      <c r="CY16" s="52" t="s">
        <v>194</v>
      </c>
      <c r="CZ16" s="83" t="s">
        <v>512</v>
      </c>
      <c r="DA16" s="153">
        <f>DG2</f>
        <v>1.7166364745642711E-2</v>
      </c>
      <c r="DB16" s="83" t="s">
        <v>291</v>
      </c>
      <c r="DC16" s="83" t="s">
        <v>363</v>
      </c>
      <c r="DD16" s="146">
        <f>B170</f>
        <v>1</v>
      </c>
      <c r="DE16" s="83" t="s">
        <v>60</v>
      </c>
      <c r="DF16" s="92" t="s">
        <v>63</v>
      </c>
      <c r="DG16" s="151">
        <f>DG20+(0.693/DG22)</f>
        <v>4.9501186643835612E-2</v>
      </c>
      <c r="DH16" s="83" t="s">
        <v>64</v>
      </c>
      <c r="DI16" s="83"/>
      <c r="DJ16" s="83"/>
      <c r="DK16" s="83"/>
      <c r="DL16" s="92"/>
      <c r="DM16" s="83"/>
      <c r="DN16" s="83"/>
      <c r="DO16" s="92" t="s">
        <v>63</v>
      </c>
      <c r="DP16" s="167">
        <f>DP20+(0.693/DP22)</f>
        <v>4.9499999999999995E-2</v>
      </c>
      <c r="DQ16" s="83" t="s">
        <v>64</v>
      </c>
      <c r="DR16" s="83"/>
      <c r="DS16" s="146">
        <v>365</v>
      </c>
      <c r="DT16" s="52" t="s">
        <v>24</v>
      </c>
      <c r="DU16" s="92"/>
      <c r="DV16" s="83"/>
      <c r="DW16" s="83"/>
      <c r="DX16" s="83" t="s">
        <v>22</v>
      </c>
      <c r="DY16" s="137">
        <f>0.693/DY17</f>
        <v>4.3312499999999997E-4</v>
      </c>
      <c r="EA16" s="92"/>
      <c r="EB16" s="83"/>
      <c r="EC16" s="83"/>
      <c r="ED16" s="92" t="s">
        <v>63</v>
      </c>
      <c r="EE16" s="167">
        <f>EE20+(0.693/EE22)</f>
        <v>4.9499999999999995E-2</v>
      </c>
      <c r="EF16" s="83" t="s">
        <v>64</v>
      </c>
      <c r="EH16" s="146">
        <v>365</v>
      </c>
      <c r="EI16" s="52" t="s">
        <v>24</v>
      </c>
      <c r="EJ16" s="92"/>
      <c r="EK16" s="83"/>
      <c r="EL16" s="83"/>
      <c r="EM16" s="91" t="s">
        <v>231</v>
      </c>
      <c r="EN16" s="136">
        <f>B18</f>
        <v>1600</v>
      </c>
      <c r="EO16" s="52" t="s">
        <v>60</v>
      </c>
      <c r="EP16" s="92"/>
      <c r="EQ16" s="83"/>
      <c r="ER16" s="83"/>
      <c r="ES16" s="92" t="s">
        <v>63</v>
      </c>
      <c r="ET16" s="167">
        <f>ET20+(0.693/ET22)</f>
        <v>4.9499999999999995E-2</v>
      </c>
      <c r="EU16" s="83" t="s">
        <v>64</v>
      </c>
      <c r="EV16" s="83"/>
      <c r="EW16" s="146">
        <v>365</v>
      </c>
      <c r="EX16" s="52" t="s">
        <v>24</v>
      </c>
      <c r="EY16" s="83"/>
      <c r="EZ16" s="83"/>
      <c r="FA16" s="83"/>
      <c r="FB16" s="91" t="s">
        <v>231</v>
      </c>
      <c r="FC16" s="136">
        <f>B18</f>
        <v>1600</v>
      </c>
      <c r="FD16" s="52" t="s">
        <v>60</v>
      </c>
      <c r="FE16" s="83"/>
      <c r="FF16" s="83"/>
      <c r="FG16" s="83"/>
      <c r="FH16" s="83" t="s">
        <v>63</v>
      </c>
      <c r="FI16" s="167">
        <f>FI20+(0.693/FI22)</f>
        <v>4.9499999999999995E-2</v>
      </c>
      <c r="FJ16" s="83" t="s">
        <v>64</v>
      </c>
      <c r="FK16" s="83"/>
      <c r="FL16" s="146">
        <v>365</v>
      </c>
      <c r="FM16" s="52" t="s">
        <v>24</v>
      </c>
      <c r="FN16" s="83"/>
      <c r="FO16" s="83"/>
      <c r="FP16" s="83"/>
      <c r="FQ16" s="83"/>
      <c r="FR16" s="83"/>
      <c r="FS16" s="83"/>
      <c r="FT16" s="83"/>
      <c r="FU16" s="83"/>
      <c r="FV16" s="83"/>
      <c r="FW16" s="83"/>
      <c r="FX16" s="83"/>
      <c r="FY16" s="83"/>
      <c r="FZ16" s="83"/>
      <c r="GA16" s="146">
        <v>365</v>
      </c>
      <c r="GB16" s="52" t="s">
        <v>24</v>
      </c>
      <c r="GC16" s="83"/>
      <c r="GD16" s="83"/>
      <c r="GE16" s="83"/>
      <c r="GF16" s="91" t="s">
        <v>231</v>
      </c>
      <c r="GG16" s="136">
        <f>B18</f>
        <v>1600</v>
      </c>
      <c r="GH16" s="52" t="s">
        <v>60</v>
      </c>
      <c r="GI16" s="83"/>
      <c r="GJ16" s="83"/>
      <c r="GK16" s="83"/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B165</f>
        <v>0.15</v>
      </c>
      <c r="GR16" s="83"/>
      <c r="GS16" s="83"/>
      <c r="GT16" s="83"/>
      <c r="GU16" s="91" t="s">
        <v>231</v>
      </c>
      <c r="GV16" s="136">
        <f>B18</f>
        <v>1600</v>
      </c>
      <c r="GW16" s="52" t="s">
        <v>60</v>
      </c>
      <c r="GX16" s="83"/>
      <c r="GY16" s="83"/>
      <c r="GZ16" s="83"/>
      <c r="HA16" s="83" t="s">
        <v>63</v>
      </c>
      <c r="HB16" s="167">
        <f>HB20+(0.693/HB22)</f>
        <v>4.9499999999999995E-2</v>
      </c>
      <c r="HC16" s="83" t="s">
        <v>64</v>
      </c>
      <c r="HD16" s="83"/>
      <c r="HE16" s="83"/>
      <c r="HF16" s="83"/>
    </row>
    <row r="17" spans="1:214" ht="13.5" thickBot="1" x14ac:dyDescent="0.25">
      <c r="A17" s="83" t="s">
        <v>258</v>
      </c>
      <c r="B17" s="183">
        <v>1.67911012348351E-3</v>
      </c>
      <c r="C17" s="92" t="s">
        <v>259</v>
      </c>
      <c r="D17" s="83" t="s">
        <v>256</v>
      </c>
      <c r="E17" s="136">
        <f>B15</f>
        <v>15429.68</v>
      </c>
      <c r="F17" s="83" t="s">
        <v>343</v>
      </c>
      <c r="G17" s="83" t="s">
        <v>370</v>
      </c>
      <c r="H17" s="146">
        <f>B42</f>
        <v>0.78</v>
      </c>
      <c r="I17" s="52" t="s">
        <v>28</v>
      </c>
      <c r="J17" s="83" t="s">
        <v>263</v>
      </c>
      <c r="K17" s="153">
        <f>((K18/(K47+K48))*K11)</f>
        <v>3.3992895983342114E-3</v>
      </c>
      <c r="L17" s="92" t="s">
        <v>290</v>
      </c>
      <c r="M17" s="95" t="s">
        <v>287</v>
      </c>
      <c r="N17" s="176">
        <v>27.027027027027</v>
      </c>
      <c r="O17" s="52" t="s">
        <v>288</v>
      </c>
      <c r="P17" s="95" t="s">
        <v>287</v>
      </c>
      <c r="Q17" s="176">
        <v>27.027027027027</v>
      </c>
      <c r="R17" s="52" t="s">
        <v>288</v>
      </c>
      <c r="S17" s="95" t="s">
        <v>287</v>
      </c>
      <c r="T17" s="176">
        <v>27.027027027027</v>
      </c>
      <c r="U17" s="52" t="s">
        <v>288</v>
      </c>
      <c r="V17" s="52" t="s">
        <v>271</v>
      </c>
      <c r="W17" s="144">
        <f>((W5)/((W12/24)*W9*W14*(1/365)))/W20</f>
        <v>1.1670149132494443E-5</v>
      </c>
      <c r="X17" s="52" t="s">
        <v>15</v>
      </c>
      <c r="Y17" s="52" t="s">
        <v>271</v>
      </c>
      <c r="Z17" s="144">
        <f>((Z5)/((Z12/24)*Z9*Z14*(1/365)))/Z20</f>
        <v>1.0503134219244999E-5</v>
      </c>
      <c r="AA17" s="52" t="s">
        <v>15</v>
      </c>
      <c r="AB17" s="83" t="s">
        <v>413</v>
      </c>
      <c r="AC17" s="141">
        <f>B237</f>
        <v>1</v>
      </c>
      <c r="AD17" s="141">
        <f>B249</f>
        <v>1</v>
      </c>
      <c r="AE17" s="141">
        <f>B261</f>
        <v>1</v>
      </c>
      <c r="AF17" s="141">
        <f>B280</f>
        <v>0.753</v>
      </c>
      <c r="AG17" s="141">
        <f>B280</f>
        <v>0.753</v>
      </c>
      <c r="AH17" s="92"/>
      <c r="AI17" s="95" t="s">
        <v>287</v>
      </c>
      <c r="AJ17" s="176">
        <v>27.027027027027</v>
      </c>
      <c r="AK17" s="52" t="s">
        <v>288</v>
      </c>
      <c r="AL17" s="95" t="s">
        <v>287</v>
      </c>
      <c r="AM17" s="176">
        <v>27.027027027027</v>
      </c>
      <c r="AN17" s="52" t="s">
        <v>288</v>
      </c>
      <c r="AO17" s="95" t="s">
        <v>287</v>
      </c>
      <c r="AP17" s="176">
        <v>27.027027027027</v>
      </c>
      <c r="AQ17" s="52" t="s">
        <v>288</v>
      </c>
      <c r="AR17" s="95" t="s">
        <v>287</v>
      </c>
      <c r="AS17" s="176">
        <v>27.027027027027</v>
      </c>
      <c r="AT17" s="52" t="s">
        <v>288</v>
      </c>
      <c r="AU17" s="95" t="s">
        <v>287</v>
      </c>
      <c r="AV17" s="176">
        <v>27.027027027027</v>
      </c>
      <c r="AW17" s="52" t="s">
        <v>288</v>
      </c>
      <c r="AX17" s="95" t="s">
        <v>287</v>
      </c>
      <c r="AY17" s="176">
        <v>27.027027027027</v>
      </c>
      <c r="AZ17" s="52" t="s">
        <v>288</v>
      </c>
      <c r="BA17" s="95" t="s">
        <v>287</v>
      </c>
      <c r="BB17" s="176">
        <v>27.027027027027</v>
      </c>
      <c r="BC17" s="52" t="s">
        <v>288</v>
      </c>
      <c r="BD17" s="95" t="s">
        <v>287</v>
      </c>
      <c r="BE17" s="176">
        <v>27.027027027027</v>
      </c>
      <c r="BF17" s="52" t="s">
        <v>288</v>
      </c>
      <c r="BG17" s="95" t="s">
        <v>287</v>
      </c>
      <c r="BH17" s="176">
        <v>27.027027027027</v>
      </c>
      <c r="BI17" s="52" t="s">
        <v>288</v>
      </c>
      <c r="BJ17" s="95" t="s">
        <v>287</v>
      </c>
      <c r="BK17" s="176">
        <v>27.027027027027</v>
      </c>
      <c r="BL17" s="52" t="s">
        <v>288</v>
      </c>
      <c r="BM17" s="95" t="s">
        <v>287</v>
      </c>
      <c r="BN17" s="176">
        <v>27.027027027027</v>
      </c>
      <c r="BO17" s="52" t="s">
        <v>288</v>
      </c>
      <c r="BP17" s="95" t="s">
        <v>287</v>
      </c>
      <c r="BQ17" s="176">
        <v>27.027027027027</v>
      </c>
      <c r="BR17" s="52" t="s">
        <v>288</v>
      </c>
      <c r="BS17" s="83" t="s">
        <v>301</v>
      </c>
      <c r="BT17" s="142">
        <f>B111</f>
        <v>1</v>
      </c>
      <c r="BV17" s="83" t="s">
        <v>65</v>
      </c>
      <c r="BW17" s="141">
        <f>B116</f>
        <v>0.5</v>
      </c>
      <c r="BX17" s="52" t="s">
        <v>66</v>
      </c>
      <c r="BY17" s="83" t="s">
        <v>43</v>
      </c>
      <c r="BZ17" s="149">
        <f>(BZ24*BZ20*(BZ26/24)*BZ34)+(BZ23*BZ21*(BZ27/24)*BZ35)</f>
        <v>55.3125</v>
      </c>
      <c r="CA17" s="52" t="s">
        <v>426</v>
      </c>
      <c r="CN17" s="84" t="s">
        <v>16</v>
      </c>
      <c r="CO17" s="137">
        <f>(CO14*CO15)/(1-EXP(-CO15*CO14))</f>
        <v>1.0002165781331087</v>
      </c>
      <c r="CT17" s="83" t="s">
        <v>263</v>
      </c>
      <c r="CU17" s="153">
        <f>DJ2</f>
        <v>8.3757491800838535E-4</v>
      </c>
      <c r="CV17" s="92" t="s">
        <v>290</v>
      </c>
      <c r="CW17" s="83" t="s">
        <v>256</v>
      </c>
      <c r="CX17" s="136">
        <f>B15</f>
        <v>15429.68</v>
      </c>
      <c r="CY17" s="83" t="s">
        <v>343</v>
      </c>
      <c r="CZ17" s="83" t="s">
        <v>511</v>
      </c>
      <c r="DA17" s="153">
        <f>DD2</f>
        <v>2.3011574942929399E-4</v>
      </c>
      <c r="DB17" s="83" t="s">
        <v>290</v>
      </c>
      <c r="DC17" s="93"/>
      <c r="DD17" s="136">
        <v>9.9999999999999995E-7</v>
      </c>
      <c r="DE17" s="88"/>
      <c r="DF17" s="92" t="s">
        <v>67</v>
      </c>
      <c r="DG17" s="142">
        <f>B198</f>
        <v>60</v>
      </c>
      <c r="DH17" s="83" t="s">
        <v>53</v>
      </c>
      <c r="DL17" s="92"/>
      <c r="DM17" s="83"/>
      <c r="DN17" s="83"/>
      <c r="DO17" s="92" t="s">
        <v>67</v>
      </c>
      <c r="DP17" s="142">
        <f>B198</f>
        <v>60</v>
      </c>
      <c r="DQ17" s="83" t="s">
        <v>53</v>
      </c>
      <c r="DR17" s="83" t="s">
        <v>475</v>
      </c>
      <c r="DS17" s="146">
        <f>B165</f>
        <v>0.15</v>
      </c>
      <c r="DU17" s="92"/>
      <c r="DV17" s="87"/>
      <c r="DW17" s="83"/>
      <c r="DX17" s="91" t="s">
        <v>231</v>
      </c>
      <c r="DY17" s="136">
        <f>B18</f>
        <v>1600</v>
      </c>
      <c r="DZ17" s="52" t="s">
        <v>60</v>
      </c>
      <c r="EA17" s="92"/>
      <c r="EB17" s="83"/>
      <c r="EC17" s="83"/>
      <c r="ED17" s="92" t="s">
        <v>67</v>
      </c>
      <c r="EE17" s="142">
        <f>B198</f>
        <v>60</v>
      </c>
      <c r="EF17" s="83" t="s">
        <v>53</v>
      </c>
      <c r="EG17" s="83" t="s">
        <v>475</v>
      </c>
      <c r="EH17" s="146">
        <f>B165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1.0002165781331087</v>
      </c>
      <c r="EP17" s="92"/>
      <c r="EQ17" s="83"/>
      <c r="ER17" s="83"/>
      <c r="ES17" s="92" t="s">
        <v>67</v>
      </c>
      <c r="ET17" s="142">
        <f>B198</f>
        <v>60</v>
      </c>
      <c r="EU17" s="83" t="s">
        <v>53</v>
      </c>
      <c r="EV17" s="83" t="s">
        <v>475</v>
      </c>
      <c r="EW17" s="141">
        <f>B165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1.0002165781331087</v>
      </c>
      <c r="FE17" s="83"/>
      <c r="FF17" s="83"/>
      <c r="FG17" s="83"/>
      <c r="FH17" s="83" t="s">
        <v>67</v>
      </c>
      <c r="FI17" s="142">
        <f>B198</f>
        <v>60</v>
      </c>
      <c r="FJ17" s="83" t="s">
        <v>53</v>
      </c>
      <c r="FK17" s="83" t="s">
        <v>475</v>
      </c>
      <c r="FL17" s="141">
        <f>B165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B165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1.0002165781331087</v>
      </c>
      <c r="GI17" s="83"/>
      <c r="GJ17" s="83"/>
      <c r="GK17" s="83"/>
      <c r="GL17" s="83" t="s">
        <v>67</v>
      </c>
      <c r="GM17" s="142">
        <f>B198</f>
        <v>60</v>
      </c>
      <c r="GN17" s="83" t="s">
        <v>53</v>
      </c>
      <c r="GO17" s="83" t="s">
        <v>476</v>
      </c>
      <c r="GP17" s="141">
        <f>B166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1.0002165781331087</v>
      </c>
      <c r="GX17" s="83"/>
      <c r="GY17" s="83"/>
      <c r="GZ17" s="83"/>
      <c r="HA17" s="83" t="s">
        <v>67</v>
      </c>
      <c r="HB17" s="142">
        <f>B198</f>
        <v>60</v>
      </c>
      <c r="HC17" s="83" t="s">
        <v>53</v>
      </c>
      <c r="HD17" s="84"/>
      <c r="HE17" s="84"/>
    </row>
    <row r="18" spans="1:214" ht="19.5" thickTop="1" thickBot="1" x14ac:dyDescent="0.25">
      <c r="A18" s="91" t="s">
        <v>231</v>
      </c>
      <c r="B18" s="183">
        <v>1600</v>
      </c>
      <c r="C18" s="52" t="s">
        <v>235</v>
      </c>
      <c r="D18" s="83" t="s">
        <v>301</v>
      </c>
      <c r="E18" s="142">
        <f>B60</f>
        <v>1</v>
      </c>
      <c r="G18" s="83" t="s">
        <v>371</v>
      </c>
      <c r="H18" s="146">
        <f>B43</f>
        <v>2.5</v>
      </c>
      <c r="I18" s="52" t="s">
        <v>28</v>
      </c>
      <c r="J18" s="83" t="s">
        <v>264</v>
      </c>
      <c r="K18" s="154">
        <f>(K5/(K9*(K25+K28)*K36))/K53</f>
        <v>9.339225144275984E-4</v>
      </c>
      <c r="L18" s="92" t="s">
        <v>290</v>
      </c>
      <c r="V18" s="52" t="s">
        <v>261</v>
      </c>
      <c r="W18" s="144">
        <f>((W5*W7*W6)/((W12/24)*(1-EXP(-W7*W10))*W11*W13*W9*W10))/W20</f>
        <v>2.1617154386603101E-4</v>
      </c>
      <c r="X18" s="52" t="s">
        <v>16</v>
      </c>
      <c r="Y18" s="52" t="s">
        <v>261</v>
      </c>
      <c r="Z18" s="144">
        <f>((Z5*Z7*Z6)/((Z12/24)*(1-EXP(-Z7*Z10))*Z11*Z13*Z9*Z10))/Z20</f>
        <v>1.945543894794279E-4</v>
      </c>
      <c r="AA18" s="52" t="s">
        <v>16</v>
      </c>
      <c r="AB18" s="83" t="s">
        <v>412</v>
      </c>
      <c r="AC18" s="136">
        <f>B10</f>
        <v>10.423439999999999</v>
      </c>
      <c r="AD18" s="136">
        <f>B10</f>
        <v>10.423439999999999</v>
      </c>
      <c r="AE18" s="136">
        <f>B10</f>
        <v>10.423439999999999</v>
      </c>
      <c r="AF18" s="136">
        <f>B10</f>
        <v>10.423439999999999</v>
      </c>
      <c r="AG18" s="136">
        <f>B10</f>
        <v>10.423439999999999</v>
      </c>
      <c r="AH18" s="83" t="s">
        <v>351</v>
      </c>
      <c r="BS18" s="52" t="s">
        <v>261</v>
      </c>
      <c r="BT18" s="143">
        <f>((BT5)/(BT9*BT10))/BT27</f>
        <v>1.7583029367392145E-2</v>
      </c>
      <c r="BU18" s="52" t="s">
        <v>15</v>
      </c>
      <c r="BV18" s="83" t="s">
        <v>433</v>
      </c>
      <c r="BW18" s="150">
        <f>B112</f>
        <v>45</v>
      </c>
      <c r="BX18" s="83" t="s">
        <v>24</v>
      </c>
      <c r="BY18" s="83" t="s">
        <v>441</v>
      </c>
      <c r="BZ18" s="146">
        <f>B97</f>
        <v>200</v>
      </c>
      <c r="CA18" s="84" t="s">
        <v>48</v>
      </c>
      <c r="CB18" s="675" t="s">
        <v>572</v>
      </c>
      <c r="CC18" s="673"/>
      <c r="CD18" s="673"/>
      <c r="CE18" s="676" t="s">
        <v>573</v>
      </c>
      <c r="CF18" s="673"/>
      <c r="CG18" s="674"/>
      <c r="CJ18" s="83"/>
      <c r="CT18" s="83" t="s">
        <v>264</v>
      </c>
      <c r="CU18" s="153">
        <f>DD2</f>
        <v>2.3011574942929399E-4</v>
      </c>
      <c r="CV18" s="92" t="s">
        <v>290</v>
      </c>
      <c r="CW18" s="83" t="s">
        <v>301</v>
      </c>
      <c r="CX18" s="142">
        <f>B180</f>
        <v>1</v>
      </c>
      <c r="CZ18" s="91" t="s">
        <v>272</v>
      </c>
      <c r="DA18" s="144" t="e">
        <f>EZ2</f>
        <v>#DIV/0!</v>
      </c>
      <c r="DB18" s="83" t="s">
        <v>290</v>
      </c>
      <c r="DC18" s="88"/>
      <c r="DD18" s="136">
        <v>1000</v>
      </c>
      <c r="DE18" s="92" t="s">
        <v>99</v>
      </c>
      <c r="DF18" s="92" t="s">
        <v>68</v>
      </c>
      <c r="DG18" s="142">
        <f>B199</f>
        <v>2</v>
      </c>
      <c r="DH18" s="83" t="s">
        <v>56</v>
      </c>
      <c r="DL18" s="92"/>
      <c r="DM18" s="83"/>
      <c r="DN18" s="83"/>
      <c r="DO18" s="92" t="s">
        <v>68</v>
      </c>
      <c r="DP18" s="142">
        <f>B199</f>
        <v>2</v>
      </c>
      <c r="DQ18" s="83" t="s">
        <v>56</v>
      </c>
      <c r="DR18" s="83" t="s">
        <v>476</v>
      </c>
      <c r="DS18" s="146">
        <f>B166</f>
        <v>0.85</v>
      </c>
      <c r="DU18" s="92"/>
      <c r="DV18" s="83"/>
      <c r="DW18" s="83"/>
      <c r="DX18" s="84" t="s">
        <v>16</v>
      </c>
      <c r="DY18" s="137">
        <f>(DY15*DY16)/(1-EXP(-DY16*DY15))</f>
        <v>1.0002165781331087</v>
      </c>
      <c r="EA18" s="92"/>
      <c r="EB18" s="83"/>
      <c r="EC18" s="83"/>
      <c r="ED18" s="92" t="s">
        <v>68</v>
      </c>
      <c r="EE18" s="142">
        <f>B199</f>
        <v>2</v>
      </c>
      <c r="EF18" s="83" t="s">
        <v>56</v>
      </c>
      <c r="EG18" s="83" t="s">
        <v>476</v>
      </c>
      <c r="EH18" s="146">
        <f>B166</f>
        <v>0.85</v>
      </c>
      <c r="EJ18" s="92"/>
      <c r="EK18" s="83"/>
      <c r="EL18" s="83"/>
      <c r="EM18" s="95"/>
      <c r="EN18" s="176"/>
      <c r="EP18" s="92"/>
      <c r="EQ18" s="83"/>
      <c r="ER18" s="83"/>
      <c r="ES18" s="92" t="s">
        <v>68</v>
      </c>
      <c r="ET18" s="142">
        <f>B199</f>
        <v>2</v>
      </c>
      <c r="EU18" s="83" t="s">
        <v>56</v>
      </c>
      <c r="EV18" s="83" t="s">
        <v>476</v>
      </c>
      <c r="EW18" s="141">
        <f>B166</f>
        <v>0.85</v>
      </c>
      <c r="EX18" s="92"/>
      <c r="EY18" s="83"/>
      <c r="EZ18" s="83"/>
      <c r="FA18" s="83"/>
      <c r="FB18" s="95"/>
      <c r="FC18" s="176"/>
      <c r="FD18" s="83"/>
      <c r="FE18" s="83"/>
      <c r="FF18" s="83"/>
      <c r="FG18" s="83"/>
      <c r="FH18" s="83" t="s">
        <v>68</v>
      </c>
      <c r="FI18" s="142">
        <f>B199</f>
        <v>2</v>
      </c>
      <c r="FJ18" s="83" t="s">
        <v>56</v>
      </c>
      <c r="FK18" s="83" t="s">
        <v>476</v>
      </c>
      <c r="FL18" s="141">
        <f>B166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B166</f>
        <v>0.85</v>
      </c>
      <c r="GB18" s="92"/>
      <c r="GC18" s="83"/>
      <c r="GD18" s="83"/>
      <c r="GE18" s="83"/>
      <c r="GF18" s="95"/>
      <c r="GG18" s="176"/>
      <c r="GH18" s="83"/>
      <c r="GI18" s="83"/>
      <c r="GJ18" s="83"/>
      <c r="GK18" s="83"/>
      <c r="GL18" s="83" t="s">
        <v>68</v>
      </c>
      <c r="GM18" s="142">
        <f>B199</f>
        <v>2</v>
      </c>
      <c r="GN18" s="83" t="s">
        <v>56</v>
      </c>
      <c r="GO18" s="95" t="s">
        <v>287</v>
      </c>
      <c r="GP18" s="176">
        <v>27.027027027027</v>
      </c>
      <c r="GQ18" s="52" t="s">
        <v>288</v>
      </c>
      <c r="GR18" s="83"/>
      <c r="GS18" s="83"/>
      <c r="GT18" s="83"/>
      <c r="GU18" s="95"/>
      <c r="GV18" s="176"/>
      <c r="GW18" s="83"/>
      <c r="GX18" s="83"/>
      <c r="GY18" s="83"/>
      <c r="GZ18" s="83"/>
      <c r="HA18" s="83" t="s">
        <v>68</v>
      </c>
      <c r="HB18" s="142">
        <f>B199</f>
        <v>2</v>
      </c>
      <c r="HC18" s="83" t="s">
        <v>56</v>
      </c>
    </row>
    <row r="19" spans="1:214" ht="19.5" thickTop="1" thickBot="1" x14ac:dyDescent="0.25">
      <c r="A19" s="91" t="s">
        <v>77</v>
      </c>
      <c r="B19" s="183">
        <f>PEF!D3</f>
        <v>1359344473.5814338</v>
      </c>
      <c r="C19" s="52" t="s">
        <v>524</v>
      </c>
      <c r="D19" s="52" t="s">
        <v>261</v>
      </c>
      <c r="E19" s="143">
        <f>((E5)/((E15/E16)*E11*E12))/E27</f>
        <v>1.5699133363742985E-4</v>
      </c>
      <c r="F19" s="52" t="s">
        <v>15</v>
      </c>
      <c r="G19" s="83" t="s">
        <v>366</v>
      </c>
      <c r="H19" s="146">
        <f>B38</f>
        <v>10</v>
      </c>
      <c r="I19" s="52" t="s">
        <v>407</v>
      </c>
      <c r="J19" s="83" t="s">
        <v>445</v>
      </c>
      <c r="K19" s="155">
        <f>K21*K31*K51+K22*K32*K52</f>
        <v>43050</v>
      </c>
      <c r="L19" s="83" t="s">
        <v>346</v>
      </c>
      <c r="V19" s="52" t="s">
        <v>271</v>
      </c>
      <c r="W19" s="145">
        <f>((W5*W7*W6)/((W12/24)*(1-EXP(-W7*W6))*W14*W9*(1/365)))/W20</f>
        <v>1.1672676631606658E-5</v>
      </c>
      <c r="X19" s="52" t="s">
        <v>16</v>
      </c>
      <c r="Y19" s="52" t="s">
        <v>271</v>
      </c>
      <c r="Z19" s="145">
        <f>((Z5*Z7*Z6)/((Z12/24)*(1-EXP(-Z7*Z6))*Z14*Z9*(1/365)))/Z20</f>
        <v>1.0505408968445992E-5</v>
      </c>
      <c r="AA19" s="52" t="s">
        <v>16</v>
      </c>
      <c r="AB19" s="83" t="s">
        <v>247</v>
      </c>
      <c r="AC19" s="139">
        <f>B6</f>
        <v>3.8043873993229303E-2</v>
      </c>
      <c r="AD19" s="139">
        <f>B6</f>
        <v>3.8043873993229303E-2</v>
      </c>
      <c r="AE19" s="139">
        <f>B6</f>
        <v>3.8043873993229303E-2</v>
      </c>
      <c r="AF19" s="139">
        <f>B6</f>
        <v>3.8043873993229303E-2</v>
      </c>
      <c r="AG19" s="139">
        <f>B6</f>
        <v>3.8043873993229303E-2</v>
      </c>
      <c r="AH19" s="84" t="s">
        <v>259</v>
      </c>
      <c r="BS19" s="52" t="s">
        <v>271</v>
      </c>
      <c r="BT19" s="144">
        <f>((BT5)/(BT16*BT8*(1/365)*BT15*(1/24)*BT17))/BT27</f>
        <v>2.8008357917986665E-4</v>
      </c>
      <c r="BU19" s="52" t="s">
        <v>15</v>
      </c>
      <c r="BV19" s="83" t="s">
        <v>434</v>
      </c>
      <c r="BW19" s="150">
        <f>B113</f>
        <v>45</v>
      </c>
      <c r="BX19" s="83" t="s">
        <v>24</v>
      </c>
      <c r="BY19" s="83" t="s">
        <v>442</v>
      </c>
      <c r="BZ19" s="146">
        <f>B98</f>
        <v>100</v>
      </c>
      <c r="CA19" s="84" t="s">
        <v>48</v>
      </c>
      <c r="CB19" s="268" t="s">
        <v>537</v>
      </c>
      <c r="CC19" s="262">
        <f>((CC22*CC23*CC24)/((1-EXP(-CC24*CC23))*CC31*(CC26/365)*CC29*(CC30/24)*CC28))/CC32</f>
        <v>174324.91375543247</v>
      </c>
      <c r="CD19" s="279" t="s">
        <v>290</v>
      </c>
      <c r="CE19" s="259" t="s">
        <v>537</v>
      </c>
      <c r="CF19" s="262">
        <f>((CF22*CF23*CF24)/((1-EXP(-CF24*CF23))*CF31*(CF26/365)*CF29*(CF30/24)*CF28))/CF32</f>
        <v>8144.541923955263</v>
      </c>
      <c r="CG19" s="265" t="s">
        <v>290</v>
      </c>
      <c r="CH19" s="83"/>
      <c r="CI19" s="83"/>
      <c r="CK19" s="675" t="s">
        <v>576</v>
      </c>
      <c r="CL19" s="673"/>
      <c r="CM19" s="673"/>
      <c r="CN19" s="676" t="s">
        <v>576</v>
      </c>
      <c r="CO19" s="673"/>
      <c r="CP19" s="677"/>
      <c r="CQ19" s="673" t="s">
        <v>576</v>
      </c>
      <c r="CR19" s="673"/>
      <c r="CS19" s="674"/>
      <c r="CT19" s="91" t="s">
        <v>272</v>
      </c>
      <c r="CU19" s="144" t="e">
        <f>FC2</f>
        <v>#DIV/0!</v>
      </c>
      <c r="CV19" s="92" t="s">
        <v>290</v>
      </c>
      <c r="CW19" s="52" t="s">
        <v>261</v>
      </c>
      <c r="CX19" s="143">
        <f>((CX5)/((CX15/CX16)*CX11*CX12))/CX27</f>
        <v>1.5020251920986531E-4</v>
      </c>
      <c r="CY19" s="52" t="s">
        <v>15</v>
      </c>
      <c r="CZ19" s="91" t="s">
        <v>273</v>
      </c>
      <c r="DA19" s="144" t="e">
        <f>GS2</f>
        <v>#DIV/0!</v>
      </c>
      <c r="DB19" s="83" t="s">
        <v>290</v>
      </c>
      <c r="DC19" s="92" t="s">
        <v>72</v>
      </c>
      <c r="DD19" s="146">
        <f>B186</f>
        <v>1</v>
      </c>
      <c r="DE19" s="93"/>
      <c r="DF19" s="92" t="s">
        <v>70</v>
      </c>
      <c r="DG19" s="138">
        <f>B200</f>
        <v>2.6999999999999999E-5</v>
      </c>
      <c r="DH19" s="52" t="s">
        <v>64</v>
      </c>
      <c r="DL19" s="92"/>
      <c r="DO19" s="92" t="s">
        <v>70</v>
      </c>
      <c r="DP19" s="138">
        <f>B200</f>
        <v>2.6999999999999999E-5</v>
      </c>
      <c r="DQ19" s="52" t="s">
        <v>64</v>
      </c>
      <c r="DR19" s="95" t="s">
        <v>287</v>
      </c>
      <c r="DS19" s="176">
        <v>27.027027027027</v>
      </c>
      <c r="DT19" s="52" t="s">
        <v>288</v>
      </c>
      <c r="DU19" s="92"/>
      <c r="DX19" s="95"/>
      <c r="DY19" s="176"/>
      <c r="EA19" s="92"/>
      <c r="EB19" s="84"/>
      <c r="EC19" s="84"/>
      <c r="ED19" s="92" t="s">
        <v>70</v>
      </c>
      <c r="EE19" s="163">
        <f>B200</f>
        <v>2.6999999999999999E-5</v>
      </c>
      <c r="EF19" s="84" t="s">
        <v>64</v>
      </c>
      <c r="EG19" s="95" t="s">
        <v>287</v>
      </c>
      <c r="EH19" s="176">
        <v>27.027027027027</v>
      </c>
      <c r="EI19" s="52" t="s">
        <v>288</v>
      </c>
      <c r="EJ19" s="92"/>
      <c r="EP19" s="92"/>
      <c r="EQ19" s="84"/>
      <c r="ER19" s="84"/>
      <c r="ES19" s="92" t="s">
        <v>70</v>
      </c>
      <c r="ET19" s="163">
        <f>B200</f>
        <v>2.6999999999999999E-5</v>
      </c>
      <c r="EU19" s="84" t="s">
        <v>64</v>
      </c>
      <c r="EV19" s="95" t="s">
        <v>287</v>
      </c>
      <c r="EW19" s="176">
        <v>27.027027027027</v>
      </c>
      <c r="EX19" s="52" t="s">
        <v>288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B200</f>
        <v>2.6999999999999999E-5</v>
      </c>
      <c r="FJ19" s="84" t="s">
        <v>64</v>
      </c>
      <c r="FK19" s="95" t="s">
        <v>287</v>
      </c>
      <c r="FL19" s="176">
        <v>27.027027027027</v>
      </c>
      <c r="FM19" s="52" t="s">
        <v>288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95" t="s">
        <v>287</v>
      </c>
      <c r="GA19" s="176">
        <v>27.027027027027</v>
      </c>
      <c r="GB19" s="52" t="s">
        <v>288</v>
      </c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B200</f>
        <v>2.6999999999999999E-5</v>
      </c>
      <c r="GN19" s="84" t="s">
        <v>64</v>
      </c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B200</f>
        <v>2.6999999999999999E-5</v>
      </c>
      <c r="HC19" s="84" t="s">
        <v>64</v>
      </c>
    </row>
    <row r="20" spans="1:214" ht="19.5" thickTop="1" thickBot="1" x14ac:dyDescent="0.25">
      <c r="A20" s="91" t="s">
        <v>103</v>
      </c>
      <c r="B20" s="183">
        <f>PEF!G3</f>
        <v>776129.4078035407</v>
      </c>
      <c r="C20" s="52" t="s">
        <v>524</v>
      </c>
      <c r="D20" s="52" t="s">
        <v>271</v>
      </c>
      <c r="E20" s="144">
        <f>((E5)/((E15/E16)*E8*E17*(1/365)*E18))/E27</f>
        <v>2.5007462426773806E-6</v>
      </c>
      <c r="F20" s="52" t="s">
        <v>15</v>
      </c>
      <c r="G20" s="83" t="s">
        <v>367</v>
      </c>
      <c r="H20" s="146">
        <f>B39</f>
        <v>20</v>
      </c>
      <c r="I20" s="52" t="s">
        <v>407</v>
      </c>
      <c r="J20" s="83" t="s">
        <v>396</v>
      </c>
      <c r="K20" s="155">
        <f>(K31*K23*(K34/24)*K51)+(K32*K24*(K35/24)*K52)</f>
        <v>6195</v>
      </c>
      <c r="L20" s="52" t="s">
        <v>407</v>
      </c>
      <c r="M20" s="325" t="s">
        <v>533</v>
      </c>
      <c r="N20" s="326"/>
      <c r="O20" s="326"/>
      <c r="P20" s="327" t="s">
        <v>536</v>
      </c>
      <c r="Q20" s="326"/>
      <c r="R20" s="329"/>
      <c r="V20" s="95" t="s">
        <v>287</v>
      </c>
      <c r="W20" s="176">
        <v>27.027027027027</v>
      </c>
      <c r="X20" s="52" t="s">
        <v>288</v>
      </c>
      <c r="Y20" s="95" t="s">
        <v>287</v>
      </c>
      <c r="Z20" s="176">
        <v>27.027027027027</v>
      </c>
      <c r="AA20" s="52" t="s">
        <v>288</v>
      </c>
      <c r="AB20" s="83" t="s">
        <v>83</v>
      </c>
      <c r="AC20" s="139">
        <f>B238</f>
        <v>8</v>
      </c>
      <c r="AD20" s="139">
        <f>B250</f>
        <v>0</v>
      </c>
      <c r="AE20" s="139">
        <f>B262</f>
        <v>8</v>
      </c>
      <c r="AF20" s="139">
        <f>B274</f>
        <v>8</v>
      </c>
      <c r="AG20" s="139">
        <f>B297</f>
        <v>8</v>
      </c>
      <c r="AH20" s="84" t="s">
        <v>194</v>
      </c>
      <c r="AI20" s="658" t="s">
        <v>558</v>
      </c>
      <c r="AJ20" s="659"/>
      <c r="AK20" s="660"/>
      <c r="AL20" s="661" t="s">
        <v>545</v>
      </c>
      <c r="AM20" s="659"/>
      <c r="AN20" s="662"/>
      <c r="AR20" s="658" t="s">
        <v>560</v>
      </c>
      <c r="AS20" s="659"/>
      <c r="AT20" s="660"/>
      <c r="AU20" s="661" t="s">
        <v>550</v>
      </c>
      <c r="AV20" s="659"/>
      <c r="AW20" s="662"/>
      <c r="BA20" s="658" t="s">
        <v>562</v>
      </c>
      <c r="BB20" s="659"/>
      <c r="BC20" s="660"/>
      <c r="BD20" s="661" t="s">
        <v>553</v>
      </c>
      <c r="BE20" s="659"/>
      <c r="BF20" s="662"/>
      <c r="BJ20" s="658" t="s">
        <v>563</v>
      </c>
      <c r="BK20" s="659"/>
      <c r="BL20" s="660"/>
      <c r="BM20" s="661" t="s">
        <v>556</v>
      </c>
      <c r="BN20" s="659"/>
      <c r="BO20" s="662"/>
      <c r="BS20" s="52" t="s">
        <v>261</v>
      </c>
      <c r="BT20" s="144">
        <f>((BT5*BT24*BT6)/((1-EXP(-BT6*BT24))*BT9*BT10))/BT27</f>
        <v>1.7586837467066928E-2</v>
      </c>
      <c r="BU20" s="52" t="s">
        <v>16</v>
      </c>
      <c r="BV20" s="52" t="s">
        <v>443</v>
      </c>
      <c r="BW20" s="138">
        <f>B109</f>
        <v>1</v>
      </c>
      <c r="BX20" s="52" t="s">
        <v>89</v>
      </c>
      <c r="BY20" s="83" t="s">
        <v>429</v>
      </c>
      <c r="BZ20" s="141">
        <f>B93</f>
        <v>10</v>
      </c>
      <c r="CA20" s="92" t="s">
        <v>407</v>
      </c>
      <c r="CB20" s="268"/>
      <c r="CC20" s="262"/>
      <c r="CD20" s="279"/>
      <c r="CE20" s="259"/>
      <c r="CF20" s="262"/>
      <c r="CG20" s="265"/>
      <c r="CK20" s="268" t="s">
        <v>530</v>
      </c>
      <c r="CL20" s="262">
        <f>(CL23/(CL24*CL25*CL26))/CL27</f>
        <v>0.2938064195038359</v>
      </c>
      <c r="CM20" s="279" t="s">
        <v>290</v>
      </c>
      <c r="CN20" s="259" t="s">
        <v>7</v>
      </c>
      <c r="CO20" s="262">
        <f>(CL20/(CO23*((CO28*CO30*CO31*(CO24+CO25))+(CO29*CO30))))*CO34</f>
        <v>136.43625588451988</v>
      </c>
      <c r="CP20" s="279" t="s">
        <v>290</v>
      </c>
      <c r="CQ20" s="259" t="s">
        <v>6</v>
      </c>
      <c r="CR20" s="262">
        <f>CL20/(CR23*CR24*(1/CR25))</f>
        <v>172827.30559049171</v>
      </c>
      <c r="CS20" s="265" t="s">
        <v>290</v>
      </c>
      <c r="CT20" s="91" t="s">
        <v>273</v>
      </c>
      <c r="CU20" s="144" t="e">
        <f>GV2</f>
        <v>#DIV/0!</v>
      </c>
      <c r="CV20" s="92" t="s">
        <v>290</v>
      </c>
      <c r="CW20" s="52" t="s">
        <v>271</v>
      </c>
      <c r="CX20" s="144">
        <f>((CX5)/((CX15/CX16)*CX8*CX17*(1/365)*CX18))/CX27</f>
        <v>2.5007462426773806E-6</v>
      </c>
      <c r="CY20" s="52" t="s">
        <v>15</v>
      </c>
      <c r="CZ20" s="91" t="s">
        <v>274</v>
      </c>
      <c r="DA20" s="144">
        <f>EK2</f>
        <v>4.4418058739896255E-3</v>
      </c>
      <c r="DB20" s="83" t="s">
        <v>290</v>
      </c>
      <c r="DC20" s="83" t="s">
        <v>475</v>
      </c>
      <c r="DD20" s="146">
        <f>B165</f>
        <v>0.15</v>
      </c>
      <c r="DF20" s="92" t="s">
        <v>71</v>
      </c>
      <c r="DG20" s="137">
        <f>0.693/DG23</f>
        <v>1.1866438356164383E-6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91" t="s">
        <v>104</v>
      </c>
      <c r="B21" s="183">
        <f>PEF!J3</f>
        <v>69557565.807898715</v>
      </c>
      <c r="C21" s="52" t="s">
        <v>524</v>
      </c>
      <c r="D21" s="52" t="s">
        <v>261</v>
      </c>
      <c r="E21" s="144">
        <f>((E5*E10*E6)/((1-EXP(-E6*E10))*E11*E12))/E27</f>
        <v>1.5702533452738329E-4</v>
      </c>
      <c r="F21" s="52" t="s">
        <v>16</v>
      </c>
      <c r="G21" s="83" t="s">
        <v>397</v>
      </c>
      <c r="H21" s="148">
        <f>(H29*H36*H32*H68)+(H30*H37*H33*H69)</f>
        <v>234.815</v>
      </c>
      <c r="I21" s="83" t="s">
        <v>356</v>
      </c>
      <c r="J21" s="83" t="s">
        <v>368</v>
      </c>
      <c r="K21" s="146">
        <f>B40</f>
        <v>200</v>
      </c>
      <c r="L21" s="84" t="s">
        <v>48</v>
      </c>
      <c r="M21" s="330" t="s">
        <v>537</v>
      </c>
      <c r="N21" s="333">
        <f>((N24*N25*N26)/((1-EXP(-N26*N25))*N34*N32*(N28/365)*(((N33/24)*N31)+((N35/24)*N30))))/N36</f>
        <v>5.7037574887732721E-2</v>
      </c>
      <c r="O21" s="336" t="s">
        <v>292</v>
      </c>
      <c r="P21" s="339" t="s">
        <v>537</v>
      </c>
      <c r="Q21" s="333">
        <f>((Q24*Q25*Q26)/((1-EXP(-Q26*Q25))*Q34*Q32*(Q28/365)*(((Q33/24)*Q31)+((Q35/24)*Q30))))/Q36</f>
        <v>2.013832991331212E-2</v>
      </c>
      <c r="R21" s="342" t="s">
        <v>290</v>
      </c>
      <c r="AB21" s="83" t="s">
        <v>85</v>
      </c>
      <c r="AC21" s="139">
        <f>B239</f>
        <v>8</v>
      </c>
      <c r="AD21" s="139">
        <f>B251</f>
        <v>8</v>
      </c>
      <c r="AE21" s="139">
        <f>B263</f>
        <v>0</v>
      </c>
      <c r="AF21" s="139">
        <f>B275</f>
        <v>8</v>
      </c>
      <c r="AG21" s="139">
        <f>B298</f>
        <v>8</v>
      </c>
      <c r="AH21" s="84" t="s">
        <v>194</v>
      </c>
      <c r="AI21" s="307" t="s">
        <v>537</v>
      </c>
      <c r="AJ21" s="304">
        <f>((AJ24*AJ25*AJ26)/((1-EXP(-AJ26*AJ25))*AJ34*(AJ28/365)*AJ29*(AJ35/24)*AJ30*AJ32))/AJ36</f>
        <v>0.20757684628892567</v>
      </c>
      <c r="AK21" s="291" t="s">
        <v>292</v>
      </c>
      <c r="AL21" s="288" t="s">
        <v>537</v>
      </c>
      <c r="AM21" s="304">
        <f>((AM24*AM25*AM26)/((1-EXP(-AM26*AM25))*AM34*(AM28/365)*AM29*(AM35/24)*AM30*AM32))/AM36</f>
        <v>7.3289424053516808E-2</v>
      </c>
      <c r="AN21" s="282" t="s">
        <v>290</v>
      </c>
      <c r="AR21" s="665" t="s">
        <v>537</v>
      </c>
      <c r="AS21" s="304">
        <f>((AS24*AS25*AS26)/((1-EXP(-AS26*AS25))*AS34*(AS28/365)*AS29*(AS33/24)*AS31*AS32))/AS36</f>
        <v>9.2256376128411421E-2</v>
      </c>
      <c r="AT21" s="667" t="s">
        <v>292</v>
      </c>
      <c r="AU21" s="663" t="s">
        <v>537</v>
      </c>
      <c r="AV21" s="304">
        <f>((AV24*AV25*AV26)/((1-EXP(-AV26*AV25))*AV34*(AV28/365)*AV29*(AV33/24)*AV31*AV32))/AV36</f>
        <v>3.2573077357118577E-2</v>
      </c>
      <c r="AW21" s="669" t="s">
        <v>290</v>
      </c>
      <c r="BA21" s="665" t="s">
        <v>537</v>
      </c>
      <c r="BB21" s="304">
        <f>((BB24*BB25*BB26)/((1-EXP(-BB26*BB25))*BB34*(BB28/365)*(BB33/24)*BB31*BB32))/BB36</f>
        <v>8.3030738515570274E-2</v>
      </c>
      <c r="BC21" s="667" t="s">
        <v>292</v>
      </c>
      <c r="BD21" s="663" t="s">
        <v>537</v>
      </c>
      <c r="BE21" s="304">
        <f>((BE24*BE25*BE26)/((1-EXP(-BE26*BE25))*BE34*(BE28/365)*(BE33/24)*BE31*BE32))/BE36</f>
        <v>2.9315769621406723E-2</v>
      </c>
      <c r="BF21" s="669" t="s">
        <v>290</v>
      </c>
      <c r="BJ21" s="665" t="s">
        <v>537</v>
      </c>
      <c r="BK21" s="285">
        <f>((BK24*BK25*BK26)/((1-EXP(-BK26*BK25))*BK35*(BK28/365)*(BK34/24)*BK32*BK33))/BK36</f>
        <v>6537.1842658287178</v>
      </c>
      <c r="BL21" s="667" t="s">
        <v>292</v>
      </c>
      <c r="BM21" s="663" t="s">
        <v>537</v>
      </c>
      <c r="BN21" s="285">
        <f>((BN24*BN25*BN26)/((1-EXP(-BN26*BN25))*BN35*(BN28/365)*(BN34/24)*BN32*BN33))/BN36</f>
        <v>305.42032214832238</v>
      </c>
      <c r="BO21" s="669" t="s">
        <v>290</v>
      </c>
      <c r="BS21" s="52" t="s">
        <v>271</v>
      </c>
      <c r="BT21" s="145">
        <f>((BT5*BT24*BT6)/((1-EXP(-BT6*BT24))*BT16*BT8*(1/365)*BT15*(1/24)*BT17))/BT27</f>
        <v>2.8014423915855978E-4</v>
      </c>
      <c r="BU21" s="52" t="s">
        <v>16</v>
      </c>
      <c r="BV21" s="52" t="s">
        <v>444</v>
      </c>
      <c r="BW21" s="138">
        <f>B110</f>
        <v>1</v>
      </c>
      <c r="BX21" s="52" t="s">
        <v>89</v>
      </c>
      <c r="BY21" s="83" t="s">
        <v>430</v>
      </c>
      <c r="BZ21" s="141">
        <f>B94</f>
        <v>20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79"/>
      <c r="CN21" s="259"/>
      <c r="CO21" s="262"/>
      <c r="CP21" s="279"/>
      <c r="CQ21" s="259"/>
      <c r="CR21" s="262"/>
      <c r="CS21" s="265"/>
      <c r="CT21" s="91" t="s">
        <v>274</v>
      </c>
      <c r="CU21" s="144">
        <f>EN2</f>
        <v>6.464265734455775E-2</v>
      </c>
      <c r="CV21" s="92" t="s">
        <v>290</v>
      </c>
      <c r="CW21" s="52" t="s">
        <v>261</v>
      </c>
      <c r="CX21" s="144">
        <f>((CX5*CX10*CX6)/((CX15/CX16)*(1-EXP(-CX6*CX9))*CX11*CX12))/CX27</f>
        <v>1.5023504979106401E-4</v>
      </c>
      <c r="CY21" s="52" t="s">
        <v>16</v>
      </c>
      <c r="CZ21" s="91" t="s">
        <v>509</v>
      </c>
      <c r="DA21" s="144">
        <f>DV2</f>
        <v>4.3018637995794178</v>
      </c>
      <c r="DB21" s="83" t="s">
        <v>290</v>
      </c>
      <c r="DC21" s="83" t="s">
        <v>476</v>
      </c>
      <c r="DD21" s="146">
        <f>B166</f>
        <v>0.85</v>
      </c>
      <c r="DF21" s="92" t="s">
        <v>73</v>
      </c>
      <c r="DG21" s="138">
        <f>B201</f>
        <v>1</v>
      </c>
      <c r="DH21" s="52" t="s">
        <v>41</v>
      </c>
      <c r="DL21" s="92"/>
      <c r="DO21" s="92" t="s">
        <v>73</v>
      </c>
      <c r="DP21" s="138">
        <f>B201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B201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B201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B201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B201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B201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91" t="s">
        <v>231</v>
      </c>
      <c r="B22" s="183">
        <f>B18*365</f>
        <v>584000</v>
      </c>
      <c r="C22" s="52" t="s">
        <v>222</v>
      </c>
      <c r="D22" s="52" t="s">
        <v>271</v>
      </c>
      <c r="E22" s="145">
        <f>((E5*E10*E6)/((E15/E16)*E8*(1-EXP(-E6*E10))*E17*(1/365)*E18))/E27</f>
        <v>2.5012878496299985E-6</v>
      </c>
      <c r="F22" s="52" t="s">
        <v>16</v>
      </c>
      <c r="G22" s="83" t="s">
        <v>398</v>
      </c>
      <c r="H22" s="149">
        <f>(H29*H23*H68)+(H30*H24*H69)</f>
        <v>56282.8</v>
      </c>
      <c r="I22" s="92" t="s">
        <v>347</v>
      </c>
      <c r="J22" s="83" t="s">
        <v>369</v>
      </c>
      <c r="K22" s="146">
        <f>B41</f>
        <v>100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B240</f>
        <v>0.4</v>
      </c>
      <c r="AD22" s="150">
        <f>B252</f>
        <v>0.4</v>
      </c>
      <c r="AE22" s="150">
        <f>B264</f>
        <v>0.4</v>
      </c>
      <c r="AF22" s="150">
        <f>B276</f>
        <v>0.4</v>
      </c>
      <c r="AG22" s="150">
        <f>B299</f>
        <v>0.4</v>
      </c>
      <c r="AI22" s="307"/>
      <c r="AJ22" s="304"/>
      <c r="AK22" s="291"/>
      <c r="AL22" s="288"/>
      <c r="AM22" s="304"/>
      <c r="AN22" s="282"/>
      <c r="AR22" s="665"/>
      <c r="AS22" s="304"/>
      <c r="AT22" s="667"/>
      <c r="AU22" s="663"/>
      <c r="AV22" s="304"/>
      <c r="AW22" s="669"/>
      <c r="BA22" s="665"/>
      <c r="BB22" s="304"/>
      <c r="BC22" s="667"/>
      <c r="BD22" s="663"/>
      <c r="BE22" s="304"/>
      <c r="BF22" s="669"/>
      <c r="BJ22" s="665"/>
      <c r="BK22" s="285"/>
      <c r="BL22" s="667"/>
      <c r="BM22" s="663"/>
      <c r="BN22" s="285"/>
      <c r="BO22" s="669"/>
      <c r="BS22" s="52" t="s">
        <v>433</v>
      </c>
      <c r="BT22" s="138">
        <f>B104</f>
        <v>75</v>
      </c>
      <c r="BU22" s="52" t="s">
        <v>24</v>
      </c>
      <c r="BV22" s="83" t="s">
        <v>90</v>
      </c>
      <c r="BW22" s="150">
        <f>B108</f>
        <v>1</v>
      </c>
      <c r="BX22" s="52" t="s">
        <v>194</v>
      </c>
      <c r="BY22" s="83" t="s">
        <v>140</v>
      </c>
      <c r="BZ22" s="150">
        <f>B103</f>
        <v>75</v>
      </c>
      <c r="CA22" s="83" t="s">
        <v>24</v>
      </c>
      <c r="CB22" s="52" t="s">
        <v>267</v>
      </c>
      <c r="CC22" s="136">
        <f>B5</f>
        <v>1</v>
      </c>
      <c r="CD22" s="52" t="s">
        <v>344</v>
      </c>
      <c r="CE22" s="52" t="s">
        <v>267</v>
      </c>
      <c r="CF22" s="136">
        <f>B5</f>
        <v>1</v>
      </c>
      <c r="CG22" s="52" t="s">
        <v>344</v>
      </c>
      <c r="CK22" s="269"/>
      <c r="CL22" s="263"/>
      <c r="CM22" s="280"/>
      <c r="CN22" s="260"/>
      <c r="CO22" s="263"/>
      <c r="CP22" s="280"/>
      <c r="CQ22" s="260"/>
      <c r="CR22" s="263"/>
      <c r="CS22" s="266"/>
      <c r="CT22" s="91" t="s">
        <v>275</v>
      </c>
      <c r="CU22" s="144">
        <f>DY2</f>
        <v>6.8015529803151425E-2</v>
      </c>
      <c r="CV22" s="92" t="s">
        <v>290</v>
      </c>
      <c r="CW22" s="52" t="s">
        <v>271</v>
      </c>
      <c r="CX22" s="145">
        <f>((CX5*CX10*CX6)/((CX15/CX16)*CX8*(1-EXP(-CX6*CX10))*CX17*(1/365)*CX18))/CX27</f>
        <v>2.5012878496299985E-6</v>
      </c>
      <c r="CY22" s="52" t="s">
        <v>16</v>
      </c>
      <c r="CZ22" s="91" t="s">
        <v>510</v>
      </c>
      <c r="DA22" s="144" t="e">
        <f>GD2</f>
        <v>#DIV/0!</v>
      </c>
      <c r="DB22" s="83" t="s">
        <v>290</v>
      </c>
      <c r="DC22" s="95" t="s">
        <v>287</v>
      </c>
      <c r="DD22" s="176">
        <v>27.027027027027</v>
      </c>
      <c r="DE22" s="52" t="s">
        <v>288</v>
      </c>
      <c r="DF22" s="92" t="s">
        <v>74</v>
      </c>
      <c r="DG22" s="138">
        <f>B202</f>
        <v>14</v>
      </c>
      <c r="DH22" s="52" t="s">
        <v>75</v>
      </c>
      <c r="DL22" s="92"/>
      <c r="DO22" s="92" t="s">
        <v>74</v>
      </c>
      <c r="DP22" s="138">
        <f>B202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B202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B202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B202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B202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B202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105</v>
      </c>
      <c r="B23" s="182">
        <v>4</v>
      </c>
      <c r="C23" s="84" t="s">
        <v>18</v>
      </c>
      <c r="D23" s="52" t="s">
        <v>380</v>
      </c>
      <c r="E23" s="138">
        <f>B54</f>
        <v>350</v>
      </c>
      <c r="F23" s="52" t="s">
        <v>24</v>
      </c>
      <c r="G23" s="83" t="s">
        <v>399</v>
      </c>
      <c r="H23" s="146">
        <f>B149</f>
        <v>68.099999999999994</v>
      </c>
      <c r="I23" s="92" t="s">
        <v>221</v>
      </c>
      <c r="J23" s="83" t="s">
        <v>366</v>
      </c>
      <c r="K23" s="141">
        <f>B38</f>
        <v>10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666"/>
      <c r="AS23" s="305"/>
      <c r="AT23" s="668"/>
      <c r="AU23" s="664"/>
      <c r="AV23" s="305"/>
      <c r="AW23" s="670"/>
      <c r="BA23" s="666"/>
      <c r="BB23" s="305"/>
      <c r="BC23" s="668"/>
      <c r="BD23" s="664"/>
      <c r="BE23" s="305"/>
      <c r="BF23" s="670"/>
      <c r="BJ23" s="666"/>
      <c r="BK23" s="286"/>
      <c r="BL23" s="668"/>
      <c r="BM23" s="664"/>
      <c r="BN23" s="286"/>
      <c r="BO23" s="670"/>
      <c r="BS23" s="52" t="s">
        <v>434</v>
      </c>
      <c r="BT23" s="138">
        <f>B105</f>
        <v>75</v>
      </c>
      <c r="BU23" s="52" t="s">
        <v>24</v>
      </c>
      <c r="BV23" s="83" t="s">
        <v>435</v>
      </c>
      <c r="BW23" s="138">
        <f>B114</f>
        <v>1</v>
      </c>
      <c r="BX23" s="52" t="s">
        <v>80</v>
      </c>
      <c r="BY23" s="83" t="s">
        <v>434</v>
      </c>
      <c r="BZ23" s="150">
        <f>B105</f>
        <v>75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B5</f>
        <v>1</v>
      </c>
      <c r="CM23" s="52" t="s">
        <v>344</v>
      </c>
      <c r="CN23" s="52" t="s">
        <v>229</v>
      </c>
      <c r="CO23" s="136">
        <f>B29</f>
        <v>1.6999999999999999E-3</v>
      </c>
      <c r="CP23" s="52" t="s">
        <v>268</v>
      </c>
      <c r="CQ23" s="83" t="s">
        <v>229</v>
      </c>
      <c r="CR23" s="136">
        <f>CO23</f>
        <v>1.6999999999999999E-3</v>
      </c>
      <c r="CS23" s="52" t="s">
        <v>268</v>
      </c>
      <c r="CT23" s="91" t="s">
        <v>276</v>
      </c>
      <c r="CU23" s="144" t="e">
        <f>GG2</f>
        <v>#DIV/0!</v>
      </c>
      <c r="CV23" s="92" t="s">
        <v>290</v>
      </c>
      <c r="CW23" s="52" t="s">
        <v>456</v>
      </c>
      <c r="CX23" s="138">
        <f>B167</f>
        <v>350</v>
      </c>
      <c r="CY23" s="52" t="s">
        <v>24</v>
      </c>
      <c r="CZ23" s="91" t="s">
        <v>277</v>
      </c>
      <c r="DA23" s="145">
        <f>FO2</f>
        <v>0.11487942205880536</v>
      </c>
      <c r="DB23" s="83" t="s">
        <v>290</v>
      </c>
      <c r="DF23" s="83" t="s">
        <v>267</v>
      </c>
      <c r="DG23" s="136">
        <f>B22</f>
        <v>584000</v>
      </c>
      <c r="DH23" s="52" t="s">
        <v>222</v>
      </c>
      <c r="DO23" s="83" t="s">
        <v>19</v>
      </c>
      <c r="DP23" s="161">
        <f>DP25</f>
        <v>1.4800000000000001E-2</v>
      </c>
      <c r="EA23" s="83"/>
      <c r="EB23" s="83"/>
      <c r="EC23" s="84"/>
      <c r="ED23" s="83" t="s">
        <v>19</v>
      </c>
      <c r="EE23" s="161">
        <f>EE25</f>
        <v>1.7000000000000001E-2</v>
      </c>
      <c r="EF23" s="84"/>
      <c r="EP23" s="83"/>
      <c r="EQ23" s="83"/>
      <c r="ER23" s="84"/>
      <c r="ES23" s="83" t="s">
        <v>19</v>
      </c>
      <c r="ET23" s="161">
        <f>ET25</f>
        <v>1.7000000000000001E-2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1.7000000000000001E-2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1.7000000000000001E-2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1.7000000000000001E-2</v>
      </c>
      <c r="HC23" s="84"/>
      <c r="HD23" s="67" t="s">
        <v>14</v>
      </c>
      <c r="HE23" s="126">
        <f>((HE25*HE42)*HE38*HE33*10^-3*HE32*HE27)/(HE31*HE41*(1-EXP(-HE27*HE32)))</f>
        <v>9.8252717574509856E-4</v>
      </c>
      <c r="HF23" s="220" t="s">
        <v>595</v>
      </c>
    </row>
    <row r="24" spans="1:214" ht="14.25" thickTop="1" thickBot="1" x14ac:dyDescent="0.25">
      <c r="A24" s="83" t="s">
        <v>239</v>
      </c>
      <c r="B24" s="183">
        <v>3.8000000000000002E-4</v>
      </c>
      <c r="C24" s="52" t="s">
        <v>601</v>
      </c>
      <c r="D24" s="52" t="s">
        <v>381</v>
      </c>
      <c r="E24" s="138">
        <f>B55</f>
        <v>350</v>
      </c>
      <c r="F24" s="52" t="s">
        <v>24</v>
      </c>
      <c r="G24" s="83" t="s">
        <v>310</v>
      </c>
      <c r="H24" s="146">
        <f>B46</f>
        <v>188.5</v>
      </c>
      <c r="I24" s="92" t="s">
        <v>221</v>
      </c>
      <c r="J24" s="83" t="s">
        <v>367</v>
      </c>
      <c r="K24" s="141">
        <f>B39</f>
        <v>20</v>
      </c>
      <c r="L24" s="52" t="s">
        <v>407</v>
      </c>
      <c r="M24" s="52" t="s">
        <v>267</v>
      </c>
      <c r="N24" s="136">
        <f>B5</f>
        <v>1</v>
      </c>
      <c r="O24" s="52" t="s">
        <v>344</v>
      </c>
      <c r="P24" s="52" t="s">
        <v>267</v>
      </c>
      <c r="Q24" s="136">
        <f>B5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4.3312499999999997E-4</v>
      </c>
      <c r="AD24" s="137">
        <f>0.693/AD25</f>
        <v>4.3312499999999997E-4</v>
      </c>
      <c r="AE24" s="137">
        <f>0.693/AE25</f>
        <v>4.3312499999999997E-4</v>
      </c>
      <c r="AF24" s="137">
        <f>0.693/AF25</f>
        <v>4.3312499999999997E-4</v>
      </c>
      <c r="AG24" s="137">
        <f>0.693/AG25</f>
        <v>4.3312499999999997E-4</v>
      </c>
      <c r="AI24" s="52" t="s">
        <v>267</v>
      </c>
      <c r="AJ24" s="136">
        <f>B5</f>
        <v>1</v>
      </c>
      <c r="AK24" s="52" t="s">
        <v>344</v>
      </c>
      <c r="AL24" s="52" t="s">
        <v>267</v>
      </c>
      <c r="AM24" s="136">
        <f>B5</f>
        <v>1</v>
      </c>
      <c r="AN24" s="52" t="s">
        <v>344</v>
      </c>
      <c r="AR24" s="52" t="s">
        <v>267</v>
      </c>
      <c r="AS24" s="136">
        <f>B5</f>
        <v>1</v>
      </c>
      <c r="AT24" s="52" t="s">
        <v>344</v>
      </c>
      <c r="AU24" s="52" t="s">
        <v>267</v>
      </c>
      <c r="AV24" s="136">
        <f>B5</f>
        <v>1</v>
      </c>
      <c r="AW24" s="52" t="s">
        <v>344</v>
      </c>
      <c r="BA24" s="52" t="s">
        <v>267</v>
      </c>
      <c r="BB24" s="136">
        <f>B5</f>
        <v>1</v>
      </c>
      <c r="BC24" s="52" t="s">
        <v>344</v>
      </c>
      <c r="BD24" s="52" t="s">
        <v>267</v>
      </c>
      <c r="BE24" s="136">
        <f>B5</f>
        <v>1</v>
      </c>
      <c r="BF24" s="52" t="s">
        <v>344</v>
      </c>
      <c r="BJ24" s="52" t="s">
        <v>267</v>
      </c>
      <c r="BK24" s="136">
        <f>B5</f>
        <v>1</v>
      </c>
      <c r="BL24" s="52" t="s">
        <v>344</v>
      </c>
      <c r="BM24" s="52" t="s">
        <v>267</v>
      </c>
      <c r="BN24" s="136">
        <f>B5</f>
        <v>1</v>
      </c>
      <c r="BO24" s="52" t="s">
        <v>344</v>
      </c>
      <c r="BS24" s="91" t="s">
        <v>95</v>
      </c>
      <c r="BT24" s="158">
        <f>B117</f>
        <v>1</v>
      </c>
      <c r="BU24" s="91" t="s">
        <v>60</v>
      </c>
      <c r="BV24" s="83" t="s">
        <v>436</v>
      </c>
      <c r="BW24" s="138">
        <f>B115</f>
        <v>1</v>
      </c>
      <c r="BX24" s="52" t="s">
        <v>80</v>
      </c>
      <c r="BY24" s="83" t="s">
        <v>433</v>
      </c>
      <c r="BZ24" s="150">
        <f>B104</f>
        <v>75</v>
      </c>
      <c r="CA24" s="83" t="s">
        <v>24</v>
      </c>
      <c r="CB24" s="83" t="s">
        <v>22</v>
      </c>
      <c r="CC24" s="137">
        <f>0.693/CC25</f>
        <v>4.3312499999999997E-4</v>
      </c>
      <c r="CE24" s="83" t="s">
        <v>22</v>
      </c>
      <c r="CF24" s="137">
        <f>0.693/CF25</f>
        <v>4.3312499999999997E-4</v>
      </c>
      <c r="CK24" s="52" t="s">
        <v>258</v>
      </c>
      <c r="CL24" s="136">
        <f>B17</f>
        <v>1.67911012348351E-3</v>
      </c>
      <c r="CM24" s="92" t="s">
        <v>259</v>
      </c>
      <c r="CN24" s="52" t="s">
        <v>20</v>
      </c>
      <c r="CO24" s="139">
        <f>CO26</f>
        <v>1.7000000000000001E-2</v>
      </c>
      <c r="CQ24" s="84" t="s">
        <v>170</v>
      </c>
      <c r="CR24" s="162">
        <f>B139</f>
        <v>1</v>
      </c>
      <c r="CS24" s="52" t="s">
        <v>28</v>
      </c>
      <c r="CT24" s="91" t="s">
        <v>277</v>
      </c>
      <c r="CU24" s="145">
        <f>FR2</f>
        <v>1.1490430242956746E-4</v>
      </c>
      <c r="CV24" s="92" t="s">
        <v>290</v>
      </c>
      <c r="CW24" s="52" t="s">
        <v>465</v>
      </c>
      <c r="CX24" s="138">
        <f>B168</f>
        <v>350</v>
      </c>
      <c r="CY24" s="52" t="s">
        <v>24</v>
      </c>
      <c r="CZ24" s="83" t="s">
        <v>45</v>
      </c>
      <c r="DA24" s="149">
        <f>(DA35*DA27*DA49)+(DA36*DA28*DA50)</f>
        <v>784.7</v>
      </c>
      <c r="DB24" s="52" t="s">
        <v>345</v>
      </c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128">
        <f>((HE26*HE42)*HE38*HE33*10^-3*HE32*HE27)/(HE31*HE41*(1-EXP(-HE27*HE32)))</f>
        <v>1.6306811169515858E-6</v>
      </c>
      <c r="HF24" s="221" t="s">
        <v>596</v>
      </c>
    </row>
    <row r="25" spans="1:214" ht="15" thickTop="1" x14ac:dyDescent="0.2">
      <c r="A25" s="83" t="s">
        <v>236</v>
      </c>
      <c r="B25" s="183">
        <v>1.6999999999999999E-3</v>
      </c>
      <c r="C25" s="52" t="s">
        <v>388</v>
      </c>
      <c r="D25" s="83" t="s">
        <v>376</v>
      </c>
      <c r="E25" s="146">
        <f>B49</f>
        <v>0.23</v>
      </c>
      <c r="G25" s="83" t="s">
        <v>400</v>
      </c>
      <c r="H25" s="149">
        <f>(H29*H26*H68)+(H30*H27*H69)</f>
        <v>38095.4</v>
      </c>
      <c r="I25" s="92" t="s">
        <v>347</v>
      </c>
      <c r="J25" s="83" t="s">
        <v>446</v>
      </c>
      <c r="K25" s="149">
        <f>(K31*K26*K51)+(K32*K27*K52)</f>
        <v>56282.8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9.9672068516504862E-6</v>
      </c>
      <c r="X25" s="62" t="s">
        <v>289</v>
      </c>
      <c r="Y25" s="202" t="s">
        <v>16</v>
      </c>
      <c r="Z25" s="187">
        <f>1/((1/Z41)+(1/Z40))</f>
        <v>5.3876793792705279E-6</v>
      </c>
      <c r="AA25" s="63" t="s">
        <v>289</v>
      </c>
      <c r="AB25" s="91" t="s">
        <v>231</v>
      </c>
      <c r="AC25" s="136">
        <f>B18</f>
        <v>1600</v>
      </c>
      <c r="AD25" s="136">
        <f>B18</f>
        <v>1600</v>
      </c>
      <c r="AE25" s="136">
        <f>B18</f>
        <v>1600</v>
      </c>
      <c r="AF25" s="136">
        <f>B18</f>
        <v>1600</v>
      </c>
      <c r="AG25" s="136">
        <f>B18</f>
        <v>1600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B101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B108</f>
        <v>1</v>
      </c>
      <c r="CA25" s="94" t="s">
        <v>194</v>
      </c>
      <c r="CB25" s="91" t="s">
        <v>231</v>
      </c>
      <c r="CC25" s="136">
        <f>B18</f>
        <v>1600</v>
      </c>
      <c r="CD25" s="52" t="s">
        <v>60</v>
      </c>
      <c r="CE25" s="91" t="s">
        <v>231</v>
      </c>
      <c r="CF25" s="136">
        <f>B18</f>
        <v>1600</v>
      </c>
      <c r="CG25" s="52" t="s">
        <v>60</v>
      </c>
      <c r="CK25" s="52" t="s">
        <v>140</v>
      </c>
      <c r="CL25" s="138">
        <f>B103</f>
        <v>75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40250</v>
      </c>
      <c r="CV25" s="83" t="s">
        <v>346</v>
      </c>
      <c r="CW25" s="83" t="s">
        <v>475</v>
      </c>
      <c r="CX25" s="146">
        <f>B165</f>
        <v>0.15</v>
      </c>
      <c r="CZ25" s="83" t="s">
        <v>43</v>
      </c>
      <c r="DA25" s="140">
        <f>(DA35*DA29*(DA38/24)*DA49)+(DA36*DA30*(DA39/24)*DA50)</f>
        <v>6475</v>
      </c>
      <c r="DB25" s="83" t="s">
        <v>426</v>
      </c>
      <c r="DF25" s="52" t="s">
        <v>33</v>
      </c>
      <c r="DG25" s="136">
        <f>B32</f>
        <v>1.7000000000000001E-2</v>
      </c>
      <c r="DO25" s="83" t="s">
        <v>32</v>
      </c>
      <c r="DP25" s="136">
        <f>B31</f>
        <v>1.4800000000000001E-2</v>
      </c>
      <c r="EA25" s="83"/>
      <c r="EC25" s="84"/>
      <c r="ED25" s="83" t="s">
        <v>33</v>
      </c>
      <c r="EE25" s="136">
        <f>B32</f>
        <v>1.7000000000000001E-2</v>
      </c>
      <c r="EF25" s="84"/>
      <c r="EP25" s="83"/>
      <c r="ER25" s="84"/>
      <c r="ES25" s="83" t="s">
        <v>33</v>
      </c>
      <c r="ET25" s="136">
        <f>B32</f>
        <v>1.7000000000000001E-2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B32</f>
        <v>1.7000000000000001E-2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B32</f>
        <v>1.7000000000000001E-2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B32</f>
        <v>1.7000000000000001E-2</v>
      </c>
      <c r="HC25" s="84"/>
      <c r="HD25" s="89" t="s">
        <v>21</v>
      </c>
      <c r="HE25" s="150">
        <f>B34</f>
        <v>0.185000185000185</v>
      </c>
      <c r="HF25" s="83" t="s">
        <v>291</v>
      </c>
    </row>
    <row r="26" spans="1:214" ht="13.5" thickBot="1" x14ac:dyDescent="0.25">
      <c r="A26" s="83" t="s">
        <v>237</v>
      </c>
      <c r="B26" s="183">
        <v>0</v>
      </c>
      <c r="C26" s="52" t="s">
        <v>388</v>
      </c>
      <c r="D26" s="83" t="s">
        <v>377</v>
      </c>
      <c r="E26" s="146">
        <f>B50</f>
        <v>0.77</v>
      </c>
      <c r="G26" s="83" t="s">
        <v>401</v>
      </c>
      <c r="H26" s="146">
        <f>B151</f>
        <v>41.7</v>
      </c>
      <c r="I26" s="92" t="s">
        <v>221</v>
      </c>
      <c r="J26" s="83" t="s">
        <v>399</v>
      </c>
      <c r="K26" s="146">
        <f>B45</f>
        <v>68.099999999999994</v>
      </c>
      <c r="L26" s="92" t="s">
        <v>221</v>
      </c>
      <c r="M26" s="83" t="s">
        <v>22</v>
      </c>
      <c r="N26" s="137">
        <f>0.693/N27</f>
        <v>4.3312499999999997E-4</v>
      </c>
      <c r="P26" s="83" t="s">
        <v>22</v>
      </c>
      <c r="Q26" s="137">
        <f>0.693/Q27</f>
        <v>4.3312499999999997E-4</v>
      </c>
      <c r="V26" s="201" t="s">
        <v>15</v>
      </c>
      <c r="W26" s="75">
        <f>1/((1/W38)+(1/W39))</f>
        <v>9.9650486400196941E-6</v>
      </c>
      <c r="X26" s="76" t="s">
        <v>289</v>
      </c>
      <c r="Y26" s="203" t="s">
        <v>15</v>
      </c>
      <c r="Z26" s="185">
        <f>1/((1/Z38)+(1/Z39))</f>
        <v>5.3865127783890189E-6</v>
      </c>
      <c r="AA26" s="77" t="s">
        <v>289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4.3312499999999997E-4</v>
      </c>
      <c r="AL26" s="83" t="s">
        <v>22</v>
      </c>
      <c r="AM26" s="137">
        <f>0.693/AM27</f>
        <v>4.3312499999999997E-4</v>
      </c>
      <c r="AR26" s="83" t="s">
        <v>22</v>
      </c>
      <c r="AS26" s="137">
        <f>0.693/AS27</f>
        <v>4.3312499999999997E-4</v>
      </c>
      <c r="AU26" s="83" t="s">
        <v>22</v>
      </c>
      <c r="AV26" s="137">
        <f>0.693/AV27</f>
        <v>4.3312499999999997E-4</v>
      </c>
      <c r="BA26" s="83" t="s">
        <v>22</v>
      </c>
      <c r="BB26" s="137">
        <f>0.693/BB27</f>
        <v>4.3312499999999997E-4</v>
      </c>
      <c r="BD26" s="83" t="s">
        <v>22</v>
      </c>
      <c r="BE26" s="137">
        <f>0.693/BE27</f>
        <v>4.3312499999999997E-4</v>
      </c>
      <c r="BJ26" s="83" t="s">
        <v>22</v>
      </c>
      <c r="BK26" s="137">
        <f>0.693/BK27</f>
        <v>4.3312499999999997E-4</v>
      </c>
      <c r="BM26" s="83" t="s">
        <v>22</v>
      </c>
      <c r="BN26" s="137">
        <f>0.693/BN27</f>
        <v>4.3312499999999997E-4</v>
      </c>
      <c r="BS26" s="91" t="s">
        <v>309</v>
      </c>
      <c r="BT26" s="177">
        <f>B102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B106</f>
        <v>1</v>
      </c>
      <c r="CA26" s="94" t="s">
        <v>194</v>
      </c>
      <c r="CB26" s="52" t="s">
        <v>140</v>
      </c>
      <c r="CC26" s="138">
        <f>B103</f>
        <v>75</v>
      </c>
      <c r="CD26" s="52" t="s">
        <v>24</v>
      </c>
      <c r="CE26" s="52" t="s">
        <v>140</v>
      </c>
      <c r="CF26" s="138">
        <f>B103</f>
        <v>75</v>
      </c>
      <c r="CG26" s="52" t="s">
        <v>24</v>
      </c>
      <c r="CK26" s="52" t="s">
        <v>160</v>
      </c>
      <c r="CL26" s="162">
        <f>B134</f>
        <v>1</v>
      </c>
      <c r="CM26" s="52" t="s">
        <v>221</v>
      </c>
      <c r="CN26" s="52" t="s">
        <v>33</v>
      </c>
      <c r="CO26" s="136">
        <f>B32</f>
        <v>1.7000000000000001E-2</v>
      </c>
      <c r="CT26" s="83" t="s">
        <v>506</v>
      </c>
      <c r="CU26" s="155">
        <f>((CU31*CU29*CU47)+(CU32*CU30*CU48))</f>
        <v>6475</v>
      </c>
      <c r="CV26" s="52" t="s">
        <v>426</v>
      </c>
      <c r="CW26" s="83" t="s">
        <v>476</v>
      </c>
      <c r="CX26" s="141">
        <f>B166</f>
        <v>0.85</v>
      </c>
      <c r="CY26" s="83"/>
      <c r="CZ26" s="83" t="s">
        <v>142</v>
      </c>
      <c r="DA26" s="149">
        <f>(DA35*DA40*DA42*DA49)+(DA36*DA41*DA43*DA50)</f>
        <v>239.57499999999999</v>
      </c>
      <c r="DB26" s="52" t="s">
        <v>356</v>
      </c>
      <c r="DF26" s="95"/>
      <c r="DG26" s="176"/>
      <c r="DO26" s="83" t="s">
        <v>393</v>
      </c>
      <c r="DP26" s="138">
        <f>B35</f>
        <v>0.26</v>
      </c>
      <c r="EA26" s="83"/>
      <c r="EB26" s="84"/>
      <c r="EC26" s="84"/>
      <c r="ED26" s="83" t="s">
        <v>392</v>
      </c>
      <c r="EE26" s="163">
        <f>B36</f>
        <v>0.25</v>
      </c>
      <c r="EF26" s="84"/>
      <c r="EP26" s="83"/>
      <c r="EQ26" s="84"/>
      <c r="ER26" s="84"/>
      <c r="ES26" s="83" t="s">
        <v>392</v>
      </c>
      <c r="ET26" s="163">
        <f>B36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B36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B36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B36</f>
        <v>0.25</v>
      </c>
      <c r="HC26" s="84"/>
      <c r="HD26" s="84" t="s">
        <v>265</v>
      </c>
      <c r="HE26" s="139">
        <f>H2</f>
        <v>3.0704118497646202E-4</v>
      </c>
      <c r="HF26" s="83" t="s">
        <v>291</v>
      </c>
    </row>
    <row r="27" spans="1:214" ht="13.5" thickTop="1" x14ac:dyDescent="0.2">
      <c r="A27" s="83" t="s">
        <v>171</v>
      </c>
      <c r="B27" s="183">
        <v>0</v>
      </c>
      <c r="C27" s="52" t="s">
        <v>388</v>
      </c>
      <c r="D27" s="95" t="s">
        <v>287</v>
      </c>
      <c r="E27" s="176">
        <v>27.027027027027</v>
      </c>
      <c r="F27" s="52" t="s">
        <v>288</v>
      </c>
      <c r="G27" s="83" t="s">
        <v>402</v>
      </c>
      <c r="H27" s="146">
        <f>B48</f>
        <v>128.9</v>
      </c>
      <c r="I27" s="92" t="s">
        <v>221</v>
      </c>
      <c r="J27" s="83" t="s">
        <v>310</v>
      </c>
      <c r="K27" s="146">
        <f>B46</f>
        <v>188.5</v>
      </c>
      <c r="L27" s="92" t="s">
        <v>221</v>
      </c>
      <c r="M27" s="91" t="s">
        <v>231</v>
      </c>
      <c r="N27" s="136">
        <f>B18</f>
        <v>1600</v>
      </c>
      <c r="O27" s="52" t="s">
        <v>60</v>
      </c>
      <c r="P27" s="91" t="s">
        <v>231</v>
      </c>
      <c r="Q27" s="136">
        <f>B18</f>
        <v>1600</v>
      </c>
      <c r="R27" s="52" t="s">
        <v>60</v>
      </c>
      <c r="V27" s="52" t="s">
        <v>267</v>
      </c>
      <c r="W27" s="136">
        <f>B5</f>
        <v>1</v>
      </c>
      <c r="X27" s="52" t="s">
        <v>344</v>
      </c>
      <c r="Y27" s="52" t="s">
        <v>267</v>
      </c>
      <c r="Z27" s="136">
        <f>B5</f>
        <v>1</v>
      </c>
      <c r="AA27" s="52" t="s">
        <v>344</v>
      </c>
      <c r="AB27" s="84" t="s">
        <v>16</v>
      </c>
      <c r="AC27" s="156">
        <f>(AC23*AC24)/(1-EXP(-AC24*AC23))</f>
        <v>1.0002165781331087</v>
      </c>
      <c r="AD27" s="156">
        <f>(AD23*AD24)/(1-EXP(-AD24*AD23))</f>
        <v>1.0002165781331087</v>
      </c>
      <c r="AE27" s="156">
        <f>(AE23*AE24)/(1-EXP(-AE24*AE23))</f>
        <v>1.0002165781331087</v>
      </c>
      <c r="AF27" s="156">
        <f>(AF23*AF24)/(1-EXP(-AF24*AF23))</f>
        <v>1.0002165781331087</v>
      </c>
      <c r="AG27" s="156">
        <f>(AG23*AG24)/(1-EXP(-AG24*AG23))</f>
        <v>1.0002165781331087</v>
      </c>
      <c r="AI27" s="91" t="s">
        <v>231</v>
      </c>
      <c r="AJ27" s="136">
        <f>B18</f>
        <v>1600</v>
      </c>
      <c r="AK27" s="52" t="s">
        <v>60</v>
      </c>
      <c r="AL27" s="91" t="s">
        <v>231</v>
      </c>
      <c r="AM27" s="136">
        <f>B18</f>
        <v>1600</v>
      </c>
      <c r="AN27" s="52" t="s">
        <v>60</v>
      </c>
      <c r="AR27" s="91" t="s">
        <v>231</v>
      </c>
      <c r="AS27" s="136">
        <f>B18</f>
        <v>1600</v>
      </c>
      <c r="AT27" s="52" t="s">
        <v>60</v>
      </c>
      <c r="AU27" s="91" t="s">
        <v>231</v>
      </c>
      <c r="AV27" s="136">
        <f>B18</f>
        <v>1600</v>
      </c>
      <c r="AW27" s="52" t="s">
        <v>60</v>
      </c>
      <c r="BA27" s="91" t="s">
        <v>231</v>
      </c>
      <c r="BB27" s="136">
        <f>B18</f>
        <v>1600</v>
      </c>
      <c r="BC27" s="52" t="s">
        <v>60</v>
      </c>
      <c r="BD27" s="91" t="s">
        <v>231</v>
      </c>
      <c r="BE27" s="136">
        <f>B18</f>
        <v>1600</v>
      </c>
      <c r="BF27" s="52" t="s">
        <v>60</v>
      </c>
      <c r="BJ27" s="91" t="s">
        <v>231</v>
      </c>
      <c r="BK27" s="136">
        <f>B18</f>
        <v>1600</v>
      </c>
      <c r="BL27" s="52" t="s">
        <v>60</v>
      </c>
      <c r="BM27" s="91" t="s">
        <v>231</v>
      </c>
      <c r="BN27" s="136">
        <f>B18</f>
        <v>1600</v>
      </c>
      <c r="BO27" s="52" t="s">
        <v>60</v>
      </c>
      <c r="BS27" s="95" t="s">
        <v>287</v>
      </c>
      <c r="BT27" s="176">
        <v>27.027027027027</v>
      </c>
      <c r="BU27" s="52" t="s">
        <v>288</v>
      </c>
      <c r="BW27" s="138">
        <v>1000</v>
      </c>
      <c r="BX27" s="52" t="s">
        <v>218</v>
      </c>
      <c r="BY27" s="83" t="s">
        <v>90</v>
      </c>
      <c r="BZ27" s="150">
        <f>B107</f>
        <v>1</v>
      </c>
      <c r="CA27" s="52" t="s">
        <v>194</v>
      </c>
      <c r="CB27" s="52" t="s">
        <v>51</v>
      </c>
      <c r="CC27" s="138">
        <f>B117</f>
        <v>1</v>
      </c>
      <c r="CD27" s="52" t="s">
        <v>146</v>
      </c>
      <c r="CE27" s="52" t="s">
        <v>51</v>
      </c>
      <c r="CF27" s="138">
        <f>B117</f>
        <v>1</v>
      </c>
      <c r="CG27" s="52" t="s">
        <v>146</v>
      </c>
      <c r="CK27" s="95" t="s">
        <v>287</v>
      </c>
      <c r="CL27" s="176">
        <v>27.027027027027</v>
      </c>
      <c r="CM27" s="52" t="s">
        <v>288</v>
      </c>
      <c r="CN27" s="52" t="s">
        <v>392</v>
      </c>
      <c r="CO27" s="162">
        <f>B36</f>
        <v>0.25</v>
      </c>
      <c r="CT27" s="83" t="s">
        <v>449</v>
      </c>
      <c r="CU27" s="146">
        <f>B141</f>
        <v>200</v>
      </c>
      <c r="CV27" s="84" t="s">
        <v>48</v>
      </c>
      <c r="CW27" s="95" t="s">
        <v>287</v>
      </c>
      <c r="CX27" s="176">
        <v>27.027027027027</v>
      </c>
      <c r="CY27" s="52" t="s">
        <v>288</v>
      </c>
      <c r="CZ27" s="92" t="s">
        <v>451</v>
      </c>
      <c r="DA27" s="142">
        <f t="shared" ref="DA27:DA34" si="0">B145</f>
        <v>0.78</v>
      </c>
      <c r="DB27" s="83" t="s">
        <v>28</v>
      </c>
      <c r="DO27" s="95"/>
      <c r="DP27" s="176"/>
      <c r="DW27" s="88"/>
      <c r="DX27" s="88"/>
      <c r="DY27" s="88"/>
      <c r="DZ27" s="88"/>
      <c r="EA27" s="83"/>
      <c r="EB27" s="85"/>
      <c r="ED27" s="83" t="s">
        <v>517</v>
      </c>
      <c r="EE27" s="136">
        <f>B24</f>
        <v>3.8000000000000002E-4</v>
      </c>
      <c r="EF27" s="52" t="s">
        <v>601</v>
      </c>
      <c r="EP27" s="83"/>
      <c r="EQ27" s="86"/>
      <c r="ES27" s="83" t="s">
        <v>236</v>
      </c>
      <c r="ET27" s="169">
        <f>B25</f>
        <v>1.6999999999999999E-3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B27</f>
        <v>0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B26</f>
        <v>0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B28</f>
        <v>0</v>
      </c>
      <c r="HC27" s="52" t="s">
        <v>388</v>
      </c>
      <c r="HD27" s="83" t="s">
        <v>22</v>
      </c>
      <c r="HE27" s="137">
        <f>0.693/HE29</f>
        <v>4.3312499999999997E-4</v>
      </c>
    </row>
    <row r="28" spans="1:214" x14ac:dyDescent="0.2">
      <c r="A28" s="83" t="s">
        <v>238</v>
      </c>
      <c r="B28" s="183">
        <v>0</v>
      </c>
      <c r="C28" s="52" t="s">
        <v>388</v>
      </c>
      <c r="G28" s="83" t="s">
        <v>65</v>
      </c>
      <c r="H28" s="141">
        <f>B65</f>
        <v>0.5</v>
      </c>
      <c r="I28" s="52" t="s">
        <v>66</v>
      </c>
      <c r="J28" s="83" t="s">
        <v>447</v>
      </c>
      <c r="K28" s="149">
        <f>(K31*K29*K51)+(K32*K30*K52)</f>
        <v>38095.4</v>
      </c>
      <c r="L28" s="92" t="s">
        <v>347</v>
      </c>
      <c r="M28" s="52" t="s">
        <v>382</v>
      </c>
      <c r="N28" s="138">
        <f>B56</f>
        <v>350</v>
      </c>
      <c r="O28" s="52" t="s">
        <v>24</v>
      </c>
      <c r="P28" s="52" t="s">
        <v>382</v>
      </c>
      <c r="Q28" s="138">
        <f>B56</f>
        <v>350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B243</f>
        <v>250</v>
      </c>
      <c r="AK28" s="52" t="s">
        <v>24</v>
      </c>
      <c r="AL28" s="52" t="s">
        <v>35</v>
      </c>
      <c r="AM28" s="138">
        <f>B243</f>
        <v>250</v>
      </c>
      <c r="AN28" s="52" t="s">
        <v>24</v>
      </c>
      <c r="AR28" s="52" t="s">
        <v>423</v>
      </c>
      <c r="AS28" s="138">
        <f>B255</f>
        <v>225</v>
      </c>
      <c r="AT28" s="52" t="s">
        <v>24</v>
      </c>
      <c r="AU28" s="52" t="s">
        <v>423</v>
      </c>
      <c r="AV28" s="138">
        <f>B255</f>
        <v>225</v>
      </c>
      <c r="AW28" s="52" t="s">
        <v>24</v>
      </c>
      <c r="BA28" s="52" t="s">
        <v>316</v>
      </c>
      <c r="BB28" s="138">
        <f>B231</f>
        <v>250</v>
      </c>
      <c r="BC28" s="52" t="s">
        <v>24</v>
      </c>
      <c r="BD28" s="52" t="s">
        <v>316</v>
      </c>
      <c r="BE28" s="138">
        <f>B231</f>
        <v>250</v>
      </c>
      <c r="BF28" s="52" t="s">
        <v>24</v>
      </c>
      <c r="BJ28" s="52" t="s">
        <v>191</v>
      </c>
      <c r="BK28" s="138">
        <f>BK29*BK30</f>
        <v>250</v>
      </c>
      <c r="BL28" s="52" t="s">
        <v>24</v>
      </c>
      <c r="BM28" s="52" t="s">
        <v>191</v>
      </c>
      <c r="BN28" s="138">
        <f>BN29*BN30</f>
        <v>250</v>
      </c>
      <c r="BO28" s="52" t="s">
        <v>24</v>
      </c>
      <c r="BS28" s="96"/>
      <c r="BV28" s="83"/>
      <c r="BW28" s="146">
        <v>365</v>
      </c>
      <c r="BX28" s="84" t="s">
        <v>24</v>
      </c>
      <c r="BY28" s="83" t="s">
        <v>302</v>
      </c>
      <c r="BZ28" s="141">
        <f>B118</f>
        <v>2.41E-4</v>
      </c>
      <c r="CB28" s="52" t="s">
        <v>300</v>
      </c>
      <c r="CC28" s="138">
        <f>B126</f>
        <v>1.5699999999999999E-5</v>
      </c>
      <c r="CE28" s="52" t="s">
        <v>300</v>
      </c>
      <c r="CF28" s="138">
        <f>B122</f>
        <v>1.35E-4</v>
      </c>
      <c r="CN28" s="52" t="s">
        <v>165</v>
      </c>
      <c r="CO28" s="162">
        <f>B135</f>
        <v>1</v>
      </c>
      <c r="CP28" s="52" t="s">
        <v>246</v>
      </c>
      <c r="CT28" s="83" t="s">
        <v>458</v>
      </c>
      <c r="CU28" s="146">
        <f>B142</f>
        <v>100</v>
      </c>
      <c r="CV28" s="84" t="s">
        <v>48</v>
      </c>
      <c r="CZ28" s="92" t="s">
        <v>460</v>
      </c>
      <c r="DA28" s="142">
        <f t="shared" si="0"/>
        <v>2.5</v>
      </c>
      <c r="DB28" s="83" t="s">
        <v>28</v>
      </c>
      <c r="DW28" s="88"/>
      <c r="DX28" s="88"/>
      <c r="DY28" s="88"/>
      <c r="DZ28" s="88"/>
      <c r="ED28" s="95"/>
      <c r="EE28" s="176"/>
      <c r="ES28" s="95"/>
      <c r="ET28" s="176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95"/>
      <c r="FI28" s="176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95"/>
      <c r="GM28" s="176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95"/>
      <c r="HB28" s="176"/>
      <c r="HD28" s="52" t="s">
        <v>16</v>
      </c>
      <c r="HE28" s="137">
        <f>1-EXP(-HE27*HE32)</f>
        <v>4.3303121490789742E-4</v>
      </c>
    </row>
    <row r="29" spans="1:214" ht="15.75" thickBot="1" x14ac:dyDescent="0.25">
      <c r="A29" s="52" t="s">
        <v>229</v>
      </c>
      <c r="B29" s="183">
        <f>B25</f>
        <v>1.6999999999999999E-3</v>
      </c>
      <c r="C29" s="52" t="s">
        <v>388</v>
      </c>
      <c r="G29" s="83" t="s">
        <v>380</v>
      </c>
      <c r="H29" s="150">
        <f>B54</f>
        <v>350</v>
      </c>
      <c r="I29" s="83" t="s">
        <v>24</v>
      </c>
      <c r="J29" s="83" t="s">
        <v>401</v>
      </c>
      <c r="K29" s="146">
        <f>B47</f>
        <v>41.7</v>
      </c>
      <c r="L29" s="92" t="s">
        <v>221</v>
      </c>
      <c r="M29" s="52" t="s">
        <v>379</v>
      </c>
      <c r="N29" s="138">
        <f>B53</f>
        <v>1</v>
      </c>
      <c r="O29" s="52" t="s">
        <v>146</v>
      </c>
      <c r="P29" s="52" t="s">
        <v>379</v>
      </c>
      <c r="Q29" s="138">
        <f>B53</f>
        <v>1</v>
      </c>
      <c r="R29" s="52" t="s">
        <v>146</v>
      </c>
      <c r="V29" s="83" t="s">
        <v>22</v>
      </c>
      <c r="W29" s="137">
        <f>0.693/W30</f>
        <v>4.3312499999999997E-4</v>
      </c>
      <c r="Y29" s="83" t="s">
        <v>22</v>
      </c>
      <c r="Z29" s="137">
        <f>0.693/Z30</f>
        <v>4.3312499999999997E-4</v>
      </c>
      <c r="AB29" s="83" t="s">
        <v>260</v>
      </c>
      <c r="AC29" s="143">
        <f>((AC5/(AC8*AC13*AC7*AC9*(1/AC6)))*AC27)/AC35</f>
        <v>1.4288808259044425</v>
      </c>
      <c r="AD29" s="143">
        <f>((AD5/(AD8*AD13*AD7*AD9*(1/AD6)))*AD27)/AD35</f>
        <v>2.8577616518088851</v>
      </c>
      <c r="AE29" s="143">
        <f>((AE5/(AE8*AE13*AE7*AE9*(1/AE6)))*AE27)/AE35</f>
        <v>1.5876453621160471</v>
      </c>
      <c r="AF29" s="143">
        <f>((AF5*AF23*AF24)/((1-EXP(-AF24*AF23))*AF8*AF7*AF9*AF13*(1/AF28)))/AF35</f>
        <v>0.43299418966801279</v>
      </c>
      <c r="AG29" s="143">
        <f>((AG5*AG23*AG24)/((1-EXP(-AG24*AG23))*AG8*AG7*AG9*AG13*(1/AG28)))/AG35</f>
        <v>0.43299418966801279</v>
      </c>
      <c r="AH29" s="83" t="s">
        <v>290</v>
      </c>
      <c r="AI29" s="52" t="s">
        <v>420</v>
      </c>
      <c r="AJ29" s="138">
        <f>B244</f>
        <v>1</v>
      </c>
      <c r="AK29" s="52" t="s">
        <v>146</v>
      </c>
      <c r="AL29" s="52" t="s">
        <v>420</v>
      </c>
      <c r="AM29" s="138">
        <f>B244</f>
        <v>1</v>
      </c>
      <c r="AN29" s="52" t="s">
        <v>146</v>
      </c>
      <c r="AR29" s="52" t="s">
        <v>424</v>
      </c>
      <c r="AS29" s="138">
        <f>B256</f>
        <v>1</v>
      </c>
      <c r="AT29" s="52" t="s">
        <v>146</v>
      </c>
      <c r="AU29" s="52" t="s">
        <v>424</v>
      </c>
      <c r="AV29" s="138">
        <f>B256</f>
        <v>1</v>
      </c>
      <c r="AW29" s="52" t="s">
        <v>146</v>
      </c>
      <c r="BA29" s="52" t="s">
        <v>422</v>
      </c>
      <c r="BB29" s="138">
        <f>B232</f>
        <v>1</v>
      </c>
      <c r="BC29" s="52" t="s">
        <v>146</v>
      </c>
      <c r="BD29" s="52" t="s">
        <v>422</v>
      </c>
      <c r="BE29" s="138">
        <f>B232</f>
        <v>1</v>
      </c>
      <c r="BF29" s="52" t="s">
        <v>146</v>
      </c>
      <c r="BJ29" s="52" t="s">
        <v>220</v>
      </c>
      <c r="BK29" s="138">
        <f>B278</f>
        <v>50</v>
      </c>
      <c r="BL29" s="52" t="s">
        <v>113</v>
      </c>
      <c r="BM29" s="52" t="s">
        <v>220</v>
      </c>
      <c r="BN29" s="138">
        <f>B278</f>
        <v>50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41">
        <f>B119</f>
        <v>0.753</v>
      </c>
      <c r="CB29" s="52" t="s">
        <v>411</v>
      </c>
      <c r="CC29" s="138">
        <f>B127</f>
        <v>0.80900000000000005</v>
      </c>
      <c r="CE29" s="52" t="s">
        <v>418</v>
      </c>
      <c r="CF29" s="138">
        <f>B123</f>
        <v>0.71099999999999997</v>
      </c>
      <c r="CN29" s="52" t="s">
        <v>166</v>
      </c>
      <c r="CO29" s="162">
        <f>B136</f>
        <v>1</v>
      </c>
      <c r="CP29" s="52" t="s">
        <v>246</v>
      </c>
      <c r="CT29" s="83" t="s">
        <v>450</v>
      </c>
      <c r="CU29" s="141">
        <f>B147</f>
        <v>10</v>
      </c>
      <c r="CV29" s="92" t="s">
        <v>407</v>
      </c>
      <c r="CZ29" s="92" t="s">
        <v>450</v>
      </c>
      <c r="DA29" s="142">
        <f t="shared" si="0"/>
        <v>10</v>
      </c>
      <c r="DB29" s="83" t="s">
        <v>143</v>
      </c>
      <c r="DW29" s="88"/>
      <c r="DX29" s="88"/>
      <c r="DY29" s="88"/>
      <c r="DZ29" s="8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B18</f>
        <v>1600</v>
      </c>
      <c r="HF29" s="52" t="s">
        <v>60</v>
      </c>
    </row>
    <row r="30" spans="1:214" ht="19.5" thickTop="1" thickBot="1" x14ac:dyDescent="0.25">
      <c r="A30" s="83" t="s">
        <v>228</v>
      </c>
      <c r="B30" s="183">
        <f>B26</f>
        <v>0</v>
      </c>
      <c r="C30" s="52" t="s">
        <v>388</v>
      </c>
      <c r="D30" s="353" t="s">
        <v>528</v>
      </c>
      <c r="E30" s="354"/>
      <c r="F30" s="355"/>
      <c r="G30" s="83" t="s">
        <v>381</v>
      </c>
      <c r="H30" s="150">
        <f>B55</f>
        <v>350</v>
      </c>
      <c r="I30" s="83" t="s">
        <v>24</v>
      </c>
      <c r="J30" s="83" t="s">
        <v>402</v>
      </c>
      <c r="K30" s="146">
        <f>B48</f>
        <v>128.9</v>
      </c>
      <c r="L30" s="92" t="s">
        <v>221</v>
      </c>
      <c r="M30" s="52" t="s">
        <v>299</v>
      </c>
      <c r="N30" s="138">
        <f>B61</f>
        <v>0.4</v>
      </c>
      <c r="P30" s="52" t="s">
        <v>299</v>
      </c>
      <c r="Q30" s="138">
        <f>B61</f>
        <v>0.4</v>
      </c>
      <c r="V30" s="91" t="s">
        <v>231</v>
      </c>
      <c r="W30" s="136">
        <f>B18</f>
        <v>1600</v>
      </c>
      <c r="X30" s="52" t="s">
        <v>60</v>
      </c>
      <c r="Y30" s="91" t="s">
        <v>231</v>
      </c>
      <c r="Z30" s="136">
        <f>B18</f>
        <v>1600</v>
      </c>
      <c r="AA30" s="52" t="s">
        <v>60</v>
      </c>
      <c r="AB30" s="83" t="s">
        <v>261</v>
      </c>
      <c r="AC30" s="144">
        <f>((AC5/(AC19*AC15*AC7*AC9*(1/AC32)*((8/1)/(24/1))*AC28))*AC27)/AC35</f>
        <v>264.46643414987017</v>
      </c>
      <c r="AD30" s="144">
        <f>((AD5/(AD19*AD15*AD7*((8/1)/(24/1))*AD9*(1/AD32)*AD28))*AD27)/AD35</f>
        <v>264.46643414987017</v>
      </c>
      <c r="AE30" s="144">
        <f>((AE5/(AE19*AE15*AE7*((8/1)/(24/1))*AE9*(1/AE32)*AE28))*AE27)/AE35</f>
        <v>293.85159349985571</v>
      </c>
      <c r="AF30" s="144">
        <f>((AF5*AF23*AF24)/((1-EXP(-AF24*AF23))*AF19*AF7*AF9*(AF12/24)*AF15*(1/AF33)*AF28))/AF35</f>
        <v>0.15099938309224778</v>
      </c>
      <c r="AG30" s="144">
        <f>((AG5*AG23*AG24)/((1-EXP(-AG24*AG23))*AG19*AG7*AG9*(AG12/24)*AG15*(1/AG34)*AG28))/AG35</f>
        <v>13.532729749430862</v>
      </c>
      <c r="AH30" s="83" t="s">
        <v>290</v>
      </c>
      <c r="AI30" s="52" t="s">
        <v>299</v>
      </c>
      <c r="AJ30" s="138">
        <f>B248</f>
        <v>0.4</v>
      </c>
      <c r="AL30" s="52" t="s">
        <v>299</v>
      </c>
      <c r="AM30" s="138">
        <f>B248</f>
        <v>0.4</v>
      </c>
      <c r="AR30" s="52" t="s">
        <v>299</v>
      </c>
      <c r="AS30" s="138">
        <f>B260</f>
        <v>0.4</v>
      </c>
      <c r="AV30" s="138"/>
      <c r="BA30" s="52" t="s">
        <v>299</v>
      </c>
      <c r="BB30" s="138">
        <f>B236</f>
        <v>0.4</v>
      </c>
      <c r="BD30" s="52" t="s">
        <v>299</v>
      </c>
      <c r="BE30" s="138">
        <f>B236</f>
        <v>0.4</v>
      </c>
      <c r="BJ30" s="52" t="s">
        <v>219</v>
      </c>
      <c r="BK30" s="138">
        <f>B277</f>
        <v>5</v>
      </c>
      <c r="BL30" s="52" t="s">
        <v>112</v>
      </c>
      <c r="BM30" s="52" t="s">
        <v>219</v>
      </c>
      <c r="BN30" s="138">
        <f>B277</f>
        <v>5</v>
      </c>
      <c r="BO30" s="52" t="s">
        <v>112</v>
      </c>
      <c r="BS30" s="91"/>
      <c r="BT30" s="97"/>
      <c r="BU30" s="91"/>
      <c r="BV30" s="91" t="s">
        <v>308</v>
      </c>
      <c r="BW30" s="146">
        <f>B101</f>
        <v>0.23</v>
      </c>
      <c r="BY30" s="94" t="s">
        <v>95</v>
      </c>
      <c r="BZ30" s="150">
        <f>B117</f>
        <v>1</v>
      </c>
      <c r="CA30" s="94" t="s">
        <v>60</v>
      </c>
      <c r="CB30" s="52" t="s">
        <v>90</v>
      </c>
      <c r="CC30" s="138">
        <f>B108</f>
        <v>1</v>
      </c>
      <c r="CD30" s="52" t="s">
        <v>194</v>
      </c>
      <c r="CE30" s="52" t="s">
        <v>90</v>
      </c>
      <c r="CF30" s="138">
        <f>B108</f>
        <v>1</v>
      </c>
      <c r="CG30" s="52" t="s">
        <v>194</v>
      </c>
      <c r="CM30" s="83"/>
      <c r="CN30" s="93" t="s">
        <v>167</v>
      </c>
      <c r="CO30" s="162">
        <f>B137</f>
        <v>1</v>
      </c>
      <c r="CP30" s="52" t="s">
        <v>41</v>
      </c>
      <c r="CQ30" s="88"/>
      <c r="CR30" s="83"/>
      <c r="CS30" s="83"/>
      <c r="CT30" s="83" t="s">
        <v>459</v>
      </c>
      <c r="CU30" s="141">
        <f>B148</f>
        <v>20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20</v>
      </c>
      <c r="DB30" s="83" t="s">
        <v>143</v>
      </c>
      <c r="DW30" s="88"/>
      <c r="DX30" s="88"/>
      <c r="DY30" s="88"/>
      <c r="DZ30" s="8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B83</f>
        <v>0.3</v>
      </c>
    </row>
    <row r="31" spans="1:214" x14ac:dyDescent="0.2">
      <c r="A31" s="84" t="s">
        <v>32</v>
      </c>
      <c r="B31" s="183">
        <f>0.0148</f>
        <v>1.4800000000000001E-2</v>
      </c>
      <c r="D31" s="323" t="s">
        <v>530</v>
      </c>
      <c r="E31" s="347">
        <f>E38</f>
        <v>1.1658984900945869E-3</v>
      </c>
      <c r="F31" s="345" t="s">
        <v>290</v>
      </c>
      <c r="G31" s="83" t="s">
        <v>379</v>
      </c>
      <c r="H31" s="150">
        <f>B53</f>
        <v>1</v>
      </c>
      <c r="I31" s="84" t="s">
        <v>60</v>
      </c>
      <c r="J31" s="83" t="s">
        <v>380</v>
      </c>
      <c r="K31" s="150">
        <f>B54</f>
        <v>350</v>
      </c>
      <c r="L31" s="83" t="s">
        <v>24</v>
      </c>
      <c r="M31" s="52" t="s">
        <v>300</v>
      </c>
      <c r="N31" s="138">
        <f>B62</f>
        <v>1</v>
      </c>
      <c r="P31" s="52" t="s">
        <v>300</v>
      </c>
      <c r="Q31" s="138">
        <f>B62</f>
        <v>1</v>
      </c>
      <c r="V31" s="52" t="s">
        <v>35</v>
      </c>
      <c r="W31" s="138">
        <f>B243</f>
        <v>250</v>
      </c>
      <c r="X31" s="52" t="s">
        <v>24</v>
      </c>
      <c r="Y31" s="52" t="s">
        <v>191</v>
      </c>
      <c r="Z31" s="138">
        <f>B267</f>
        <v>250</v>
      </c>
      <c r="AA31" s="52" t="s">
        <v>24</v>
      </c>
      <c r="AB31" s="83" t="s">
        <v>262</v>
      </c>
      <c r="AC31" s="145">
        <f>((AC5*AC23*AC24)/((1-EXP(-AC24*AC23))*AC18*AC7*(1/365)*AC12*(1/24)*AC14*AC17))/AC35</f>
        <v>1.5551017576946937E-2</v>
      </c>
      <c r="AD31" s="145">
        <f>((AD5*AD23*AD24)/((1-EXP(-AD24*AD23))*AD18*AD7*(1/365)*AD12*(1/24)*AD16*AD17))/AD35</f>
        <v>3.8877543942367344E-2</v>
      </c>
      <c r="AE31" s="145">
        <f>((AE5*AE23*AE24)/((1-EXP(-AE24*AE23))*AE18*AE7*(1/365)*AE12*(1/24)*AE14*AE17))/AE35</f>
        <v>1.7278908418829928E-2</v>
      </c>
      <c r="AF31" s="145">
        <f>((AF5*AF23*AF24)/((1-EXP(-AF24*AF23))*AF18*(AF11*AF10)*(1/365)*AF12*(1/24)*AF14*AF17))/AF35</f>
        <v>85.693285375493517</v>
      </c>
      <c r="AG31" s="145">
        <f>((AG5*AG23*AG24)/((1-EXP(-AG24*AG23))*AG18*AG7*(1/365)*AG9*(AG12/24)*AG14*AG17))/AG35</f>
        <v>85.693285375493517</v>
      </c>
      <c r="AH31" s="83" t="s">
        <v>290</v>
      </c>
      <c r="AI31" s="52" t="s">
        <v>300</v>
      </c>
      <c r="AJ31" s="138">
        <f>B235</f>
        <v>1</v>
      </c>
      <c r="AL31" s="52" t="s">
        <v>300</v>
      </c>
      <c r="AM31" s="138">
        <f>B235</f>
        <v>1</v>
      </c>
      <c r="AR31" s="52" t="s">
        <v>300</v>
      </c>
      <c r="AS31" s="138">
        <f>B259</f>
        <v>1</v>
      </c>
      <c r="AU31" s="52" t="s">
        <v>300</v>
      </c>
      <c r="AV31" s="138">
        <f>B259</f>
        <v>1</v>
      </c>
      <c r="BA31" s="52" t="s">
        <v>300</v>
      </c>
      <c r="BB31" s="138">
        <f>B235</f>
        <v>1</v>
      </c>
      <c r="BD31" s="52" t="s">
        <v>300</v>
      </c>
      <c r="BE31" s="138">
        <f>B235</f>
        <v>1</v>
      </c>
      <c r="BJ31" s="52" t="s">
        <v>158</v>
      </c>
      <c r="BK31" s="138">
        <f>B268</f>
        <v>1</v>
      </c>
      <c r="BL31" s="52" t="s">
        <v>146</v>
      </c>
      <c r="BM31" s="52" t="s">
        <v>158</v>
      </c>
      <c r="BN31" s="138">
        <f>B268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B102</f>
        <v>0.77</v>
      </c>
      <c r="BZ31" s="150">
        <v>365</v>
      </c>
      <c r="CA31" s="52" t="s">
        <v>24</v>
      </c>
      <c r="CB31" s="52" t="s">
        <v>410</v>
      </c>
      <c r="CC31" s="139">
        <f>B11</f>
        <v>1.9522299999999999</v>
      </c>
      <c r="CD31" s="84" t="s">
        <v>353</v>
      </c>
      <c r="CE31" s="52" t="s">
        <v>419</v>
      </c>
      <c r="CF31" s="139">
        <f>B13</f>
        <v>5.52928</v>
      </c>
      <c r="CG31" s="84" t="s">
        <v>353</v>
      </c>
      <c r="CM31" s="83"/>
      <c r="CN31" s="83" t="s">
        <v>168</v>
      </c>
      <c r="CO31" s="162">
        <f>B138</f>
        <v>1</v>
      </c>
      <c r="CP31" s="52" t="s">
        <v>41</v>
      </c>
      <c r="CQ31" s="83"/>
      <c r="CR31" s="83"/>
      <c r="CS31" s="83"/>
      <c r="CT31" s="83" t="s">
        <v>456</v>
      </c>
      <c r="CU31" s="150">
        <f>B167</f>
        <v>350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68.099999999999994</v>
      </c>
      <c r="DB31" s="83" t="s">
        <v>221</v>
      </c>
      <c r="DW31" s="88"/>
      <c r="DX31" s="88"/>
      <c r="DY31" s="88"/>
      <c r="DZ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B84</f>
        <v>1.5</v>
      </c>
    </row>
    <row r="32" spans="1:214" ht="13.5" thickBot="1" x14ac:dyDescent="0.25">
      <c r="A32" s="52" t="s">
        <v>33</v>
      </c>
      <c r="B32" s="183">
        <v>1.7000000000000001E-2</v>
      </c>
      <c r="D32" s="324"/>
      <c r="E32" s="348"/>
      <c r="F32" s="346"/>
      <c r="G32" s="52" t="s">
        <v>403</v>
      </c>
      <c r="H32" s="138">
        <f>B57</f>
        <v>0.54</v>
      </c>
      <c r="I32" s="52" t="s">
        <v>89</v>
      </c>
      <c r="J32" s="83" t="s">
        <v>381</v>
      </c>
      <c r="K32" s="150">
        <f>B55</f>
        <v>350</v>
      </c>
      <c r="L32" s="83" t="s">
        <v>24</v>
      </c>
      <c r="M32" s="52" t="s">
        <v>54</v>
      </c>
      <c r="N32" s="138">
        <f>B63</f>
        <v>1</v>
      </c>
      <c r="P32" s="52" t="s">
        <v>54</v>
      </c>
      <c r="Q32" s="138">
        <f>B63</f>
        <v>1</v>
      </c>
      <c r="V32" s="52" t="s">
        <v>420</v>
      </c>
      <c r="W32" s="138">
        <f>B244</f>
        <v>1</v>
      </c>
      <c r="X32" s="52" t="s">
        <v>146</v>
      </c>
      <c r="Y32" s="52" t="s">
        <v>158</v>
      </c>
      <c r="Z32" s="138">
        <f>B268</f>
        <v>1</v>
      </c>
      <c r="AA32" s="52" t="s">
        <v>146</v>
      </c>
      <c r="AB32" s="83" t="s">
        <v>77</v>
      </c>
      <c r="AC32" s="136">
        <f>B19</f>
        <v>1359344473.5814338</v>
      </c>
      <c r="AD32" s="136">
        <f>B19</f>
        <v>1359344473.5814338</v>
      </c>
      <c r="AE32" s="136">
        <f>B19</f>
        <v>1359344473.5814338</v>
      </c>
      <c r="AF32" s="136"/>
      <c r="AG32" s="136"/>
      <c r="AH32" s="104" t="s">
        <v>78</v>
      </c>
      <c r="AI32" s="52" t="s">
        <v>54</v>
      </c>
      <c r="AJ32" s="138">
        <f>B249</f>
        <v>1</v>
      </c>
      <c r="AL32" s="52" t="s">
        <v>54</v>
      </c>
      <c r="AM32" s="138">
        <f>B249</f>
        <v>1</v>
      </c>
      <c r="AR32" s="52" t="s">
        <v>54</v>
      </c>
      <c r="AS32" s="138">
        <f>B261</f>
        <v>1</v>
      </c>
      <c r="AU32" s="52" t="s">
        <v>54</v>
      </c>
      <c r="AV32" s="138">
        <f>B261</f>
        <v>1</v>
      </c>
      <c r="BA32" s="52" t="s">
        <v>54</v>
      </c>
      <c r="BB32" s="138">
        <f>B237</f>
        <v>1</v>
      </c>
      <c r="BD32" s="52" t="s">
        <v>54</v>
      </c>
      <c r="BE32" s="138">
        <f>B237</f>
        <v>1</v>
      </c>
      <c r="BJ32" s="52" t="s">
        <v>300</v>
      </c>
      <c r="BK32" s="136">
        <f>B281</f>
        <v>1.5699999999999999E-5</v>
      </c>
      <c r="BM32" s="52" t="s">
        <v>300</v>
      </c>
      <c r="BN32" s="136">
        <f>B285</f>
        <v>1.35E-4</v>
      </c>
      <c r="BS32" s="91"/>
      <c r="BT32" s="99"/>
      <c r="BU32" s="100"/>
      <c r="BV32" s="95" t="s">
        <v>287</v>
      </c>
      <c r="BW32" s="176">
        <v>27.027027027027</v>
      </c>
      <c r="BX32" s="52" t="s">
        <v>288</v>
      </c>
      <c r="BZ32" s="138">
        <v>1000</v>
      </c>
      <c r="CA32" s="52" t="s">
        <v>99</v>
      </c>
      <c r="CB32" s="95" t="s">
        <v>287</v>
      </c>
      <c r="CC32" s="176">
        <v>27.027027027027</v>
      </c>
      <c r="CD32" s="52" t="s">
        <v>288</v>
      </c>
      <c r="CE32" s="95" t="s">
        <v>287</v>
      </c>
      <c r="CF32" s="176">
        <v>27.027027027027</v>
      </c>
      <c r="CG32" s="52" t="s">
        <v>288</v>
      </c>
      <c r="CM32" s="83"/>
      <c r="CN32" s="83" t="s">
        <v>22</v>
      </c>
      <c r="CO32" s="137">
        <f>0.693/CO33</f>
        <v>4.3312499999999997E-4</v>
      </c>
      <c r="CR32" s="83"/>
      <c r="CS32" s="83"/>
      <c r="CT32" s="83" t="s">
        <v>465</v>
      </c>
      <c r="CU32" s="150">
        <f>B168</f>
        <v>350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176.8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2.75" customHeight="1" thickTop="1" x14ac:dyDescent="0.2">
      <c r="A33" s="83" t="s">
        <v>156</v>
      </c>
      <c r="B33" s="182">
        <v>1</v>
      </c>
      <c r="C33" s="83" t="s">
        <v>18</v>
      </c>
      <c r="D33" s="83" t="s">
        <v>267</v>
      </c>
      <c r="E33" s="136">
        <f>B5</f>
        <v>1</v>
      </c>
      <c r="F33" s="52" t="s">
        <v>344</v>
      </c>
      <c r="G33" s="52" t="s">
        <v>404</v>
      </c>
      <c r="H33" s="138">
        <f>B58</f>
        <v>0.71</v>
      </c>
      <c r="I33" s="52" t="s">
        <v>89</v>
      </c>
      <c r="J33" s="83" t="s">
        <v>379</v>
      </c>
      <c r="K33" s="141">
        <f>B53</f>
        <v>1</v>
      </c>
      <c r="L33" s="92" t="s">
        <v>60</v>
      </c>
      <c r="M33" s="52" t="s">
        <v>408</v>
      </c>
      <c r="N33" s="150">
        <f>B78</f>
        <v>1.752</v>
      </c>
      <c r="O33" s="52" t="s">
        <v>194</v>
      </c>
      <c r="P33" s="52" t="s">
        <v>408</v>
      </c>
      <c r="Q33" s="150">
        <f>B78</f>
        <v>1.752</v>
      </c>
      <c r="R33" s="52" t="s">
        <v>194</v>
      </c>
      <c r="V33" s="52" t="s">
        <v>247</v>
      </c>
      <c r="W33" s="139">
        <f>B6</f>
        <v>3.8043873993229303E-2</v>
      </c>
      <c r="X33" s="84" t="s">
        <v>39</v>
      </c>
      <c r="Y33" s="52" t="s">
        <v>247</v>
      </c>
      <c r="Z33" s="139">
        <f>B6</f>
        <v>3.8043873993229303E-2</v>
      </c>
      <c r="AA33" s="84" t="s">
        <v>39</v>
      </c>
      <c r="AB33" s="104" t="s">
        <v>103</v>
      </c>
      <c r="AC33" s="136"/>
      <c r="AD33" s="136"/>
      <c r="AE33" s="136"/>
      <c r="AF33" s="157">
        <f>B20</f>
        <v>776129.4078035407</v>
      </c>
      <c r="AG33" s="136"/>
      <c r="AH33" s="104" t="s">
        <v>78</v>
      </c>
      <c r="AI33" s="52" t="s">
        <v>57</v>
      </c>
      <c r="AJ33" s="136">
        <f>B250</f>
        <v>0</v>
      </c>
      <c r="AK33" s="52" t="s">
        <v>194</v>
      </c>
      <c r="AL33" s="52" t="s">
        <v>57</v>
      </c>
      <c r="AM33" s="136">
        <f>B250</f>
        <v>0</v>
      </c>
      <c r="AN33" s="52" t="s">
        <v>194</v>
      </c>
      <c r="AR33" s="52" t="s">
        <v>57</v>
      </c>
      <c r="AS33" s="136">
        <f>B262</f>
        <v>8</v>
      </c>
      <c r="AT33" s="52" t="s">
        <v>194</v>
      </c>
      <c r="AU33" s="52" t="s">
        <v>57</v>
      </c>
      <c r="AV33" s="136">
        <f>B262</f>
        <v>8</v>
      </c>
      <c r="AW33" s="52" t="s">
        <v>194</v>
      </c>
      <c r="BA33" s="52" t="s">
        <v>58</v>
      </c>
      <c r="BB33" s="136">
        <f>B238</f>
        <v>8</v>
      </c>
      <c r="BC33" s="52" t="s">
        <v>194</v>
      </c>
      <c r="BD33" s="52" t="s">
        <v>57</v>
      </c>
      <c r="BE33" s="136">
        <f>B238</f>
        <v>8</v>
      </c>
      <c r="BF33" s="52" t="s">
        <v>194</v>
      </c>
      <c r="BJ33" s="52" t="s">
        <v>411</v>
      </c>
      <c r="BK33" s="136">
        <f>B282</f>
        <v>0.80900000000000005</v>
      </c>
      <c r="BM33" s="52" t="s">
        <v>418</v>
      </c>
      <c r="BN33" s="136">
        <f>B286</f>
        <v>0.71099999999999997</v>
      </c>
      <c r="BS33" s="91"/>
      <c r="BT33" s="99"/>
      <c r="BU33" s="100"/>
      <c r="BW33" s="90"/>
      <c r="BZ33" s="146">
        <v>1000</v>
      </c>
      <c r="CA33" s="52" t="s">
        <v>23</v>
      </c>
      <c r="CM33" s="83"/>
      <c r="CN33" s="91" t="s">
        <v>231</v>
      </c>
      <c r="CO33" s="136">
        <f>B18</f>
        <v>1600</v>
      </c>
      <c r="CP33" s="52" t="s">
        <v>60</v>
      </c>
      <c r="CR33" s="83"/>
      <c r="CS33" s="83"/>
      <c r="CT33" s="83" t="s">
        <v>363</v>
      </c>
      <c r="CU33" s="141">
        <f t="shared" ref="CU33:CU42" si="1">B170</f>
        <v>1</v>
      </c>
      <c r="CV33" s="92" t="s">
        <v>60</v>
      </c>
      <c r="CZ33" s="92" t="s">
        <v>513</v>
      </c>
      <c r="DA33" s="141">
        <f t="shared" si="0"/>
        <v>41.7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B82</f>
        <v>70</v>
      </c>
    </row>
    <row r="34" spans="1:214" ht="13.5" customHeight="1" x14ac:dyDescent="0.2">
      <c r="A34" s="84" t="s">
        <v>21</v>
      </c>
      <c r="B34" s="188">
        <f>5/27.027</f>
        <v>0.185000185000185</v>
      </c>
      <c r="C34" s="52" t="s">
        <v>291</v>
      </c>
      <c r="D34" s="83" t="s">
        <v>382</v>
      </c>
      <c r="E34" s="150">
        <f>B56</f>
        <v>350</v>
      </c>
      <c r="F34" s="83" t="s">
        <v>24</v>
      </c>
      <c r="G34" s="83" t="s">
        <v>383</v>
      </c>
      <c r="H34" s="150">
        <f>B59</f>
        <v>24</v>
      </c>
      <c r="I34" s="94" t="s">
        <v>194</v>
      </c>
      <c r="J34" s="83" t="s">
        <v>383</v>
      </c>
      <c r="K34" s="150">
        <f>B59</f>
        <v>24</v>
      </c>
      <c r="L34" s="94" t="s">
        <v>194</v>
      </c>
      <c r="M34" s="52" t="s">
        <v>410</v>
      </c>
      <c r="N34" s="139">
        <f>B11</f>
        <v>1.9522299999999999</v>
      </c>
      <c r="O34" s="84" t="s">
        <v>354</v>
      </c>
      <c r="P34" s="52" t="s">
        <v>419</v>
      </c>
      <c r="Q34" s="139">
        <f>B13</f>
        <v>5.52928</v>
      </c>
      <c r="R34" s="84" t="s">
        <v>353</v>
      </c>
      <c r="V34" s="52" t="s">
        <v>421</v>
      </c>
      <c r="W34" s="150">
        <f>B251</f>
        <v>8</v>
      </c>
      <c r="X34" s="84" t="s">
        <v>194</v>
      </c>
      <c r="Y34" s="52" t="s">
        <v>192</v>
      </c>
      <c r="Z34" s="150">
        <f>B274</f>
        <v>8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B21</f>
        <v>69557565.807898715</v>
      </c>
      <c r="AH34" s="104" t="s">
        <v>78</v>
      </c>
      <c r="AI34" s="52" t="s">
        <v>410</v>
      </c>
      <c r="AJ34" s="139">
        <f>B11</f>
        <v>1.9522299999999999</v>
      </c>
      <c r="AK34" s="84" t="s">
        <v>353</v>
      </c>
      <c r="AL34" s="52" t="s">
        <v>419</v>
      </c>
      <c r="AM34" s="139">
        <f>B13</f>
        <v>5.52928</v>
      </c>
      <c r="AN34" s="84" t="s">
        <v>353</v>
      </c>
      <c r="AR34" s="52" t="s">
        <v>410</v>
      </c>
      <c r="AS34" s="139">
        <f>B11</f>
        <v>1.9522299999999999</v>
      </c>
      <c r="AT34" s="84" t="s">
        <v>353</v>
      </c>
      <c r="AU34" s="52" t="s">
        <v>419</v>
      </c>
      <c r="AV34" s="139">
        <f>B13</f>
        <v>5.52928</v>
      </c>
      <c r="AW34" s="84" t="s">
        <v>353</v>
      </c>
      <c r="BA34" s="52" t="s">
        <v>410</v>
      </c>
      <c r="BB34" s="139">
        <f>B11</f>
        <v>1.9522299999999999</v>
      </c>
      <c r="BC34" s="84" t="s">
        <v>353</v>
      </c>
      <c r="BD34" s="52" t="s">
        <v>419</v>
      </c>
      <c r="BE34" s="139">
        <f>B13</f>
        <v>5.52928</v>
      </c>
      <c r="BF34" s="84" t="s">
        <v>353</v>
      </c>
      <c r="BJ34" s="52" t="s">
        <v>57</v>
      </c>
      <c r="BK34" s="136">
        <f>B274</f>
        <v>8</v>
      </c>
      <c r="BL34" s="52" t="s">
        <v>194</v>
      </c>
      <c r="BM34" s="52" t="s">
        <v>57</v>
      </c>
      <c r="BN34" s="136">
        <f>B274</f>
        <v>8</v>
      </c>
      <c r="BO34" s="52" t="s">
        <v>194</v>
      </c>
      <c r="BT34" s="102"/>
      <c r="BU34" s="91"/>
      <c r="BY34" s="91" t="s">
        <v>308</v>
      </c>
      <c r="BZ34" s="146">
        <f>B101</f>
        <v>0.23</v>
      </c>
      <c r="CM34" s="83"/>
      <c r="CN34" s="84" t="s">
        <v>16</v>
      </c>
      <c r="CO34" s="137">
        <f>(CO31*CO32)/(1-EXP(-CO32*CO31))</f>
        <v>1.0002165781331087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125.7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B33</f>
        <v>1</v>
      </c>
    </row>
    <row r="35" spans="1:214" ht="12.75" customHeight="1" x14ac:dyDescent="0.2">
      <c r="A35" s="52" t="s">
        <v>393</v>
      </c>
      <c r="B35" s="131">
        <v>0.26</v>
      </c>
      <c r="D35" s="83" t="s">
        <v>258</v>
      </c>
      <c r="E35" s="136">
        <f>B17</f>
        <v>1.67911012348351E-3</v>
      </c>
      <c r="F35" s="83" t="s">
        <v>87</v>
      </c>
      <c r="G35" s="83" t="s">
        <v>384</v>
      </c>
      <c r="H35" s="150">
        <f>B59</f>
        <v>24</v>
      </c>
      <c r="I35" s="52" t="s">
        <v>194</v>
      </c>
      <c r="J35" s="83" t="s">
        <v>384</v>
      </c>
      <c r="K35" s="150">
        <f>B59</f>
        <v>24</v>
      </c>
      <c r="L35" s="52" t="s">
        <v>194</v>
      </c>
      <c r="M35" s="52" t="s">
        <v>409</v>
      </c>
      <c r="N35" s="150">
        <f>B79</f>
        <v>16.416</v>
      </c>
      <c r="O35" s="52" t="s">
        <v>194</v>
      </c>
      <c r="P35" s="52" t="s">
        <v>409</v>
      </c>
      <c r="Q35" s="150">
        <f>B79</f>
        <v>16.416</v>
      </c>
      <c r="R35" s="52" t="s">
        <v>194</v>
      </c>
      <c r="V35" s="52" t="s">
        <v>304</v>
      </c>
      <c r="W35" s="146">
        <f>B242</f>
        <v>60</v>
      </c>
      <c r="X35" s="84" t="s">
        <v>407</v>
      </c>
      <c r="Y35" s="52" t="s">
        <v>348</v>
      </c>
      <c r="Z35" s="146">
        <f>B266</f>
        <v>60</v>
      </c>
      <c r="AA35" s="84" t="s">
        <v>407</v>
      </c>
      <c r="AB35" s="95" t="s">
        <v>287</v>
      </c>
      <c r="AC35" s="176">
        <v>27.027027027027</v>
      </c>
      <c r="AD35" s="176">
        <v>27.027027027027</v>
      </c>
      <c r="AE35" s="176">
        <v>27.027027027027</v>
      </c>
      <c r="AF35" s="176">
        <v>27.027027027027</v>
      </c>
      <c r="AG35" s="176">
        <v>27.027027027027</v>
      </c>
      <c r="AH35" s="52" t="s">
        <v>288</v>
      </c>
      <c r="AI35" s="52" t="s">
        <v>69</v>
      </c>
      <c r="AJ35" s="136">
        <f>B251</f>
        <v>8</v>
      </c>
      <c r="AK35" s="52" t="s">
        <v>194</v>
      </c>
      <c r="AL35" s="52" t="s">
        <v>69</v>
      </c>
      <c r="AM35" s="136">
        <f>B251</f>
        <v>8</v>
      </c>
      <c r="AN35" s="52" t="s">
        <v>194</v>
      </c>
      <c r="AR35" s="52" t="s">
        <v>69</v>
      </c>
      <c r="AS35" s="136">
        <f>B263</f>
        <v>0</v>
      </c>
      <c r="AT35" s="52" t="s">
        <v>194</v>
      </c>
      <c r="AU35" s="52" t="s">
        <v>69</v>
      </c>
      <c r="AV35" s="136">
        <f>B263</f>
        <v>0</v>
      </c>
      <c r="AW35" s="52" t="s">
        <v>194</v>
      </c>
      <c r="BA35" s="52" t="s">
        <v>69</v>
      </c>
      <c r="BB35" s="136">
        <f>B239</f>
        <v>8</v>
      </c>
      <c r="BC35" s="52" t="s">
        <v>194</v>
      </c>
      <c r="BD35" s="52" t="s">
        <v>69</v>
      </c>
      <c r="BE35" s="136">
        <f>B239</f>
        <v>8</v>
      </c>
      <c r="BF35" s="52" t="s">
        <v>194</v>
      </c>
      <c r="BJ35" s="52" t="s">
        <v>410</v>
      </c>
      <c r="BK35" s="139">
        <f>B11</f>
        <v>1.9522299999999999</v>
      </c>
      <c r="BL35" s="84" t="s">
        <v>353</v>
      </c>
      <c r="BM35" s="52" t="s">
        <v>419</v>
      </c>
      <c r="BN35" s="139">
        <f>B13</f>
        <v>5.52928</v>
      </c>
      <c r="BO35" s="84" t="s">
        <v>353</v>
      </c>
      <c r="BY35" s="91" t="s">
        <v>309</v>
      </c>
      <c r="BZ35" s="146">
        <f>B102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B167</f>
        <v>350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B65</f>
        <v>0.5</v>
      </c>
      <c r="HF35" s="52" t="s">
        <v>355</v>
      </c>
    </row>
    <row r="36" spans="1:214" ht="12.75" customHeight="1" x14ac:dyDescent="0.2">
      <c r="A36" s="52" t="s">
        <v>392</v>
      </c>
      <c r="B36" s="131">
        <v>0.25</v>
      </c>
      <c r="D36" s="83" t="s">
        <v>389</v>
      </c>
      <c r="E36" s="146">
        <f>B80</f>
        <v>1</v>
      </c>
      <c r="G36" s="83" t="s">
        <v>405</v>
      </c>
      <c r="H36" s="138">
        <f>B66</f>
        <v>1</v>
      </c>
      <c r="I36" s="52" t="s">
        <v>80</v>
      </c>
      <c r="J36" s="83" t="s">
        <v>390</v>
      </c>
      <c r="K36" s="141">
        <f>B68</f>
        <v>0.25</v>
      </c>
      <c r="M36" s="95" t="s">
        <v>287</v>
      </c>
      <c r="N36" s="176">
        <v>27.027027027027</v>
      </c>
      <c r="O36" s="52" t="s">
        <v>288</v>
      </c>
      <c r="P36" s="95" t="s">
        <v>287</v>
      </c>
      <c r="Q36" s="176">
        <v>27.027027027027</v>
      </c>
      <c r="R36" s="52" t="s">
        <v>288</v>
      </c>
      <c r="V36" s="83" t="s">
        <v>256</v>
      </c>
      <c r="W36" s="136">
        <f>B15</f>
        <v>15429.68</v>
      </c>
      <c r="X36" s="83" t="s">
        <v>343</v>
      </c>
      <c r="Y36" s="83" t="s">
        <v>256</v>
      </c>
      <c r="Z36" s="136">
        <f>B15</f>
        <v>15429.68</v>
      </c>
      <c r="AA36" s="83" t="s">
        <v>343</v>
      </c>
      <c r="AE36" s="352" t="s">
        <v>226</v>
      </c>
      <c r="AF36" s="352"/>
      <c r="AG36" s="352"/>
      <c r="AI36" s="95" t="s">
        <v>287</v>
      </c>
      <c r="AJ36" s="176">
        <v>27.027027027027</v>
      </c>
      <c r="AK36" s="52" t="s">
        <v>288</v>
      </c>
      <c r="AL36" s="95" t="s">
        <v>287</v>
      </c>
      <c r="AM36" s="176">
        <v>27.027027027027</v>
      </c>
      <c r="AN36" s="52" t="s">
        <v>288</v>
      </c>
      <c r="AR36" s="95" t="s">
        <v>287</v>
      </c>
      <c r="AS36" s="176">
        <v>27.027027027027</v>
      </c>
      <c r="AT36" s="52" t="s">
        <v>288</v>
      </c>
      <c r="AU36" s="95" t="s">
        <v>287</v>
      </c>
      <c r="AV36" s="176">
        <v>27.027027027027</v>
      </c>
      <c r="AW36" s="52" t="s">
        <v>288</v>
      </c>
      <c r="BA36" s="95" t="s">
        <v>287</v>
      </c>
      <c r="BB36" s="176">
        <v>27.027027027027</v>
      </c>
      <c r="BC36" s="52" t="s">
        <v>288</v>
      </c>
      <c r="BD36" s="95" t="s">
        <v>287</v>
      </c>
      <c r="BE36" s="176">
        <v>27.027027027027</v>
      </c>
      <c r="BF36" s="52" t="s">
        <v>288</v>
      </c>
      <c r="BJ36" s="95" t="s">
        <v>287</v>
      </c>
      <c r="BK36" s="176">
        <v>27.027027027027</v>
      </c>
      <c r="BL36" s="52" t="s">
        <v>288</v>
      </c>
      <c r="BM36" s="95" t="s">
        <v>287</v>
      </c>
      <c r="BN36" s="176">
        <v>27.027027027027</v>
      </c>
      <c r="BO36" s="52" t="s">
        <v>288</v>
      </c>
      <c r="BS36" s="100"/>
      <c r="BT36" s="100"/>
      <c r="BU36" s="91"/>
      <c r="BY36" s="95" t="s">
        <v>287</v>
      </c>
      <c r="BZ36" s="176">
        <v>27.027027027027</v>
      </c>
      <c r="CA36" s="52" t="s">
        <v>288</v>
      </c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B168</f>
        <v>350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B87</f>
        <v>5</v>
      </c>
      <c r="HF36" s="52" t="s">
        <v>94</v>
      </c>
    </row>
    <row r="37" spans="1:214" ht="12.75" customHeight="1" x14ac:dyDescent="0.2">
      <c r="A37" s="381" t="s">
        <v>2</v>
      </c>
      <c r="B37" s="382"/>
      <c r="C37" s="383"/>
      <c r="D37" s="83" t="s">
        <v>394</v>
      </c>
      <c r="E37" s="146">
        <f>B44</f>
        <v>54</v>
      </c>
      <c r="F37" s="52" t="s">
        <v>48</v>
      </c>
      <c r="G37" s="83" t="s">
        <v>406</v>
      </c>
      <c r="H37" s="138">
        <f>B67</f>
        <v>1</v>
      </c>
      <c r="I37" s="52" t="s">
        <v>80</v>
      </c>
      <c r="J37" s="83" t="s">
        <v>408</v>
      </c>
      <c r="K37" s="150">
        <f>B78</f>
        <v>1.752</v>
      </c>
      <c r="L37" s="84" t="s">
        <v>194</v>
      </c>
      <c r="V37" s="83" t="s">
        <v>301</v>
      </c>
      <c r="W37" s="142">
        <f>B246</f>
        <v>1</v>
      </c>
      <c r="Y37" s="83" t="s">
        <v>301</v>
      </c>
      <c r="Z37" s="142">
        <f>B270</f>
        <v>1</v>
      </c>
      <c r="AE37" s="352"/>
      <c r="AF37" s="352"/>
      <c r="AG37" s="352"/>
      <c r="BS37" s="91"/>
      <c r="BT37" s="91"/>
      <c r="BU37" s="91"/>
      <c r="BZ37" s="90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12.167999999999999</v>
      </c>
      <c r="CV37" s="84" t="s">
        <v>194</v>
      </c>
      <c r="CZ37" s="92" t="s">
        <v>363</v>
      </c>
      <c r="DA37" s="141">
        <f>B170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2.75" customHeight="1" x14ac:dyDescent="0.2">
      <c r="A38" s="83" t="s">
        <v>366</v>
      </c>
      <c r="B38" s="130">
        <v>10</v>
      </c>
      <c r="C38" s="92" t="s">
        <v>407</v>
      </c>
      <c r="D38" s="83" t="s">
        <v>260</v>
      </c>
      <c r="E38" s="152">
        <f>(E33/(E35*E34*E37*E36))/E39</f>
        <v>1.1658984900945869E-3</v>
      </c>
      <c r="F38" s="84" t="s">
        <v>290</v>
      </c>
      <c r="H38" s="138">
        <f>1/1000</f>
        <v>1E-3</v>
      </c>
      <c r="I38" s="52" t="s">
        <v>82</v>
      </c>
      <c r="J38" s="83" t="s">
        <v>409</v>
      </c>
      <c r="K38" s="150">
        <f>B79</f>
        <v>16.416</v>
      </c>
      <c r="L38" s="84" t="s">
        <v>194</v>
      </c>
      <c r="V38" s="52" t="s">
        <v>261</v>
      </c>
      <c r="W38" s="143">
        <f>((W27)/((W34/24)*W31*W32*W33*W35))/W42</f>
        <v>1.9451226237677562E-4</v>
      </c>
      <c r="X38" s="52" t="s">
        <v>15</v>
      </c>
      <c r="Y38" s="52" t="s">
        <v>261</v>
      </c>
      <c r="Z38" s="143">
        <f>((Z27)/((Z34/24)*Z31*Z32*Z33*Z35))/Z42</f>
        <v>1.0514176344690563E-4</v>
      </c>
      <c r="AA38" s="52" t="s">
        <v>15</v>
      </c>
      <c r="AE38" s="352"/>
      <c r="AF38" s="352"/>
      <c r="AG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10.007999999999999</v>
      </c>
      <c r="CV38" s="84" t="s">
        <v>194</v>
      </c>
      <c r="CZ38" s="92" t="s">
        <v>364</v>
      </c>
      <c r="DA38" s="141">
        <f>B171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B88</f>
        <v>0.18</v>
      </c>
      <c r="HF38" s="52" t="s">
        <v>355</v>
      </c>
    </row>
    <row r="39" spans="1:214" ht="15" customHeight="1" x14ac:dyDescent="0.2">
      <c r="A39" s="83" t="s">
        <v>367</v>
      </c>
      <c r="B39" s="130">
        <v>20</v>
      </c>
      <c r="C39" s="92" t="s">
        <v>407</v>
      </c>
      <c r="D39" s="95" t="s">
        <v>287</v>
      </c>
      <c r="E39" s="176">
        <v>27.027027027027</v>
      </c>
      <c r="F39" s="52" t="s">
        <v>288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((W27)/((W34/24)*W31*W36*(1/365)))/W42</f>
        <v>1.0503134219244999E-5</v>
      </c>
      <c r="X39" s="52" t="s">
        <v>15</v>
      </c>
      <c r="Y39" s="52" t="s">
        <v>271</v>
      </c>
      <c r="Z39" s="144">
        <f>((Z27)/((Z34/24)*Z31*Z36*(1/365)))/Z42</f>
        <v>5.6773698482405344E-6</v>
      </c>
      <c r="AA39" s="52" t="s">
        <v>15</v>
      </c>
      <c r="BK39" s="352" t="s">
        <v>230</v>
      </c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B172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B89</f>
        <v>55</v>
      </c>
      <c r="HF39" s="52" t="s">
        <v>97</v>
      </c>
    </row>
    <row r="40" spans="1:214" x14ac:dyDescent="0.2">
      <c r="A40" s="83" t="s">
        <v>368</v>
      </c>
      <c r="B40" s="130">
        <v>200</v>
      </c>
      <c r="C40" s="84" t="s">
        <v>48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((W27*W29*W28)/((W34/24)*(1-EXP(-W29*W32))*W33*W35*W31*W32))/W42</f>
        <v>1.945543894794279E-4</v>
      </c>
      <c r="X40" s="52" t="s">
        <v>16</v>
      </c>
      <c r="Y40" s="52" t="s">
        <v>261</v>
      </c>
      <c r="Z40" s="144">
        <f>((Z27*Z29*Z28)/((Z34/24)*(1-EXP(-Z29*Z32))*Z33*Z35*Z31*Z32))/Z42</f>
        <v>1.0516453485374471E-4</v>
      </c>
      <c r="AA40" s="52" t="s">
        <v>16</v>
      </c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0.4</v>
      </c>
      <c r="CZ40" s="92" t="s">
        <v>457</v>
      </c>
      <c r="DA40" s="141">
        <f>B181</f>
        <v>1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B90</f>
        <v>5</v>
      </c>
      <c r="HF40" s="52" t="s">
        <v>97</v>
      </c>
    </row>
    <row r="41" spans="1:214" ht="13.5" thickBot="1" x14ac:dyDescent="0.25">
      <c r="A41" s="83" t="s">
        <v>369</v>
      </c>
      <c r="B41" s="130">
        <v>100</v>
      </c>
      <c r="C41" s="84" t="s">
        <v>48</v>
      </c>
      <c r="E41" s="138"/>
      <c r="G41" s="83" t="s">
        <v>390</v>
      </c>
      <c r="H41" s="141">
        <f>B68</f>
        <v>0.25</v>
      </c>
      <c r="I41" s="84"/>
      <c r="J41" s="83" t="s">
        <v>302</v>
      </c>
      <c r="K41" s="141">
        <v>1</v>
      </c>
      <c r="V41" s="52" t="s">
        <v>271</v>
      </c>
      <c r="W41" s="145">
        <f>((W27*W29*W28)/((W34/24)*(1-EXP(-W29*W28))*W36*W31*(1/365)))/W42</f>
        <v>1.0505408968445992E-5</v>
      </c>
      <c r="X41" s="52" t="s">
        <v>16</v>
      </c>
      <c r="Y41" s="52" t="s">
        <v>271</v>
      </c>
      <c r="Z41" s="145">
        <f>((Z27*Z29*Z28)/((Z34/24)*(1-EXP(-Z29*Z28))*Z36*Z31*(1/365)))/Z42</f>
        <v>5.678599442403233E-6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41">
        <f t="shared" si="1"/>
        <v>1</v>
      </c>
      <c r="CZ41" s="92" t="s">
        <v>466</v>
      </c>
      <c r="DA41" s="141">
        <f>B182</f>
        <v>1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B91</f>
        <v>5</v>
      </c>
      <c r="HF41" s="52" t="s">
        <v>97</v>
      </c>
    </row>
    <row r="42" spans="1:214" ht="19.5" thickTop="1" thickBot="1" x14ac:dyDescent="0.25">
      <c r="A42" s="83" t="s">
        <v>370</v>
      </c>
      <c r="B42" s="130">
        <v>0.78</v>
      </c>
      <c r="C42" s="83" t="s">
        <v>28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41">
        <v>1</v>
      </c>
      <c r="V42" s="95" t="s">
        <v>287</v>
      </c>
      <c r="W42" s="176">
        <v>27.027027027027</v>
      </c>
      <c r="X42" s="52" t="s">
        <v>288</v>
      </c>
      <c r="Y42" s="52" t="s">
        <v>220</v>
      </c>
      <c r="Z42" s="138">
        <f>B278</f>
        <v>50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41">
        <f t="shared" si="1"/>
        <v>1</v>
      </c>
      <c r="CW42" s="84"/>
      <c r="CX42" s="84"/>
      <c r="CY42" s="84"/>
      <c r="CZ42" s="52" t="s">
        <v>477</v>
      </c>
      <c r="DA42" s="141">
        <f>B183</f>
        <v>0.54</v>
      </c>
      <c r="DB42" s="92" t="s">
        <v>358</v>
      </c>
      <c r="DW42" s="88"/>
      <c r="DX42" s="88"/>
      <c r="DY42" s="88"/>
      <c r="DZ42" s="88"/>
      <c r="HD42" s="52" t="s">
        <v>225</v>
      </c>
      <c r="HE42" s="138">
        <f>1+((HE35*HE36*HE37)/(HE38*HE39))</f>
        <v>3.1605966718331597</v>
      </c>
    </row>
    <row r="43" spans="1:214" x14ac:dyDescent="0.2">
      <c r="A43" s="83" t="s">
        <v>371</v>
      </c>
      <c r="B43" s="130">
        <v>2.5</v>
      </c>
      <c r="C43" s="52" t="s">
        <v>28</v>
      </c>
      <c r="D43" s="323" t="s">
        <v>530</v>
      </c>
      <c r="E43" s="347">
        <f>E53</f>
        <v>0.2914746225236467</v>
      </c>
      <c r="F43" s="345" t="s">
        <v>291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Y43" s="52" t="s">
        <v>219</v>
      </c>
      <c r="Z43" s="138">
        <f>B277</f>
        <v>5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B184</f>
        <v>0.71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83" t="s">
        <v>310</v>
      </c>
      <c r="B44" s="130">
        <v>54</v>
      </c>
      <c r="C44" s="52" t="s">
        <v>48</v>
      </c>
      <c r="D44" s="324"/>
      <c r="E44" s="348"/>
      <c r="F44" s="346"/>
      <c r="G44" s="52" t="s">
        <v>19</v>
      </c>
      <c r="H44" s="136">
        <f>H46</f>
        <v>1.4800000000000001E-2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5.75" thickTop="1" x14ac:dyDescent="0.2">
      <c r="A45" s="83" t="s">
        <v>372</v>
      </c>
      <c r="B45" s="130">
        <v>68.099999999999994</v>
      </c>
      <c r="C45" s="92" t="s">
        <v>221</v>
      </c>
      <c r="D45" s="83" t="s">
        <v>267</v>
      </c>
      <c r="E45" s="136">
        <f>B5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Y45" s="95" t="s">
        <v>287</v>
      </c>
      <c r="Z45" s="176">
        <v>27.027027027027</v>
      </c>
      <c r="AA45" s="52" t="s">
        <v>288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B185</f>
        <v>0.5</v>
      </c>
      <c r="DB45" s="92" t="s">
        <v>145</v>
      </c>
      <c r="DW45" s="88"/>
      <c r="DX45" s="88"/>
      <c r="DY45" s="88"/>
      <c r="DZ45" s="88"/>
    </row>
    <row r="46" spans="1:214" ht="13.5" customHeight="1" x14ac:dyDescent="0.2">
      <c r="A46" s="83" t="s">
        <v>373</v>
      </c>
      <c r="B46" s="130">
        <v>188.5</v>
      </c>
      <c r="C46" s="92" t="s">
        <v>221</v>
      </c>
      <c r="D46" s="83" t="s">
        <v>382</v>
      </c>
      <c r="E46" s="150">
        <f>B56</f>
        <v>350</v>
      </c>
      <c r="F46" s="83" t="s">
        <v>24</v>
      </c>
      <c r="G46" s="84" t="s">
        <v>32</v>
      </c>
      <c r="H46" s="139">
        <f>B31</f>
        <v>1.4800000000000001E-2</v>
      </c>
      <c r="K46" s="146">
        <v>1000</v>
      </c>
      <c r="L46" s="52" t="s">
        <v>23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83" t="s">
        <v>374</v>
      </c>
      <c r="B47" s="130">
        <v>41.7</v>
      </c>
      <c r="C47" s="92" t="s">
        <v>221</v>
      </c>
      <c r="D47" s="83" t="s">
        <v>258</v>
      </c>
      <c r="E47" s="136">
        <f>B17</f>
        <v>1.67911012348351E-3</v>
      </c>
      <c r="F47" s="83" t="s">
        <v>87</v>
      </c>
      <c r="G47" s="83" t="s">
        <v>393</v>
      </c>
      <c r="H47" s="142">
        <f>B35</f>
        <v>0.26</v>
      </c>
      <c r="J47" s="52" t="s">
        <v>19</v>
      </c>
      <c r="K47" s="136">
        <f>K49</f>
        <v>1.4800000000000001E-2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B165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83" t="s">
        <v>375</v>
      </c>
      <c r="B48" s="130">
        <v>128.9</v>
      </c>
      <c r="C48" s="92" t="s">
        <v>221</v>
      </c>
      <c r="D48" s="83" t="s">
        <v>379</v>
      </c>
      <c r="E48" s="146">
        <f>B53</f>
        <v>1</v>
      </c>
      <c r="F48" s="52" t="s">
        <v>60</v>
      </c>
      <c r="G48" s="52" t="s">
        <v>17</v>
      </c>
      <c r="H48" s="137">
        <f>((H51*H52*H53)*((1-EXP(-H54*H55))))/(H56*H54)</f>
        <v>0.52579260245651049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B166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83" t="s">
        <v>376</v>
      </c>
      <c r="B49" s="130">
        <v>0.23</v>
      </c>
      <c r="D49" s="83" t="s">
        <v>394</v>
      </c>
      <c r="E49" s="146">
        <f>B44</f>
        <v>54</v>
      </c>
      <c r="F49" s="52" t="s">
        <v>48</v>
      </c>
      <c r="G49" s="52" t="s">
        <v>25</v>
      </c>
      <c r="H49" s="137">
        <f>(H51*H52*H57*((1-EXP(-H54*H55))))/(H56*H54)</f>
        <v>9.2368970701819411</v>
      </c>
      <c r="I49" s="52" t="s">
        <v>18</v>
      </c>
      <c r="J49" s="84" t="s">
        <v>32</v>
      </c>
      <c r="K49" s="139">
        <f>B31</f>
        <v>1.4800000000000001E-2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T49" s="95" t="s">
        <v>287</v>
      </c>
      <c r="CU49" s="176">
        <v>27.027027027027</v>
      </c>
      <c r="CV49" s="52" t="s">
        <v>288</v>
      </c>
      <c r="CZ49" s="83" t="s">
        <v>475</v>
      </c>
      <c r="DA49" s="146">
        <f>B165</f>
        <v>0.15</v>
      </c>
      <c r="DW49" s="88"/>
      <c r="DX49" s="88"/>
      <c r="DY49" s="88"/>
      <c r="DZ49" s="88"/>
    </row>
    <row r="50" spans="1:130" x14ac:dyDescent="0.2">
      <c r="A50" s="83" t="s">
        <v>377</v>
      </c>
      <c r="B50" s="130">
        <v>0.77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3.6423470278489711</v>
      </c>
      <c r="I50" s="52" t="s">
        <v>18</v>
      </c>
      <c r="J50" s="83" t="s">
        <v>393</v>
      </c>
      <c r="K50" s="142">
        <f>B35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Z50" s="83" t="s">
        <v>476</v>
      </c>
      <c r="DA50" s="146">
        <f>B166</f>
        <v>0.85</v>
      </c>
      <c r="DW50" s="88"/>
      <c r="DX50" s="88"/>
      <c r="DY50" s="88"/>
      <c r="DZ50" s="88"/>
    </row>
    <row r="51" spans="1:130" x14ac:dyDescent="0.2">
      <c r="A51" s="52" t="s">
        <v>378</v>
      </c>
      <c r="B51" s="131">
        <v>1</v>
      </c>
      <c r="C51" s="52" t="s">
        <v>60</v>
      </c>
      <c r="D51" s="83" t="s">
        <v>105</v>
      </c>
      <c r="E51" s="150">
        <f>B23</f>
        <v>4</v>
      </c>
      <c r="F51" s="84" t="s">
        <v>18</v>
      </c>
      <c r="G51" s="83" t="s">
        <v>36</v>
      </c>
      <c r="H51" s="138">
        <f>B69</f>
        <v>3.62</v>
      </c>
      <c r="I51" s="52" t="s">
        <v>37</v>
      </c>
      <c r="J51" s="83" t="s">
        <v>376</v>
      </c>
      <c r="K51" s="146">
        <f>B49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CZ51" s="95" t="s">
        <v>287</v>
      </c>
      <c r="DA51" s="176">
        <v>27.027027027027</v>
      </c>
      <c r="DB51" s="52" t="s">
        <v>288</v>
      </c>
      <c r="DW51" s="88"/>
      <c r="DX51" s="88"/>
      <c r="DY51" s="88"/>
      <c r="DZ51" s="88"/>
    </row>
    <row r="52" spans="1:130" x14ac:dyDescent="0.2">
      <c r="A52" s="52" t="s">
        <v>448</v>
      </c>
      <c r="B52" s="131">
        <v>1</v>
      </c>
      <c r="C52" s="52" t="s">
        <v>60</v>
      </c>
      <c r="D52" s="83" t="s">
        <v>107</v>
      </c>
      <c r="E52" s="138">
        <f>B64</f>
        <v>1</v>
      </c>
      <c r="F52" s="84" t="s">
        <v>108</v>
      </c>
      <c r="G52" s="83" t="s">
        <v>40</v>
      </c>
      <c r="H52" s="138">
        <f>B70</f>
        <v>0.25</v>
      </c>
      <c r="I52" s="52" t="s">
        <v>41</v>
      </c>
      <c r="J52" s="83" t="s">
        <v>377</v>
      </c>
      <c r="K52" s="146">
        <f>B50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DW52" s="88"/>
      <c r="DX52" s="88"/>
      <c r="DY52" s="88"/>
      <c r="DZ52" s="88"/>
    </row>
    <row r="53" spans="1:130" x14ac:dyDescent="0.2">
      <c r="A53" s="52" t="s">
        <v>379</v>
      </c>
      <c r="B53" s="131">
        <v>1</v>
      </c>
      <c r="C53" s="52" t="s">
        <v>60</v>
      </c>
      <c r="D53" s="83" t="s">
        <v>260</v>
      </c>
      <c r="E53" s="152">
        <f>(E45/(E47*E46*E48*E49*E51*E52*(1/E50)))/E54</f>
        <v>0.2914746225236467</v>
      </c>
      <c r="F53" s="52" t="s">
        <v>291</v>
      </c>
      <c r="G53" s="92" t="s">
        <v>32</v>
      </c>
      <c r="H53" s="136">
        <f>B31</f>
        <v>1.4800000000000001E-2</v>
      </c>
      <c r="J53" s="95" t="s">
        <v>287</v>
      </c>
      <c r="K53" s="176">
        <v>27.027027027027</v>
      </c>
      <c r="L53" s="52" t="s">
        <v>288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52" t="s">
        <v>380</v>
      </c>
      <c r="B54" s="131">
        <v>350</v>
      </c>
      <c r="C54" s="83" t="s">
        <v>24</v>
      </c>
      <c r="D54" s="95" t="s">
        <v>287</v>
      </c>
      <c r="E54" s="176">
        <v>27.027027027027</v>
      </c>
      <c r="F54" s="52" t="s">
        <v>288</v>
      </c>
      <c r="G54" s="92" t="s">
        <v>49</v>
      </c>
      <c r="H54" s="137">
        <f>H62+H63</f>
        <v>2.8186643835616437E-5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52" t="s">
        <v>381</v>
      </c>
      <c r="B55" s="131">
        <v>350</v>
      </c>
      <c r="C55" s="83" t="s">
        <v>24</v>
      </c>
      <c r="G55" s="92" t="s">
        <v>52</v>
      </c>
      <c r="H55" s="138">
        <f>B71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52" t="s">
        <v>382</v>
      </c>
      <c r="B56" s="131">
        <v>350</v>
      </c>
      <c r="C56" s="83" t="s">
        <v>24</v>
      </c>
      <c r="G56" s="92" t="s">
        <v>55</v>
      </c>
      <c r="H56" s="138">
        <f>B72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52" t="s">
        <v>403</v>
      </c>
      <c r="B57" s="131">
        <v>0.54</v>
      </c>
      <c r="C57" s="52" t="s">
        <v>89</v>
      </c>
      <c r="G57" s="92" t="s">
        <v>393</v>
      </c>
      <c r="H57" s="138">
        <f>B35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52" t="s">
        <v>404</v>
      </c>
      <c r="B58" s="131">
        <v>0.71</v>
      </c>
      <c r="C58" s="52" t="s">
        <v>89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52" t="s">
        <v>385</v>
      </c>
      <c r="B59" s="131">
        <v>24</v>
      </c>
      <c r="C59" s="52" t="s">
        <v>194</v>
      </c>
      <c r="G59" s="92" t="s">
        <v>63</v>
      </c>
      <c r="H59" s="151">
        <f>H63+(0.693/H65)</f>
        <v>4.9501186643835612E-2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52" t="s">
        <v>318</v>
      </c>
      <c r="B60" s="131">
        <v>1</v>
      </c>
      <c r="G60" s="92" t="s">
        <v>67</v>
      </c>
      <c r="H60" s="142">
        <f>B73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52" t="s">
        <v>303</v>
      </c>
      <c r="B61" s="131">
        <v>0.4</v>
      </c>
      <c r="G61" s="92" t="s">
        <v>68</v>
      </c>
      <c r="H61" s="142">
        <f>B74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52" t="s">
        <v>302</v>
      </c>
      <c r="B62" s="131">
        <v>1</v>
      </c>
      <c r="G62" s="92" t="s">
        <v>70</v>
      </c>
      <c r="H62" s="138">
        <f>B75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386</v>
      </c>
      <c r="B63" s="131">
        <v>1</v>
      </c>
      <c r="G63" s="92" t="s">
        <v>71</v>
      </c>
      <c r="H63" s="137">
        <f>0.693/H67</f>
        <v>1.1866438356164383E-6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83" t="s">
        <v>107</v>
      </c>
      <c r="B64" s="131">
        <v>1</v>
      </c>
      <c r="C64" s="84" t="s">
        <v>108</v>
      </c>
      <c r="G64" s="92" t="s">
        <v>73</v>
      </c>
      <c r="H64" s="138">
        <f>B76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65</v>
      </c>
      <c r="B65" s="131">
        <v>0.5</v>
      </c>
      <c r="C65" s="52" t="s">
        <v>66</v>
      </c>
      <c r="G65" s="92" t="s">
        <v>74</v>
      </c>
      <c r="H65" s="138">
        <f>B77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79</v>
      </c>
      <c r="B66" s="131">
        <v>1</v>
      </c>
      <c r="C66" s="52" t="s">
        <v>80</v>
      </c>
      <c r="G66" s="52" t="s">
        <v>33</v>
      </c>
      <c r="H66" s="136">
        <f>B32</f>
        <v>1.7000000000000001E-2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81</v>
      </c>
      <c r="B67" s="131">
        <v>1</v>
      </c>
      <c r="C67" s="52" t="s">
        <v>80</v>
      </c>
      <c r="G67" s="83" t="s">
        <v>234</v>
      </c>
      <c r="H67" s="136">
        <f>B22</f>
        <v>584000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390</v>
      </c>
      <c r="B68" s="131">
        <v>0.25</v>
      </c>
      <c r="G68" s="83" t="s">
        <v>376</v>
      </c>
      <c r="H68" s="146">
        <f>B49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83" t="s">
        <v>36</v>
      </c>
      <c r="B69" s="131">
        <v>3.62</v>
      </c>
      <c r="C69" s="52" t="s">
        <v>37</v>
      </c>
      <c r="G69" s="83" t="s">
        <v>377</v>
      </c>
      <c r="H69" s="146">
        <f>B50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83" t="s">
        <v>40</v>
      </c>
      <c r="B70" s="131">
        <v>0.25</v>
      </c>
      <c r="C70" s="52" t="s">
        <v>41</v>
      </c>
      <c r="G70" s="95" t="s">
        <v>287</v>
      </c>
      <c r="H70" s="176">
        <v>27.027027027027</v>
      </c>
      <c r="I70" s="52" t="s">
        <v>288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92" t="s">
        <v>52</v>
      </c>
      <c r="B71" s="131">
        <v>10950</v>
      </c>
      <c r="C71" s="52" t="s">
        <v>53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92" t="s">
        <v>55</v>
      </c>
      <c r="B72" s="131">
        <v>240</v>
      </c>
      <c r="C72" s="52" t="s">
        <v>56</v>
      </c>
      <c r="AF72" s="109"/>
      <c r="AG72" s="106"/>
      <c r="AH72" s="106"/>
      <c r="AI72" s="106"/>
      <c r="AJ72" s="106"/>
      <c r="AK72" s="106"/>
    </row>
    <row r="73" spans="1:105" x14ac:dyDescent="0.2">
      <c r="A73" s="92" t="s">
        <v>67</v>
      </c>
      <c r="B73" s="131">
        <v>60</v>
      </c>
      <c r="C73" s="83" t="s">
        <v>53</v>
      </c>
      <c r="AF73" s="109"/>
      <c r="AG73" s="106"/>
      <c r="AH73" s="106"/>
      <c r="AI73" s="106"/>
      <c r="AJ73" s="106"/>
      <c r="AK73" s="106"/>
    </row>
    <row r="74" spans="1:105" x14ac:dyDescent="0.2">
      <c r="A74" s="92" t="s">
        <v>68</v>
      </c>
      <c r="B74" s="131">
        <v>2</v>
      </c>
      <c r="C74" s="83" t="s">
        <v>56</v>
      </c>
      <c r="AF74" s="109"/>
      <c r="AG74" s="106"/>
      <c r="AH74" s="106"/>
      <c r="AI74" s="106"/>
      <c r="AJ74" s="106"/>
      <c r="AK74" s="106"/>
    </row>
    <row r="75" spans="1:105" x14ac:dyDescent="0.2">
      <c r="A75" s="92" t="s">
        <v>70</v>
      </c>
      <c r="B75" s="131">
        <v>2.6999999999999999E-5</v>
      </c>
      <c r="C75" s="52" t="s">
        <v>64</v>
      </c>
      <c r="AF75" s="108"/>
      <c r="AG75" s="106"/>
      <c r="AH75" s="106"/>
      <c r="AI75" s="106"/>
      <c r="AJ75" s="106"/>
      <c r="AK75" s="106"/>
    </row>
    <row r="76" spans="1:105" x14ac:dyDescent="0.2">
      <c r="A76" s="92" t="s">
        <v>73</v>
      </c>
      <c r="B76" s="131">
        <v>1</v>
      </c>
      <c r="C76" s="52" t="s">
        <v>41</v>
      </c>
      <c r="AF76" s="109"/>
      <c r="AG76" s="106"/>
      <c r="AH76" s="106"/>
      <c r="AI76" s="106"/>
      <c r="AJ76" s="106"/>
      <c r="AK76" s="106"/>
    </row>
    <row r="77" spans="1:105" x14ac:dyDescent="0.2">
      <c r="A77" s="92" t="s">
        <v>74</v>
      </c>
      <c r="B77" s="131">
        <v>14</v>
      </c>
      <c r="C77" s="52" t="s">
        <v>75</v>
      </c>
      <c r="AF77" s="109"/>
      <c r="AG77" s="106"/>
      <c r="AH77" s="106"/>
      <c r="AI77" s="106"/>
      <c r="AJ77" s="106"/>
      <c r="AK77" s="106"/>
    </row>
    <row r="78" spans="1:105" x14ac:dyDescent="0.2">
      <c r="A78" s="83" t="s">
        <v>408</v>
      </c>
      <c r="B78" s="130">
        <v>1.752</v>
      </c>
      <c r="C78" s="84" t="s">
        <v>194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409</v>
      </c>
      <c r="B79" s="130">
        <v>16.416</v>
      </c>
      <c r="C79" s="84" t="s">
        <v>194</v>
      </c>
      <c r="AF79" s="109"/>
      <c r="AG79" s="106"/>
    </row>
    <row r="80" spans="1:105" x14ac:dyDescent="0.2">
      <c r="A80" s="83" t="s">
        <v>389</v>
      </c>
      <c r="B80" s="130">
        <v>1</v>
      </c>
      <c r="C80" s="84"/>
      <c r="AF80" s="109"/>
      <c r="AG80" s="106"/>
      <c r="AH80" s="106"/>
      <c r="AI80" s="106"/>
      <c r="AJ80" s="106"/>
      <c r="AK80" s="106"/>
    </row>
    <row r="81" spans="1:37" x14ac:dyDescent="0.2">
      <c r="A81" s="385" t="s">
        <v>387</v>
      </c>
      <c r="B81" s="385"/>
      <c r="C81" s="385"/>
      <c r="AF81" s="109"/>
      <c r="AG81" s="106"/>
      <c r="AH81" s="106"/>
      <c r="AI81" s="106"/>
      <c r="AJ81" s="106"/>
      <c r="AK81" s="106"/>
    </row>
    <row r="82" spans="1:37" x14ac:dyDescent="0.2">
      <c r="A82" s="52" t="s">
        <v>34</v>
      </c>
      <c r="B82" s="131">
        <v>70</v>
      </c>
      <c r="C82" s="52" t="s">
        <v>60</v>
      </c>
      <c r="AF82" s="109"/>
      <c r="AG82" s="106"/>
      <c r="AH82" s="106"/>
      <c r="AI82" s="106"/>
      <c r="AJ82" s="106"/>
      <c r="AK82" s="106"/>
    </row>
    <row r="83" spans="1:37" x14ac:dyDescent="0.2">
      <c r="A83" s="84" t="s">
        <v>38</v>
      </c>
      <c r="B83" s="131">
        <v>0.3</v>
      </c>
      <c r="C83" s="52" t="s">
        <v>391</v>
      </c>
      <c r="AF83" s="109"/>
      <c r="AG83" s="106"/>
      <c r="AH83" s="106"/>
      <c r="AI83" s="106"/>
      <c r="AJ83" s="106"/>
      <c r="AK83" s="106"/>
    </row>
    <row r="84" spans="1:37" x14ac:dyDescent="0.2">
      <c r="A84" s="84" t="s">
        <v>42</v>
      </c>
      <c r="B84" s="130">
        <v>1.5</v>
      </c>
      <c r="C84" s="52" t="s">
        <v>286</v>
      </c>
      <c r="AF84" s="108"/>
      <c r="AG84" s="106"/>
    </row>
    <row r="85" spans="1:37" x14ac:dyDescent="0.2">
      <c r="A85" s="84" t="s">
        <v>47</v>
      </c>
      <c r="B85" s="131">
        <v>1</v>
      </c>
      <c r="C85" s="52" t="s">
        <v>60</v>
      </c>
      <c r="AF85" s="108"/>
      <c r="AG85" s="106"/>
      <c r="AH85" s="106"/>
      <c r="AI85" s="106"/>
      <c r="AJ85" s="106"/>
      <c r="AK85" s="106"/>
    </row>
    <row r="86" spans="1:37" x14ac:dyDescent="0.2">
      <c r="A86" s="84" t="s">
        <v>225</v>
      </c>
      <c r="B86" s="130">
        <v>1</v>
      </c>
      <c r="AF86" s="108"/>
      <c r="AG86" s="106"/>
    </row>
    <row r="87" spans="1:37" x14ac:dyDescent="0.2">
      <c r="A87" s="52" t="s">
        <v>93</v>
      </c>
      <c r="B87" s="130">
        <v>5</v>
      </c>
      <c r="C87" s="52" t="s">
        <v>94</v>
      </c>
      <c r="AH87" s="108"/>
      <c r="AI87" s="108"/>
      <c r="AJ87" s="108"/>
      <c r="AK87" s="108"/>
    </row>
    <row r="88" spans="1:37" x14ac:dyDescent="0.2">
      <c r="A88" s="52" t="s">
        <v>98</v>
      </c>
      <c r="B88" s="130">
        <v>0.18</v>
      </c>
      <c r="C88" s="52" t="s">
        <v>355</v>
      </c>
    </row>
    <row r="89" spans="1:37" x14ac:dyDescent="0.2">
      <c r="A89" s="52" t="s">
        <v>100</v>
      </c>
      <c r="B89" s="130">
        <v>55</v>
      </c>
      <c r="C89" s="52" t="s">
        <v>97</v>
      </c>
    </row>
    <row r="90" spans="1:37" x14ac:dyDescent="0.2">
      <c r="A90" s="52" t="s">
        <v>101</v>
      </c>
      <c r="B90" s="130">
        <v>5</v>
      </c>
      <c r="C90" s="52" t="s">
        <v>97</v>
      </c>
    </row>
    <row r="91" spans="1:37" x14ac:dyDescent="0.2">
      <c r="A91" s="52" t="s">
        <v>102</v>
      </c>
      <c r="B91" s="130">
        <v>5</v>
      </c>
      <c r="C91" s="52" t="s">
        <v>97</v>
      </c>
    </row>
    <row r="92" spans="1:37" x14ac:dyDescent="0.2">
      <c r="A92" s="384" t="s">
        <v>5</v>
      </c>
      <c r="B92" s="384"/>
      <c r="C92" s="384"/>
    </row>
    <row r="93" spans="1:37" x14ac:dyDescent="0.2">
      <c r="A93" s="83" t="s">
        <v>429</v>
      </c>
      <c r="B93" s="131">
        <v>10</v>
      </c>
      <c r="C93" s="92" t="s">
        <v>407</v>
      </c>
    </row>
    <row r="94" spans="1:37" x14ac:dyDescent="0.2">
      <c r="A94" s="83" t="s">
        <v>430</v>
      </c>
      <c r="B94" s="131">
        <v>20</v>
      </c>
      <c r="C94" s="92" t="s">
        <v>407</v>
      </c>
    </row>
    <row r="95" spans="1:37" x14ac:dyDescent="0.2">
      <c r="A95" s="83" t="s">
        <v>439</v>
      </c>
      <c r="B95" s="130">
        <v>0.05</v>
      </c>
      <c r="C95" s="83" t="s">
        <v>357</v>
      </c>
    </row>
    <row r="96" spans="1:37" x14ac:dyDescent="0.2">
      <c r="A96" s="83" t="s">
        <v>438</v>
      </c>
      <c r="B96" s="130">
        <v>0.05</v>
      </c>
      <c r="C96" s="83" t="s">
        <v>357</v>
      </c>
    </row>
    <row r="97" spans="1:3" x14ac:dyDescent="0.2">
      <c r="A97" s="83" t="s">
        <v>441</v>
      </c>
      <c r="B97" s="131">
        <v>200</v>
      </c>
      <c r="C97" s="84" t="s">
        <v>48</v>
      </c>
    </row>
    <row r="98" spans="1:3" x14ac:dyDescent="0.2">
      <c r="A98" s="83" t="s">
        <v>442</v>
      </c>
      <c r="B98" s="131">
        <v>100</v>
      </c>
      <c r="C98" s="84" t="s">
        <v>48</v>
      </c>
    </row>
    <row r="99" spans="1:3" x14ac:dyDescent="0.2">
      <c r="A99" s="52" t="s">
        <v>159</v>
      </c>
      <c r="B99" s="131">
        <v>1</v>
      </c>
      <c r="C99" s="52" t="s">
        <v>221</v>
      </c>
    </row>
    <row r="100" spans="1:3" x14ac:dyDescent="0.2">
      <c r="A100" s="52" t="s">
        <v>160</v>
      </c>
      <c r="B100" s="131">
        <v>1</v>
      </c>
      <c r="C100" s="52" t="s">
        <v>221</v>
      </c>
    </row>
    <row r="101" spans="1:3" x14ac:dyDescent="0.2">
      <c r="A101" s="83" t="s">
        <v>308</v>
      </c>
      <c r="B101" s="130">
        <v>0.23</v>
      </c>
    </row>
    <row r="102" spans="1:3" x14ac:dyDescent="0.2">
      <c r="A102" s="83" t="s">
        <v>309</v>
      </c>
      <c r="B102" s="130">
        <v>0.77</v>
      </c>
    </row>
    <row r="103" spans="1:3" x14ac:dyDescent="0.2">
      <c r="A103" s="52" t="s">
        <v>140</v>
      </c>
      <c r="B103" s="131">
        <v>75</v>
      </c>
      <c r="C103" s="52" t="s">
        <v>24</v>
      </c>
    </row>
    <row r="104" spans="1:3" x14ac:dyDescent="0.2">
      <c r="A104" s="52" t="s">
        <v>433</v>
      </c>
      <c r="B104" s="131">
        <v>75</v>
      </c>
      <c r="C104" s="52" t="s">
        <v>24</v>
      </c>
    </row>
    <row r="105" spans="1:3" x14ac:dyDescent="0.2">
      <c r="A105" s="52" t="s">
        <v>434</v>
      </c>
      <c r="B105" s="131">
        <v>75</v>
      </c>
      <c r="C105" s="52" t="s">
        <v>24</v>
      </c>
    </row>
    <row r="106" spans="1:3" x14ac:dyDescent="0.2">
      <c r="A106" s="52" t="s">
        <v>431</v>
      </c>
      <c r="B106" s="130">
        <v>1</v>
      </c>
      <c r="C106" s="52" t="s">
        <v>194</v>
      </c>
    </row>
    <row r="107" spans="1:3" x14ac:dyDescent="0.2">
      <c r="A107" s="52" t="s">
        <v>432</v>
      </c>
      <c r="B107" s="130">
        <v>1</v>
      </c>
      <c r="C107" s="52" t="s">
        <v>194</v>
      </c>
    </row>
    <row r="108" spans="1:3" x14ac:dyDescent="0.2">
      <c r="A108" s="52" t="s">
        <v>90</v>
      </c>
      <c r="B108" s="131">
        <v>1</v>
      </c>
      <c r="C108" s="52" t="s">
        <v>194</v>
      </c>
    </row>
    <row r="109" spans="1:3" x14ac:dyDescent="0.2">
      <c r="A109" s="52" t="s">
        <v>443</v>
      </c>
      <c r="B109" s="131">
        <v>1</v>
      </c>
      <c r="C109" s="52" t="s">
        <v>89</v>
      </c>
    </row>
    <row r="110" spans="1:3" x14ac:dyDescent="0.2">
      <c r="A110" s="52" t="s">
        <v>444</v>
      </c>
      <c r="B110" s="131">
        <v>1</v>
      </c>
      <c r="C110" s="52" t="s">
        <v>89</v>
      </c>
    </row>
    <row r="111" spans="1:3" x14ac:dyDescent="0.2">
      <c r="A111" s="83" t="s">
        <v>301</v>
      </c>
      <c r="B111" s="131">
        <v>1</v>
      </c>
    </row>
    <row r="112" spans="1:3" x14ac:dyDescent="0.2">
      <c r="A112" s="83" t="s">
        <v>433</v>
      </c>
      <c r="B112" s="130">
        <v>45</v>
      </c>
      <c r="C112" s="83" t="s">
        <v>24</v>
      </c>
    </row>
    <row r="113" spans="1:3" x14ac:dyDescent="0.2">
      <c r="A113" s="83" t="s">
        <v>434</v>
      </c>
      <c r="B113" s="130">
        <v>45</v>
      </c>
      <c r="C113" s="83" t="s">
        <v>24</v>
      </c>
    </row>
    <row r="114" spans="1:3" x14ac:dyDescent="0.2">
      <c r="A114" s="83" t="s">
        <v>435</v>
      </c>
      <c r="B114" s="131">
        <v>1</v>
      </c>
      <c r="C114" s="52" t="s">
        <v>80</v>
      </c>
    </row>
    <row r="115" spans="1:3" x14ac:dyDescent="0.2">
      <c r="A115" s="83" t="s">
        <v>436</v>
      </c>
      <c r="B115" s="131">
        <v>1</v>
      </c>
      <c r="C115" s="52" t="s">
        <v>80</v>
      </c>
    </row>
    <row r="116" spans="1:3" x14ac:dyDescent="0.2">
      <c r="A116" s="83" t="s">
        <v>65</v>
      </c>
      <c r="B116" s="130">
        <v>0.5</v>
      </c>
      <c r="C116" s="52" t="s">
        <v>66</v>
      </c>
    </row>
    <row r="117" spans="1:3" x14ac:dyDescent="0.2">
      <c r="A117" s="52" t="s">
        <v>51</v>
      </c>
      <c r="B117" s="131">
        <v>1</v>
      </c>
      <c r="C117" s="52" t="s">
        <v>60</v>
      </c>
    </row>
    <row r="118" spans="1:3" x14ac:dyDescent="0.2">
      <c r="A118" s="52" t="s">
        <v>329</v>
      </c>
      <c r="B118" s="131">
        <v>2.41E-4</v>
      </c>
    </row>
    <row r="119" spans="1:3" x14ac:dyDescent="0.2">
      <c r="A119" s="52" t="s">
        <v>330</v>
      </c>
      <c r="B119" s="131">
        <v>0.753</v>
      </c>
    </row>
    <row r="120" spans="1:3" x14ac:dyDescent="0.2">
      <c r="A120" s="52" t="s">
        <v>331</v>
      </c>
      <c r="B120" s="131">
        <v>1.17E-4</v>
      </c>
    </row>
    <row r="121" spans="1:3" x14ac:dyDescent="0.2">
      <c r="A121" s="52" t="s">
        <v>332</v>
      </c>
      <c r="B121" s="131">
        <v>0.74299999999999999</v>
      </c>
    </row>
    <row r="122" spans="1:3" x14ac:dyDescent="0.2">
      <c r="A122" s="52" t="s">
        <v>333</v>
      </c>
      <c r="B122" s="131">
        <v>1.35E-4</v>
      </c>
    </row>
    <row r="123" spans="1:3" x14ac:dyDescent="0.2">
      <c r="A123" s="52" t="s">
        <v>334</v>
      </c>
      <c r="B123" s="131">
        <v>0.71099999999999997</v>
      </c>
    </row>
    <row r="124" spans="1:3" x14ac:dyDescent="0.2">
      <c r="A124" s="52" t="s">
        <v>335</v>
      </c>
      <c r="B124" s="131">
        <v>2.2599999999999999E-4</v>
      </c>
    </row>
    <row r="125" spans="1:3" x14ac:dyDescent="0.2">
      <c r="A125" s="52" t="s">
        <v>336</v>
      </c>
      <c r="B125" s="131">
        <v>0.66200000000000003</v>
      </c>
    </row>
    <row r="126" spans="1:3" x14ac:dyDescent="0.2">
      <c r="A126" s="52" t="s">
        <v>337</v>
      </c>
      <c r="B126" s="131">
        <v>1.5699999999999999E-5</v>
      </c>
    </row>
    <row r="127" spans="1:3" x14ac:dyDescent="0.2">
      <c r="A127" s="52" t="s">
        <v>338</v>
      </c>
      <c r="B127" s="131">
        <v>0.80900000000000005</v>
      </c>
    </row>
    <row r="128" spans="1:3" x14ac:dyDescent="0.2">
      <c r="A128" s="52" t="s">
        <v>159</v>
      </c>
      <c r="B128" s="130">
        <v>1</v>
      </c>
      <c r="C128" s="52" t="s">
        <v>221</v>
      </c>
    </row>
    <row r="129" spans="1:3" x14ac:dyDescent="0.2">
      <c r="A129" s="84" t="s">
        <v>164</v>
      </c>
      <c r="B129" s="130">
        <v>1</v>
      </c>
      <c r="C129" s="52" t="s">
        <v>246</v>
      </c>
    </row>
    <row r="130" spans="1:3" x14ac:dyDescent="0.2">
      <c r="A130" s="84" t="s">
        <v>161</v>
      </c>
      <c r="B130" s="130">
        <v>1</v>
      </c>
      <c r="C130" s="52" t="s">
        <v>246</v>
      </c>
    </row>
    <row r="131" spans="1:3" x14ac:dyDescent="0.2">
      <c r="A131" s="84" t="s">
        <v>162</v>
      </c>
      <c r="B131" s="130">
        <v>1</v>
      </c>
      <c r="C131" s="52" t="s">
        <v>41</v>
      </c>
    </row>
    <row r="132" spans="1:3" x14ac:dyDescent="0.2">
      <c r="A132" s="84" t="s">
        <v>163</v>
      </c>
      <c r="B132" s="130">
        <v>1</v>
      </c>
      <c r="C132" s="52" t="s">
        <v>41</v>
      </c>
    </row>
    <row r="133" spans="1:3" x14ac:dyDescent="0.2">
      <c r="A133" s="84" t="s">
        <v>169</v>
      </c>
      <c r="B133" s="130">
        <v>1</v>
      </c>
      <c r="C133" s="52" t="s">
        <v>28</v>
      </c>
    </row>
    <row r="134" spans="1:3" x14ac:dyDescent="0.2">
      <c r="A134" s="52" t="s">
        <v>160</v>
      </c>
      <c r="B134" s="130">
        <v>1</v>
      </c>
      <c r="C134" s="52" t="s">
        <v>221</v>
      </c>
    </row>
    <row r="135" spans="1:3" x14ac:dyDescent="0.2">
      <c r="A135" s="52" t="s">
        <v>165</v>
      </c>
      <c r="B135" s="130">
        <v>1</v>
      </c>
      <c r="C135" s="52" t="s">
        <v>246</v>
      </c>
    </row>
    <row r="136" spans="1:3" x14ac:dyDescent="0.2">
      <c r="A136" s="52" t="s">
        <v>166</v>
      </c>
      <c r="B136" s="130">
        <v>1</v>
      </c>
      <c r="C136" s="52" t="s">
        <v>246</v>
      </c>
    </row>
    <row r="137" spans="1:3" x14ac:dyDescent="0.2">
      <c r="A137" s="93" t="s">
        <v>167</v>
      </c>
      <c r="B137" s="130">
        <v>1</v>
      </c>
      <c r="C137" s="52" t="s">
        <v>41</v>
      </c>
    </row>
    <row r="138" spans="1:3" x14ac:dyDescent="0.2">
      <c r="A138" s="83" t="s">
        <v>168</v>
      </c>
      <c r="B138" s="130">
        <v>1</v>
      </c>
      <c r="C138" s="52" t="s">
        <v>41</v>
      </c>
    </row>
    <row r="139" spans="1:3" x14ac:dyDescent="0.2">
      <c r="A139" s="84" t="s">
        <v>170</v>
      </c>
      <c r="B139" s="130">
        <v>1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200</v>
      </c>
      <c r="C141" s="84" t="s">
        <v>48</v>
      </c>
    </row>
    <row r="142" spans="1:3" x14ac:dyDescent="0.2">
      <c r="A142" s="83" t="s">
        <v>458</v>
      </c>
      <c r="B142" s="130">
        <v>100</v>
      </c>
      <c r="C142" s="84" t="s">
        <v>48</v>
      </c>
    </row>
    <row r="143" spans="1:3" x14ac:dyDescent="0.2">
      <c r="A143" s="83" t="s">
        <v>450</v>
      </c>
      <c r="B143" s="130">
        <v>10</v>
      </c>
      <c r="C143" s="92" t="s">
        <v>407</v>
      </c>
    </row>
    <row r="144" spans="1:3" x14ac:dyDescent="0.2">
      <c r="A144" s="83" t="s">
        <v>459</v>
      </c>
      <c r="B144" s="130">
        <v>20</v>
      </c>
      <c r="C144" s="92" t="s">
        <v>407</v>
      </c>
    </row>
    <row r="145" spans="1:3" x14ac:dyDescent="0.2">
      <c r="A145" s="92" t="s">
        <v>451</v>
      </c>
      <c r="B145" s="131">
        <v>0.78</v>
      </c>
      <c r="C145" s="83" t="s">
        <v>28</v>
      </c>
    </row>
    <row r="146" spans="1:3" x14ac:dyDescent="0.2">
      <c r="A146" s="92" t="s">
        <v>460</v>
      </c>
      <c r="B146" s="131">
        <v>2.5</v>
      </c>
      <c r="C146" s="83" t="s">
        <v>28</v>
      </c>
    </row>
    <row r="147" spans="1:3" ht="15" x14ac:dyDescent="0.2">
      <c r="A147" s="92" t="s">
        <v>450</v>
      </c>
      <c r="B147" s="131">
        <v>10</v>
      </c>
      <c r="C147" s="83" t="s">
        <v>143</v>
      </c>
    </row>
    <row r="148" spans="1:3" ht="15" x14ac:dyDescent="0.2">
      <c r="A148" s="92" t="s">
        <v>459</v>
      </c>
      <c r="B148" s="131">
        <v>20</v>
      </c>
      <c r="C148" s="83" t="s">
        <v>143</v>
      </c>
    </row>
    <row r="149" spans="1:3" x14ac:dyDescent="0.2">
      <c r="A149" s="83" t="s">
        <v>467</v>
      </c>
      <c r="B149" s="130">
        <v>68.099999999999994</v>
      </c>
      <c r="C149" s="92" t="s">
        <v>221</v>
      </c>
    </row>
    <row r="150" spans="1:3" x14ac:dyDescent="0.2">
      <c r="A150" s="83" t="s">
        <v>468</v>
      </c>
      <c r="B150" s="130">
        <v>176.8</v>
      </c>
      <c r="C150" s="92" t="s">
        <v>221</v>
      </c>
    </row>
    <row r="151" spans="1:3" x14ac:dyDescent="0.2">
      <c r="A151" s="83" t="s">
        <v>469</v>
      </c>
      <c r="B151" s="130">
        <v>41.7</v>
      </c>
      <c r="C151" s="92" t="s">
        <v>221</v>
      </c>
    </row>
    <row r="152" spans="1:3" x14ac:dyDescent="0.2">
      <c r="A152" s="83" t="s">
        <v>470</v>
      </c>
      <c r="B152" s="130">
        <v>125.7</v>
      </c>
      <c r="C152" s="92" t="s">
        <v>221</v>
      </c>
    </row>
    <row r="153" spans="1:3" x14ac:dyDescent="0.2">
      <c r="A153" s="83" t="s">
        <v>452</v>
      </c>
      <c r="B153" s="130">
        <v>349.5</v>
      </c>
      <c r="C153" s="92" t="s">
        <v>221</v>
      </c>
    </row>
    <row r="154" spans="1:3" x14ac:dyDescent="0.2">
      <c r="A154" s="83" t="s">
        <v>461</v>
      </c>
      <c r="B154" s="130">
        <v>445.6</v>
      </c>
      <c r="C154" s="92" t="s">
        <v>221</v>
      </c>
    </row>
    <row r="155" spans="1:3" x14ac:dyDescent="0.2">
      <c r="A155" s="83" t="s">
        <v>453</v>
      </c>
      <c r="B155" s="132">
        <v>40.1</v>
      </c>
      <c r="C155" s="92" t="s">
        <v>221</v>
      </c>
    </row>
    <row r="156" spans="1:3" x14ac:dyDescent="0.2">
      <c r="A156" s="83" t="s">
        <v>462</v>
      </c>
      <c r="B156" s="132">
        <v>178</v>
      </c>
      <c r="C156" s="92" t="s">
        <v>221</v>
      </c>
    </row>
    <row r="157" spans="1:3" x14ac:dyDescent="0.2">
      <c r="A157" s="83" t="s">
        <v>454</v>
      </c>
      <c r="B157" s="133">
        <v>10.95</v>
      </c>
      <c r="C157" s="92" t="s">
        <v>221</v>
      </c>
    </row>
    <row r="158" spans="1:3" x14ac:dyDescent="0.2">
      <c r="A158" s="83" t="s">
        <v>463</v>
      </c>
      <c r="B158" s="132">
        <v>53.4</v>
      </c>
      <c r="C158" s="92" t="s">
        <v>221</v>
      </c>
    </row>
    <row r="159" spans="1:3" x14ac:dyDescent="0.2">
      <c r="A159" s="83" t="s">
        <v>471</v>
      </c>
      <c r="B159" s="130">
        <v>32.799999999999997</v>
      </c>
      <c r="C159" s="92" t="s">
        <v>221</v>
      </c>
    </row>
    <row r="160" spans="1:3" x14ac:dyDescent="0.2">
      <c r="A160" s="83" t="s">
        <v>472</v>
      </c>
      <c r="B160" s="130">
        <v>155.4</v>
      </c>
      <c r="C160" s="92" t="s">
        <v>221</v>
      </c>
    </row>
    <row r="161" spans="1:3" x14ac:dyDescent="0.2">
      <c r="A161" s="83" t="s">
        <v>473</v>
      </c>
      <c r="B161" s="132">
        <v>23.6</v>
      </c>
      <c r="C161" s="92" t="s">
        <v>221</v>
      </c>
    </row>
    <row r="162" spans="1:3" x14ac:dyDescent="0.2">
      <c r="A162" s="83" t="s">
        <v>474</v>
      </c>
      <c r="B162" s="132">
        <v>106.6</v>
      </c>
      <c r="C162" s="92" t="s">
        <v>221</v>
      </c>
    </row>
    <row r="163" spans="1:3" x14ac:dyDescent="0.2">
      <c r="A163" s="83" t="s">
        <v>455</v>
      </c>
      <c r="B163" s="130">
        <v>18.5</v>
      </c>
      <c r="C163" s="92" t="s">
        <v>221</v>
      </c>
    </row>
    <row r="164" spans="1:3" x14ac:dyDescent="0.2">
      <c r="A164" s="83" t="s">
        <v>464</v>
      </c>
      <c r="B164" s="130">
        <v>97.9</v>
      </c>
      <c r="C164" s="92" t="s">
        <v>221</v>
      </c>
    </row>
    <row r="165" spans="1:3" x14ac:dyDescent="0.2">
      <c r="A165" s="83" t="s">
        <v>475</v>
      </c>
      <c r="B165" s="130">
        <v>0.15</v>
      </c>
      <c r="C165" s="88"/>
    </row>
    <row r="166" spans="1:3" x14ac:dyDescent="0.2">
      <c r="A166" s="83" t="s">
        <v>476</v>
      </c>
      <c r="B166" s="130">
        <v>0.85</v>
      </c>
      <c r="C166" s="88"/>
    </row>
    <row r="167" spans="1:3" x14ac:dyDescent="0.2">
      <c r="A167" s="83" t="s">
        <v>456</v>
      </c>
      <c r="B167" s="130">
        <v>350</v>
      </c>
      <c r="C167" s="83" t="s">
        <v>24</v>
      </c>
    </row>
    <row r="168" spans="1:3" x14ac:dyDescent="0.2">
      <c r="A168" s="83" t="s">
        <v>465</v>
      </c>
      <c r="B168" s="130">
        <v>350</v>
      </c>
      <c r="C168" s="83" t="s">
        <v>24</v>
      </c>
    </row>
    <row r="169" spans="1:3" x14ac:dyDescent="0.2">
      <c r="A169" s="52" t="s">
        <v>362</v>
      </c>
      <c r="B169" s="131">
        <v>350</v>
      </c>
      <c r="C169" s="83" t="s">
        <v>24</v>
      </c>
    </row>
    <row r="170" spans="1:3" x14ac:dyDescent="0.2">
      <c r="A170" s="83" t="s">
        <v>363</v>
      </c>
      <c r="B170" s="130">
        <v>1</v>
      </c>
      <c r="C170" s="92" t="s">
        <v>60</v>
      </c>
    </row>
    <row r="171" spans="1:3" x14ac:dyDescent="0.2">
      <c r="A171" s="83" t="s">
        <v>364</v>
      </c>
      <c r="B171" s="130">
        <v>24</v>
      </c>
      <c r="C171" s="94" t="s">
        <v>194</v>
      </c>
    </row>
    <row r="172" spans="1:3" x14ac:dyDescent="0.2">
      <c r="A172" s="83" t="s">
        <v>365</v>
      </c>
      <c r="B172" s="130">
        <v>24</v>
      </c>
      <c r="C172" s="52" t="s">
        <v>194</v>
      </c>
    </row>
    <row r="173" spans="1:3" x14ac:dyDescent="0.2">
      <c r="A173" s="83" t="s">
        <v>361</v>
      </c>
      <c r="B173" s="130">
        <v>1</v>
      </c>
    </row>
    <row r="174" spans="1:3" x14ac:dyDescent="0.2">
      <c r="A174" s="83" t="s">
        <v>83</v>
      </c>
      <c r="B174" s="130">
        <v>12.167999999999999</v>
      </c>
      <c r="C174" s="84" t="s">
        <v>194</v>
      </c>
    </row>
    <row r="175" spans="1:3" x14ac:dyDescent="0.2">
      <c r="A175" s="83" t="s">
        <v>85</v>
      </c>
      <c r="B175" s="130">
        <v>10.007999999999999</v>
      </c>
      <c r="C175" s="84" t="s">
        <v>194</v>
      </c>
    </row>
    <row r="176" spans="1:3" x14ac:dyDescent="0.2">
      <c r="A176" s="83" t="s">
        <v>88</v>
      </c>
      <c r="B176" s="130">
        <v>0.4</v>
      </c>
    </row>
    <row r="177" spans="1:3" x14ac:dyDescent="0.2">
      <c r="A177" s="83" t="s">
        <v>303</v>
      </c>
      <c r="B177" s="130">
        <v>0.4</v>
      </c>
    </row>
    <row r="178" spans="1:3" x14ac:dyDescent="0.2">
      <c r="A178" s="83" t="s">
        <v>302</v>
      </c>
      <c r="B178" s="130">
        <v>1</v>
      </c>
    </row>
    <row r="179" spans="1:3" x14ac:dyDescent="0.2">
      <c r="A179" s="83" t="s">
        <v>54</v>
      </c>
      <c r="B179" s="130">
        <v>1</v>
      </c>
    </row>
    <row r="180" spans="1:3" x14ac:dyDescent="0.2">
      <c r="A180" s="83" t="s">
        <v>301</v>
      </c>
      <c r="B180" s="131">
        <v>1</v>
      </c>
    </row>
    <row r="181" spans="1:3" x14ac:dyDescent="0.2">
      <c r="A181" s="92" t="s">
        <v>457</v>
      </c>
      <c r="B181" s="130">
        <v>1</v>
      </c>
      <c r="C181" s="92" t="s">
        <v>144</v>
      </c>
    </row>
    <row r="182" spans="1:3" x14ac:dyDescent="0.2">
      <c r="A182" s="92" t="s">
        <v>466</v>
      </c>
      <c r="B182" s="130">
        <v>1</v>
      </c>
      <c r="C182" s="92" t="s">
        <v>144</v>
      </c>
    </row>
    <row r="183" spans="1:3" x14ac:dyDescent="0.2">
      <c r="A183" s="52" t="s">
        <v>477</v>
      </c>
      <c r="B183" s="130">
        <v>0.54</v>
      </c>
      <c r="C183" s="92" t="s">
        <v>358</v>
      </c>
    </row>
    <row r="184" spans="1:3" x14ac:dyDescent="0.2">
      <c r="A184" s="52" t="s">
        <v>478</v>
      </c>
      <c r="B184" s="130">
        <v>0.71</v>
      </c>
      <c r="C184" s="92" t="s">
        <v>358</v>
      </c>
    </row>
    <row r="185" spans="1:3" ht="15" x14ac:dyDescent="0.2">
      <c r="A185" s="84" t="s">
        <v>65</v>
      </c>
      <c r="B185" s="130">
        <v>0.5</v>
      </c>
      <c r="C185" s="92" t="s">
        <v>145</v>
      </c>
    </row>
    <row r="186" spans="1:3" x14ac:dyDescent="0.2">
      <c r="A186" s="92" t="s">
        <v>361</v>
      </c>
      <c r="B186" s="130">
        <v>1</v>
      </c>
    </row>
    <row r="187" spans="1:3" x14ac:dyDescent="0.2">
      <c r="A187" s="92" t="s">
        <v>479</v>
      </c>
      <c r="B187" s="130">
        <v>1</v>
      </c>
    </row>
    <row r="188" spans="1:3" x14ac:dyDescent="0.2">
      <c r="A188" s="92" t="s">
        <v>480</v>
      </c>
      <c r="B188" s="130">
        <v>1</v>
      </c>
    </row>
    <row r="189" spans="1:3" x14ac:dyDescent="0.2">
      <c r="A189" s="92" t="s">
        <v>481</v>
      </c>
      <c r="B189" s="130">
        <v>1</v>
      </c>
    </row>
    <row r="190" spans="1:3" x14ac:dyDescent="0.2">
      <c r="A190" s="92" t="s">
        <v>482</v>
      </c>
      <c r="B190" s="130">
        <v>1</v>
      </c>
    </row>
    <row r="191" spans="1:3" x14ac:dyDescent="0.2">
      <c r="A191" s="92" t="s">
        <v>483</v>
      </c>
      <c r="B191" s="130">
        <v>1</v>
      </c>
    </row>
    <row r="192" spans="1:3" x14ac:dyDescent="0.2">
      <c r="A192" s="92" t="s">
        <v>484</v>
      </c>
      <c r="B192" s="131">
        <v>1</v>
      </c>
    </row>
    <row r="193" spans="1:3" x14ac:dyDescent="0.2">
      <c r="A193" s="83" t="s">
        <v>36</v>
      </c>
      <c r="B193" s="131">
        <v>3.62</v>
      </c>
      <c r="C193" s="52" t="s">
        <v>37</v>
      </c>
    </row>
    <row r="194" spans="1:3" x14ac:dyDescent="0.2">
      <c r="A194" s="83" t="s">
        <v>40</v>
      </c>
      <c r="B194" s="131">
        <v>0.25</v>
      </c>
      <c r="C194" s="52" t="s">
        <v>41</v>
      </c>
    </row>
    <row r="195" spans="1:3" x14ac:dyDescent="0.2">
      <c r="A195" s="92" t="s">
        <v>52</v>
      </c>
      <c r="B195" s="131">
        <v>10950</v>
      </c>
      <c r="C195" s="52" t="s">
        <v>53</v>
      </c>
    </row>
    <row r="196" spans="1:3" x14ac:dyDescent="0.2">
      <c r="A196" s="92" t="s">
        <v>55</v>
      </c>
      <c r="B196" s="131">
        <v>240</v>
      </c>
      <c r="C196" s="52" t="s">
        <v>56</v>
      </c>
    </row>
    <row r="197" spans="1:3" x14ac:dyDescent="0.2">
      <c r="A197" s="92" t="s">
        <v>61</v>
      </c>
      <c r="B197" s="131">
        <v>0.42</v>
      </c>
      <c r="C197" s="52" t="s">
        <v>41</v>
      </c>
    </row>
    <row r="198" spans="1:3" x14ac:dyDescent="0.2">
      <c r="A198" s="92" t="s">
        <v>67</v>
      </c>
      <c r="B198" s="131">
        <v>60</v>
      </c>
      <c r="C198" s="83" t="s">
        <v>53</v>
      </c>
    </row>
    <row r="199" spans="1:3" x14ac:dyDescent="0.2">
      <c r="A199" s="92" t="s">
        <v>68</v>
      </c>
      <c r="B199" s="131">
        <v>2</v>
      </c>
      <c r="C199" s="83" t="s">
        <v>56</v>
      </c>
    </row>
    <row r="200" spans="1:3" x14ac:dyDescent="0.2">
      <c r="A200" s="92" t="s">
        <v>70</v>
      </c>
      <c r="B200" s="131">
        <v>2.6999999999999999E-5</v>
      </c>
      <c r="C200" s="52" t="s">
        <v>64</v>
      </c>
    </row>
    <row r="201" spans="1:3" x14ac:dyDescent="0.2">
      <c r="A201" s="92" t="s">
        <v>73</v>
      </c>
      <c r="B201" s="131">
        <v>1</v>
      </c>
      <c r="C201" s="52" t="s">
        <v>41</v>
      </c>
    </row>
    <row r="202" spans="1:3" x14ac:dyDescent="0.2">
      <c r="A202" s="92" t="s">
        <v>74</v>
      </c>
      <c r="B202" s="131">
        <v>14</v>
      </c>
      <c r="C202" s="52" t="s">
        <v>75</v>
      </c>
    </row>
    <row r="203" spans="1:3" x14ac:dyDescent="0.2">
      <c r="A203" s="83" t="s">
        <v>27</v>
      </c>
      <c r="B203" s="131">
        <v>92</v>
      </c>
      <c r="C203" s="83" t="s">
        <v>28</v>
      </c>
    </row>
    <row r="204" spans="1:3" x14ac:dyDescent="0.2">
      <c r="A204" s="52" t="s">
        <v>285</v>
      </c>
      <c r="B204" s="130">
        <v>1.03</v>
      </c>
      <c r="C204" s="52" t="s">
        <v>286</v>
      </c>
    </row>
    <row r="205" spans="1:3" x14ac:dyDescent="0.2">
      <c r="A205" s="83" t="s">
        <v>498</v>
      </c>
      <c r="B205" s="131">
        <v>20.3</v>
      </c>
      <c r="C205" s="52" t="s">
        <v>246</v>
      </c>
    </row>
    <row r="206" spans="1:3" x14ac:dyDescent="0.2">
      <c r="A206" s="83" t="s">
        <v>499</v>
      </c>
      <c r="B206" s="131">
        <v>0.04</v>
      </c>
      <c r="C206" s="52" t="s">
        <v>246</v>
      </c>
    </row>
    <row r="207" spans="1:3" x14ac:dyDescent="0.2">
      <c r="A207" s="83" t="s">
        <v>500</v>
      </c>
      <c r="B207" s="131">
        <v>1</v>
      </c>
    </row>
    <row r="208" spans="1:3" x14ac:dyDescent="0.2">
      <c r="A208" s="83" t="s">
        <v>501</v>
      </c>
      <c r="B208" s="131">
        <v>1</v>
      </c>
    </row>
    <row r="209" spans="1:3" x14ac:dyDescent="0.2">
      <c r="A209" s="83" t="s">
        <v>29</v>
      </c>
      <c r="B209" s="131">
        <v>53</v>
      </c>
      <c r="C209" s="83" t="s">
        <v>28</v>
      </c>
    </row>
    <row r="210" spans="1:3" x14ac:dyDescent="0.2">
      <c r="A210" s="83" t="s">
        <v>494</v>
      </c>
      <c r="B210" s="131">
        <v>11.77</v>
      </c>
      <c r="C210" s="52" t="s">
        <v>246</v>
      </c>
    </row>
    <row r="211" spans="1:3" x14ac:dyDescent="0.2">
      <c r="A211" s="83" t="s">
        <v>495</v>
      </c>
      <c r="B211" s="131">
        <v>0.5</v>
      </c>
      <c r="C211" s="52" t="s">
        <v>246</v>
      </c>
    </row>
    <row r="212" spans="1:3" x14ac:dyDescent="0.2">
      <c r="A212" s="83" t="s">
        <v>496</v>
      </c>
      <c r="B212" s="131">
        <v>1</v>
      </c>
    </row>
    <row r="213" spans="1:3" x14ac:dyDescent="0.2">
      <c r="A213" s="83" t="s">
        <v>497</v>
      </c>
      <c r="B213" s="131">
        <v>1</v>
      </c>
    </row>
    <row r="214" spans="1:3" x14ac:dyDescent="0.2">
      <c r="A214" s="83" t="s">
        <v>148</v>
      </c>
      <c r="B214" s="130">
        <v>0.4</v>
      </c>
      <c r="C214" s="83" t="s">
        <v>28</v>
      </c>
    </row>
    <row r="215" spans="1:3" x14ac:dyDescent="0.2">
      <c r="A215" s="83" t="s">
        <v>152</v>
      </c>
      <c r="B215" s="131">
        <v>0.2</v>
      </c>
      <c r="C215" s="52" t="s">
        <v>246</v>
      </c>
    </row>
    <row r="216" spans="1:3" x14ac:dyDescent="0.2">
      <c r="A216" s="83" t="s">
        <v>151</v>
      </c>
      <c r="B216" s="131">
        <v>2.1999999999999999E-2</v>
      </c>
      <c r="C216" s="52" t="s">
        <v>246</v>
      </c>
    </row>
    <row r="217" spans="1:3" x14ac:dyDescent="0.2">
      <c r="A217" s="83" t="s">
        <v>153</v>
      </c>
      <c r="B217" s="130">
        <v>1</v>
      </c>
    </row>
    <row r="218" spans="1:3" x14ac:dyDescent="0.2">
      <c r="A218" s="83" t="s">
        <v>154</v>
      </c>
      <c r="B218" s="130">
        <v>1</v>
      </c>
    </row>
    <row r="219" spans="1:3" x14ac:dyDescent="0.2">
      <c r="A219" s="83" t="s">
        <v>485</v>
      </c>
      <c r="B219" s="130">
        <v>0.4</v>
      </c>
      <c r="C219" s="83" t="s">
        <v>28</v>
      </c>
    </row>
    <row r="220" spans="1:3" x14ac:dyDescent="0.2">
      <c r="A220" s="83" t="s">
        <v>486</v>
      </c>
      <c r="B220" s="131">
        <v>0.2</v>
      </c>
      <c r="C220" s="52" t="s">
        <v>246</v>
      </c>
    </row>
    <row r="221" spans="1:3" x14ac:dyDescent="0.2">
      <c r="A221" s="83" t="s">
        <v>487</v>
      </c>
      <c r="B221" s="131">
        <v>2.1999999999999999E-2</v>
      </c>
      <c r="C221" s="52" t="s">
        <v>246</v>
      </c>
    </row>
    <row r="222" spans="1:3" x14ac:dyDescent="0.2">
      <c r="A222" s="83" t="s">
        <v>488</v>
      </c>
      <c r="B222" s="131">
        <v>1</v>
      </c>
    </row>
    <row r="223" spans="1:3" x14ac:dyDescent="0.2">
      <c r="A223" s="83" t="s">
        <v>489</v>
      </c>
      <c r="B223" s="131">
        <v>1</v>
      </c>
    </row>
    <row r="224" spans="1:3" x14ac:dyDescent="0.2">
      <c r="A224" s="83" t="s">
        <v>150</v>
      </c>
      <c r="B224" s="131">
        <v>11.4</v>
      </c>
      <c r="C224" s="83" t="s">
        <v>28</v>
      </c>
    </row>
    <row r="225" spans="1:3" x14ac:dyDescent="0.2">
      <c r="A225" s="83" t="s">
        <v>490</v>
      </c>
      <c r="B225" s="131">
        <v>4.7</v>
      </c>
      <c r="C225" s="52" t="s">
        <v>246</v>
      </c>
    </row>
    <row r="226" spans="1:3" x14ac:dyDescent="0.2">
      <c r="A226" s="83" t="s">
        <v>491</v>
      </c>
      <c r="B226" s="131">
        <v>0.37</v>
      </c>
      <c r="C226" s="52" t="s">
        <v>246</v>
      </c>
    </row>
    <row r="227" spans="1:3" x14ac:dyDescent="0.2">
      <c r="A227" s="83" t="s">
        <v>492</v>
      </c>
      <c r="B227" s="131">
        <v>1</v>
      </c>
    </row>
    <row r="228" spans="1:3" x14ac:dyDescent="0.2">
      <c r="A228" s="83" t="s">
        <v>493</v>
      </c>
      <c r="B228" s="131">
        <v>1</v>
      </c>
    </row>
    <row r="229" spans="1:3" x14ac:dyDescent="0.2">
      <c r="A229" s="370" t="s">
        <v>311</v>
      </c>
      <c r="B229" s="370"/>
      <c r="C229" s="370"/>
    </row>
    <row r="230" spans="1:3" x14ac:dyDescent="0.2">
      <c r="A230" s="52" t="s">
        <v>504</v>
      </c>
      <c r="B230" s="130">
        <v>60</v>
      </c>
      <c r="C230" s="84" t="s">
        <v>407</v>
      </c>
    </row>
    <row r="231" spans="1:3" x14ac:dyDescent="0.2">
      <c r="A231" s="83" t="s">
        <v>316</v>
      </c>
      <c r="B231" s="130">
        <v>250</v>
      </c>
      <c r="C231" s="52" t="s">
        <v>24</v>
      </c>
    </row>
    <row r="232" spans="1:3" x14ac:dyDescent="0.2">
      <c r="A232" s="83" t="s">
        <v>422</v>
      </c>
      <c r="B232" s="131">
        <v>1</v>
      </c>
      <c r="C232" s="52" t="s">
        <v>60</v>
      </c>
    </row>
    <row r="233" spans="1:3" x14ac:dyDescent="0.2">
      <c r="A233" s="83" t="s">
        <v>317</v>
      </c>
      <c r="B233" s="130">
        <v>100</v>
      </c>
      <c r="C233" s="84" t="s">
        <v>48</v>
      </c>
    </row>
    <row r="234" spans="1:3" x14ac:dyDescent="0.2">
      <c r="A234" s="52" t="s">
        <v>318</v>
      </c>
      <c r="B234" s="131">
        <v>1</v>
      </c>
    </row>
    <row r="235" spans="1:3" x14ac:dyDescent="0.2">
      <c r="A235" s="83" t="s">
        <v>300</v>
      </c>
      <c r="B235" s="131">
        <v>1</v>
      </c>
    </row>
    <row r="236" spans="1:3" x14ac:dyDescent="0.2">
      <c r="A236" s="83" t="s">
        <v>299</v>
      </c>
      <c r="B236" s="131">
        <v>0.4</v>
      </c>
    </row>
    <row r="237" spans="1:3" x14ac:dyDescent="0.2">
      <c r="A237" s="83" t="s">
        <v>54</v>
      </c>
      <c r="B237" s="131">
        <v>1</v>
      </c>
    </row>
    <row r="238" spans="1:3" x14ac:dyDescent="0.2">
      <c r="A238" s="83" t="s">
        <v>83</v>
      </c>
      <c r="B238" s="130">
        <v>8</v>
      </c>
      <c r="C238" s="52" t="s">
        <v>194</v>
      </c>
    </row>
    <row r="239" spans="1:3" x14ac:dyDescent="0.2">
      <c r="A239" s="83" t="s">
        <v>85</v>
      </c>
      <c r="B239" s="130">
        <v>8</v>
      </c>
      <c r="C239" s="52" t="s">
        <v>194</v>
      </c>
    </row>
    <row r="240" spans="1:3" x14ac:dyDescent="0.2">
      <c r="A240" s="83" t="s">
        <v>88</v>
      </c>
      <c r="B240" s="130">
        <v>0.4</v>
      </c>
    </row>
    <row r="241" spans="1:3" x14ac:dyDescent="0.2">
      <c r="A241" s="370" t="s">
        <v>312</v>
      </c>
      <c r="B241" s="370"/>
      <c r="C241" s="370"/>
    </row>
    <row r="242" spans="1:3" x14ac:dyDescent="0.2">
      <c r="A242" s="52" t="s">
        <v>304</v>
      </c>
      <c r="B242" s="130">
        <v>60</v>
      </c>
      <c r="C242" s="84" t="s">
        <v>407</v>
      </c>
    </row>
    <row r="243" spans="1:3" x14ac:dyDescent="0.2">
      <c r="A243" s="83" t="s">
        <v>35</v>
      </c>
      <c r="B243" s="130">
        <v>250</v>
      </c>
      <c r="C243" s="52" t="s">
        <v>24</v>
      </c>
    </row>
    <row r="244" spans="1:3" x14ac:dyDescent="0.2">
      <c r="A244" s="83" t="s">
        <v>420</v>
      </c>
      <c r="B244" s="131">
        <v>1</v>
      </c>
      <c r="C244" s="52" t="s">
        <v>60</v>
      </c>
    </row>
    <row r="245" spans="1:3" x14ac:dyDescent="0.2">
      <c r="A245" s="83" t="s">
        <v>62</v>
      </c>
      <c r="B245" s="130">
        <v>50</v>
      </c>
      <c r="C245" s="84" t="s">
        <v>48</v>
      </c>
    </row>
    <row r="246" spans="1:3" x14ac:dyDescent="0.2">
      <c r="A246" s="52" t="s">
        <v>318</v>
      </c>
      <c r="B246" s="131">
        <v>1</v>
      </c>
    </row>
    <row r="247" spans="1:3" x14ac:dyDescent="0.2">
      <c r="A247" s="83" t="s">
        <v>300</v>
      </c>
      <c r="B247" s="131">
        <v>1</v>
      </c>
    </row>
    <row r="248" spans="1:3" x14ac:dyDescent="0.2">
      <c r="A248" s="83" t="s">
        <v>299</v>
      </c>
      <c r="B248" s="131">
        <v>0.4</v>
      </c>
    </row>
    <row r="249" spans="1:3" x14ac:dyDescent="0.2">
      <c r="A249" s="83" t="s">
        <v>54</v>
      </c>
      <c r="B249" s="131">
        <v>1</v>
      </c>
    </row>
    <row r="250" spans="1:3" x14ac:dyDescent="0.2">
      <c r="A250" s="83" t="s">
        <v>83</v>
      </c>
      <c r="B250" s="130">
        <v>0</v>
      </c>
      <c r="C250" s="52" t="s">
        <v>194</v>
      </c>
    </row>
    <row r="251" spans="1:3" x14ac:dyDescent="0.2">
      <c r="A251" s="83" t="s">
        <v>85</v>
      </c>
      <c r="B251" s="130">
        <v>8</v>
      </c>
      <c r="C251" s="52" t="s">
        <v>194</v>
      </c>
    </row>
    <row r="252" spans="1:3" x14ac:dyDescent="0.2">
      <c r="A252" s="83" t="s">
        <v>88</v>
      </c>
      <c r="B252" s="130">
        <v>0.4</v>
      </c>
    </row>
    <row r="253" spans="1:3" x14ac:dyDescent="0.2">
      <c r="A253" s="370" t="s">
        <v>313</v>
      </c>
      <c r="B253" s="370"/>
      <c r="C253" s="370"/>
    </row>
    <row r="254" spans="1:3" x14ac:dyDescent="0.2">
      <c r="A254" s="52" t="s">
        <v>50</v>
      </c>
      <c r="B254" s="130">
        <v>60</v>
      </c>
      <c r="C254" s="84" t="s">
        <v>407</v>
      </c>
    </row>
    <row r="255" spans="1:3" x14ac:dyDescent="0.2">
      <c r="A255" s="83" t="s">
        <v>423</v>
      </c>
      <c r="B255" s="130">
        <v>225</v>
      </c>
      <c r="C255" s="52" t="s">
        <v>24</v>
      </c>
    </row>
    <row r="256" spans="1:3" x14ac:dyDescent="0.2">
      <c r="A256" s="83" t="s">
        <v>424</v>
      </c>
      <c r="B256" s="131">
        <v>1</v>
      </c>
      <c r="C256" s="52" t="s">
        <v>60</v>
      </c>
    </row>
    <row r="257" spans="1:3" x14ac:dyDescent="0.2">
      <c r="A257" s="83" t="s">
        <v>503</v>
      </c>
      <c r="B257" s="130">
        <v>100</v>
      </c>
      <c r="C257" s="84" t="s">
        <v>48</v>
      </c>
    </row>
    <row r="258" spans="1:3" x14ac:dyDescent="0.2">
      <c r="A258" s="52" t="s">
        <v>318</v>
      </c>
      <c r="B258" s="131">
        <v>1</v>
      </c>
    </row>
    <row r="259" spans="1:3" x14ac:dyDescent="0.2">
      <c r="A259" s="83" t="s">
        <v>300</v>
      </c>
      <c r="B259" s="131">
        <v>1</v>
      </c>
    </row>
    <row r="260" spans="1:3" x14ac:dyDescent="0.2">
      <c r="A260" s="83" t="s">
        <v>299</v>
      </c>
      <c r="B260" s="131">
        <v>0.4</v>
      </c>
    </row>
    <row r="261" spans="1:3" x14ac:dyDescent="0.2">
      <c r="A261" s="83" t="s">
        <v>54</v>
      </c>
      <c r="B261" s="131">
        <v>1</v>
      </c>
    </row>
    <row r="262" spans="1:3" x14ac:dyDescent="0.2">
      <c r="A262" s="83" t="s">
        <v>83</v>
      </c>
      <c r="B262" s="130">
        <v>8</v>
      </c>
      <c r="C262" s="52" t="s">
        <v>194</v>
      </c>
    </row>
    <row r="263" spans="1:3" x14ac:dyDescent="0.2">
      <c r="A263" s="83" t="s">
        <v>85</v>
      </c>
      <c r="B263" s="130">
        <v>0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370" t="s">
        <v>314</v>
      </c>
      <c r="B265" s="370"/>
      <c r="C265" s="370"/>
    </row>
    <row r="266" spans="1:3" x14ac:dyDescent="0.2">
      <c r="A266" s="52" t="s">
        <v>348</v>
      </c>
      <c r="B266" s="130">
        <v>60</v>
      </c>
      <c r="C266" s="84" t="s">
        <v>407</v>
      </c>
    </row>
    <row r="267" spans="1:3" x14ac:dyDescent="0.2">
      <c r="A267" s="83" t="s">
        <v>191</v>
      </c>
      <c r="B267" s="130">
        <v>250</v>
      </c>
      <c r="C267" s="52" t="s">
        <v>24</v>
      </c>
    </row>
    <row r="268" spans="1:3" x14ac:dyDescent="0.2">
      <c r="A268" s="83" t="s">
        <v>158</v>
      </c>
      <c r="B268" s="131">
        <v>1</v>
      </c>
      <c r="C268" s="52" t="s">
        <v>60</v>
      </c>
    </row>
    <row r="269" spans="1:3" x14ac:dyDescent="0.2">
      <c r="A269" s="83" t="s">
        <v>502</v>
      </c>
      <c r="B269" s="130">
        <v>330</v>
      </c>
      <c r="C269" s="84" t="s">
        <v>48</v>
      </c>
    </row>
    <row r="270" spans="1:3" x14ac:dyDescent="0.2">
      <c r="A270" s="52" t="s">
        <v>318</v>
      </c>
      <c r="B270" s="131">
        <v>1</v>
      </c>
    </row>
    <row r="271" spans="1:3" x14ac:dyDescent="0.2">
      <c r="A271" s="83" t="s">
        <v>300</v>
      </c>
      <c r="B271" s="131">
        <v>1</v>
      </c>
    </row>
    <row r="272" spans="1:3" x14ac:dyDescent="0.2">
      <c r="A272" s="83" t="s">
        <v>299</v>
      </c>
      <c r="B272" s="131">
        <v>0.4</v>
      </c>
    </row>
    <row r="273" spans="1:3" x14ac:dyDescent="0.2">
      <c r="A273" s="83" t="s">
        <v>54</v>
      </c>
      <c r="B273" s="131">
        <v>1</v>
      </c>
    </row>
    <row r="274" spans="1:3" x14ac:dyDescent="0.2">
      <c r="A274" s="83" t="s">
        <v>83</v>
      </c>
      <c r="B274" s="130">
        <v>8</v>
      </c>
      <c r="C274" s="52" t="s">
        <v>194</v>
      </c>
    </row>
    <row r="275" spans="1:3" x14ac:dyDescent="0.2">
      <c r="A275" s="83" t="s">
        <v>85</v>
      </c>
      <c r="B275" s="130">
        <v>8</v>
      </c>
      <c r="C275" s="52" t="s">
        <v>194</v>
      </c>
    </row>
    <row r="276" spans="1:3" x14ac:dyDescent="0.2">
      <c r="A276" s="83" t="s">
        <v>88</v>
      </c>
      <c r="B276" s="130">
        <v>0.4</v>
      </c>
    </row>
    <row r="277" spans="1:3" x14ac:dyDescent="0.2">
      <c r="A277" s="83" t="s">
        <v>219</v>
      </c>
      <c r="B277" s="130">
        <v>5</v>
      </c>
      <c r="C277" s="52" t="s">
        <v>112</v>
      </c>
    </row>
    <row r="278" spans="1:3" x14ac:dyDescent="0.2">
      <c r="A278" s="83" t="s">
        <v>220</v>
      </c>
      <c r="B278" s="130">
        <v>50</v>
      </c>
      <c r="C278" s="52" t="s">
        <v>113</v>
      </c>
    </row>
    <row r="279" spans="1:3" x14ac:dyDescent="0.2">
      <c r="A279" s="52" t="s">
        <v>319</v>
      </c>
      <c r="B279" s="131">
        <v>2.41E-4</v>
      </c>
    </row>
    <row r="280" spans="1:3" x14ac:dyDescent="0.2">
      <c r="A280" s="52" t="s">
        <v>320</v>
      </c>
      <c r="B280" s="131">
        <v>0.753</v>
      </c>
    </row>
    <row r="281" spans="1:3" x14ac:dyDescent="0.2">
      <c r="A281" s="52" t="s">
        <v>321</v>
      </c>
      <c r="B281" s="131">
        <v>1.5699999999999999E-5</v>
      </c>
    </row>
    <row r="282" spans="1:3" x14ac:dyDescent="0.2">
      <c r="A282" s="52" t="s">
        <v>322</v>
      </c>
      <c r="B282" s="131">
        <v>0.80900000000000005</v>
      </c>
    </row>
    <row r="283" spans="1:3" x14ac:dyDescent="0.2">
      <c r="A283" s="52" t="s">
        <v>323</v>
      </c>
      <c r="B283" s="131">
        <v>1.17E-4</v>
      </c>
    </row>
    <row r="284" spans="1:3" x14ac:dyDescent="0.2">
      <c r="A284" s="52" t="s">
        <v>324</v>
      </c>
      <c r="B284" s="131">
        <v>0.74299999999999999</v>
      </c>
    </row>
    <row r="285" spans="1:3" x14ac:dyDescent="0.2">
      <c r="A285" s="52" t="s">
        <v>325</v>
      </c>
      <c r="B285" s="131">
        <v>1.35E-4</v>
      </c>
    </row>
    <row r="286" spans="1:3" x14ac:dyDescent="0.2">
      <c r="A286" s="52" t="s">
        <v>326</v>
      </c>
      <c r="B286" s="131">
        <v>0.71099999999999997</v>
      </c>
    </row>
    <row r="287" spans="1:3" x14ac:dyDescent="0.2">
      <c r="A287" s="52" t="s">
        <v>327</v>
      </c>
      <c r="B287" s="131">
        <v>2.2599999999999999E-4</v>
      </c>
    </row>
    <row r="288" spans="1:3" x14ac:dyDescent="0.2">
      <c r="A288" s="52" t="s">
        <v>328</v>
      </c>
      <c r="B288" s="131">
        <v>0.66200000000000003</v>
      </c>
    </row>
    <row r="289" spans="1:3" x14ac:dyDescent="0.2">
      <c r="A289" s="370" t="s">
        <v>315</v>
      </c>
      <c r="B289" s="370"/>
      <c r="C289" s="370"/>
    </row>
    <row r="290" spans="1:3" x14ac:dyDescent="0.2">
      <c r="A290" s="52" t="s">
        <v>348</v>
      </c>
      <c r="B290" s="130">
        <v>60</v>
      </c>
      <c r="C290" s="84" t="s">
        <v>407</v>
      </c>
    </row>
    <row r="291" spans="1:3" x14ac:dyDescent="0.2">
      <c r="A291" s="83" t="s">
        <v>191</v>
      </c>
      <c r="B291" s="130">
        <v>250</v>
      </c>
      <c r="C291" s="52" t="s">
        <v>24</v>
      </c>
    </row>
    <row r="292" spans="1:3" x14ac:dyDescent="0.2">
      <c r="A292" s="83" t="s">
        <v>158</v>
      </c>
      <c r="B292" s="131">
        <v>1</v>
      </c>
      <c r="C292" s="52" t="s">
        <v>60</v>
      </c>
    </row>
    <row r="293" spans="1:3" x14ac:dyDescent="0.2">
      <c r="A293" s="83" t="s">
        <v>502</v>
      </c>
      <c r="B293" s="130">
        <v>330</v>
      </c>
      <c r="C293" s="84" t="s">
        <v>48</v>
      </c>
    </row>
    <row r="294" spans="1:3" x14ac:dyDescent="0.2">
      <c r="A294" s="83" t="s">
        <v>300</v>
      </c>
      <c r="B294" s="131">
        <v>1</v>
      </c>
    </row>
    <row r="295" spans="1:3" x14ac:dyDescent="0.2">
      <c r="A295" s="83" t="s">
        <v>299</v>
      </c>
      <c r="B295" s="131">
        <v>0.4</v>
      </c>
    </row>
    <row r="296" spans="1:3" x14ac:dyDescent="0.2">
      <c r="A296" s="83" t="s">
        <v>54</v>
      </c>
      <c r="B296" s="131">
        <v>1</v>
      </c>
    </row>
    <row r="297" spans="1:3" x14ac:dyDescent="0.2">
      <c r="A297" s="83" t="s">
        <v>83</v>
      </c>
      <c r="B297" s="130">
        <v>8</v>
      </c>
      <c r="C297" s="52" t="s">
        <v>194</v>
      </c>
    </row>
    <row r="298" spans="1:3" x14ac:dyDescent="0.2">
      <c r="A298" s="83" t="s">
        <v>85</v>
      </c>
      <c r="B298" s="130">
        <v>8</v>
      </c>
      <c r="C298" s="52" t="s">
        <v>194</v>
      </c>
    </row>
    <row r="299" spans="1:3" x14ac:dyDescent="0.2">
      <c r="A299" s="83" t="s">
        <v>88</v>
      </c>
      <c r="B299" s="130">
        <v>0.4</v>
      </c>
    </row>
    <row r="300" spans="1:3" x14ac:dyDescent="0.2">
      <c r="A300" s="83" t="s">
        <v>219</v>
      </c>
      <c r="B300" s="130">
        <v>5</v>
      </c>
      <c r="C300" s="52" t="s">
        <v>112</v>
      </c>
    </row>
    <row r="301" spans="1:3" x14ac:dyDescent="0.2">
      <c r="A301" s="83" t="s">
        <v>220</v>
      </c>
      <c r="B301" s="130">
        <v>50</v>
      </c>
      <c r="C301" s="52" t="s">
        <v>113</v>
      </c>
    </row>
  </sheetData>
  <mergeCells count="346">
    <mergeCell ref="L2:L4"/>
    <mergeCell ref="CC35:CG38"/>
    <mergeCell ref="BK39:BO42"/>
    <mergeCell ref="G2:G4"/>
    <mergeCell ref="H2:H4"/>
    <mergeCell ref="I2:I4"/>
    <mergeCell ref="J2:J4"/>
    <mergeCell ref="K2:K4"/>
    <mergeCell ref="D42:F42"/>
    <mergeCell ref="AR21:AR23"/>
    <mergeCell ref="AS21:AS23"/>
    <mergeCell ref="AT21:AT23"/>
    <mergeCell ref="AU21:AU23"/>
    <mergeCell ref="AV21:AV23"/>
    <mergeCell ref="AW21:AW23"/>
    <mergeCell ref="BA21:BA23"/>
    <mergeCell ref="CB18:CD18"/>
    <mergeCell ref="CE18:CG18"/>
    <mergeCell ref="CC2:CC4"/>
    <mergeCell ref="CD2:CD4"/>
    <mergeCell ref="CE2:CE4"/>
    <mergeCell ref="CF2:CF4"/>
    <mergeCell ref="CG2:CG4"/>
    <mergeCell ref="BX2:BX4"/>
    <mergeCell ref="D43:D44"/>
    <mergeCell ref="E43:E44"/>
    <mergeCell ref="F43:F44"/>
    <mergeCell ref="V23:X23"/>
    <mergeCell ref="Y23:AA23"/>
    <mergeCell ref="D30:F30"/>
    <mergeCell ref="D31:D32"/>
    <mergeCell ref="E31:E32"/>
    <mergeCell ref="F31:F32"/>
    <mergeCell ref="N21:N23"/>
    <mergeCell ref="O21:O23"/>
    <mergeCell ref="P21:P23"/>
    <mergeCell ref="Q21:Q23"/>
    <mergeCell ref="R21:R23"/>
    <mergeCell ref="HD21:HF21"/>
    <mergeCell ref="CB19:CB21"/>
    <mergeCell ref="CC19:CC21"/>
    <mergeCell ref="CD19:CD21"/>
    <mergeCell ref="CE19:CE21"/>
    <mergeCell ref="CF19:CF21"/>
    <mergeCell ref="CG19:CG21"/>
    <mergeCell ref="M20:O20"/>
    <mergeCell ref="P20:R20"/>
    <mergeCell ref="M21:M23"/>
    <mergeCell ref="BK21:BK23"/>
    <mergeCell ref="BL21:BL23"/>
    <mergeCell ref="BM21:BM23"/>
    <mergeCell ref="BN21:BN23"/>
    <mergeCell ref="BO21:BO23"/>
    <mergeCell ref="CQ20:CQ22"/>
    <mergeCell ref="CR20:CR22"/>
    <mergeCell ref="CS20:CS22"/>
    <mergeCell ref="AI21:AI23"/>
    <mergeCell ref="AJ21:AJ23"/>
    <mergeCell ref="AK21:AK23"/>
    <mergeCell ref="AL21:AL23"/>
    <mergeCell ref="AM21:AM23"/>
    <mergeCell ref="AN21:AN23"/>
    <mergeCell ref="CQ19:CS19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CK20:CK22"/>
    <mergeCell ref="CK19:CM19"/>
    <mergeCell ref="CN19:CP19"/>
    <mergeCell ref="CL20:CL22"/>
    <mergeCell ref="CM20:CM22"/>
    <mergeCell ref="CN20:CN22"/>
    <mergeCell ref="CO20:CO22"/>
    <mergeCell ref="CP20:CP22"/>
    <mergeCell ref="BB21:BB23"/>
    <mergeCell ref="BC21:BC23"/>
    <mergeCell ref="BD21:BD23"/>
    <mergeCell ref="BE21:BE23"/>
    <mergeCell ref="BF21:BF23"/>
    <mergeCell ref="BJ21:BJ23"/>
    <mergeCell ref="HA2:HA4"/>
    <mergeCell ref="HB2:HB4"/>
    <mergeCell ref="HC2:HC4"/>
    <mergeCell ref="GV2:GV4"/>
    <mergeCell ref="GW2:GW4"/>
    <mergeCell ref="GX2:GX4"/>
    <mergeCell ref="GY2:GY4"/>
    <mergeCell ref="GZ2:GZ4"/>
    <mergeCell ref="GQ2:GQ4"/>
    <mergeCell ref="GR2:GR4"/>
    <mergeCell ref="GS2:GS4"/>
    <mergeCell ref="GT2:GT4"/>
    <mergeCell ref="GU2:GU4"/>
    <mergeCell ref="GL2:GL4"/>
    <mergeCell ref="GM2:GM4"/>
    <mergeCell ref="GN2:GN4"/>
    <mergeCell ref="GO2:GO4"/>
    <mergeCell ref="GP2:GP4"/>
    <mergeCell ref="GG2:GG4"/>
    <mergeCell ref="GH2:GH4"/>
    <mergeCell ref="GI2:GI4"/>
    <mergeCell ref="GJ2:GJ4"/>
    <mergeCell ref="GK2:GK4"/>
    <mergeCell ref="GB2:GB4"/>
    <mergeCell ref="GC2:GC4"/>
    <mergeCell ref="GD2:GD4"/>
    <mergeCell ref="GE2:GE4"/>
    <mergeCell ref="GF2:GF4"/>
    <mergeCell ref="FW2:FW4"/>
    <mergeCell ref="FX2:FX4"/>
    <mergeCell ref="FY2:FY4"/>
    <mergeCell ref="FZ2:FZ4"/>
    <mergeCell ref="GA2:GA4"/>
    <mergeCell ref="FR2:FR4"/>
    <mergeCell ref="FS2:FS4"/>
    <mergeCell ref="FT2:FT4"/>
    <mergeCell ref="FU2:FU4"/>
    <mergeCell ref="FV2:FV4"/>
    <mergeCell ref="FM2:FM4"/>
    <mergeCell ref="FN2:FN4"/>
    <mergeCell ref="FO2:FO4"/>
    <mergeCell ref="FP2:FP4"/>
    <mergeCell ref="FQ2:FQ4"/>
    <mergeCell ref="FH2:FH4"/>
    <mergeCell ref="FI2:FI4"/>
    <mergeCell ref="FJ2:FJ4"/>
    <mergeCell ref="FK2:FK4"/>
    <mergeCell ref="FL2:FL4"/>
    <mergeCell ref="FC2:FC4"/>
    <mergeCell ref="FD2:FD4"/>
    <mergeCell ref="FE2:FE4"/>
    <mergeCell ref="FF2:FF4"/>
    <mergeCell ref="FG2:FG4"/>
    <mergeCell ref="EX2:EX4"/>
    <mergeCell ref="EY2:EY4"/>
    <mergeCell ref="EZ2:EZ4"/>
    <mergeCell ref="FA2:FA4"/>
    <mergeCell ref="FB2:FB4"/>
    <mergeCell ref="ES2:ES4"/>
    <mergeCell ref="ET2:ET4"/>
    <mergeCell ref="EU2:EU4"/>
    <mergeCell ref="EV2:EV4"/>
    <mergeCell ref="EW2:EW4"/>
    <mergeCell ref="EN2:EN4"/>
    <mergeCell ref="EO2:EO4"/>
    <mergeCell ref="EP2:EP4"/>
    <mergeCell ref="EQ2:EQ4"/>
    <mergeCell ref="ER2:ER4"/>
    <mergeCell ref="EI2:EI4"/>
    <mergeCell ref="EJ2:EJ4"/>
    <mergeCell ref="EK2:EK4"/>
    <mergeCell ref="EL2:EL4"/>
    <mergeCell ref="EM2:EM4"/>
    <mergeCell ref="ED2:ED4"/>
    <mergeCell ref="EE2:EE4"/>
    <mergeCell ref="EF2:EF4"/>
    <mergeCell ref="EG2:EG4"/>
    <mergeCell ref="EH2:EH4"/>
    <mergeCell ref="DY2:DY4"/>
    <mergeCell ref="DZ2:DZ4"/>
    <mergeCell ref="EA2:EA4"/>
    <mergeCell ref="EB2:EB4"/>
    <mergeCell ref="EC2:EC4"/>
    <mergeCell ref="DT2:DT4"/>
    <mergeCell ref="DU2:DU4"/>
    <mergeCell ref="DV2:DV4"/>
    <mergeCell ref="DW2:DW4"/>
    <mergeCell ref="DX2:DX4"/>
    <mergeCell ref="DO2:DO4"/>
    <mergeCell ref="DP2:DP4"/>
    <mergeCell ref="DQ2:DQ4"/>
    <mergeCell ref="DR2:DR4"/>
    <mergeCell ref="DS2:DS4"/>
    <mergeCell ref="DJ2:DJ4"/>
    <mergeCell ref="DK2:DK4"/>
    <mergeCell ref="DL2:DL4"/>
    <mergeCell ref="DM2:DM4"/>
    <mergeCell ref="DN2:DN4"/>
    <mergeCell ref="DE2:DE4"/>
    <mergeCell ref="DF2:DF4"/>
    <mergeCell ref="DG2:DG4"/>
    <mergeCell ref="DH2:DH4"/>
    <mergeCell ref="DI2:DI4"/>
    <mergeCell ref="CZ2:CZ4"/>
    <mergeCell ref="DA2:DA4"/>
    <mergeCell ref="DB2:DB4"/>
    <mergeCell ref="DC2:DC4"/>
    <mergeCell ref="DD2:DD4"/>
    <mergeCell ref="CR2:CR4"/>
    <mergeCell ref="CS2:CS4"/>
    <mergeCell ref="CT2:CT4"/>
    <mergeCell ref="CU2:CU4"/>
    <mergeCell ref="CV2:CV4"/>
    <mergeCell ref="CM2:CM4"/>
    <mergeCell ref="CN2:CN4"/>
    <mergeCell ref="CO2:CO4"/>
    <mergeCell ref="CP2:CP4"/>
    <mergeCell ref="CQ2:CQ4"/>
    <mergeCell ref="CH2:CH4"/>
    <mergeCell ref="CI2:CI4"/>
    <mergeCell ref="CJ2:CJ4"/>
    <mergeCell ref="CK2:CK4"/>
    <mergeCell ref="CL2:CL4"/>
    <mergeCell ref="BY2:BY4"/>
    <mergeCell ref="BZ2:BZ4"/>
    <mergeCell ref="CA2:CA4"/>
    <mergeCell ref="CB2:CB4"/>
    <mergeCell ref="BP2:BP4"/>
    <mergeCell ref="BQ2:BQ4"/>
    <mergeCell ref="BR2:BR4"/>
    <mergeCell ref="BV2:BV4"/>
    <mergeCell ref="BW2:BW4"/>
    <mergeCell ref="BK2:BK4"/>
    <mergeCell ref="BL2:BL4"/>
    <mergeCell ref="BM2:BM4"/>
    <mergeCell ref="BN2:BN4"/>
    <mergeCell ref="BO2:BO4"/>
    <mergeCell ref="BF2:BF4"/>
    <mergeCell ref="BG2:BG4"/>
    <mergeCell ref="BH2:BH4"/>
    <mergeCell ref="BI2:BI4"/>
    <mergeCell ref="BJ2:BJ4"/>
    <mergeCell ref="BA2:BA4"/>
    <mergeCell ref="BB2:BB4"/>
    <mergeCell ref="BC2:BC4"/>
    <mergeCell ref="BD2:BD4"/>
    <mergeCell ref="BE2:BE4"/>
    <mergeCell ref="AV2:AV4"/>
    <mergeCell ref="AW2:AW4"/>
    <mergeCell ref="AX2:AX4"/>
    <mergeCell ref="AY2:AY4"/>
    <mergeCell ref="AZ2:AZ4"/>
    <mergeCell ref="AR2:AR4"/>
    <mergeCell ref="AS2:AS4"/>
    <mergeCell ref="AT2:AT4"/>
    <mergeCell ref="AU2:AU4"/>
    <mergeCell ref="AL2:AL4"/>
    <mergeCell ref="AM2:AM4"/>
    <mergeCell ref="AN2:AN4"/>
    <mergeCell ref="AO2:AO4"/>
    <mergeCell ref="AP2:AP4"/>
    <mergeCell ref="AH2:AH4"/>
    <mergeCell ref="AI2:AI4"/>
    <mergeCell ref="AJ2:AJ4"/>
    <mergeCell ref="AK2:AK4"/>
    <mergeCell ref="GX1:GZ1"/>
    <mergeCell ref="HA1:HC1"/>
    <mergeCell ref="HD1:HF1"/>
    <mergeCell ref="M2:M4"/>
    <mergeCell ref="N2:N4"/>
    <mergeCell ref="O2:O4"/>
    <mergeCell ref="P2:P4"/>
    <mergeCell ref="Q2:Q4"/>
    <mergeCell ref="R2:R4"/>
    <mergeCell ref="S2:S4"/>
    <mergeCell ref="T2:T4"/>
    <mergeCell ref="U2:U4"/>
    <mergeCell ref="AC2:AC4"/>
    <mergeCell ref="AD2:AD4"/>
    <mergeCell ref="AE2:AE4"/>
    <mergeCell ref="AF2:AF4"/>
    <mergeCell ref="GI1:GK1"/>
    <mergeCell ref="GL1:GN1"/>
    <mergeCell ref="GO1:GQ1"/>
    <mergeCell ref="AQ2:AQ4"/>
    <mergeCell ref="GR1:GT1"/>
    <mergeCell ref="GU1:GW1"/>
    <mergeCell ref="FT1:FV1"/>
    <mergeCell ref="FW1:FX1"/>
    <mergeCell ref="FZ1:GB1"/>
    <mergeCell ref="GC1:GE1"/>
    <mergeCell ref="GF1:GH1"/>
    <mergeCell ref="FE1:FG1"/>
    <mergeCell ref="FH1:FJ1"/>
    <mergeCell ref="FK1:FM1"/>
    <mergeCell ref="FN1:FP1"/>
    <mergeCell ref="FQ1:FS1"/>
    <mergeCell ref="EP1:ER1"/>
    <mergeCell ref="ES1:EU1"/>
    <mergeCell ref="EV1:EX1"/>
    <mergeCell ref="EY1:FA1"/>
    <mergeCell ref="FB1:FD1"/>
    <mergeCell ref="EA1:EC1"/>
    <mergeCell ref="ED1:EF1"/>
    <mergeCell ref="EG1:EI1"/>
    <mergeCell ref="EJ1:EL1"/>
    <mergeCell ref="EM1:EO1"/>
    <mergeCell ref="DL1:DN1"/>
    <mergeCell ref="DO1:DQ1"/>
    <mergeCell ref="DR1:DT1"/>
    <mergeCell ref="DU1:DW1"/>
    <mergeCell ref="DX1:DZ1"/>
    <mergeCell ref="CW1:CY1"/>
    <mergeCell ref="CZ1:DB1"/>
    <mergeCell ref="DC1:DE1"/>
    <mergeCell ref="DF1:DH1"/>
    <mergeCell ref="DI1:DK1"/>
    <mergeCell ref="CH1:CJ1"/>
    <mergeCell ref="CK1:CM1"/>
    <mergeCell ref="CN1:CP1"/>
    <mergeCell ref="CQ1:CS1"/>
    <mergeCell ref="CT1:CV1"/>
    <mergeCell ref="BS1:BU1"/>
    <mergeCell ref="BV1:BX1"/>
    <mergeCell ref="BY1:CA1"/>
    <mergeCell ref="CB1:CD1"/>
    <mergeCell ref="CE1:CG1"/>
    <mergeCell ref="BD1:BF1"/>
    <mergeCell ref="BG1:BI1"/>
    <mergeCell ref="BJ1:BL1"/>
    <mergeCell ref="BM1:BO1"/>
    <mergeCell ref="BP1:BR1"/>
    <mergeCell ref="AO1:AQ1"/>
    <mergeCell ref="AR1:AT1"/>
    <mergeCell ref="AU1:AW1"/>
    <mergeCell ref="AX1:AZ1"/>
    <mergeCell ref="BA1:BC1"/>
    <mergeCell ref="AI1:AK1"/>
    <mergeCell ref="AL1:AN1"/>
    <mergeCell ref="A37:C37"/>
    <mergeCell ref="A289:C289"/>
    <mergeCell ref="A140:C140"/>
    <mergeCell ref="A229:C229"/>
    <mergeCell ref="A241:C241"/>
    <mergeCell ref="A253:C253"/>
    <mergeCell ref="A265:C265"/>
    <mergeCell ref="AE36:AG38"/>
    <mergeCell ref="A1:C1"/>
    <mergeCell ref="A2:C4"/>
    <mergeCell ref="A81:C81"/>
    <mergeCell ref="A92:C92"/>
    <mergeCell ref="D1:F1"/>
    <mergeCell ref="G1:I1"/>
    <mergeCell ref="J1:L1"/>
    <mergeCell ref="M1:O1"/>
    <mergeCell ref="P1:R1"/>
    <mergeCell ref="S1:U1"/>
    <mergeCell ref="V1:X1"/>
    <mergeCell ref="Y1:AA1"/>
    <mergeCell ref="AB1:AB4"/>
    <mergeCell ref="AG2:AG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301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GQ21" sqref="GQ21"/>
    </sheetView>
  </sheetViews>
  <sheetFormatPr defaultRowHeight="12.75" x14ac:dyDescent="0.2"/>
  <cols>
    <col min="1" max="1" width="13.7109375" style="52" customWidth="1"/>
    <col min="2" max="2" width="10.85546875" style="52" bestFit="1" customWidth="1"/>
    <col min="3" max="3" width="20.140625" style="52" bestFit="1" customWidth="1"/>
    <col min="4" max="4" width="10.85546875" style="52" bestFit="1" customWidth="1"/>
    <col min="5" max="5" width="9.28515625" style="52" bestFit="1" customWidth="1"/>
    <col min="6" max="6" width="20.140625" style="52" bestFit="1" customWidth="1"/>
    <col min="7" max="7" width="15" style="52" bestFit="1" customWidth="1"/>
    <col min="8" max="8" width="9.85546875" style="52" bestFit="1" customWidth="1"/>
    <col min="9" max="9" width="14.42578125" style="52" bestFit="1" customWidth="1"/>
    <col min="10" max="10" width="15" style="52" bestFit="1" customWidth="1"/>
    <col min="11" max="11" width="9.28515625" style="52" bestFit="1" customWidth="1"/>
    <col min="12" max="12" width="18.85546875" style="52" bestFit="1" customWidth="1"/>
    <col min="13" max="13" width="10.85546875" style="52" bestFit="1" customWidth="1"/>
    <col min="14" max="14" width="9.28515625" style="52" bestFit="1" customWidth="1"/>
    <col min="15" max="15" width="22.85546875" style="52" bestFit="1" customWidth="1"/>
    <col min="16" max="16" width="12.28515625" style="52" bestFit="1" customWidth="1"/>
    <col min="17" max="17" width="9.28515625" style="52" bestFit="1" customWidth="1"/>
    <col min="18" max="18" width="20.28515625" style="52" bestFit="1" customWidth="1"/>
    <col min="19" max="19" width="13.42578125" style="52" bestFit="1" customWidth="1"/>
    <col min="20" max="20" width="9.28515625" style="52" bestFit="1" customWidth="1"/>
    <col min="21" max="21" width="20.28515625" style="52" bestFit="1" customWidth="1"/>
    <col min="22" max="22" width="10" style="52" bestFit="1" customWidth="1"/>
    <col min="23" max="23" width="9.28515625" style="52" bestFit="1" customWidth="1"/>
    <col min="24" max="24" width="19.28515625" style="52" bestFit="1" customWidth="1"/>
    <col min="25" max="25" width="10" style="52" bestFit="1" customWidth="1"/>
    <col min="26" max="26" width="9.28515625" style="52" bestFit="1" customWidth="1"/>
    <col min="27" max="27" width="19.28515625" style="52" bestFit="1" customWidth="1"/>
    <col min="28" max="28" width="16.7109375" style="52" bestFit="1" customWidth="1"/>
    <col min="29" max="32" width="13" style="52" bestFit="1" customWidth="1"/>
    <col min="33" max="33" width="16.28515625" style="52" bestFit="1" customWidth="1"/>
    <col min="34" max="34" width="18.85546875" style="52" bestFit="1" customWidth="1"/>
    <col min="35" max="35" width="10.85546875" style="52" bestFit="1" customWidth="1"/>
    <col min="36" max="36" width="9.28515625" style="52" bestFit="1" customWidth="1"/>
    <col min="37" max="37" width="20.28515625" style="52" bestFit="1" customWidth="1"/>
    <col min="38" max="38" width="12.28515625" style="52" bestFit="1" customWidth="1"/>
    <col min="39" max="39" width="9.28515625" style="52" bestFit="1" customWidth="1"/>
    <col min="40" max="40" width="20.28515625" style="52" bestFit="1" customWidth="1"/>
    <col min="41" max="41" width="13.42578125" style="52" bestFit="1" customWidth="1"/>
    <col min="42" max="42" width="9.28515625" style="52" bestFit="1" customWidth="1"/>
    <col min="43" max="43" width="20.28515625" style="52" bestFit="1" customWidth="1"/>
    <col min="44" max="44" width="10.85546875" style="52" bestFit="1" customWidth="1"/>
    <col min="45" max="45" width="9.28515625" style="52" bestFit="1" customWidth="1"/>
    <col min="46" max="46" width="20.28515625" style="52" bestFit="1" customWidth="1"/>
    <col min="47" max="47" width="12.28515625" style="52" bestFit="1" customWidth="1"/>
    <col min="48" max="48" width="9.28515625" style="52" bestFit="1" customWidth="1"/>
    <col min="49" max="49" width="20.28515625" style="52" bestFit="1" customWidth="1"/>
    <col min="50" max="50" width="13.42578125" style="52" bestFit="1" customWidth="1"/>
    <col min="51" max="51" width="9.28515625" style="52" bestFit="1" customWidth="1"/>
    <col min="52" max="52" width="20.28515625" style="52" bestFit="1" customWidth="1"/>
    <col min="53" max="53" width="10.85546875" style="52" bestFit="1" customWidth="1"/>
    <col min="54" max="54" width="9.28515625" style="52" bestFit="1" customWidth="1"/>
    <col min="55" max="55" width="20.28515625" style="52" bestFit="1" customWidth="1"/>
    <col min="56" max="56" width="12.28515625" style="52" bestFit="1" customWidth="1"/>
    <col min="57" max="57" width="9.28515625" style="52" bestFit="1" customWidth="1"/>
    <col min="58" max="58" width="20.28515625" style="52" bestFit="1" customWidth="1"/>
    <col min="59" max="59" width="13.42578125" style="52" bestFit="1" customWidth="1"/>
    <col min="60" max="60" width="9.28515625" style="52" bestFit="1" customWidth="1"/>
    <col min="61" max="61" width="20.28515625" style="52" bestFit="1" customWidth="1"/>
    <col min="62" max="62" width="11" style="52" bestFit="1" customWidth="1"/>
    <col min="63" max="63" width="9.28515625" style="52" bestFit="1" customWidth="1"/>
    <col min="64" max="64" width="20.28515625" style="52" bestFit="1" customWidth="1"/>
    <col min="65" max="65" width="12.42578125" style="52" bestFit="1" customWidth="1"/>
    <col min="66" max="66" width="9.28515625" style="52" bestFit="1" customWidth="1"/>
    <col min="67" max="67" width="20.28515625" style="52" bestFit="1" customWidth="1"/>
    <col min="68" max="68" width="13.5703125" style="52" bestFit="1" customWidth="1"/>
    <col min="69" max="69" width="9.28515625" style="52" bestFit="1" customWidth="1"/>
    <col min="70" max="70" width="20.28515625" style="52" bestFit="1" customWidth="1"/>
    <col min="71" max="71" width="10.7109375" style="52" bestFit="1" customWidth="1"/>
    <col min="72" max="72" width="9.28515625" style="52" bestFit="1" customWidth="1"/>
    <col min="73" max="73" width="19.28515625" style="52" bestFit="1" customWidth="1"/>
    <col min="74" max="74" width="14.28515625" style="52" bestFit="1" customWidth="1"/>
    <col min="75" max="75" width="9.28515625" style="52" bestFit="1" customWidth="1"/>
    <col min="76" max="76" width="11.7109375" style="52" bestFit="1" customWidth="1"/>
    <col min="77" max="77" width="10.28515625" style="52" bestFit="1" customWidth="1"/>
    <col min="78" max="78" width="9.85546875" style="52" bestFit="1" customWidth="1"/>
    <col min="79" max="79" width="18.85546875" style="52" bestFit="1" customWidth="1"/>
    <col min="80" max="80" width="11" style="52" bestFit="1" customWidth="1"/>
    <col min="81" max="81" width="10.85546875" style="52" bestFit="1" customWidth="1"/>
    <col min="82" max="82" width="20.28515625" style="52" bestFit="1" customWidth="1"/>
    <col min="83" max="83" width="12.42578125" style="52" bestFit="1" customWidth="1"/>
    <col min="84" max="84" width="9.85546875" style="52" bestFit="1" customWidth="1"/>
    <col min="85" max="85" width="20.28515625" style="52" bestFit="1" customWidth="1"/>
    <col min="86" max="86" width="13.5703125" style="52" bestFit="1" customWidth="1"/>
    <col min="87" max="87" width="9.85546875" style="52" bestFit="1" customWidth="1"/>
    <col min="88" max="88" width="20.28515625" style="52" bestFit="1" customWidth="1"/>
    <col min="89" max="90" width="9.28515625" style="52" bestFit="1" customWidth="1"/>
    <col min="91" max="91" width="11.7109375" style="52" bestFit="1" customWidth="1"/>
    <col min="92" max="92" width="12" style="52" bestFit="1" customWidth="1"/>
    <col min="93" max="93" width="9.28515625" style="52" bestFit="1" customWidth="1"/>
    <col min="94" max="94" width="7.85546875" style="52" bestFit="1" customWidth="1"/>
    <col min="95" max="95" width="10.28515625" style="52" bestFit="1" customWidth="1"/>
    <col min="96" max="96" width="9.28515625" style="52" bestFit="1" customWidth="1"/>
    <col min="97" max="97" width="7.28515625" style="52" bestFit="1" customWidth="1"/>
    <col min="98" max="98" width="14.5703125" style="52" bestFit="1" customWidth="1"/>
    <col min="99" max="99" width="9.28515625" style="52" bestFit="1" customWidth="1"/>
    <col min="100" max="100" width="18.85546875" style="52" bestFit="1" customWidth="1"/>
    <col min="101" max="101" width="10.28515625" style="52" bestFit="1" customWidth="1"/>
    <col min="102" max="102" width="9.28515625" style="52" bestFit="1" customWidth="1"/>
    <col min="103" max="103" width="19.28515625" style="52" bestFit="1" customWidth="1"/>
    <col min="104" max="104" width="14.85546875" style="52" bestFit="1" customWidth="1"/>
    <col min="105" max="105" width="9.28515625" style="52" bestFit="1" customWidth="1"/>
    <col min="106" max="106" width="11.7109375" style="52" bestFit="1" customWidth="1"/>
    <col min="107" max="107" width="10.28515625" style="52" bestFit="1" customWidth="1"/>
    <col min="108" max="108" width="9.28515625" style="52" bestFit="1" customWidth="1"/>
    <col min="109" max="109" width="11.7109375" style="52" bestFit="1" customWidth="1"/>
    <col min="110" max="110" width="12.42578125" style="52" bestFit="1" customWidth="1"/>
    <col min="111" max="111" width="9.85546875" style="52" bestFit="1" customWidth="1"/>
    <col min="112" max="112" width="14.42578125" style="52" bestFit="1" customWidth="1"/>
    <col min="113" max="113" width="12.42578125" style="52" bestFit="1" customWidth="1"/>
    <col min="114" max="114" width="9.28515625" style="52" bestFit="1" customWidth="1"/>
    <col min="115" max="115" width="6.28515625" style="52" bestFit="1" customWidth="1"/>
    <col min="116" max="116" width="12.42578125" style="52" bestFit="1" customWidth="1"/>
    <col min="117" max="117" width="8.85546875" style="52" bestFit="1" customWidth="1"/>
    <col min="118" max="118" width="5.5703125" style="52" bestFit="1" customWidth="1"/>
    <col min="119" max="119" width="12.42578125" style="52" bestFit="1" customWidth="1"/>
    <col min="120" max="120" width="10" style="52" bestFit="1" customWidth="1"/>
    <col min="121" max="121" width="10.140625" style="52" bestFit="1" customWidth="1"/>
    <col min="122" max="122" width="11.5703125" style="52" bestFit="1" customWidth="1"/>
    <col min="123" max="123" width="9.28515625" style="52" bestFit="1" customWidth="1"/>
    <col min="124" max="124" width="11.7109375" style="52" bestFit="1" customWidth="1"/>
    <col min="125" max="125" width="11" style="52" bestFit="1" customWidth="1"/>
    <col min="126" max="126" width="9.28515625" style="52" bestFit="1" customWidth="1"/>
    <col min="127" max="127" width="9.5703125" style="52" bestFit="1" customWidth="1"/>
    <col min="128" max="128" width="12" style="52" bestFit="1" customWidth="1"/>
    <col min="129" max="129" width="9.28515625" style="52" bestFit="1" customWidth="1"/>
    <col min="130" max="130" width="9.5703125" style="52" bestFit="1" customWidth="1"/>
    <col min="131" max="131" width="12" style="52" bestFit="1" customWidth="1"/>
    <col min="132" max="132" width="9.28515625" style="52" bestFit="1" customWidth="1"/>
    <col min="133" max="133" width="9.5703125" style="52" bestFit="1" customWidth="1"/>
    <col min="134" max="134" width="12" style="52" bestFit="1" customWidth="1"/>
    <col min="135" max="135" width="10" style="52" bestFit="1" customWidth="1"/>
    <col min="136" max="136" width="9.5703125" style="52" bestFit="1" customWidth="1"/>
    <col min="137" max="137" width="11.28515625" style="52" bestFit="1" customWidth="1"/>
    <col min="138" max="138" width="9.28515625" style="52" bestFit="1" customWidth="1"/>
    <col min="139" max="139" width="11.7109375" style="52" bestFit="1" customWidth="1"/>
    <col min="140" max="140" width="9.42578125" style="52" bestFit="1" customWidth="1"/>
    <col min="141" max="141" width="8.85546875" style="52" bestFit="1" customWidth="1"/>
    <col min="142" max="142" width="7" style="52" bestFit="1" customWidth="1"/>
    <col min="143" max="143" width="12" style="52" bestFit="1" customWidth="1"/>
    <col min="144" max="144" width="9.28515625" style="52" bestFit="1" customWidth="1"/>
    <col min="145" max="145" width="7" style="52" bestFit="1" customWidth="1"/>
    <col min="146" max="146" width="12" style="52" bestFit="1" customWidth="1"/>
    <col min="147" max="147" width="8.85546875" style="52" bestFit="1" customWidth="1"/>
    <col min="148" max="148" width="7" style="52" bestFit="1" customWidth="1"/>
    <col min="149" max="149" width="12" style="52" bestFit="1" customWidth="1"/>
    <col min="150" max="150" width="10" style="52" bestFit="1" customWidth="1"/>
    <col min="151" max="151" width="7.85546875" style="52" bestFit="1" customWidth="1"/>
    <col min="152" max="152" width="10.5703125" style="52" bestFit="1" customWidth="1"/>
    <col min="153" max="153" width="9.28515625" style="52" bestFit="1" customWidth="1"/>
    <col min="154" max="154" width="11.7109375" style="52" bestFit="1" customWidth="1"/>
    <col min="155" max="155" width="8.7109375" style="52" bestFit="1" customWidth="1"/>
    <col min="156" max="156" width="9.28515625" style="52" bestFit="1" customWidth="1"/>
    <col min="157" max="157" width="7" style="52" bestFit="1" customWidth="1"/>
    <col min="158" max="158" width="12" style="52" bestFit="1" customWidth="1"/>
    <col min="159" max="159" width="9.28515625" style="52" bestFit="1" customWidth="1"/>
    <col min="160" max="160" width="7" style="52" bestFit="1" customWidth="1"/>
    <col min="161" max="161" width="12" style="52" bestFit="1" customWidth="1"/>
    <col min="162" max="162" width="8.85546875" style="52" bestFit="1" customWidth="1"/>
    <col min="163" max="163" width="7" style="52" bestFit="1" customWidth="1"/>
    <col min="164" max="164" width="12" style="52" bestFit="1" customWidth="1"/>
    <col min="165" max="165" width="9.85546875" style="52" bestFit="1" customWidth="1"/>
    <col min="166" max="166" width="7.85546875" style="52" bestFit="1" customWidth="1"/>
    <col min="167" max="167" width="10.5703125" style="52" bestFit="1" customWidth="1"/>
    <col min="168" max="168" width="9.28515625" style="52" bestFit="1" customWidth="1"/>
    <col min="169" max="169" width="11.7109375" style="52" bestFit="1" customWidth="1"/>
    <col min="170" max="170" width="4.85546875" style="52" bestFit="1" customWidth="1"/>
    <col min="171" max="171" width="9.28515625" style="52" bestFit="1" customWidth="1"/>
    <col min="172" max="172" width="5.5703125" style="52" bestFit="1" customWidth="1"/>
    <col min="173" max="173" width="7.85546875" style="52" bestFit="1" customWidth="1"/>
    <col min="174" max="174" width="9.28515625" style="52" bestFit="1" customWidth="1"/>
    <col min="175" max="175" width="6.28515625" style="52" bestFit="1" customWidth="1"/>
    <col min="176" max="176" width="10.140625" style="52" bestFit="1" customWidth="1"/>
    <col min="177" max="177" width="9.28515625" style="52" bestFit="1" customWidth="1"/>
    <col min="178" max="178" width="5.5703125" style="52" bestFit="1" customWidth="1"/>
    <col min="179" max="179" width="6.7109375" style="52" bestFit="1" customWidth="1"/>
    <col min="180" max="180" width="9.5703125" style="52" bestFit="1" customWidth="1"/>
    <col min="181" max="181" width="5.5703125" style="52" bestFit="1" customWidth="1"/>
    <col min="182" max="182" width="13.140625" style="52" bestFit="1" customWidth="1"/>
    <col min="183" max="183" width="9.28515625" style="52" bestFit="1" customWidth="1"/>
    <col min="184" max="184" width="11.7109375" style="52" bestFit="1" customWidth="1"/>
    <col min="185" max="185" width="11.42578125" style="52" bestFit="1" customWidth="1"/>
    <col min="186" max="186" width="9.28515625" style="52" bestFit="1" customWidth="1"/>
    <col min="187" max="187" width="6" style="52" bestFit="1" customWidth="1"/>
    <col min="188" max="188" width="12" style="52" bestFit="1" customWidth="1"/>
    <col min="189" max="189" width="9.28515625" style="52" bestFit="1" customWidth="1"/>
    <col min="190" max="190" width="7" style="52" bestFit="1" customWidth="1"/>
    <col min="191" max="191" width="12" style="52" bestFit="1" customWidth="1"/>
    <col min="192" max="192" width="9.28515625" style="52" bestFit="1" customWidth="1"/>
    <col min="193" max="193" width="7" style="52" bestFit="1" customWidth="1"/>
    <col min="194" max="194" width="12" style="52" bestFit="1" customWidth="1"/>
    <col min="195" max="195" width="9.85546875" style="52" bestFit="1" customWidth="1"/>
    <col min="196" max="196" width="7.85546875" style="52" bestFit="1" customWidth="1"/>
    <col min="197" max="197" width="12.7109375" style="52" bestFit="1" customWidth="1"/>
    <col min="198" max="198" width="9.28515625" style="52" bestFit="1" customWidth="1"/>
    <col min="199" max="199" width="11.7109375" style="52" bestFit="1" customWidth="1"/>
    <col min="200" max="200" width="10.85546875" style="52" bestFit="1" customWidth="1"/>
    <col min="201" max="201" width="9.28515625" style="52" bestFit="1" customWidth="1"/>
    <col min="202" max="202" width="7" style="52" bestFit="1" customWidth="1"/>
    <col min="203" max="203" width="12" style="52" bestFit="1" customWidth="1"/>
    <col min="204" max="204" width="9.28515625" style="52" bestFit="1" customWidth="1"/>
    <col min="205" max="205" width="7" style="52" bestFit="1" customWidth="1"/>
    <col min="206" max="206" width="12" style="52" bestFit="1" customWidth="1"/>
    <col min="207" max="207" width="9.28515625" style="52" bestFit="1" customWidth="1"/>
    <col min="208" max="208" width="7" style="52" bestFit="1" customWidth="1"/>
    <col min="209" max="209" width="12" style="52" bestFit="1" customWidth="1"/>
    <col min="210" max="210" width="9.85546875" style="52" bestFit="1" customWidth="1"/>
    <col min="211" max="211" width="7.85546875" style="52" bestFit="1" customWidth="1"/>
    <col min="212" max="212" width="9.5703125" style="52" bestFit="1" customWidth="1"/>
    <col min="213" max="213" width="13" style="52" bestFit="1" customWidth="1"/>
    <col min="214" max="214" width="20.5703125" style="52" bestFit="1" customWidth="1"/>
    <col min="215" max="16384" width="9.140625" style="52"/>
  </cols>
  <sheetData>
    <row r="1" spans="1:214" ht="21.75" customHeight="1" thickTop="1" thickBot="1" x14ac:dyDescent="0.25">
      <c r="A1" s="655" t="s">
        <v>360</v>
      </c>
      <c r="B1" s="656"/>
      <c r="C1" s="657"/>
      <c r="D1" s="325" t="s">
        <v>525</v>
      </c>
      <c r="E1" s="326"/>
      <c r="F1" s="328"/>
      <c r="G1" s="357" t="s">
        <v>526</v>
      </c>
      <c r="H1" s="358"/>
      <c r="I1" s="359"/>
      <c r="J1" s="356" t="s">
        <v>527</v>
      </c>
      <c r="K1" s="354"/>
      <c r="L1" s="355"/>
      <c r="M1" s="325" t="s">
        <v>532</v>
      </c>
      <c r="N1" s="326"/>
      <c r="O1" s="326"/>
      <c r="P1" s="327" t="s">
        <v>534</v>
      </c>
      <c r="Q1" s="326"/>
      <c r="R1" s="328"/>
      <c r="S1" s="326" t="s">
        <v>535</v>
      </c>
      <c r="T1" s="326"/>
      <c r="U1" s="328"/>
      <c r="V1" s="366" t="s">
        <v>538</v>
      </c>
      <c r="W1" s="367"/>
      <c r="X1" s="367"/>
      <c r="Y1" s="368" t="s">
        <v>539</v>
      </c>
      <c r="Z1" s="367"/>
      <c r="AA1" s="369"/>
      <c r="AB1" s="309" t="s">
        <v>542</v>
      </c>
      <c r="AC1" s="208" t="s">
        <v>3</v>
      </c>
      <c r="AD1" s="209" t="s">
        <v>4</v>
      </c>
      <c r="AE1" s="210" t="s">
        <v>1</v>
      </c>
      <c r="AF1" s="210" t="s">
        <v>544</v>
      </c>
      <c r="AG1" s="211" t="s">
        <v>543</v>
      </c>
      <c r="AH1" s="50"/>
      <c r="AI1" s="658" t="s">
        <v>557</v>
      </c>
      <c r="AJ1" s="659"/>
      <c r="AK1" s="660"/>
      <c r="AL1" s="661" t="s">
        <v>546</v>
      </c>
      <c r="AM1" s="659"/>
      <c r="AN1" s="660"/>
      <c r="AO1" s="661" t="s">
        <v>547</v>
      </c>
      <c r="AP1" s="659"/>
      <c r="AQ1" s="662"/>
      <c r="AR1" s="658" t="s">
        <v>559</v>
      </c>
      <c r="AS1" s="659"/>
      <c r="AT1" s="660"/>
      <c r="AU1" s="661" t="s">
        <v>548</v>
      </c>
      <c r="AV1" s="659"/>
      <c r="AW1" s="660"/>
      <c r="AX1" s="661" t="s">
        <v>549</v>
      </c>
      <c r="AY1" s="659"/>
      <c r="AZ1" s="662"/>
      <c r="BA1" s="658" t="s">
        <v>561</v>
      </c>
      <c r="BB1" s="659"/>
      <c r="BC1" s="660"/>
      <c r="BD1" s="661" t="s">
        <v>551</v>
      </c>
      <c r="BE1" s="659"/>
      <c r="BF1" s="660"/>
      <c r="BG1" s="661" t="s">
        <v>552</v>
      </c>
      <c r="BH1" s="659"/>
      <c r="BI1" s="662"/>
      <c r="BJ1" s="658" t="s">
        <v>564</v>
      </c>
      <c r="BK1" s="659"/>
      <c r="BL1" s="660"/>
      <c r="BM1" s="661" t="s">
        <v>554</v>
      </c>
      <c r="BN1" s="659"/>
      <c r="BO1" s="660"/>
      <c r="BP1" s="661" t="s">
        <v>555</v>
      </c>
      <c r="BQ1" s="659"/>
      <c r="BR1" s="662"/>
      <c r="BS1" s="274" t="s">
        <v>567</v>
      </c>
      <c r="BT1" s="270"/>
      <c r="BU1" s="272"/>
      <c r="BV1" s="298" t="s">
        <v>574</v>
      </c>
      <c r="BW1" s="299"/>
      <c r="BX1" s="300"/>
      <c r="BY1" s="301" t="s">
        <v>568</v>
      </c>
      <c r="BZ1" s="302"/>
      <c r="CA1" s="302"/>
      <c r="CB1" s="675" t="s">
        <v>569</v>
      </c>
      <c r="CC1" s="673"/>
      <c r="CD1" s="673"/>
      <c r="CE1" s="676" t="s">
        <v>570</v>
      </c>
      <c r="CF1" s="673"/>
      <c r="CG1" s="677"/>
      <c r="CH1" s="673" t="s">
        <v>571</v>
      </c>
      <c r="CI1" s="673"/>
      <c r="CJ1" s="674"/>
      <c r="CK1" s="675" t="s">
        <v>575</v>
      </c>
      <c r="CL1" s="673"/>
      <c r="CM1" s="673"/>
      <c r="CN1" s="676" t="s">
        <v>575</v>
      </c>
      <c r="CO1" s="673"/>
      <c r="CP1" s="677"/>
      <c r="CQ1" s="673" t="s">
        <v>575</v>
      </c>
      <c r="CR1" s="673"/>
      <c r="CS1" s="674"/>
      <c r="CT1" s="386" t="s">
        <v>577</v>
      </c>
      <c r="CU1" s="387"/>
      <c r="CV1" s="388"/>
      <c r="CW1" s="398" t="s">
        <v>578</v>
      </c>
      <c r="CX1" s="399"/>
      <c r="CY1" s="400"/>
      <c r="CZ1" s="410" t="s">
        <v>579</v>
      </c>
      <c r="DA1" s="411"/>
      <c r="DB1" s="412"/>
      <c r="DC1" s="413" t="s">
        <v>580</v>
      </c>
      <c r="DD1" s="414"/>
      <c r="DE1" s="415"/>
      <c r="DF1" s="416" t="s">
        <v>583</v>
      </c>
      <c r="DG1" s="417"/>
      <c r="DH1" s="418"/>
      <c r="DI1" s="419" t="s">
        <v>174</v>
      </c>
      <c r="DJ1" s="417"/>
      <c r="DK1" s="418"/>
      <c r="DL1" s="419" t="s">
        <v>584</v>
      </c>
      <c r="DM1" s="417"/>
      <c r="DN1" s="418"/>
      <c r="DO1" s="419" t="s">
        <v>584</v>
      </c>
      <c r="DP1" s="417"/>
      <c r="DQ1" s="420"/>
      <c r="DR1" s="562" t="s">
        <v>590</v>
      </c>
      <c r="DS1" s="563"/>
      <c r="DT1" s="564"/>
      <c r="DU1" s="613" t="s">
        <v>583</v>
      </c>
      <c r="DV1" s="610"/>
      <c r="DW1" s="612"/>
      <c r="DX1" s="609" t="s">
        <v>174</v>
      </c>
      <c r="DY1" s="610"/>
      <c r="DZ1" s="612"/>
      <c r="EA1" s="609" t="s">
        <v>584</v>
      </c>
      <c r="EB1" s="610"/>
      <c r="EC1" s="612"/>
      <c r="ED1" s="609" t="s">
        <v>584</v>
      </c>
      <c r="EE1" s="610"/>
      <c r="EF1" s="611"/>
      <c r="EG1" s="606" t="s">
        <v>589</v>
      </c>
      <c r="EH1" s="607"/>
      <c r="EI1" s="608"/>
      <c r="EJ1" s="605" t="s">
        <v>583</v>
      </c>
      <c r="EK1" s="566"/>
      <c r="EL1" s="567"/>
      <c r="EM1" s="565" t="s">
        <v>174</v>
      </c>
      <c r="EN1" s="566"/>
      <c r="EO1" s="567"/>
      <c r="EP1" s="565" t="s">
        <v>584</v>
      </c>
      <c r="EQ1" s="566"/>
      <c r="ER1" s="567"/>
      <c r="ES1" s="565" t="s">
        <v>584</v>
      </c>
      <c r="ET1" s="566"/>
      <c r="EU1" s="640"/>
      <c r="EV1" s="641" t="s">
        <v>588</v>
      </c>
      <c r="EW1" s="642"/>
      <c r="EX1" s="643"/>
      <c r="EY1" s="644" t="s">
        <v>583</v>
      </c>
      <c r="EZ1" s="645"/>
      <c r="FA1" s="646"/>
      <c r="FB1" s="647" t="s">
        <v>174</v>
      </c>
      <c r="FC1" s="645"/>
      <c r="FD1" s="646"/>
      <c r="FE1" s="647" t="s">
        <v>584</v>
      </c>
      <c r="FF1" s="645"/>
      <c r="FG1" s="646"/>
      <c r="FH1" s="647" t="s">
        <v>584</v>
      </c>
      <c r="FI1" s="645"/>
      <c r="FJ1" s="648"/>
      <c r="FK1" s="598" t="s">
        <v>587</v>
      </c>
      <c r="FL1" s="599"/>
      <c r="FM1" s="600"/>
      <c r="FN1" s="601" t="s">
        <v>583</v>
      </c>
      <c r="FO1" s="602"/>
      <c r="FP1" s="603"/>
      <c r="FQ1" s="604" t="s">
        <v>174</v>
      </c>
      <c r="FR1" s="602"/>
      <c r="FS1" s="603"/>
      <c r="FT1" s="604" t="s">
        <v>584</v>
      </c>
      <c r="FU1" s="602"/>
      <c r="FV1" s="603"/>
      <c r="FW1" s="604" t="s">
        <v>584</v>
      </c>
      <c r="FX1" s="602"/>
      <c r="FY1" s="51"/>
      <c r="FZ1" s="628" t="s">
        <v>586</v>
      </c>
      <c r="GA1" s="629"/>
      <c r="GB1" s="630"/>
      <c r="GC1" s="631" t="s">
        <v>583</v>
      </c>
      <c r="GD1" s="632"/>
      <c r="GE1" s="633"/>
      <c r="GF1" s="634" t="s">
        <v>174</v>
      </c>
      <c r="GG1" s="632"/>
      <c r="GH1" s="633"/>
      <c r="GI1" s="634" t="s">
        <v>584</v>
      </c>
      <c r="GJ1" s="632"/>
      <c r="GK1" s="633"/>
      <c r="GL1" s="634" t="s">
        <v>584</v>
      </c>
      <c r="GM1" s="632"/>
      <c r="GN1" s="635"/>
      <c r="GO1" s="636" t="s">
        <v>585</v>
      </c>
      <c r="GP1" s="637"/>
      <c r="GQ1" s="638"/>
      <c r="GR1" s="639" t="s">
        <v>583</v>
      </c>
      <c r="GS1" s="615"/>
      <c r="GT1" s="616"/>
      <c r="GU1" s="614" t="s">
        <v>174</v>
      </c>
      <c r="GV1" s="615"/>
      <c r="GW1" s="616"/>
      <c r="GX1" s="614" t="s">
        <v>584</v>
      </c>
      <c r="GY1" s="615"/>
      <c r="GZ1" s="616"/>
      <c r="HA1" s="614" t="s">
        <v>584</v>
      </c>
      <c r="HB1" s="615"/>
      <c r="HC1" s="617"/>
      <c r="HD1" s="618" t="s">
        <v>591</v>
      </c>
      <c r="HE1" s="619"/>
      <c r="HF1" s="620"/>
    </row>
    <row r="2" spans="1:214" ht="13.5" customHeight="1" thickTop="1" x14ac:dyDescent="0.2">
      <c r="A2" s="372" t="s">
        <v>233</v>
      </c>
      <c r="B2" s="373"/>
      <c r="C2" s="374"/>
      <c r="D2" s="193"/>
      <c r="E2" s="194"/>
      <c r="F2" s="194"/>
      <c r="G2" s="363" t="s">
        <v>531</v>
      </c>
      <c r="H2" s="360">
        <f>1/((1/H12)+(1/H11))</f>
        <v>9.5514491728639558E-2</v>
      </c>
      <c r="I2" s="625" t="s">
        <v>291</v>
      </c>
      <c r="J2" s="622" t="s">
        <v>531</v>
      </c>
      <c r="K2" s="360">
        <f>1/((1/K15)+(1/K16))</f>
        <v>3455.666693298886</v>
      </c>
      <c r="L2" s="345" t="s">
        <v>290</v>
      </c>
      <c r="M2" s="330" t="s">
        <v>537</v>
      </c>
      <c r="N2" s="333">
        <f>((N5*N6*N7)/((1-EXP(-N7*N6))*N15*N13*(N9/365)*(((N14/24)*N12)+((N16/24)*N11))))/N17</f>
        <v>3458.4481236120796</v>
      </c>
      <c r="O2" s="336" t="s">
        <v>290</v>
      </c>
      <c r="P2" s="339" t="s">
        <v>537</v>
      </c>
      <c r="Q2" s="333">
        <f>((Q5*Q6*Q7)/((1-EXP(-Q7*Q6))*Q15*Q13*(Q9/365)*(((Q14/24)*Q12)+((Q16/24)*Q11))))/Q17</f>
        <v>16706.062969990551</v>
      </c>
      <c r="R2" s="336" t="s">
        <v>290</v>
      </c>
      <c r="S2" s="339" t="s">
        <v>537</v>
      </c>
      <c r="T2" s="333">
        <f>((T5*T6*T7)/((1-EXP(-T7*T6))*T15*T13*(T9/365)*(((T14/24)*T12)+((T16/24)*T11))))/T17</f>
        <v>3790.9912124209332</v>
      </c>
      <c r="U2" s="342" t="s">
        <v>290</v>
      </c>
      <c r="V2" s="204"/>
      <c r="W2" s="205"/>
      <c r="X2" s="205"/>
      <c r="Y2" s="206"/>
      <c r="Z2" s="205"/>
      <c r="AA2" s="207"/>
      <c r="AB2" s="310"/>
      <c r="AC2" s="312">
        <f>1/((1/AC30)+(1/AC31))</f>
        <v>5029.7755588727541</v>
      </c>
      <c r="AD2" s="312">
        <f>1/((1/AD30)+(1/AD31))</f>
        <v>12556.64392929721</v>
      </c>
      <c r="AE2" s="312">
        <f>1/((1/AE30)+(1/AE31))</f>
        <v>5588.6395098586145</v>
      </c>
      <c r="AF2" s="312">
        <f>1/((1/AF30)+(1/AF31))</f>
        <v>3039.2978865692075</v>
      </c>
      <c r="AG2" s="312">
        <f>1/((1/AG30)+(1/AG31))</f>
        <v>269766.10700706753</v>
      </c>
      <c r="AH2" s="318" t="s">
        <v>290</v>
      </c>
      <c r="AI2" s="307" t="s">
        <v>537</v>
      </c>
      <c r="AJ2" s="304">
        <f>((AJ5*AJ6*AJ7)/((1-EXP(-AJ7*AJ6))*AJ15*(AJ9/365)*AJ10*(AJ16/24)*AJ11*AJ13))/AJ17</f>
        <v>12586.330256261441</v>
      </c>
      <c r="AK2" s="291" t="s">
        <v>290</v>
      </c>
      <c r="AL2" s="288" t="s">
        <v>537</v>
      </c>
      <c r="AM2" s="304">
        <f>((AM5*AM6*AM7)/((1-EXP(-AM7*AM6))*AM15*(AM9/365)*AM10*(AM16/24)*AM11*AM13))/AM17</f>
        <v>60798.374966686628</v>
      </c>
      <c r="AN2" s="291" t="s">
        <v>290</v>
      </c>
      <c r="AO2" s="288" t="s">
        <v>537</v>
      </c>
      <c r="AP2" s="304">
        <f>((AP5*AP6*AP7)/((1-EXP(-AP7*AP6))*AP15*(AP9/365)*AP10*(AP16/24)*AP11*AP13))/AP17</f>
        <v>13796.554319363502</v>
      </c>
      <c r="AQ2" s="282" t="s">
        <v>290</v>
      </c>
      <c r="AR2" s="665" t="s">
        <v>537</v>
      </c>
      <c r="AS2" s="304">
        <f>((AS5*AS6*AS7)/((1-EXP(-AS7*AS6))*AS15*(AS9/365)*AS10*(AS14/24)*AS12*AS13))/AS17</f>
        <v>5593.9245583384172</v>
      </c>
      <c r="AT2" s="667" t="s">
        <v>290</v>
      </c>
      <c r="AU2" s="663" t="s">
        <v>537</v>
      </c>
      <c r="AV2" s="304">
        <f>((AV5*AV6*AV7)/((1-EXP(-AV7*AV6))*AV15*(AV9/365)*AV10*(AV14/24)*AV12*AV13))/AV17</f>
        <v>27021.499985194056</v>
      </c>
      <c r="AW2" s="671" t="s">
        <v>290</v>
      </c>
      <c r="AX2" s="663" t="s">
        <v>537</v>
      </c>
      <c r="AY2" s="304">
        <f>((AY5*AY6*AY7)/((1-EXP(-AY7*AY6))*AY15*(AY9/365)*AY10*(AY14/24)*AY12*AY13))/AY17</f>
        <v>6131.8019197171134</v>
      </c>
      <c r="AZ2" s="669" t="s">
        <v>290</v>
      </c>
      <c r="BA2" s="665" t="s">
        <v>537</v>
      </c>
      <c r="BB2" s="304">
        <f>((BB5*BB6*BB7)/((1-EXP(-BB7*BB6))*BB15*(BB9/365)*(BB14/24)*BB12*BB13))/BB17</f>
        <v>5034.532102504576</v>
      </c>
      <c r="BC2" s="667" t="s">
        <v>290</v>
      </c>
      <c r="BD2" s="663" t="s">
        <v>537</v>
      </c>
      <c r="BE2" s="304">
        <f>((BE5*BE6*BE7)/((1-EXP(-BE7*BE6))*BE15*(BE9/365)*(BE14/24)*BE12*BE13))/BE17</f>
        <v>24319.349986674653</v>
      </c>
      <c r="BF2" s="667" t="s">
        <v>290</v>
      </c>
      <c r="BG2" s="663" t="s">
        <v>537</v>
      </c>
      <c r="BH2" s="304">
        <f>((BH5*BH6*BH7)/((1-EXP(-BH7*BH6))*BH15*(BH9/365)*(BH14/24)*BH12*BH13))/BH17</f>
        <v>5518.6217277454016</v>
      </c>
      <c r="BI2" s="669" t="s">
        <v>290</v>
      </c>
      <c r="BJ2" s="665" t="s">
        <v>537</v>
      </c>
      <c r="BK2" s="285">
        <f>((BK5*BK6*BK7)/((1-EXP(-BK7*BK6))*BK16*(BK9/365)*(BK15/24)*BK13*BK14))/BK17</f>
        <v>27742595.882057257</v>
      </c>
      <c r="BL2" s="667" t="s">
        <v>290</v>
      </c>
      <c r="BM2" s="663" t="s">
        <v>537</v>
      </c>
      <c r="BN2" s="285">
        <f>((BN5*BN6*BN7)/((1-EXP(-BN7*BN6))*BN16*(BN9/365)*(BN15/24)*BN13*BN14))/BN17</f>
        <v>279754632.83149457</v>
      </c>
      <c r="BO2" s="667" t="s">
        <v>290</v>
      </c>
      <c r="BP2" s="663" t="s">
        <v>537</v>
      </c>
      <c r="BQ2" s="285">
        <f>((BQ5*BQ6*BQ7)/((1-EXP(-BQ7*BQ6))*BQ16*(BQ9/365)*(BQ15/24)*BQ13*BQ14))/BQ17</f>
        <v>36886223.884082831</v>
      </c>
      <c r="BR2" s="669" t="s">
        <v>290</v>
      </c>
      <c r="BS2" s="214"/>
      <c r="BT2" s="120"/>
      <c r="BU2" s="215"/>
      <c r="BV2" s="258" t="s">
        <v>531</v>
      </c>
      <c r="BW2" s="261" t="e">
        <f>1/((1/BW10)+(1/BW12))</f>
        <v>#DIV/0!</v>
      </c>
      <c r="BX2" s="278" t="s">
        <v>291</v>
      </c>
      <c r="BY2" s="258" t="s">
        <v>531</v>
      </c>
      <c r="BZ2" s="261" t="e">
        <f>1/((1/BZ13)+(1/BZ14)+(1/BZ15))</f>
        <v>#DIV/0!</v>
      </c>
      <c r="CA2" s="264" t="s">
        <v>290</v>
      </c>
      <c r="CB2" s="268" t="s">
        <v>537</v>
      </c>
      <c r="CC2" s="262">
        <f>((CC5*CC6*CC7)/((1-EXP(-CC7*CC6))*CC14*(CC9/365)*CC12*(CC13/24)*CC11))/CC15</f>
        <v>739802556.85486019</v>
      </c>
      <c r="CD2" s="279" t="s">
        <v>290</v>
      </c>
      <c r="CE2" s="259" t="s">
        <v>537</v>
      </c>
      <c r="CF2" s="262">
        <f>((CF5*CF6*CF7)/((1-EXP(-CF7*CF6))*CF14*(CF9/365)*CF12*(CF13/24)*CF11))/CF15</f>
        <v>7460123542.1731892</v>
      </c>
      <c r="CG2" s="279" t="s">
        <v>290</v>
      </c>
      <c r="CH2" s="259" t="s">
        <v>537</v>
      </c>
      <c r="CI2" s="262">
        <f>((CI5*CI6*CI7)/((1-EXP(-CI7*CI6))*CI14*(CI9/365)*CI12*(CI13/24)*CI11))/CI15</f>
        <v>983632636.9088757</v>
      </c>
      <c r="CJ2" s="265" t="s">
        <v>290</v>
      </c>
      <c r="CK2" s="268" t="s">
        <v>530</v>
      </c>
      <c r="CL2" s="262" t="e">
        <f>(CL5/(CL6*CL7*CL8))/CL9</f>
        <v>#DIV/0!</v>
      </c>
      <c r="CM2" s="279" t="s">
        <v>290</v>
      </c>
      <c r="CN2" s="259" t="s">
        <v>7</v>
      </c>
      <c r="CO2" s="262" t="e">
        <f>(CL2/(CO5*((CO10*CO12*CO13*(CO6+CO7))+(CO11*CO12))))*CO17</f>
        <v>#DIV/0!</v>
      </c>
      <c r="CP2" s="279" t="s">
        <v>290</v>
      </c>
      <c r="CQ2" s="259" t="s">
        <v>6</v>
      </c>
      <c r="CR2" s="262" t="e">
        <f>CL2/(CR5*CR6*(1/CR7))</f>
        <v>#DIV/0!</v>
      </c>
      <c r="CS2" s="265" t="s">
        <v>290</v>
      </c>
      <c r="CT2" s="395" t="s">
        <v>531</v>
      </c>
      <c r="CU2" s="392">
        <f>1/((1/CU15)+(1/CU16))</f>
        <v>1778.2422277521298</v>
      </c>
      <c r="CV2" s="389" t="s">
        <v>290</v>
      </c>
      <c r="CW2" s="218"/>
      <c r="CX2" s="219"/>
      <c r="CY2" s="219"/>
      <c r="CZ2" s="407" t="s">
        <v>531</v>
      </c>
      <c r="DA2" s="404">
        <f>1/((1/DA15)+(1/DA14))</f>
        <v>9.1385194563833441E-2</v>
      </c>
      <c r="DB2" s="401" t="s">
        <v>291</v>
      </c>
      <c r="DC2" s="442" t="s">
        <v>530</v>
      </c>
      <c r="DD2" s="439" t="e">
        <f>DD7</f>
        <v>#DIV/0!</v>
      </c>
      <c r="DE2" s="436" t="s">
        <v>290</v>
      </c>
      <c r="DF2" s="433" t="s">
        <v>530</v>
      </c>
      <c r="DG2" s="424" t="e">
        <f>DD7/((1/DG24)*(DG5+DG6+DG7))</f>
        <v>#DIV/0!</v>
      </c>
      <c r="DH2" s="430" t="s">
        <v>291</v>
      </c>
      <c r="DI2" s="427" t="s">
        <v>530</v>
      </c>
      <c r="DJ2" s="424" t="e">
        <f>(DD7/(DJ5+DJ6))*DJ12</f>
        <v>#DIV/0!</v>
      </c>
      <c r="DK2" s="430" t="s">
        <v>290</v>
      </c>
      <c r="DL2" s="427" t="s">
        <v>581</v>
      </c>
      <c r="DM2" s="424" t="e">
        <f>((DD7)/(DM5+DM6))*DJ12</f>
        <v>#DIV/0!</v>
      </c>
      <c r="DN2" s="430" t="s">
        <v>290</v>
      </c>
      <c r="DO2" s="427" t="s">
        <v>582</v>
      </c>
      <c r="DP2" s="424">
        <f>-(DP5+DP6+DP7)/(DP23+DP24)</f>
        <v>-49.755719687869203</v>
      </c>
      <c r="DQ2" s="421" t="s">
        <v>18</v>
      </c>
      <c r="DR2" s="574" t="s">
        <v>530</v>
      </c>
      <c r="DS2" s="445" t="e">
        <f>DS7</f>
        <v>#DIV/0!</v>
      </c>
      <c r="DT2" s="484" t="s">
        <v>290</v>
      </c>
      <c r="DU2" s="481" t="s">
        <v>530</v>
      </c>
      <c r="DV2" s="463" t="e">
        <f>(DS7*DV8)/(DV5*DV6*(1/1000))</f>
        <v>#DIV/0!</v>
      </c>
      <c r="DW2" s="466" t="s">
        <v>291</v>
      </c>
      <c r="DX2" s="478" t="s">
        <v>530</v>
      </c>
      <c r="DY2" s="463" t="e">
        <f>(DS7*DY14)/(DY9*((DY10*DY12*DY13*(DY5+DY6))+(DY11*DY12)))*DY18</f>
        <v>#DIV/0!</v>
      </c>
      <c r="DZ2" s="466" t="s">
        <v>290</v>
      </c>
      <c r="EA2" s="478" t="s">
        <v>581</v>
      </c>
      <c r="EB2" s="463" t="e">
        <f>(DS7*DY14)/(EB9*((EB10*EB12*EB13*(EB5+EB6))+(EB11*EB12)))*DY18</f>
        <v>#DIV/0!</v>
      </c>
      <c r="EC2" s="466" t="s">
        <v>290</v>
      </c>
      <c r="ED2" s="478" t="s">
        <v>582</v>
      </c>
      <c r="EE2" s="463">
        <f>-EE15/((EE10*EE12*EE13*(EE5+EE6))+(EE11*EE12))</f>
        <v>-16.803652968036527</v>
      </c>
      <c r="EF2" s="460" t="s">
        <v>18</v>
      </c>
      <c r="EG2" s="475" t="s">
        <v>530</v>
      </c>
      <c r="EH2" s="469" t="e">
        <f>EH7</f>
        <v>#DIV/0!</v>
      </c>
      <c r="EI2" s="457" t="s">
        <v>290</v>
      </c>
      <c r="EJ2" s="472" t="s">
        <v>530</v>
      </c>
      <c r="EK2" s="454" t="e">
        <f>EH7/(EK5*EK6)</f>
        <v>#DIV/0!</v>
      </c>
      <c r="EL2" s="451" t="s">
        <v>291</v>
      </c>
      <c r="EM2" s="448" t="s">
        <v>530</v>
      </c>
      <c r="EN2" s="454" t="e">
        <f>(EH7/(EN9*((EN10*EN12*EN13*(EN5+EN6))+(EN11*EN12))))*EN17</f>
        <v>#DIV/0!</v>
      </c>
      <c r="EO2" s="451" t="s">
        <v>290</v>
      </c>
      <c r="EP2" s="448" t="s">
        <v>581</v>
      </c>
      <c r="EQ2" s="454" t="e">
        <f>(EH7/(EQ9*((EQ10*EQ12*EQ13*(EQ5+EQ6))+(EQ11*EQ12))))*EN17</f>
        <v>#DIV/0!</v>
      </c>
      <c r="ER2" s="451" t="s">
        <v>290</v>
      </c>
      <c r="ES2" s="448" t="s">
        <v>582</v>
      </c>
      <c r="ET2" s="454">
        <f>-ET15/((ET10*ET12*ET13*(ET5+ET6))+(ET11*ET12))</f>
        <v>-15.395787944807553</v>
      </c>
      <c r="EU2" s="499" t="s">
        <v>18</v>
      </c>
      <c r="EV2" s="496" t="s">
        <v>530</v>
      </c>
      <c r="EW2" s="493" t="e">
        <f>EW7</f>
        <v>#DIV/0!</v>
      </c>
      <c r="EX2" s="490" t="s">
        <v>290</v>
      </c>
      <c r="EY2" s="487" t="s">
        <v>530</v>
      </c>
      <c r="EZ2" s="586" t="e">
        <f>EW7/(EZ5*EZ6*(1/EZ7))</f>
        <v>#DIV/0!</v>
      </c>
      <c r="FA2" s="592" t="s">
        <v>291</v>
      </c>
      <c r="FB2" s="589" t="s">
        <v>530</v>
      </c>
      <c r="FC2" s="586" t="e">
        <f>(EW7/(FC9*((FC10*FC12*FC13*(FC5+FC6))+(FC11*FC12))))*FC17</f>
        <v>#DIV/0!</v>
      </c>
      <c r="FD2" s="595" t="s">
        <v>290</v>
      </c>
      <c r="FE2" s="589" t="s">
        <v>581</v>
      </c>
      <c r="FF2" s="586" t="e">
        <f>(EW7/(FF9*((FF10*FF12*FF13*(FF5+FF6))+(FF11*FF12))))*FC17</f>
        <v>#DIV/0!</v>
      </c>
      <c r="FG2" s="592" t="s">
        <v>290</v>
      </c>
      <c r="FH2" s="589" t="s">
        <v>582</v>
      </c>
      <c r="FI2" s="586">
        <f>-FI15/((FI10*FI12*FI13*(FI5+FI6))+(FI11*FI12))</f>
        <v>-5.5555555555555554</v>
      </c>
      <c r="FJ2" s="583" t="s">
        <v>18</v>
      </c>
      <c r="FK2" s="580" t="s">
        <v>530</v>
      </c>
      <c r="FL2" s="577" t="e">
        <f>FL7</f>
        <v>#DIV/0!</v>
      </c>
      <c r="FM2" s="571" t="s">
        <v>290</v>
      </c>
      <c r="FN2" s="568" t="s">
        <v>530</v>
      </c>
      <c r="FO2" s="505" t="e">
        <f>FL7/(FO5*(1/FO6))</f>
        <v>#DIV/0!</v>
      </c>
      <c r="FP2" s="511" t="s">
        <v>291</v>
      </c>
      <c r="FQ2" s="508" t="s">
        <v>530</v>
      </c>
      <c r="FR2" s="505" t="e">
        <f>((FL7*FR6)/FR5)*FR10</f>
        <v>#DIV/0!</v>
      </c>
      <c r="FS2" s="511" t="s">
        <v>290</v>
      </c>
      <c r="FT2" s="508" t="s">
        <v>581</v>
      </c>
      <c r="FU2" s="505" t="e">
        <f>((FL7*FU6)/FU5)*FR10</f>
        <v>#DIV/0!</v>
      </c>
      <c r="FV2" s="511" t="s">
        <v>290</v>
      </c>
      <c r="FW2" s="508" t="s">
        <v>582</v>
      </c>
      <c r="FX2" s="505">
        <f>-FX5/FX6</f>
        <v>0</v>
      </c>
      <c r="FY2" s="502" t="s">
        <v>18</v>
      </c>
      <c r="FZ2" s="556" t="s">
        <v>530</v>
      </c>
      <c r="GA2" s="553" t="e">
        <f>GA7</f>
        <v>#DIV/0!</v>
      </c>
      <c r="GB2" s="550" t="s">
        <v>290</v>
      </c>
      <c r="GC2" s="559" t="s">
        <v>530</v>
      </c>
      <c r="GD2" s="538" t="e">
        <f>GA7/(GD5*GD6*(1/GD7))</f>
        <v>#DIV/0!</v>
      </c>
      <c r="GE2" s="544" t="s">
        <v>291</v>
      </c>
      <c r="GF2" s="541" t="s">
        <v>530</v>
      </c>
      <c r="GG2" s="538" t="e">
        <f>(GA7/((GG9)*((GG10*GG12*GG13*(GG5+GG6))+(GG11*GG12))))*GG17</f>
        <v>#DIV/0!</v>
      </c>
      <c r="GH2" s="544" t="s">
        <v>290</v>
      </c>
      <c r="GI2" s="541" t="s">
        <v>581</v>
      </c>
      <c r="GJ2" s="538" t="e">
        <f>(GA7/((GJ9)*((GJ10*GJ12*GJ13*(GJ5+GJ6))+(GJ11*GJ12))))*GG17</f>
        <v>#DIV/0!</v>
      </c>
      <c r="GK2" s="544" t="s">
        <v>290</v>
      </c>
      <c r="GL2" s="541" t="s">
        <v>582</v>
      </c>
      <c r="GM2" s="538">
        <f>-GM15/((GM10*GM12*GM13*(GM5+GM6))+(GM11*GM12))</f>
        <v>-5.5555555555555554</v>
      </c>
      <c r="GN2" s="535" t="s">
        <v>18</v>
      </c>
      <c r="GO2" s="532" t="s">
        <v>530</v>
      </c>
      <c r="GP2" s="529" t="e">
        <f>GP7</f>
        <v>#DIV/0!</v>
      </c>
      <c r="GQ2" s="526" t="s">
        <v>290</v>
      </c>
      <c r="GR2" s="523" t="s">
        <v>530</v>
      </c>
      <c r="GS2" s="517" t="e">
        <f>GP7/(GS5*GS6*(1/GS7))</f>
        <v>#DIV/0!</v>
      </c>
      <c r="GT2" s="514" t="s">
        <v>291</v>
      </c>
      <c r="GU2" s="520" t="s">
        <v>530</v>
      </c>
      <c r="GV2" s="517" t="e">
        <f>(GP7/((GV9)*((GV10*GV12*GV13*(GV5+GV6))+(GV11*GV12))))*GV17</f>
        <v>#DIV/0!</v>
      </c>
      <c r="GW2" s="514" t="s">
        <v>290</v>
      </c>
      <c r="GX2" s="520" t="s">
        <v>581</v>
      </c>
      <c r="GY2" s="517" t="e">
        <f>(GP7/((GY9*((GY10*GY12*GY13*(GY5+GY6))+(GY11*GY12)))))*GV17</f>
        <v>#DIV/0!</v>
      </c>
      <c r="GZ2" s="514" t="s">
        <v>290</v>
      </c>
      <c r="HA2" s="520" t="s">
        <v>582</v>
      </c>
      <c r="HB2" s="517">
        <f>-HB15/((HB10*HB12*HB13*(HB5+HB6))+(HB11*HB12))</f>
        <v>-7.3786407766990294</v>
      </c>
      <c r="HC2" s="547" t="s">
        <v>18</v>
      </c>
      <c r="HD2" s="54"/>
      <c r="HE2" s="55"/>
      <c r="HF2" s="56"/>
    </row>
    <row r="3" spans="1:214" ht="12.75" customHeight="1" x14ac:dyDescent="0.2">
      <c r="A3" s="375"/>
      <c r="B3" s="376"/>
      <c r="C3" s="377"/>
      <c r="D3" s="189" t="s">
        <v>15</v>
      </c>
      <c r="E3" s="134">
        <f>1/((1/E19)+(1/E20))</f>
        <v>9.5528051108391618E-3</v>
      </c>
      <c r="F3" s="58" t="s">
        <v>289</v>
      </c>
      <c r="G3" s="364"/>
      <c r="H3" s="361"/>
      <c r="I3" s="626"/>
      <c r="J3" s="623"/>
      <c r="K3" s="361"/>
      <c r="L3" s="621"/>
      <c r="M3" s="331"/>
      <c r="N3" s="334"/>
      <c r="O3" s="337"/>
      <c r="P3" s="340"/>
      <c r="Q3" s="334"/>
      <c r="R3" s="337"/>
      <c r="S3" s="340"/>
      <c r="T3" s="334"/>
      <c r="U3" s="343"/>
      <c r="V3" s="200" t="s">
        <v>16</v>
      </c>
      <c r="W3" s="61">
        <f>1/((1/W18)+(1/W19))</f>
        <v>1.9956600490979988</v>
      </c>
      <c r="X3" s="62" t="s">
        <v>289</v>
      </c>
      <c r="Y3" s="202" t="s">
        <v>16</v>
      </c>
      <c r="Z3" s="187">
        <f>1/((1/Z18)+(1/Z19))</f>
        <v>1.796094044188199</v>
      </c>
      <c r="AA3" s="63" t="s">
        <v>289</v>
      </c>
      <c r="AB3" s="310"/>
      <c r="AC3" s="313"/>
      <c r="AD3" s="313"/>
      <c r="AE3" s="313"/>
      <c r="AF3" s="313"/>
      <c r="AG3" s="313"/>
      <c r="AH3" s="318"/>
      <c r="AI3" s="307"/>
      <c r="AJ3" s="304"/>
      <c r="AK3" s="291"/>
      <c r="AL3" s="288"/>
      <c r="AM3" s="304"/>
      <c r="AN3" s="291"/>
      <c r="AO3" s="288"/>
      <c r="AP3" s="304"/>
      <c r="AQ3" s="282"/>
      <c r="AR3" s="665"/>
      <c r="AS3" s="304"/>
      <c r="AT3" s="667"/>
      <c r="AU3" s="663"/>
      <c r="AV3" s="304"/>
      <c r="AW3" s="671"/>
      <c r="AX3" s="663"/>
      <c r="AY3" s="304"/>
      <c r="AZ3" s="669"/>
      <c r="BA3" s="665"/>
      <c r="BB3" s="304"/>
      <c r="BC3" s="667"/>
      <c r="BD3" s="663"/>
      <c r="BE3" s="304"/>
      <c r="BF3" s="667"/>
      <c r="BG3" s="663"/>
      <c r="BH3" s="304"/>
      <c r="BI3" s="669"/>
      <c r="BJ3" s="665"/>
      <c r="BK3" s="285"/>
      <c r="BL3" s="667"/>
      <c r="BM3" s="663"/>
      <c r="BN3" s="285"/>
      <c r="BO3" s="667"/>
      <c r="BP3" s="663"/>
      <c r="BQ3" s="285"/>
      <c r="BR3" s="669"/>
      <c r="BS3" s="212" t="s">
        <v>15</v>
      </c>
      <c r="BT3" s="64">
        <f>1/((1/BT18)+(1/BT19))</f>
        <v>1.0699141724139865</v>
      </c>
      <c r="BU3" s="53" t="s">
        <v>289</v>
      </c>
      <c r="BV3" s="259"/>
      <c r="BW3" s="262"/>
      <c r="BX3" s="279"/>
      <c r="BY3" s="259"/>
      <c r="BZ3" s="262"/>
      <c r="CA3" s="265"/>
      <c r="CB3" s="268"/>
      <c r="CC3" s="262"/>
      <c r="CD3" s="279"/>
      <c r="CE3" s="259"/>
      <c r="CF3" s="262"/>
      <c r="CG3" s="279"/>
      <c r="CH3" s="259"/>
      <c r="CI3" s="262"/>
      <c r="CJ3" s="265"/>
      <c r="CK3" s="268"/>
      <c r="CL3" s="262"/>
      <c r="CM3" s="279"/>
      <c r="CN3" s="259"/>
      <c r="CO3" s="262"/>
      <c r="CP3" s="279"/>
      <c r="CQ3" s="259"/>
      <c r="CR3" s="262"/>
      <c r="CS3" s="265"/>
      <c r="CT3" s="396"/>
      <c r="CU3" s="393"/>
      <c r="CV3" s="390"/>
      <c r="CW3" s="216" t="s">
        <v>15</v>
      </c>
      <c r="CX3" s="65">
        <f>1/((1/CX19)+(1/CX20))</f>
        <v>9.4672548562399553E-3</v>
      </c>
      <c r="CY3" s="66" t="s">
        <v>289</v>
      </c>
      <c r="CZ3" s="408"/>
      <c r="DA3" s="405"/>
      <c r="DB3" s="402"/>
      <c r="DC3" s="443"/>
      <c r="DD3" s="440"/>
      <c r="DE3" s="437"/>
      <c r="DF3" s="434"/>
      <c r="DG3" s="425"/>
      <c r="DH3" s="431"/>
      <c r="DI3" s="428"/>
      <c r="DJ3" s="425"/>
      <c r="DK3" s="431"/>
      <c r="DL3" s="428"/>
      <c r="DM3" s="425"/>
      <c r="DN3" s="431"/>
      <c r="DO3" s="428"/>
      <c r="DP3" s="425"/>
      <c r="DQ3" s="422"/>
      <c r="DR3" s="575"/>
      <c r="DS3" s="446"/>
      <c r="DT3" s="485"/>
      <c r="DU3" s="482"/>
      <c r="DV3" s="464"/>
      <c r="DW3" s="467"/>
      <c r="DX3" s="479"/>
      <c r="DY3" s="464"/>
      <c r="DZ3" s="467"/>
      <c r="EA3" s="479"/>
      <c r="EB3" s="464"/>
      <c r="EC3" s="467"/>
      <c r="ED3" s="479"/>
      <c r="EE3" s="464"/>
      <c r="EF3" s="461"/>
      <c r="EG3" s="476"/>
      <c r="EH3" s="470"/>
      <c r="EI3" s="458"/>
      <c r="EJ3" s="473"/>
      <c r="EK3" s="455"/>
      <c r="EL3" s="452"/>
      <c r="EM3" s="449"/>
      <c r="EN3" s="455"/>
      <c r="EO3" s="452"/>
      <c r="EP3" s="449"/>
      <c r="EQ3" s="455"/>
      <c r="ER3" s="452"/>
      <c r="ES3" s="449"/>
      <c r="ET3" s="455"/>
      <c r="EU3" s="500"/>
      <c r="EV3" s="497"/>
      <c r="EW3" s="494"/>
      <c r="EX3" s="491"/>
      <c r="EY3" s="488"/>
      <c r="EZ3" s="587"/>
      <c r="FA3" s="593"/>
      <c r="FB3" s="590"/>
      <c r="FC3" s="587"/>
      <c r="FD3" s="596"/>
      <c r="FE3" s="590"/>
      <c r="FF3" s="587"/>
      <c r="FG3" s="593"/>
      <c r="FH3" s="590"/>
      <c r="FI3" s="587"/>
      <c r="FJ3" s="584"/>
      <c r="FK3" s="581"/>
      <c r="FL3" s="578"/>
      <c r="FM3" s="572"/>
      <c r="FN3" s="569"/>
      <c r="FO3" s="506"/>
      <c r="FP3" s="512"/>
      <c r="FQ3" s="509"/>
      <c r="FR3" s="506"/>
      <c r="FS3" s="512"/>
      <c r="FT3" s="509"/>
      <c r="FU3" s="506"/>
      <c r="FV3" s="512"/>
      <c r="FW3" s="509"/>
      <c r="FX3" s="506"/>
      <c r="FY3" s="503"/>
      <c r="FZ3" s="557"/>
      <c r="GA3" s="554"/>
      <c r="GB3" s="551"/>
      <c r="GC3" s="560"/>
      <c r="GD3" s="539"/>
      <c r="GE3" s="545"/>
      <c r="GF3" s="542"/>
      <c r="GG3" s="539"/>
      <c r="GH3" s="545"/>
      <c r="GI3" s="542"/>
      <c r="GJ3" s="539"/>
      <c r="GK3" s="545"/>
      <c r="GL3" s="542"/>
      <c r="GM3" s="539"/>
      <c r="GN3" s="536"/>
      <c r="GO3" s="533"/>
      <c r="GP3" s="530"/>
      <c r="GQ3" s="527"/>
      <c r="GR3" s="524"/>
      <c r="GS3" s="518"/>
      <c r="GT3" s="515"/>
      <c r="GU3" s="521"/>
      <c r="GV3" s="518"/>
      <c r="GW3" s="515"/>
      <c r="GX3" s="521"/>
      <c r="GY3" s="518"/>
      <c r="GZ3" s="515"/>
      <c r="HA3" s="521"/>
      <c r="HB3" s="518"/>
      <c r="HC3" s="548"/>
      <c r="HD3" s="67" t="s">
        <v>14</v>
      </c>
      <c r="HE3" s="222">
        <f>(HE5*HE14)*(10^-3)*(HE13+(HE10/HE11))*((HE12*HE7)/HE8)</f>
        <v>0</v>
      </c>
      <c r="HF3" s="220" t="s">
        <v>595</v>
      </c>
    </row>
    <row r="4" spans="1:214" ht="13.5" customHeight="1" thickBot="1" x14ac:dyDescent="0.25">
      <c r="A4" s="378"/>
      <c r="B4" s="379"/>
      <c r="C4" s="380"/>
      <c r="D4" s="190" t="s">
        <v>16</v>
      </c>
      <c r="E4" s="135">
        <f>1/((1/E21)+(1/E22))</f>
        <v>0.6319692116808151</v>
      </c>
      <c r="F4" s="68" t="s">
        <v>289</v>
      </c>
      <c r="G4" s="365"/>
      <c r="H4" s="362"/>
      <c r="I4" s="627"/>
      <c r="J4" s="624"/>
      <c r="K4" s="362"/>
      <c r="L4" s="346"/>
      <c r="M4" s="332"/>
      <c r="N4" s="335"/>
      <c r="O4" s="338"/>
      <c r="P4" s="341"/>
      <c r="Q4" s="335"/>
      <c r="R4" s="338"/>
      <c r="S4" s="341"/>
      <c r="T4" s="335"/>
      <c r="U4" s="344"/>
      <c r="V4" s="201" t="s">
        <v>15</v>
      </c>
      <c r="W4" s="75">
        <f>1/((1/W16)+(1/W17))</f>
        <v>3.0166266273980311E-2</v>
      </c>
      <c r="X4" s="76" t="s">
        <v>289</v>
      </c>
      <c r="Y4" s="203" t="s">
        <v>15</v>
      </c>
      <c r="Z4" s="186">
        <f>1/((1/Z16)+(1/Z17))</f>
        <v>2.7149639646582284E-2</v>
      </c>
      <c r="AA4" s="77" t="s">
        <v>289</v>
      </c>
      <c r="AB4" s="311"/>
      <c r="AC4" s="314"/>
      <c r="AD4" s="314"/>
      <c r="AE4" s="314"/>
      <c r="AF4" s="314"/>
      <c r="AG4" s="314"/>
      <c r="AH4" s="319"/>
      <c r="AI4" s="308"/>
      <c r="AJ4" s="305"/>
      <c r="AK4" s="292"/>
      <c r="AL4" s="289"/>
      <c r="AM4" s="305"/>
      <c r="AN4" s="292"/>
      <c r="AO4" s="289"/>
      <c r="AP4" s="305"/>
      <c r="AQ4" s="283"/>
      <c r="AR4" s="666"/>
      <c r="AS4" s="305"/>
      <c r="AT4" s="668"/>
      <c r="AU4" s="664"/>
      <c r="AV4" s="305"/>
      <c r="AW4" s="672"/>
      <c r="AX4" s="664"/>
      <c r="AY4" s="305"/>
      <c r="AZ4" s="670"/>
      <c r="BA4" s="666"/>
      <c r="BB4" s="305"/>
      <c r="BC4" s="668"/>
      <c r="BD4" s="664"/>
      <c r="BE4" s="305"/>
      <c r="BF4" s="668"/>
      <c r="BG4" s="664"/>
      <c r="BH4" s="305"/>
      <c r="BI4" s="670"/>
      <c r="BJ4" s="666"/>
      <c r="BK4" s="286"/>
      <c r="BL4" s="668"/>
      <c r="BM4" s="664"/>
      <c r="BN4" s="286"/>
      <c r="BO4" s="668"/>
      <c r="BP4" s="664"/>
      <c r="BQ4" s="286"/>
      <c r="BR4" s="670"/>
      <c r="BS4" s="213" t="s">
        <v>16</v>
      </c>
      <c r="BT4" s="78">
        <f>1/((1/BT20)+(1/BT21))</f>
        <v>70.780551708251295</v>
      </c>
      <c r="BU4" s="79" t="s">
        <v>289</v>
      </c>
      <c r="BV4" s="260"/>
      <c r="BW4" s="263"/>
      <c r="BX4" s="280"/>
      <c r="BY4" s="260"/>
      <c r="BZ4" s="263"/>
      <c r="CA4" s="266"/>
      <c r="CB4" s="269"/>
      <c r="CC4" s="263"/>
      <c r="CD4" s="280"/>
      <c r="CE4" s="260"/>
      <c r="CF4" s="263"/>
      <c r="CG4" s="280"/>
      <c r="CH4" s="260"/>
      <c r="CI4" s="263"/>
      <c r="CJ4" s="266"/>
      <c r="CK4" s="269"/>
      <c r="CL4" s="263"/>
      <c r="CM4" s="280"/>
      <c r="CN4" s="260"/>
      <c r="CO4" s="263"/>
      <c r="CP4" s="280"/>
      <c r="CQ4" s="260"/>
      <c r="CR4" s="263"/>
      <c r="CS4" s="266"/>
      <c r="CT4" s="397"/>
      <c r="CU4" s="394"/>
      <c r="CV4" s="391"/>
      <c r="CW4" s="217" t="s">
        <v>16</v>
      </c>
      <c r="CX4" s="80">
        <f>1/((1/CX21)+(1/CX22))</f>
        <v>0.62630960423244275</v>
      </c>
      <c r="CY4" s="81" t="s">
        <v>289</v>
      </c>
      <c r="CZ4" s="409"/>
      <c r="DA4" s="406"/>
      <c r="DB4" s="403"/>
      <c r="DC4" s="444"/>
      <c r="DD4" s="441"/>
      <c r="DE4" s="438"/>
      <c r="DF4" s="435"/>
      <c r="DG4" s="426"/>
      <c r="DH4" s="432"/>
      <c r="DI4" s="429"/>
      <c r="DJ4" s="426"/>
      <c r="DK4" s="432"/>
      <c r="DL4" s="429"/>
      <c r="DM4" s="426"/>
      <c r="DN4" s="432"/>
      <c r="DO4" s="429"/>
      <c r="DP4" s="426"/>
      <c r="DQ4" s="423"/>
      <c r="DR4" s="576"/>
      <c r="DS4" s="447"/>
      <c r="DT4" s="486"/>
      <c r="DU4" s="483"/>
      <c r="DV4" s="465"/>
      <c r="DW4" s="468"/>
      <c r="DX4" s="480"/>
      <c r="DY4" s="465"/>
      <c r="DZ4" s="468"/>
      <c r="EA4" s="480"/>
      <c r="EB4" s="465"/>
      <c r="EC4" s="468"/>
      <c r="ED4" s="480"/>
      <c r="EE4" s="465"/>
      <c r="EF4" s="462"/>
      <c r="EG4" s="477"/>
      <c r="EH4" s="471"/>
      <c r="EI4" s="459"/>
      <c r="EJ4" s="474"/>
      <c r="EK4" s="456"/>
      <c r="EL4" s="453"/>
      <c r="EM4" s="450"/>
      <c r="EN4" s="456"/>
      <c r="EO4" s="453"/>
      <c r="EP4" s="450"/>
      <c r="EQ4" s="456"/>
      <c r="ER4" s="453"/>
      <c r="ES4" s="450"/>
      <c r="ET4" s="456"/>
      <c r="EU4" s="501"/>
      <c r="EV4" s="498"/>
      <c r="EW4" s="495"/>
      <c r="EX4" s="492"/>
      <c r="EY4" s="489"/>
      <c r="EZ4" s="588"/>
      <c r="FA4" s="594"/>
      <c r="FB4" s="591"/>
      <c r="FC4" s="588"/>
      <c r="FD4" s="597"/>
      <c r="FE4" s="591"/>
      <c r="FF4" s="588"/>
      <c r="FG4" s="594"/>
      <c r="FH4" s="591"/>
      <c r="FI4" s="588"/>
      <c r="FJ4" s="585"/>
      <c r="FK4" s="582"/>
      <c r="FL4" s="579"/>
      <c r="FM4" s="573"/>
      <c r="FN4" s="570"/>
      <c r="FO4" s="507"/>
      <c r="FP4" s="513"/>
      <c r="FQ4" s="510"/>
      <c r="FR4" s="507"/>
      <c r="FS4" s="513"/>
      <c r="FT4" s="510"/>
      <c r="FU4" s="507"/>
      <c r="FV4" s="513"/>
      <c r="FW4" s="510"/>
      <c r="FX4" s="507"/>
      <c r="FY4" s="504"/>
      <c r="FZ4" s="558"/>
      <c r="GA4" s="555"/>
      <c r="GB4" s="552"/>
      <c r="GC4" s="561"/>
      <c r="GD4" s="540"/>
      <c r="GE4" s="546"/>
      <c r="GF4" s="543"/>
      <c r="GG4" s="540"/>
      <c r="GH4" s="546"/>
      <c r="GI4" s="543"/>
      <c r="GJ4" s="540"/>
      <c r="GK4" s="546"/>
      <c r="GL4" s="543"/>
      <c r="GM4" s="540"/>
      <c r="GN4" s="537"/>
      <c r="GO4" s="534"/>
      <c r="GP4" s="531"/>
      <c r="GQ4" s="528"/>
      <c r="GR4" s="525"/>
      <c r="GS4" s="519"/>
      <c r="GT4" s="516"/>
      <c r="GU4" s="522"/>
      <c r="GV4" s="519"/>
      <c r="GW4" s="516"/>
      <c r="GX4" s="522"/>
      <c r="GY4" s="519"/>
      <c r="GZ4" s="516"/>
      <c r="HA4" s="522"/>
      <c r="HB4" s="519"/>
      <c r="HC4" s="549"/>
      <c r="HD4" s="82" t="s">
        <v>14</v>
      </c>
      <c r="HE4" s="224">
        <f>(HE6*HE14)*10^-3*(HE13+(HE10/HE11))*((HE12*HE7)/(HE8))</f>
        <v>1.2637590182458893E-3</v>
      </c>
      <c r="HF4" s="221" t="s">
        <v>596</v>
      </c>
    </row>
    <row r="5" spans="1:214" ht="13.5" thickTop="1" x14ac:dyDescent="0.2">
      <c r="A5" s="52" t="s">
        <v>267</v>
      </c>
      <c r="B5" s="129">
        <v>1</v>
      </c>
      <c r="C5" s="52" t="s">
        <v>344</v>
      </c>
      <c r="D5" s="52" t="s">
        <v>267</v>
      </c>
      <c r="E5" s="136">
        <f>B5</f>
        <v>1</v>
      </c>
      <c r="F5" s="52" t="s">
        <v>344</v>
      </c>
      <c r="G5" s="83" t="s">
        <v>267</v>
      </c>
      <c r="H5" s="136">
        <f>B5</f>
        <v>1</v>
      </c>
      <c r="I5" s="52" t="s">
        <v>344</v>
      </c>
      <c r="J5" s="83" t="s">
        <v>267</v>
      </c>
      <c r="K5" s="136">
        <f>B5</f>
        <v>1</v>
      </c>
      <c r="L5" s="52" t="s">
        <v>344</v>
      </c>
      <c r="M5" s="52" t="s">
        <v>267</v>
      </c>
      <c r="N5" s="136">
        <f>B5</f>
        <v>1</v>
      </c>
      <c r="O5" s="52" t="s">
        <v>344</v>
      </c>
      <c r="P5" s="52" t="s">
        <v>267</v>
      </c>
      <c r="Q5" s="136">
        <f>B5</f>
        <v>1</v>
      </c>
      <c r="R5" s="52" t="s">
        <v>344</v>
      </c>
      <c r="S5" s="52" t="s">
        <v>267</v>
      </c>
      <c r="T5" s="136">
        <f>B5</f>
        <v>1</v>
      </c>
      <c r="U5" s="52" t="s">
        <v>344</v>
      </c>
      <c r="V5" s="52" t="s">
        <v>267</v>
      </c>
      <c r="W5" s="136">
        <f>B5</f>
        <v>1</v>
      </c>
      <c r="X5" s="52" t="s">
        <v>344</v>
      </c>
      <c r="Y5" s="52" t="s">
        <v>267</v>
      </c>
      <c r="Z5" s="136">
        <f>B5</f>
        <v>1</v>
      </c>
      <c r="AA5" s="52" t="s">
        <v>344</v>
      </c>
      <c r="AB5" s="83" t="s">
        <v>267</v>
      </c>
      <c r="AC5" s="136">
        <f>B5</f>
        <v>1</v>
      </c>
      <c r="AD5" s="136">
        <f>B5</f>
        <v>1</v>
      </c>
      <c r="AE5" s="136">
        <f>B5</f>
        <v>1</v>
      </c>
      <c r="AF5" s="136">
        <f>B5</f>
        <v>1</v>
      </c>
      <c r="AG5" s="136">
        <f>B5</f>
        <v>1</v>
      </c>
      <c r="AH5" s="52" t="s">
        <v>344</v>
      </c>
      <c r="AI5" s="52" t="s">
        <v>267</v>
      </c>
      <c r="AJ5" s="136">
        <f>B5</f>
        <v>1</v>
      </c>
      <c r="AK5" s="52" t="s">
        <v>344</v>
      </c>
      <c r="AL5" s="52" t="s">
        <v>267</v>
      </c>
      <c r="AM5" s="136">
        <f>B5</f>
        <v>1</v>
      </c>
      <c r="AN5" s="52" t="s">
        <v>344</v>
      </c>
      <c r="AO5" s="52" t="s">
        <v>267</v>
      </c>
      <c r="AP5" s="136">
        <f>B5</f>
        <v>1</v>
      </c>
      <c r="AQ5" s="52" t="s">
        <v>344</v>
      </c>
      <c r="AR5" s="52" t="s">
        <v>267</v>
      </c>
      <c r="AS5" s="136">
        <f>B5</f>
        <v>1</v>
      </c>
      <c r="AT5" s="52" t="s">
        <v>344</v>
      </c>
      <c r="AU5" s="52" t="s">
        <v>267</v>
      </c>
      <c r="AV5" s="136">
        <f>B5</f>
        <v>1</v>
      </c>
      <c r="AW5" s="52" t="s">
        <v>344</v>
      </c>
      <c r="AX5" s="52" t="s">
        <v>267</v>
      </c>
      <c r="AY5" s="136">
        <f>B5</f>
        <v>1</v>
      </c>
      <c r="AZ5" s="52" t="s">
        <v>344</v>
      </c>
      <c r="BA5" s="52" t="s">
        <v>267</v>
      </c>
      <c r="BB5" s="136">
        <f>B5</f>
        <v>1</v>
      </c>
      <c r="BC5" s="52" t="s">
        <v>344</v>
      </c>
      <c r="BD5" s="52" t="s">
        <v>267</v>
      </c>
      <c r="BE5" s="136">
        <f>B5</f>
        <v>1</v>
      </c>
      <c r="BF5" s="52" t="s">
        <v>344</v>
      </c>
      <c r="BG5" s="52" t="s">
        <v>267</v>
      </c>
      <c r="BH5" s="136">
        <f>B5</f>
        <v>1</v>
      </c>
      <c r="BI5" s="52" t="s">
        <v>344</v>
      </c>
      <c r="BJ5" s="52" t="s">
        <v>267</v>
      </c>
      <c r="BK5" s="136">
        <f>B5</f>
        <v>1</v>
      </c>
      <c r="BL5" s="52" t="s">
        <v>344</v>
      </c>
      <c r="BM5" s="52" t="s">
        <v>267</v>
      </c>
      <c r="BN5" s="136">
        <f>B5</f>
        <v>1</v>
      </c>
      <c r="BO5" s="52" t="s">
        <v>344</v>
      </c>
      <c r="BP5" s="52" t="s">
        <v>267</v>
      </c>
      <c r="BQ5" s="136">
        <f>B5</f>
        <v>1</v>
      </c>
      <c r="BR5" s="52" t="s">
        <v>344</v>
      </c>
      <c r="BS5" s="52" t="s">
        <v>267</v>
      </c>
      <c r="BT5" s="136">
        <f>B5</f>
        <v>1</v>
      </c>
      <c r="BU5" s="52" t="s">
        <v>344</v>
      </c>
      <c r="BV5" s="83" t="s">
        <v>267</v>
      </c>
      <c r="BW5" s="136">
        <f>B5</f>
        <v>1</v>
      </c>
      <c r="BX5" s="52" t="s">
        <v>344</v>
      </c>
      <c r="BY5" s="83" t="s">
        <v>267</v>
      </c>
      <c r="BZ5" s="136">
        <f>B5</f>
        <v>1</v>
      </c>
      <c r="CA5" s="52" t="s">
        <v>344</v>
      </c>
      <c r="CB5" s="52" t="s">
        <v>267</v>
      </c>
      <c r="CC5" s="136">
        <f>B5</f>
        <v>1</v>
      </c>
      <c r="CD5" s="52" t="s">
        <v>344</v>
      </c>
      <c r="CE5" s="52" t="s">
        <v>267</v>
      </c>
      <c r="CF5" s="136">
        <f>B5</f>
        <v>1</v>
      </c>
      <c r="CG5" s="52" t="s">
        <v>344</v>
      </c>
      <c r="CH5" s="52" t="s">
        <v>267</v>
      </c>
      <c r="CI5" s="136">
        <f>B5</f>
        <v>1</v>
      </c>
      <c r="CJ5" s="52" t="s">
        <v>344</v>
      </c>
      <c r="CK5" s="52" t="s">
        <v>267</v>
      </c>
      <c r="CL5" s="136">
        <f>B5</f>
        <v>1</v>
      </c>
      <c r="CM5" s="52" t="s">
        <v>344</v>
      </c>
      <c r="CN5" s="83" t="s">
        <v>228</v>
      </c>
      <c r="CO5" s="136">
        <f>B30</f>
        <v>0</v>
      </c>
      <c r="CP5" s="52" t="s">
        <v>268</v>
      </c>
      <c r="CQ5" s="83" t="s">
        <v>228</v>
      </c>
      <c r="CR5" s="136">
        <f>CO5</f>
        <v>0</v>
      </c>
      <c r="CS5" s="52" t="s">
        <v>268</v>
      </c>
      <c r="CT5" s="83" t="s">
        <v>267</v>
      </c>
      <c r="CU5" s="136">
        <f>B5</f>
        <v>1</v>
      </c>
      <c r="CV5" s="52" t="s">
        <v>344</v>
      </c>
      <c r="CW5" s="52" t="s">
        <v>267</v>
      </c>
      <c r="CX5" s="136">
        <f>B5</f>
        <v>1</v>
      </c>
      <c r="CY5" s="52" t="s">
        <v>344</v>
      </c>
      <c r="CZ5" s="83" t="s">
        <v>267</v>
      </c>
      <c r="DA5" s="136">
        <f>B5</f>
        <v>1</v>
      </c>
      <c r="DB5" s="52" t="s">
        <v>344</v>
      </c>
      <c r="DC5" s="83" t="s">
        <v>267</v>
      </c>
      <c r="DD5" s="136">
        <f>B5</f>
        <v>1</v>
      </c>
      <c r="DE5" s="52" t="s">
        <v>344</v>
      </c>
      <c r="DF5" s="52" t="s">
        <v>17</v>
      </c>
      <c r="DG5" s="137">
        <f>(DG8*DG9*DG10*((1-EXP(-DG11*DG12))))/(DG13*DG11)</f>
        <v>0</v>
      </c>
      <c r="DH5" s="52" t="s">
        <v>18</v>
      </c>
      <c r="DI5" s="83" t="s">
        <v>19</v>
      </c>
      <c r="DJ5" s="161">
        <f>DJ7</f>
        <v>0</v>
      </c>
      <c r="DK5" s="83"/>
      <c r="DL5" s="83" t="s">
        <v>19</v>
      </c>
      <c r="DM5" s="161">
        <f>DM7</f>
        <v>0</v>
      </c>
      <c r="DO5" s="52" t="s">
        <v>17</v>
      </c>
      <c r="DP5" s="137">
        <f>(DP8*DP9*DP10*((1-EXP(-DP11*DP12))))/(DP13*DP11)</f>
        <v>0</v>
      </c>
      <c r="DQ5" s="52" t="s">
        <v>18</v>
      </c>
      <c r="DR5" s="83" t="s">
        <v>267</v>
      </c>
      <c r="DS5" s="136">
        <f>B5</f>
        <v>1</v>
      </c>
      <c r="DT5" s="52" t="s">
        <v>344</v>
      </c>
      <c r="DU5" s="83" t="s">
        <v>239</v>
      </c>
      <c r="DV5" s="169">
        <f>B24</f>
        <v>0</v>
      </c>
      <c r="DW5" s="52" t="s">
        <v>601</v>
      </c>
      <c r="DX5" s="83" t="s">
        <v>20</v>
      </c>
      <c r="DY5" s="161">
        <f>DY7</f>
        <v>0</v>
      </c>
      <c r="DZ5" s="83"/>
      <c r="EA5" s="83" t="s">
        <v>20</v>
      </c>
      <c r="EB5" s="161">
        <f>EB7</f>
        <v>0</v>
      </c>
      <c r="EC5" s="84"/>
      <c r="ED5" s="83" t="s">
        <v>20</v>
      </c>
      <c r="EE5" s="161">
        <f>EE7</f>
        <v>0</v>
      </c>
      <c r="EF5" s="84"/>
      <c r="EG5" s="83" t="s">
        <v>267</v>
      </c>
      <c r="EH5" s="136">
        <f>B5</f>
        <v>1</v>
      </c>
      <c r="EI5" s="52" t="s">
        <v>344</v>
      </c>
      <c r="EJ5" s="83" t="s">
        <v>236</v>
      </c>
      <c r="EK5" s="169">
        <f>B25</f>
        <v>0</v>
      </c>
      <c r="EL5" s="52" t="s">
        <v>388</v>
      </c>
      <c r="EM5" s="83" t="s">
        <v>20</v>
      </c>
      <c r="EN5" s="161">
        <f>EN7</f>
        <v>0</v>
      </c>
      <c r="EO5" s="83"/>
      <c r="EP5" s="83" t="s">
        <v>20</v>
      </c>
      <c r="EQ5" s="161">
        <f>EQ7</f>
        <v>0</v>
      </c>
      <c r="ER5" s="84"/>
      <c r="ES5" s="83" t="s">
        <v>20</v>
      </c>
      <c r="ET5" s="161">
        <f>ET7</f>
        <v>0</v>
      </c>
      <c r="EU5" s="84"/>
      <c r="EV5" s="83" t="s">
        <v>267</v>
      </c>
      <c r="EW5" s="136">
        <f>B5</f>
        <v>1</v>
      </c>
      <c r="EX5" s="52" t="s">
        <v>344</v>
      </c>
      <c r="EY5" s="83" t="s">
        <v>171</v>
      </c>
      <c r="EZ5" s="169">
        <f>B27</f>
        <v>0</v>
      </c>
      <c r="FA5" s="52" t="s">
        <v>388</v>
      </c>
      <c r="FB5" s="83" t="s">
        <v>20</v>
      </c>
      <c r="FC5" s="161">
        <f>FC7</f>
        <v>0</v>
      </c>
      <c r="FD5" s="83"/>
      <c r="FE5" s="83" t="s">
        <v>20</v>
      </c>
      <c r="FF5" s="161">
        <f>FF7</f>
        <v>0</v>
      </c>
      <c r="FG5" s="83"/>
      <c r="FH5" s="83" t="s">
        <v>20</v>
      </c>
      <c r="FI5" s="161">
        <f>FI7</f>
        <v>0</v>
      </c>
      <c r="FJ5" s="84"/>
      <c r="FK5" s="83" t="s">
        <v>267</v>
      </c>
      <c r="FL5" s="136">
        <f>B5</f>
        <v>1</v>
      </c>
      <c r="FM5" s="52" t="s">
        <v>344</v>
      </c>
      <c r="FN5" s="83" t="s">
        <v>105</v>
      </c>
      <c r="FO5" s="161">
        <f>B23</f>
        <v>0</v>
      </c>
      <c r="FP5" s="52" t="s">
        <v>286</v>
      </c>
      <c r="FQ5" s="83" t="s">
        <v>105</v>
      </c>
      <c r="FR5" s="161">
        <f>B23</f>
        <v>0</v>
      </c>
      <c r="FS5" s="52" t="s">
        <v>286</v>
      </c>
      <c r="FT5" s="83" t="s">
        <v>105</v>
      </c>
      <c r="FU5" s="161">
        <f>B23</f>
        <v>0</v>
      </c>
      <c r="FV5" s="52" t="s">
        <v>286</v>
      </c>
      <c r="FW5" s="83" t="s">
        <v>156</v>
      </c>
      <c r="FX5" s="161">
        <f>B33</f>
        <v>0</v>
      </c>
      <c r="FY5" s="88" t="s">
        <v>18</v>
      </c>
      <c r="FZ5" s="83" t="s">
        <v>267</v>
      </c>
      <c r="GA5" s="136">
        <f>B5</f>
        <v>1</v>
      </c>
      <c r="GB5" s="52" t="s">
        <v>344</v>
      </c>
      <c r="GC5" s="83" t="s">
        <v>237</v>
      </c>
      <c r="GD5" s="169">
        <f>B26</f>
        <v>0</v>
      </c>
      <c r="GE5" s="83"/>
      <c r="GF5" s="83" t="s">
        <v>20</v>
      </c>
      <c r="GG5" s="161">
        <f>GG7</f>
        <v>0</v>
      </c>
      <c r="GH5" s="83"/>
      <c r="GI5" s="83" t="s">
        <v>20</v>
      </c>
      <c r="GJ5" s="161">
        <f>GJ7</f>
        <v>0</v>
      </c>
      <c r="GK5" s="83"/>
      <c r="GL5" s="83" t="s">
        <v>20</v>
      </c>
      <c r="GM5" s="161">
        <f>GM7</f>
        <v>0</v>
      </c>
      <c r="GN5" s="84"/>
      <c r="GO5" s="83" t="s">
        <v>267</v>
      </c>
      <c r="GP5" s="136">
        <f>B5</f>
        <v>1</v>
      </c>
      <c r="GQ5" s="52" t="s">
        <v>344</v>
      </c>
      <c r="GR5" s="83" t="s">
        <v>238</v>
      </c>
      <c r="GS5" s="169">
        <f>B28</f>
        <v>0</v>
      </c>
      <c r="GT5" s="52" t="s">
        <v>388</v>
      </c>
      <c r="GU5" s="83" t="s">
        <v>20</v>
      </c>
      <c r="GV5" s="161">
        <f>GV7</f>
        <v>0</v>
      </c>
      <c r="GW5" s="83"/>
      <c r="GX5" s="83" t="s">
        <v>20</v>
      </c>
      <c r="GY5" s="161">
        <f>GY7</f>
        <v>0</v>
      </c>
      <c r="GZ5" s="83"/>
      <c r="HA5" s="83" t="s">
        <v>20</v>
      </c>
      <c r="HB5" s="161">
        <f>HB7</f>
        <v>0</v>
      </c>
      <c r="HC5" s="84"/>
      <c r="HD5" s="89" t="s">
        <v>21</v>
      </c>
      <c r="HE5" s="175">
        <f>B34</f>
        <v>0</v>
      </c>
      <c r="HF5" s="83" t="s">
        <v>291</v>
      </c>
    </row>
    <row r="6" spans="1:214" x14ac:dyDescent="0.2">
      <c r="A6" s="83" t="s">
        <v>247</v>
      </c>
      <c r="B6" s="180">
        <v>1.25E-4</v>
      </c>
      <c r="C6" s="84" t="s">
        <v>259</v>
      </c>
      <c r="D6" s="83" t="s">
        <v>22</v>
      </c>
      <c r="E6" s="137">
        <f>0.693/E7</f>
        <v>66.155354824913829</v>
      </c>
      <c r="G6" s="83" t="s">
        <v>248</v>
      </c>
      <c r="H6" s="136">
        <f>B7</f>
        <v>0</v>
      </c>
      <c r="I6" s="83" t="s">
        <v>259</v>
      </c>
      <c r="J6" s="83" t="s">
        <v>249</v>
      </c>
      <c r="K6" s="136">
        <f>B8</f>
        <v>0</v>
      </c>
      <c r="L6" s="83" t="s">
        <v>259</v>
      </c>
      <c r="M6" s="52" t="s">
        <v>92</v>
      </c>
      <c r="N6" s="138">
        <f>N10</f>
        <v>1</v>
      </c>
      <c r="O6" s="52" t="s">
        <v>146</v>
      </c>
      <c r="P6" s="52" t="s">
        <v>92</v>
      </c>
      <c r="Q6" s="138">
        <f>Q10</f>
        <v>1</v>
      </c>
      <c r="R6" s="52" t="s">
        <v>146</v>
      </c>
      <c r="S6" s="52" t="s">
        <v>92</v>
      </c>
      <c r="T6" s="138">
        <f>T10</f>
        <v>1</v>
      </c>
      <c r="U6" s="52" t="s">
        <v>146</v>
      </c>
      <c r="V6" s="52" t="s">
        <v>305</v>
      </c>
      <c r="W6" s="138">
        <f>W10</f>
        <v>1</v>
      </c>
      <c r="X6" s="52" t="s">
        <v>60</v>
      </c>
      <c r="Y6" s="52" t="s">
        <v>74</v>
      </c>
      <c r="Z6" s="138">
        <f>Z10</f>
        <v>1</v>
      </c>
      <c r="AA6" s="52" t="s">
        <v>60</v>
      </c>
      <c r="AB6" s="83"/>
      <c r="AC6" s="146">
        <v>1000</v>
      </c>
      <c r="AD6" s="146">
        <v>1000</v>
      </c>
      <c r="AE6" s="146">
        <v>1000</v>
      </c>
      <c r="AF6" s="146">
        <v>1000</v>
      </c>
      <c r="AG6" s="146">
        <v>1000</v>
      </c>
      <c r="AH6" s="52" t="s">
        <v>23</v>
      </c>
      <c r="AI6" s="52" t="s">
        <v>306</v>
      </c>
      <c r="AJ6" s="138">
        <f>AJ10</f>
        <v>1</v>
      </c>
      <c r="AK6" s="52" t="s">
        <v>146</v>
      </c>
      <c r="AL6" s="52" t="s">
        <v>306</v>
      </c>
      <c r="AM6" s="138">
        <f>AM10</f>
        <v>1</v>
      </c>
      <c r="AN6" s="52" t="s">
        <v>146</v>
      </c>
      <c r="AO6" s="52" t="s">
        <v>306</v>
      </c>
      <c r="AP6" s="138">
        <f>AP10</f>
        <v>1</v>
      </c>
      <c r="AQ6" s="52" t="s">
        <v>146</v>
      </c>
      <c r="AR6" s="52" t="s">
        <v>305</v>
      </c>
      <c r="AS6" s="138">
        <f>AS10</f>
        <v>1</v>
      </c>
      <c r="AT6" s="52" t="s">
        <v>146</v>
      </c>
      <c r="AU6" s="52" t="s">
        <v>305</v>
      </c>
      <c r="AV6" s="138">
        <f>AV10</f>
        <v>1</v>
      </c>
      <c r="AW6" s="52" t="s">
        <v>146</v>
      </c>
      <c r="AX6" s="52" t="s">
        <v>305</v>
      </c>
      <c r="AY6" s="138">
        <f>AY10</f>
        <v>1</v>
      </c>
      <c r="AZ6" s="52" t="s">
        <v>146</v>
      </c>
      <c r="BA6" s="52" t="s">
        <v>74</v>
      </c>
      <c r="BB6" s="138">
        <f>BB10</f>
        <v>1</v>
      </c>
      <c r="BC6" s="52" t="s">
        <v>146</v>
      </c>
      <c r="BD6" s="52" t="s">
        <v>74</v>
      </c>
      <c r="BE6" s="138">
        <f>BE10</f>
        <v>1</v>
      </c>
      <c r="BF6" s="52" t="s">
        <v>146</v>
      </c>
      <c r="BG6" s="52" t="s">
        <v>74</v>
      </c>
      <c r="BH6" s="138">
        <f>BH10</f>
        <v>1</v>
      </c>
      <c r="BI6" s="52" t="s">
        <v>146</v>
      </c>
      <c r="BJ6" s="52" t="s">
        <v>307</v>
      </c>
      <c r="BK6" s="138">
        <v>1</v>
      </c>
      <c r="BL6" s="52" t="s">
        <v>146</v>
      </c>
      <c r="BM6" s="52" t="s">
        <v>307</v>
      </c>
      <c r="BN6" s="138">
        <v>1</v>
      </c>
      <c r="BO6" s="52" t="s">
        <v>146</v>
      </c>
      <c r="BP6" s="52" t="s">
        <v>307</v>
      </c>
      <c r="BQ6" s="138">
        <v>1</v>
      </c>
      <c r="BR6" s="52" t="s">
        <v>146</v>
      </c>
      <c r="BS6" s="83" t="s">
        <v>22</v>
      </c>
      <c r="BT6" s="137">
        <f>0.693/BT7</f>
        <v>66.155354824913829</v>
      </c>
      <c r="BV6" s="83" t="s">
        <v>248</v>
      </c>
      <c r="BW6" s="136">
        <f>B7</f>
        <v>0</v>
      </c>
      <c r="BX6" s="83" t="s">
        <v>259</v>
      </c>
      <c r="BY6" s="83" t="s">
        <v>249</v>
      </c>
      <c r="BZ6" s="136">
        <f>B8</f>
        <v>0</v>
      </c>
      <c r="CA6" s="83" t="s">
        <v>259</v>
      </c>
      <c r="CB6" s="52" t="s">
        <v>95</v>
      </c>
      <c r="CC6" s="138">
        <f>CC10</f>
        <v>1</v>
      </c>
      <c r="CD6" s="52" t="s">
        <v>146</v>
      </c>
      <c r="CE6" s="52" t="s">
        <v>95</v>
      </c>
      <c r="CF6" s="138">
        <f>CF10</f>
        <v>1</v>
      </c>
      <c r="CG6" s="52" t="s">
        <v>146</v>
      </c>
      <c r="CH6" s="52" t="s">
        <v>95</v>
      </c>
      <c r="CI6" s="138">
        <f>CI10</f>
        <v>1</v>
      </c>
      <c r="CJ6" s="52" t="s">
        <v>146</v>
      </c>
      <c r="CK6" s="52" t="s">
        <v>258</v>
      </c>
      <c r="CL6" s="136">
        <f>B17</f>
        <v>0</v>
      </c>
      <c r="CM6" s="92" t="s">
        <v>259</v>
      </c>
      <c r="CN6" s="84" t="s">
        <v>20</v>
      </c>
      <c r="CO6" s="139">
        <f>CO8</f>
        <v>0</v>
      </c>
      <c r="CQ6" s="84" t="s">
        <v>169</v>
      </c>
      <c r="CR6" s="162">
        <f>B133</f>
        <v>1</v>
      </c>
      <c r="CS6" s="52" t="s">
        <v>28</v>
      </c>
      <c r="CT6" s="83" t="s">
        <v>249</v>
      </c>
      <c r="CU6" s="136">
        <f>B8</f>
        <v>0</v>
      </c>
      <c r="CV6" s="83" t="s">
        <v>259</v>
      </c>
      <c r="CW6" s="83" t="s">
        <v>22</v>
      </c>
      <c r="CX6" s="137">
        <f>0.693/CX7</f>
        <v>66.155354824913829</v>
      </c>
      <c r="CZ6" s="83" t="s">
        <v>248</v>
      </c>
      <c r="DA6" s="136">
        <f>B7</f>
        <v>0</v>
      </c>
      <c r="DB6" s="83" t="s">
        <v>259</v>
      </c>
      <c r="DC6" s="83" t="s">
        <v>258</v>
      </c>
      <c r="DD6" s="136">
        <f>B17</f>
        <v>0</v>
      </c>
      <c r="DE6" s="92" t="s">
        <v>259</v>
      </c>
      <c r="DF6" s="52" t="s">
        <v>25</v>
      </c>
      <c r="DG6" s="137">
        <f>(DG8*DG9*DG14*((1-EXP(-DG11*DG12))))/(DG13*DG11)</f>
        <v>5.4084629109509424E-3</v>
      </c>
      <c r="DH6" s="52" t="s">
        <v>18</v>
      </c>
      <c r="DI6" s="83" t="s">
        <v>26</v>
      </c>
      <c r="DJ6" s="142">
        <f>DJ8</f>
        <v>0.26</v>
      </c>
      <c r="DK6" s="83"/>
      <c r="DL6" s="83" t="s">
        <v>26</v>
      </c>
      <c r="DM6" s="142">
        <f>DM8</f>
        <v>0.26</v>
      </c>
      <c r="DO6" s="52" t="s">
        <v>25</v>
      </c>
      <c r="DP6" s="137">
        <f>(DP8*DP9*DP14*((1-EXP(-DP11*DP12))))/(DP13*DP11)</f>
        <v>9.2940667982112686</v>
      </c>
      <c r="DQ6" s="52" t="s">
        <v>18</v>
      </c>
      <c r="DR6" s="83" t="s">
        <v>258</v>
      </c>
      <c r="DS6" s="136">
        <f>B17</f>
        <v>0</v>
      </c>
      <c r="DT6" s="83" t="s">
        <v>259</v>
      </c>
      <c r="DU6" s="83" t="s">
        <v>27</v>
      </c>
      <c r="DV6" s="142">
        <f>B203</f>
        <v>92</v>
      </c>
      <c r="DW6" s="83" t="s">
        <v>28</v>
      </c>
      <c r="DX6" s="83" t="s">
        <v>26</v>
      </c>
      <c r="DY6" s="142">
        <f>DY8</f>
        <v>0.25</v>
      </c>
      <c r="DZ6" s="83"/>
      <c r="EA6" s="83" t="s">
        <v>26</v>
      </c>
      <c r="EB6" s="142">
        <f>EB8</f>
        <v>0.25</v>
      </c>
      <c r="EC6" s="84"/>
      <c r="ED6" s="83" t="s">
        <v>26</v>
      </c>
      <c r="EE6" s="142">
        <f>EE8</f>
        <v>0.25</v>
      </c>
      <c r="EF6" s="84"/>
      <c r="EG6" s="83" t="s">
        <v>258</v>
      </c>
      <c r="EH6" s="136">
        <f>B17</f>
        <v>0</v>
      </c>
      <c r="EI6" s="83" t="s">
        <v>259</v>
      </c>
      <c r="EJ6" s="83" t="s">
        <v>29</v>
      </c>
      <c r="EK6" s="142">
        <f>B209</f>
        <v>53</v>
      </c>
      <c r="EL6" s="83" t="s">
        <v>28</v>
      </c>
      <c r="EM6" s="83" t="s">
        <v>26</v>
      </c>
      <c r="EN6" s="142">
        <f>EN8</f>
        <v>0.25</v>
      </c>
      <c r="EO6" s="83"/>
      <c r="EP6" s="83" t="s">
        <v>26</v>
      </c>
      <c r="EQ6" s="142">
        <f>EQ8</f>
        <v>0.25</v>
      </c>
      <c r="ER6" s="84"/>
      <c r="ES6" s="83" t="s">
        <v>26</v>
      </c>
      <c r="ET6" s="142">
        <f>ET8</f>
        <v>0.25</v>
      </c>
      <c r="EU6" s="84"/>
      <c r="EV6" s="83" t="s">
        <v>258</v>
      </c>
      <c r="EW6" s="136">
        <f>B17</f>
        <v>0</v>
      </c>
      <c r="EX6" s="83" t="s">
        <v>259</v>
      </c>
      <c r="EY6" s="83" t="s">
        <v>148</v>
      </c>
      <c r="EZ6" s="164">
        <f>B214</f>
        <v>0.4</v>
      </c>
      <c r="FA6" s="83" t="s">
        <v>28</v>
      </c>
      <c r="FB6" s="83" t="s">
        <v>26</v>
      </c>
      <c r="FC6" s="142">
        <f>FC8</f>
        <v>0.25</v>
      </c>
      <c r="FD6" s="83"/>
      <c r="FE6" s="83" t="s">
        <v>26</v>
      </c>
      <c r="FF6" s="142">
        <f>FF8</f>
        <v>0.25</v>
      </c>
      <c r="FG6" s="83"/>
      <c r="FH6" s="83" t="s">
        <v>26</v>
      </c>
      <c r="FI6" s="142">
        <f>FI8</f>
        <v>0.25</v>
      </c>
      <c r="FJ6" s="84"/>
      <c r="FK6" s="83" t="s">
        <v>258</v>
      </c>
      <c r="FL6" s="136">
        <f>B17</f>
        <v>0</v>
      </c>
      <c r="FM6" s="83" t="s">
        <v>259</v>
      </c>
      <c r="FN6" s="83"/>
      <c r="FO6" s="142">
        <v>1000</v>
      </c>
      <c r="FP6" s="83" t="s">
        <v>132</v>
      </c>
      <c r="FQ6" s="83" t="s">
        <v>156</v>
      </c>
      <c r="FR6" s="161">
        <f>B33</f>
        <v>0</v>
      </c>
      <c r="FS6" s="83" t="s">
        <v>18</v>
      </c>
      <c r="FT6" s="83" t="s">
        <v>156</v>
      </c>
      <c r="FU6" s="161">
        <f>B33</f>
        <v>0</v>
      </c>
      <c r="FV6" s="83" t="s">
        <v>18</v>
      </c>
      <c r="FW6" s="88"/>
      <c r="FX6" s="142">
        <v>1000</v>
      </c>
      <c r="FY6" s="83" t="s">
        <v>132</v>
      </c>
      <c r="FZ6" s="83" t="s">
        <v>258</v>
      </c>
      <c r="GA6" s="136">
        <f>B17</f>
        <v>0</v>
      </c>
      <c r="GB6" s="83" t="s">
        <v>259</v>
      </c>
      <c r="GC6" s="83" t="s">
        <v>485</v>
      </c>
      <c r="GD6" s="164">
        <f>B219</f>
        <v>0.4</v>
      </c>
      <c r="GE6" s="83" t="s">
        <v>28</v>
      </c>
      <c r="GF6" s="83" t="s">
        <v>26</v>
      </c>
      <c r="GG6" s="142">
        <f>GG8</f>
        <v>0.25</v>
      </c>
      <c r="GH6" s="83"/>
      <c r="GI6" s="83" t="s">
        <v>26</v>
      </c>
      <c r="GJ6" s="142">
        <f>GJ8</f>
        <v>0.25</v>
      </c>
      <c r="GK6" s="83"/>
      <c r="GL6" s="83" t="s">
        <v>26</v>
      </c>
      <c r="GM6" s="142">
        <f>GM8</f>
        <v>0.25</v>
      </c>
      <c r="GN6" s="84"/>
      <c r="GO6" s="83" t="s">
        <v>258</v>
      </c>
      <c r="GP6" s="136">
        <f>B17</f>
        <v>0</v>
      </c>
      <c r="GQ6" s="83" t="s">
        <v>259</v>
      </c>
      <c r="GR6" s="83" t="s">
        <v>150</v>
      </c>
      <c r="GS6" s="142">
        <f>B224</f>
        <v>11.4</v>
      </c>
      <c r="GT6" s="83" t="s">
        <v>28</v>
      </c>
      <c r="GU6" s="83" t="s">
        <v>26</v>
      </c>
      <c r="GV6" s="142">
        <f>GV8</f>
        <v>0.25</v>
      </c>
      <c r="GW6" s="83"/>
      <c r="GX6" s="83" t="s">
        <v>26</v>
      </c>
      <c r="GY6" s="142">
        <f>GY8</f>
        <v>0.25</v>
      </c>
      <c r="GZ6" s="83"/>
      <c r="HA6" s="83" t="s">
        <v>26</v>
      </c>
      <c r="HB6" s="142">
        <f>HB8</f>
        <v>0.25</v>
      </c>
      <c r="HC6" s="84"/>
      <c r="HD6" s="84" t="s">
        <v>265</v>
      </c>
      <c r="HE6" s="139">
        <f>H2</f>
        <v>9.5514491728639558E-2</v>
      </c>
      <c r="HF6" s="83" t="s">
        <v>291</v>
      </c>
    </row>
    <row r="7" spans="1:214" x14ac:dyDescent="0.2">
      <c r="A7" s="83" t="s">
        <v>248</v>
      </c>
      <c r="B7" s="183">
        <v>0</v>
      </c>
      <c r="C7" s="84" t="s">
        <v>259</v>
      </c>
      <c r="D7" s="91" t="s">
        <v>231</v>
      </c>
      <c r="E7" s="136">
        <f>B18</f>
        <v>1.04753425E-2</v>
      </c>
      <c r="F7" s="52" t="s">
        <v>60</v>
      </c>
      <c r="G7" s="83" t="s">
        <v>247</v>
      </c>
      <c r="H7" s="139">
        <f>B6</f>
        <v>1.25E-4</v>
      </c>
      <c r="I7" s="84" t="s">
        <v>259</v>
      </c>
      <c r="J7" s="83" t="s">
        <v>247</v>
      </c>
      <c r="K7" s="136">
        <f>B6</f>
        <v>1.25E-4</v>
      </c>
      <c r="L7" s="84" t="s">
        <v>259</v>
      </c>
      <c r="M7" s="83" t="s">
        <v>22</v>
      </c>
      <c r="N7" s="137">
        <f>0.693/N8</f>
        <v>66.155354824913829</v>
      </c>
      <c r="P7" s="83" t="s">
        <v>22</v>
      </c>
      <c r="Q7" s="137">
        <f>0.693/Q8</f>
        <v>66.155354824913829</v>
      </c>
      <c r="S7" s="83" t="s">
        <v>22</v>
      </c>
      <c r="T7" s="137">
        <f>0.693/T8</f>
        <v>66.155354824913829</v>
      </c>
      <c r="V7" s="83" t="s">
        <v>22</v>
      </c>
      <c r="W7" s="137">
        <f>0.693/W8</f>
        <v>66.155354824913829</v>
      </c>
      <c r="Y7" s="83" t="s">
        <v>22</v>
      </c>
      <c r="Z7" s="137">
        <f>0.693/Z8</f>
        <v>66.155354824913829</v>
      </c>
      <c r="AB7" s="83" t="s">
        <v>425</v>
      </c>
      <c r="AC7" s="150">
        <f>B231</f>
        <v>250</v>
      </c>
      <c r="AD7" s="150">
        <f>B243</f>
        <v>250</v>
      </c>
      <c r="AE7" s="150">
        <f>B255</f>
        <v>225</v>
      </c>
      <c r="AF7" s="150">
        <f>B267</f>
        <v>250</v>
      </c>
      <c r="AG7" s="150">
        <f>B291</f>
        <v>250</v>
      </c>
      <c r="AH7" s="83" t="s">
        <v>24</v>
      </c>
      <c r="AI7" s="83" t="s">
        <v>22</v>
      </c>
      <c r="AJ7" s="137">
        <f>0.693/AJ8</f>
        <v>66.155354824913829</v>
      </c>
      <c r="AL7" s="83" t="s">
        <v>22</v>
      </c>
      <c r="AM7" s="137">
        <f>0.693/AM8</f>
        <v>66.155354824913829</v>
      </c>
      <c r="AO7" s="83" t="s">
        <v>22</v>
      </c>
      <c r="AP7" s="137">
        <f>0.693/AP8</f>
        <v>66.155354824913829</v>
      </c>
      <c r="AR7" s="83" t="s">
        <v>22</v>
      </c>
      <c r="AS7" s="137">
        <f>0.693/AS8</f>
        <v>66.155354824913829</v>
      </c>
      <c r="AU7" s="83" t="s">
        <v>22</v>
      </c>
      <c r="AV7" s="137">
        <f>0.693/AV8</f>
        <v>66.155354824913829</v>
      </c>
      <c r="AX7" s="83" t="s">
        <v>22</v>
      </c>
      <c r="AY7" s="137">
        <f>0.693/AY8</f>
        <v>66.155354824913829</v>
      </c>
      <c r="BA7" s="83" t="s">
        <v>22</v>
      </c>
      <c r="BB7" s="137">
        <f>0.693/BB8</f>
        <v>66.155354824913829</v>
      </c>
      <c r="BD7" s="83" t="s">
        <v>22</v>
      </c>
      <c r="BE7" s="137">
        <f>0.693/BE8</f>
        <v>66.155354824913829</v>
      </c>
      <c r="BG7" s="83" t="s">
        <v>22</v>
      </c>
      <c r="BH7" s="137">
        <f>0.693/BH8</f>
        <v>66.155354824913829</v>
      </c>
      <c r="BJ7" s="83" t="s">
        <v>22</v>
      </c>
      <c r="BK7" s="137">
        <f>0.693/BK8</f>
        <v>66.155354824913829</v>
      </c>
      <c r="BM7" s="83" t="s">
        <v>22</v>
      </c>
      <c r="BN7" s="137">
        <f>0.693/BN8</f>
        <v>66.155354824913829</v>
      </c>
      <c r="BP7" s="83" t="s">
        <v>22</v>
      </c>
      <c r="BQ7" s="137">
        <f>0.693/BQ8</f>
        <v>66.155354824913829</v>
      </c>
      <c r="BS7" s="91" t="s">
        <v>231</v>
      </c>
      <c r="BT7" s="136">
        <f>B18</f>
        <v>1.04753425E-2</v>
      </c>
      <c r="BU7" s="52" t="s">
        <v>60</v>
      </c>
      <c r="BV7" s="83" t="s">
        <v>247</v>
      </c>
      <c r="BW7" s="139">
        <f>B6</f>
        <v>1.25E-4</v>
      </c>
      <c r="BX7" s="84" t="s">
        <v>259</v>
      </c>
      <c r="BY7" s="83" t="s">
        <v>247</v>
      </c>
      <c r="BZ7" s="139">
        <f>B6</f>
        <v>1.25E-4</v>
      </c>
      <c r="CA7" s="84" t="s">
        <v>259</v>
      </c>
      <c r="CB7" s="83" t="s">
        <v>22</v>
      </c>
      <c r="CC7" s="137">
        <f>0.693/CC8</f>
        <v>66.155354824913829</v>
      </c>
      <c r="CE7" s="83" t="s">
        <v>22</v>
      </c>
      <c r="CF7" s="137">
        <f>0.693/CF8</f>
        <v>66.155354824913829</v>
      </c>
      <c r="CH7" s="83" t="s">
        <v>22</v>
      </c>
      <c r="CI7" s="137">
        <f>0.693/CI8</f>
        <v>66.155354824913829</v>
      </c>
      <c r="CK7" s="52" t="s">
        <v>140</v>
      </c>
      <c r="CL7" s="138">
        <f>B103</f>
        <v>75</v>
      </c>
      <c r="CM7" s="91" t="s">
        <v>24</v>
      </c>
      <c r="CN7" s="84" t="s">
        <v>26</v>
      </c>
      <c r="CO7" s="163">
        <f>CO9</f>
        <v>0.25</v>
      </c>
      <c r="CR7" s="138">
        <v>1000</v>
      </c>
      <c r="CS7" s="52" t="s">
        <v>132</v>
      </c>
      <c r="CT7" s="83" t="s">
        <v>247</v>
      </c>
      <c r="CU7" s="139">
        <f>B6</f>
        <v>1.25E-4</v>
      </c>
      <c r="CV7" s="84" t="s">
        <v>259</v>
      </c>
      <c r="CW7" s="91" t="s">
        <v>231</v>
      </c>
      <c r="CX7" s="136">
        <f>B18</f>
        <v>1.04753425E-2</v>
      </c>
      <c r="CY7" s="52" t="s">
        <v>60</v>
      </c>
      <c r="CZ7" s="84" t="s">
        <v>247</v>
      </c>
      <c r="DA7" s="139">
        <f>B6</f>
        <v>1.25E-4</v>
      </c>
      <c r="DB7" s="84" t="s">
        <v>259</v>
      </c>
      <c r="DC7" s="83" t="s">
        <v>260</v>
      </c>
      <c r="DD7" s="166" t="e">
        <f>((DD5)/(DD6*(DD8+DD11)*DD19))/DD22</f>
        <v>#DIV/0!</v>
      </c>
      <c r="DE7" s="92" t="s">
        <v>290</v>
      </c>
      <c r="DF7" s="52" t="s">
        <v>31</v>
      </c>
      <c r="DG7" s="137">
        <f>(DG8*DG9*DG15*DG21*((1-EXP(-DG16*DG17))))/(DG18*DG16)</f>
        <v>0.82362658902748997</v>
      </c>
      <c r="DH7" s="52" t="s">
        <v>18</v>
      </c>
      <c r="DI7" s="83" t="s">
        <v>32</v>
      </c>
      <c r="DJ7" s="136">
        <f>B31</f>
        <v>0</v>
      </c>
      <c r="DL7" s="83" t="s">
        <v>32</v>
      </c>
      <c r="DM7" s="136">
        <f>B31</f>
        <v>0</v>
      </c>
      <c r="DO7" s="52" t="s">
        <v>31</v>
      </c>
      <c r="DP7" s="137">
        <f>(DP8*DP9*DP15*DP21*((1-EXP(-DP16*DP17))))/(DP18*DP16)</f>
        <v>3.6424203206347228</v>
      </c>
      <c r="DQ7" s="52" t="s">
        <v>18</v>
      </c>
      <c r="DR7" s="83" t="s">
        <v>260</v>
      </c>
      <c r="DS7" s="168" t="e">
        <f>(DS5/(DS6*DS8*DS15))/DS19</f>
        <v>#DIV/0!</v>
      </c>
      <c r="DT7" s="52" t="s">
        <v>290</v>
      </c>
      <c r="DV7" s="138"/>
      <c r="DX7" s="83" t="s">
        <v>33</v>
      </c>
      <c r="DY7" s="136">
        <f>B32</f>
        <v>0</v>
      </c>
      <c r="EA7" s="83" t="s">
        <v>33</v>
      </c>
      <c r="EB7" s="136">
        <f>B32</f>
        <v>0</v>
      </c>
      <c r="EC7" s="84"/>
      <c r="ED7" s="83" t="s">
        <v>33</v>
      </c>
      <c r="EE7" s="136">
        <f>B32</f>
        <v>0</v>
      </c>
      <c r="EF7" s="84"/>
      <c r="EG7" s="83" t="s">
        <v>260</v>
      </c>
      <c r="EH7" s="168" t="e">
        <f>(EH5/(EH6*EH8*EH15))/EH19</f>
        <v>#DIV/0!</v>
      </c>
      <c r="EI7" s="52" t="s">
        <v>290</v>
      </c>
      <c r="EJ7" s="95"/>
      <c r="EK7" s="176"/>
      <c r="EM7" s="83" t="s">
        <v>33</v>
      </c>
      <c r="EN7" s="136">
        <f>B32</f>
        <v>0</v>
      </c>
      <c r="EP7" s="83" t="s">
        <v>33</v>
      </c>
      <c r="EQ7" s="136">
        <f>B32</f>
        <v>0</v>
      </c>
      <c r="ER7" s="84"/>
      <c r="ES7" s="83" t="s">
        <v>33</v>
      </c>
      <c r="ET7" s="136">
        <f>B32</f>
        <v>0</v>
      </c>
      <c r="EU7" s="84"/>
      <c r="EV7" s="83" t="s">
        <v>260</v>
      </c>
      <c r="EW7" s="168" t="e">
        <f>(EW5/(EW6*EW8*EW15))/EW19</f>
        <v>#DIV/0!</v>
      </c>
      <c r="EX7" s="52" t="s">
        <v>290</v>
      </c>
      <c r="EY7" s="83"/>
      <c r="EZ7" s="142">
        <v>1000</v>
      </c>
      <c r="FA7" s="83" t="s">
        <v>132</v>
      </c>
      <c r="FB7" s="83" t="s">
        <v>33</v>
      </c>
      <c r="FC7" s="161">
        <f>B32</f>
        <v>0</v>
      </c>
      <c r="FD7" s="83"/>
      <c r="FE7" s="83" t="s">
        <v>33</v>
      </c>
      <c r="FF7" s="161">
        <f>B32</f>
        <v>0</v>
      </c>
      <c r="FG7" s="83"/>
      <c r="FH7" s="83" t="s">
        <v>33</v>
      </c>
      <c r="FI7" s="161">
        <f>B32</f>
        <v>0</v>
      </c>
      <c r="FJ7" s="84"/>
      <c r="FK7" s="83" t="s">
        <v>260</v>
      </c>
      <c r="FL7" s="168" t="e">
        <f>(FL5/(FL6*FL8*FL15))/FL19</f>
        <v>#DIV/0!</v>
      </c>
      <c r="FM7" s="52" t="s">
        <v>290</v>
      </c>
      <c r="FN7" s="95"/>
      <c r="FO7" s="176"/>
      <c r="FQ7" s="52" t="s">
        <v>350</v>
      </c>
      <c r="FR7" s="164">
        <f>B170</f>
        <v>1</v>
      </c>
      <c r="FT7" s="95"/>
      <c r="FU7" s="176"/>
      <c r="FV7" s="83"/>
      <c r="FW7" s="95"/>
      <c r="FX7" s="176"/>
      <c r="FZ7" s="83" t="s">
        <v>260</v>
      </c>
      <c r="GA7" s="168" t="e">
        <f>(GA5/(GA6*GA8*GA15))/GA19</f>
        <v>#DIV/0!</v>
      </c>
      <c r="GB7" s="52" t="s">
        <v>290</v>
      </c>
      <c r="GC7" s="83"/>
      <c r="GD7" s="142">
        <v>1000</v>
      </c>
      <c r="GE7" s="83" t="s">
        <v>132</v>
      </c>
      <c r="GF7" s="83" t="s">
        <v>33</v>
      </c>
      <c r="GG7" s="161">
        <f>B32</f>
        <v>0</v>
      </c>
      <c r="GH7" s="83"/>
      <c r="GI7" s="83" t="s">
        <v>33</v>
      </c>
      <c r="GJ7" s="161">
        <f>B32</f>
        <v>0</v>
      </c>
      <c r="GK7" s="83"/>
      <c r="GL7" s="83" t="s">
        <v>33</v>
      </c>
      <c r="GM7" s="161">
        <f>B32</f>
        <v>0</v>
      </c>
      <c r="GN7" s="84"/>
      <c r="GO7" s="83" t="s">
        <v>260</v>
      </c>
      <c r="GP7" s="168" t="e">
        <f>(GP5/(GP6*GP8*GP14))/GP18</f>
        <v>#DIV/0!</v>
      </c>
      <c r="GQ7" s="52" t="s">
        <v>290</v>
      </c>
      <c r="GR7" s="88"/>
      <c r="GS7" s="142">
        <v>1000</v>
      </c>
      <c r="GT7" s="83" t="s">
        <v>132</v>
      </c>
      <c r="GU7" s="83" t="s">
        <v>33</v>
      </c>
      <c r="GV7" s="161">
        <f>B32</f>
        <v>0</v>
      </c>
      <c r="GW7" s="83"/>
      <c r="GX7" s="83" t="s">
        <v>33</v>
      </c>
      <c r="GY7" s="161">
        <f>B32</f>
        <v>0</v>
      </c>
      <c r="GZ7" s="83"/>
      <c r="HA7" s="83" t="s">
        <v>33</v>
      </c>
      <c r="HB7" s="161">
        <f>B32</f>
        <v>0</v>
      </c>
      <c r="HC7" s="84"/>
      <c r="HD7" s="83" t="s">
        <v>22</v>
      </c>
      <c r="HE7" s="137">
        <f>0.693/HE9</f>
        <v>66.155354824913829</v>
      </c>
    </row>
    <row r="8" spans="1:214" x14ac:dyDescent="0.2">
      <c r="A8" s="83" t="s">
        <v>249</v>
      </c>
      <c r="B8" s="183">
        <v>0</v>
      </c>
      <c r="C8" s="83" t="s">
        <v>259</v>
      </c>
      <c r="D8" s="52" t="s">
        <v>382</v>
      </c>
      <c r="E8" s="138">
        <f>B56</f>
        <v>350</v>
      </c>
      <c r="F8" s="52" t="s">
        <v>24</v>
      </c>
      <c r="G8" s="91" t="s">
        <v>257</v>
      </c>
      <c r="H8" s="136">
        <f>B16</f>
        <v>7.02368E-3</v>
      </c>
      <c r="I8" s="84" t="s">
        <v>259</v>
      </c>
      <c r="J8" s="83" t="s">
        <v>269</v>
      </c>
      <c r="K8" s="136">
        <f>B10</f>
        <v>2.1295200000000002E-3</v>
      </c>
      <c r="L8" s="83" t="s">
        <v>351</v>
      </c>
      <c r="M8" s="91" t="s">
        <v>231</v>
      </c>
      <c r="N8" s="136">
        <f>B18</f>
        <v>1.04753425E-2</v>
      </c>
      <c r="O8" s="52" t="s">
        <v>60</v>
      </c>
      <c r="P8" s="91" t="s">
        <v>231</v>
      </c>
      <c r="Q8" s="136">
        <f>B18</f>
        <v>1.04753425E-2</v>
      </c>
      <c r="R8" s="52" t="s">
        <v>60</v>
      </c>
      <c r="S8" s="91" t="s">
        <v>231</v>
      </c>
      <c r="T8" s="136">
        <f>B18</f>
        <v>1.04753425E-2</v>
      </c>
      <c r="U8" s="52" t="s">
        <v>60</v>
      </c>
      <c r="V8" s="91" t="s">
        <v>231</v>
      </c>
      <c r="W8" s="136">
        <f>B18</f>
        <v>1.04753425E-2</v>
      </c>
      <c r="X8" s="52" t="s">
        <v>60</v>
      </c>
      <c r="Y8" s="91" t="s">
        <v>231</v>
      </c>
      <c r="Z8" s="136">
        <f>B18</f>
        <v>1.04753425E-2</v>
      </c>
      <c r="AA8" s="52" t="s">
        <v>60</v>
      </c>
      <c r="AB8" s="83" t="s">
        <v>249</v>
      </c>
      <c r="AC8" s="136">
        <f>B9</f>
        <v>0</v>
      </c>
      <c r="AD8" s="136">
        <f>B9</f>
        <v>0</v>
      </c>
      <c r="AE8" s="136">
        <f>B9</f>
        <v>0</v>
      </c>
      <c r="AF8" s="136">
        <f>B9</f>
        <v>0</v>
      </c>
      <c r="AG8" s="136">
        <f>B9</f>
        <v>0</v>
      </c>
      <c r="AH8" s="83" t="s">
        <v>259</v>
      </c>
      <c r="AI8" s="91" t="s">
        <v>231</v>
      </c>
      <c r="AJ8" s="136">
        <f>B18</f>
        <v>1.04753425E-2</v>
      </c>
      <c r="AK8" s="52" t="s">
        <v>60</v>
      </c>
      <c r="AL8" s="91" t="s">
        <v>231</v>
      </c>
      <c r="AM8" s="136">
        <f>B18</f>
        <v>1.04753425E-2</v>
      </c>
      <c r="AN8" s="52" t="s">
        <v>60</v>
      </c>
      <c r="AO8" s="91" t="s">
        <v>231</v>
      </c>
      <c r="AP8" s="136">
        <f>B18</f>
        <v>1.04753425E-2</v>
      </c>
      <c r="AQ8" s="52" t="s">
        <v>60</v>
      </c>
      <c r="AR8" s="91" t="s">
        <v>231</v>
      </c>
      <c r="AS8" s="136">
        <f>B18</f>
        <v>1.04753425E-2</v>
      </c>
      <c r="AT8" s="52" t="s">
        <v>60</v>
      </c>
      <c r="AU8" s="91" t="s">
        <v>231</v>
      </c>
      <c r="AV8" s="136">
        <f>B18</f>
        <v>1.04753425E-2</v>
      </c>
      <c r="AW8" s="52" t="s">
        <v>60</v>
      </c>
      <c r="AX8" s="91" t="s">
        <v>231</v>
      </c>
      <c r="AY8" s="136">
        <f>B18</f>
        <v>1.04753425E-2</v>
      </c>
      <c r="AZ8" s="52" t="s">
        <v>60</v>
      </c>
      <c r="BA8" s="91" t="s">
        <v>231</v>
      </c>
      <c r="BB8" s="136">
        <f>B18</f>
        <v>1.04753425E-2</v>
      </c>
      <c r="BC8" s="52" t="s">
        <v>60</v>
      </c>
      <c r="BD8" s="91" t="s">
        <v>231</v>
      </c>
      <c r="BE8" s="136">
        <f>B18</f>
        <v>1.04753425E-2</v>
      </c>
      <c r="BF8" s="52" t="s">
        <v>60</v>
      </c>
      <c r="BG8" s="91" t="s">
        <v>231</v>
      </c>
      <c r="BH8" s="136">
        <f>B18</f>
        <v>1.04753425E-2</v>
      </c>
      <c r="BI8" s="52" t="s">
        <v>60</v>
      </c>
      <c r="BJ8" s="91" t="s">
        <v>231</v>
      </c>
      <c r="BK8" s="136">
        <f>B18</f>
        <v>1.04753425E-2</v>
      </c>
      <c r="BL8" s="52" t="s">
        <v>60</v>
      </c>
      <c r="BM8" s="91" t="s">
        <v>231</v>
      </c>
      <c r="BN8" s="136">
        <f>B18</f>
        <v>1.04753425E-2</v>
      </c>
      <c r="BO8" s="52" t="s">
        <v>60</v>
      </c>
      <c r="BP8" s="91" t="s">
        <v>231</v>
      </c>
      <c r="BQ8" s="136">
        <f>B18</f>
        <v>1.04753425E-2</v>
      </c>
      <c r="BR8" s="52" t="s">
        <v>60</v>
      </c>
      <c r="BS8" s="52" t="s">
        <v>140</v>
      </c>
      <c r="BT8" s="138">
        <f>B103</f>
        <v>75</v>
      </c>
      <c r="BU8" s="52" t="s">
        <v>24</v>
      </c>
      <c r="BV8" s="91" t="s">
        <v>257</v>
      </c>
      <c r="BW8" s="136">
        <f>B16</f>
        <v>7.02368E-3</v>
      </c>
      <c r="BX8" s="84" t="s">
        <v>259</v>
      </c>
      <c r="BY8" s="83" t="s">
        <v>269</v>
      </c>
      <c r="BZ8" s="136">
        <f>B10</f>
        <v>2.1295200000000002E-3</v>
      </c>
      <c r="CA8" s="83" t="s">
        <v>351</v>
      </c>
      <c r="CB8" s="91" t="s">
        <v>231</v>
      </c>
      <c r="CC8" s="136">
        <f>B18</f>
        <v>1.04753425E-2</v>
      </c>
      <c r="CD8" s="52" t="s">
        <v>60</v>
      </c>
      <c r="CE8" s="91" t="s">
        <v>231</v>
      </c>
      <c r="CF8" s="136">
        <f>B18</f>
        <v>1.04753425E-2</v>
      </c>
      <c r="CG8" s="52" t="s">
        <v>60</v>
      </c>
      <c r="CH8" s="91" t="s">
        <v>231</v>
      </c>
      <c r="CI8" s="136">
        <f>B18</f>
        <v>1.04753425E-2</v>
      </c>
      <c r="CJ8" s="52" t="s">
        <v>60</v>
      </c>
      <c r="CK8" s="52" t="s">
        <v>159</v>
      </c>
      <c r="CL8" s="162">
        <f>B128</f>
        <v>1</v>
      </c>
      <c r="CM8" s="52" t="s">
        <v>221</v>
      </c>
      <c r="CN8" s="84" t="s">
        <v>33</v>
      </c>
      <c r="CO8" s="136">
        <f>B32</f>
        <v>0</v>
      </c>
      <c r="CT8" s="83" t="s">
        <v>269</v>
      </c>
      <c r="CU8" s="136">
        <f>B10</f>
        <v>2.1295200000000002E-3</v>
      </c>
      <c r="CV8" s="83" t="s">
        <v>351</v>
      </c>
      <c r="CW8" s="52" t="s">
        <v>362</v>
      </c>
      <c r="CX8" s="138">
        <f>B169</f>
        <v>350</v>
      </c>
      <c r="CY8" s="52" t="s">
        <v>24</v>
      </c>
      <c r="CZ8" s="83" t="s">
        <v>270</v>
      </c>
      <c r="DA8" s="165">
        <f>B16</f>
        <v>7.02368E-3</v>
      </c>
      <c r="DB8" s="83" t="s">
        <v>259</v>
      </c>
      <c r="DC8" s="83" t="s">
        <v>516</v>
      </c>
      <c r="DD8" s="149">
        <f>(DD9*DD15*DD20)+(DD10*DD14*DD21)</f>
        <v>39585</v>
      </c>
      <c r="DE8" s="92" t="s">
        <v>347</v>
      </c>
      <c r="DF8" s="83" t="s">
        <v>36</v>
      </c>
      <c r="DG8" s="138">
        <f>B193</f>
        <v>3.62</v>
      </c>
      <c r="DH8" s="52" t="s">
        <v>37</v>
      </c>
      <c r="DI8" s="83" t="s">
        <v>393</v>
      </c>
      <c r="DJ8" s="138">
        <f>B35</f>
        <v>0.26</v>
      </c>
      <c r="DL8" s="83" t="s">
        <v>393</v>
      </c>
      <c r="DM8" s="138">
        <f>B35</f>
        <v>0.26</v>
      </c>
      <c r="DO8" s="83" t="s">
        <v>36</v>
      </c>
      <c r="DP8" s="138">
        <f>B193</f>
        <v>3.62</v>
      </c>
      <c r="DQ8" s="52" t="s">
        <v>37</v>
      </c>
      <c r="DR8" s="83" t="s">
        <v>147</v>
      </c>
      <c r="DS8" s="149">
        <f>(DS11*DS9*DS17)+(DS12*DS10*DS18)</f>
        <v>150914.75</v>
      </c>
      <c r="DT8" s="92" t="s">
        <v>347</v>
      </c>
      <c r="DU8" s="52" t="s">
        <v>518</v>
      </c>
      <c r="DV8" s="146">
        <f>B204</f>
        <v>1.03</v>
      </c>
      <c r="DW8" s="52" t="s">
        <v>286</v>
      </c>
      <c r="DX8" s="83" t="s">
        <v>392</v>
      </c>
      <c r="DY8" s="138">
        <f>B36</f>
        <v>0.25</v>
      </c>
      <c r="EA8" s="83" t="s">
        <v>392</v>
      </c>
      <c r="EB8" s="138">
        <f>B36</f>
        <v>0.25</v>
      </c>
      <c r="EC8" s="84"/>
      <c r="ED8" s="83" t="s">
        <v>392</v>
      </c>
      <c r="EE8" s="138">
        <f>B36</f>
        <v>0.25</v>
      </c>
      <c r="EF8" s="84"/>
      <c r="EG8" s="83" t="s">
        <v>519</v>
      </c>
      <c r="EH8" s="149">
        <f>(EH11*EH9*EH17)+(EH12*EH10*EH18)</f>
        <v>55060.25</v>
      </c>
      <c r="EI8" s="92" t="s">
        <v>347</v>
      </c>
      <c r="EJ8" s="83"/>
      <c r="EM8" s="83" t="s">
        <v>392</v>
      </c>
      <c r="EN8" s="138">
        <f>B36</f>
        <v>0.25</v>
      </c>
      <c r="EP8" s="83" t="s">
        <v>392</v>
      </c>
      <c r="EQ8" s="138">
        <f>B36</f>
        <v>0.25</v>
      </c>
      <c r="ER8" s="84"/>
      <c r="ES8" s="83" t="s">
        <v>392</v>
      </c>
      <c r="ET8" s="138">
        <f>B36</f>
        <v>0.25</v>
      </c>
      <c r="EU8" s="84"/>
      <c r="EV8" s="83" t="s">
        <v>520</v>
      </c>
      <c r="EW8" s="149">
        <f>(EW11*EW9*EW17)+(EW12*EW10*EW18)</f>
        <v>16461.375</v>
      </c>
      <c r="EX8" s="92" t="s">
        <v>347</v>
      </c>
      <c r="EY8" s="95"/>
      <c r="EZ8" s="176"/>
      <c r="FA8" s="83"/>
      <c r="FB8" s="83" t="s">
        <v>392</v>
      </c>
      <c r="FC8" s="142">
        <f>B36</f>
        <v>0.25</v>
      </c>
      <c r="FD8" s="83"/>
      <c r="FE8" s="83" t="s">
        <v>392</v>
      </c>
      <c r="FF8" s="142">
        <f>B36</f>
        <v>0.25</v>
      </c>
      <c r="FG8" s="83"/>
      <c r="FH8" s="83" t="s">
        <v>392</v>
      </c>
      <c r="FI8" s="142">
        <f>B36</f>
        <v>0.25</v>
      </c>
      <c r="FJ8" s="84"/>
      <c r="FK8" s="83" t="s">
        <v>521</v>
      </c>
      <c r="FL8" s="173">
        <f>(FL9*FL11*FL17)+(FL10*FL12*FL18)</f>
        <v>47953.5</v>
      </c>
      <c r="FM8" s="92" t="s">
        <v>347</v>
      </c>
      <c r="FN8" s="83"/>
      <c r="FO8" s="83"/>
      <c r="FP8" s="83"/>
      <c r="FQ8" s="83" t="s">
        <v>22</v>
      </c>
      <c r="FR8" s="137">
        <f>0.693/FR9</f>
        <v>66.155354824913829</v>
      </c>
      <c r="FT8" s="83"/>
      <c r="FU8" s="83"/>
      <c r="FV8" s="83"/>
      <c r="FZ8" s="83" t="s">
        <v>522</v>
      </c>
      <c r="GA8" s="173">
        <f>(GA11*GA9*GA17)+(GA10*GA12*GA18)</f>
        <v>32952.5</v>
      </c>
      <c r="GB8" s="92" t="s">
        <v>347</v>
      </c>
      <c r="GC8" s="95"/>
      <c r="GD8" s="176"/>
      <c r="GE8" s="83"/>
      <c r="GF8" s="83" t="s">
        <v>392</v>
      </c>
      <c r="GG8" s="142">
        <f>B36</f>
        <v>0.25</v>
      </c>
      <c r="GH8" s="83"/>
      <c r="GI8" s="83" t="s">
        <v>392</v>
      </c>
      <c r="GJ8" s="142">
        <f>B36</f>
        <v>0.25</v>
      </c>
      <c r="GK8" s="83"/>
      <c r="GL8" s="83" t="s">
        <v>392</v>
      </c>
      <c r="GM8" s="142">
        <f>B36</f>
        <v>0.25</v>
      </c>
      <c r="GN8" s="84"/>
      <c r="GO8" s="83" t="s">
        <v>523</v>
      </c>
      <c r="GP8" s="149">
        <f>(GP9*GP11*GP16)+(GP10*GP12*GP17)</f>
        <v>30096.5</v>
      </c>
      <c r="GQ8" s="92" t="s">
        <v>347</v>
      </c>
      <c r="GR8" s="95"/>
      <c r="GS8" s="176"/>
      <c r="GT8" s="83"/>
      <c r="GU8" s="83" t="s">
        <v>392</v>
      </c>
      <c r="GV8" s="142">
        <f>B36</f>
        <v>0.25</v>
      </c>
      <c r="GW8" s="83"/>
      <c r="GX8" s="83" t="s">
        <v>392</v>
      </c>
      <c r="GY8" s="142">
        <f>B36</f>
        <v>0.25</v>
      </c>
      <c r="GZ8" s="83"/>
      <c r="HA8" s="83" t="s">
        <v>392</v>
      </c>
      <c r="HB8" s="142">
        <f>B36</f>
        <v>0.25</v>
      </c>
      <c r="HC8" s="84"/>
      <c r="HD8" s="52" t="s">
        <v>16</v>
      </c>
      <c r="HE8" s="137">
        <f>1-EXP(-HE7*HE12)</f>
        <v>1</v>
      </c>
    </row>
    <row r="9" spans="1:214" x14ac:dyDescent="0.2">
      <c r="A9" s="83" t="s">
        <v>250</v>
      </c>
      <c r="B9" s="183">
        <v>0</v>
      </c>
      <c r="C9" s="83" t="s">
        <v>259</v>
      </c>
      <c r="D9" s="52" t="s">
        <v>379</v>
      </c>
      <c r="E9" s="138">
        <f>B53</f>
        <v>1</v>
      </c>
      <c r="F9" s="52" t="s">
        <v>146</v>
      </c>
      <c r="G9" s="83" t="s">
        <v>258</v>
      </c>
      <c r="H9" s="136">
        <f>B17</f>
        <v>0</v>
      </c>
      <c r="I9" s="92" t="s">
        <v>259</v>
      </c>
      <c r="J9" s="83" t="s">
        <v>258</v>
      </c>
      <c r="K9" s="136">
        <f>B17</f>
        <v>0</v>
      </c>
      <c r="L9" s="92" t="s">
        <v>259</v>
      </c>
      <c r="M9" s="52" t="s">
        <v>382</v>
      </c>
      <c r="N9" s="138">
        <f>B56</f>
        <v>350</v>
      </c>
      <c r="O9" s="52" t="s">
        <v>24</v>
      </c>
      <c r="P9" s="52" t="s">
        <v>382</v>
      </c>
      <c r="Q9" s="138">
        <f>B56</f>
        <v>350</v>
      </c>
      <c r="R9" s="52" t="s">
        <v>24</v>
      </c>
      <c r="S9" s="52" t="s">
        <v>382</v>
      </c>
      <c r="T9" s="138">
        <f>B56</f>
        <v>350</v>
      </c>
      <c r="U9" s="52" t="s">
        <v>24</v>
      </c>
      <c r="V9" s="52" t="s">
        <v>423</v>
      </c>
      <c r="W9" s="138">
        <f>B255</f>
        <v>225</v>
      </c>
      <c r="X9" s="52" t="s">
        <v>24</v>
      </c>
      <c r="Y9" s="52" t="s">
        <v>316</v>
      </c>
      <c r="Z9" s="138">
        <f>B231</f>
        <v>250</v>
      </c>
      <c r="AA9" s="52" t="s">
        <v>24</v>
      </c>
      <c r="AB9" s="83" t="s">
        <v>34</v>
      </c>
      <c r="AC9" s="146">
        <f>B232</f>
        <v>1</v>
      </c>
      <c r="AD9" s="146">
        <f>B244</f>
        <v>1</v>
      </c>
      <c r="AE9" s="146">
        <f>B256</f>
        <v>1</v>
      </c>
      <c r="AF9" s="146">
        <f>B268</f>
        <v>1</v>
      </c>
      <c r="AG9" s="146">
        <f>B292</f>
        <v>1</v>
      </c>
      <c r="AH9" s="83" t="s">
        <v>60</v>
      </c>
      <c r="AI9" s="52" t="s">
        <v>35</v>
      </c>
      <c r="AJ9" s="138">
        <f>B243</f>
        <v>250</v>
      </c>
      <c r="AK9" s="52" t="s">
        <v>24</v>
      </c>
      <c r="AL9" s="52" t="s">
        <v>35</v>
      </c>
      <c r="AM9" s="138">
        <f>B243</f>
        <v>250</v>
      </c>
      <c r="AN9" s="52" t="s">
        <v>24</v>
      </c>
      <c r="AO9" s="52" t="s">
        <v>35</v>
      </c>
      <c r="AP9" s="138">
        <f>B243</f>
        <v>250</v>
      </c>
      <c r="AQ9" s="52" t="s">
        <v>24</v>
      </c>
      <c r="AR9" s="52" t="s">
        <v>423</v>
      </c>
      <c r="AS9" s="138">
        <f>B255</f>
        <v>225</v>
      </c>
      <c r="AT9" s="52" t="s">
        <v>24</v>
      </c>
      <c r="AU9" s="52" t="s">
        <v>423</v>
      </c>
      <c r="AV9" s="138">
        <f>B255</f>
        <v>225</v>
      </c>
      <c r="AW9" s="52" t="s">
        <v>24</v>
      </c>
      <c r="AX9" s="52" t="s">
        <v>423</v>
      </c>
      <c r="AY9" s="138">
        <f>B255</f>
        <v>225</v>
      </c>
      <c r="AZ9" s="52" t="s">
        <v>24</v>
      </c>
      <c r="BA9" s="52" t="s">
        <v>316</v>
      </c>
      <c r="BB9" s="138">
        <f>B231</f>
        <v>250</v>
      </c>
      <c r="BC9" s="52" t="s">
        <v>24</v>
      </c>
      <c r="BD9" s="52" t="s">
        <v>316</v>
      </c>
      <c r="BE9" s="138">
        <f>B231</f>
        <v>250</v>
      </c>
      <c r="BF9" s="52" t="s">
        <v>24</v>
      </c>
      <c r="BG9" s="52" t="s">
        <v>316</v>
      </c>
      <c r="BH9" s="138">
        <f>B231</f>
        <v>250</v>
      </c>
      <c r="BI9" s="52" t="s">
        <v>24</v>
      </c>
      <c r="BJ9" s="52" t="s">
        <v>191</v>
      </c>
      <c r="BK9" s="138">
        <f>BK10*BK11</f>
        <v>250</v>
      </c>
      <c r="BL9" s="52" t="s">
        <v>24</v>
      </c>
      <c r="BM9" s="52" t="s">
        <v>191</v>
      </c>
      <c r="BN9" s="138">
        <f>BN10*BN11</f>
        <v>250</v>
      </c>
      <c r="BO9" s="52" t="s">
        <v>24</v>
      </c>
      <c r="BP9" s="52" t="s">
        <v>191</v>
      </c>
      <c r="BQ9" s="138">
        <f>BQ10*BQ11</f>
        <v>250</v>
      </c>
      <c r="BR9" s="52" t="s">
        <v>24</v>
      </c>
      <c r="BS9" s="52" t="s">
        <v>247</v>
      </c>
      <c r="BT9" s="139">
        <f>E11</f>
        <v>1.25E-4</v>
      </c>
      <c r="BU9" s="84" t="s">
        <v>259</v>
      </c>
      <c r="BV9" s="83" t="s">
        <v>258</v>
      </c>
      <c r="BW9" s="136">
        <f>B17</f>
        <v>0</v>
      </c>
      <c r="BX9" s="92" t="s">
        <v>259</v>
      </c>
      <c r="BY9" s="83" t="s">
        <v>77</v>
      </c>
      <c r="BZ9" s="136">
        <f>B19</f>
        <v>1359344473.5814338</v>
      </c>
      <c r="CA9" s="83" t="s">
        <v>78</v>
      </c>
      <c r="CB9" s="52" t="s">
        <v>140</v>
      </c>
      <c r="CC9" s="138">
        <f>B103</f>
        <v>75</v>
      </c>
      <c r="CD9" s="52" t="s">
        <v>24</v>
      </c>
      <c r="CE9" s="52" t="s">
        <v>140</v>
      </c>
      <c r="CF9" s="138">
        <f>B103</f>
        <v>75</v>
      </c>
      <c r="CG9" s="52" t="s">
        <v>24</v>
      </c>
      <c r="CH9" s="52" t="s">
        <v>140</v>
      </c>
      <c r="CI9" s="138">
        <f>B103</f>
        <v>75</v>
      </c>
      <c r="CJ9" s="52" t="s">
        <v>24</v>
      </c>
      <c r="CK9" s="95" t="s">
        <v>287</v>
      </c>
      <c r="CL9" s="176">
        <v>27.027027027027</v>
      </c>
      <c r="CM9" s="52" t="s">
        <v>288</v>
      </c>
      <c r="CN9" s="84" t="s">
        <v>392</v>
      </c>
      <c r="CO9" s="162">
        <f>B36</f>
        <v>0.25</v>
      </c>
      <c r="CT9" s="83" t="s">
        <v>258</v>
      </c>
      <c r="CU9" s="136">
        <f>B17</f>
        <v>0</v>
      </c>
      <c r="CV9" s="92" t="s">
        <v>259</v>
      </c>
      <c r="CW9" s="52" t="s">
        <v>363</v>
      </c>
      <c r="CX9" s="138">
        <f>B170</f>
        <v>1</v>
      </c>
      <c r="CY9" s="52" t="s">
        <v>146</v>
      </c>
      <c r="CZ9" s="83" t="s">
        <v>258</v>
      </c>
      <c r="DA9" s="136">
        <f>B17</f>
        <v>0</v>
      </c>
      <c r="DB9" s="84" t="s">
        <v>259</v>
      </c>
      <c r="DC9" s="83" t="s">
        <v>513</v>
      </c>
      <c r="DD9" s="146">
        <f>B151</f>
        <v>41.7</v>
      </c>
      <c r="DE9" s="92" t="s">
        <v>221</v>
      </c>
      <c r="DF9" s="83" t="s">
        <v>40</v>
      </c>
      <c r="DG9" s="138">
        <f>B194</f>
        <v>0.25</v>
      </c>
      <c r="DH9" s="52" t="s">
        <v>41</v>
      </c>
      <c r="DI9" s="52" t="s">
        <v>350</v>
      </c>
      <c r="DJ9" s="164">
        <f>B170</f>
        <v>1</v>
      </c>
      <c r="DL9" s="95"/>
      <c r="DM9" s="176"/>
      <c r="DO9" s="83" t="s">
        <v>40</v>
      </c>
      <c r="DP9" s="138">
        <f>B194</f>
        <v>0.25</v>
      </c>
      <c r="DQ9" s="52" t="s">
        <v>41</v>
      </c>
      <c r="DR9" s="83" t="s">
        <v>452</v>
      </c>
      <c r="DS9" s="146">
        <f>B153</f>
        <v>349.5</v>
      </c>
      <c r="DT9" s="92" t="s">
        <v>221</v>
      </c>
      <c r="DU9" s="95"/>
      <c r="DV9" s="176"/>
      <c r="DX9" s="83" t="s">
        <v>517</v>
      </c>
      <c r="DY9" s="136">
        <f>B24</f>
        <v>0</v>
      </c>
      <c r="DZ9" s="52" t="s">
        <v>601</v>
      </c>
      <c r="EA9" s="83" t="s">
        <v>517</v>
      </c>
      <c r="EB9" s="136">
        <f>B24</f>
        <v>0</v>
      </c>
      <c r="EC9" s="52" t="s">
        <v>601</v>
      </c>
      <c r="ED9" s="83" t="s">
        <v>517</v>
      </c>
      <c r="EE9" s="136">
        <f>B24</f>
        <v>0</v>
      </c>
      <c r="EF9" s="52" t="s">
        <v>601</v>
      </c>
      <c r="EG9" s="83" t="s">
        <v>453</v>
      </c>
      <c r="EH9" s="170">
        <f>B155</f>
        <v>40.1</v>
      </c>
      <c r="EI9" s="92" t="s">
        <v>221</v>
      </c>
      <c r="EJ9" s="83"/>
      <c r="EM9" s="83" t="s">
        <v>236</v>
      </c>
      <c r="EN9" s="136">
        <f>B25</f>
        <v>0</v>
      </c>
      <c r="EO9" s="52" t="s">
        <v>388</v>
      </c>
      <c r="EP9" s="83" t="s">
        <v>236</v>
      </c>
      <c r="EQ9" s="169">
        <f>B25</f>
        <v>0</v>
      </c>
      <c r="ER9" s="52" t="s">
        <v>388</v>
      </c>
      <c r="ES9" s="83" t="s">
        <v>236</v>
      </c>
      <c r="ET9" s="169">
        <f>B25</f>
        <v>0</v>
      </c>
      <c r="EU9" s="52" t="s">
        <v>388</v>
      </c>
      <c r="EV9" s="83" t="s">
        <v>454</v>
      </c>
      <c r="EW9" s="171">
        <f>B157</f>
        <v>10.95</v>
      </c>
      <c r="EX9" s="92" t="s">
        <v>221</v>
      </c>
      <c r="EY9" s="83"/>
      <c r="EZ9" s="83"/>
      <c r="FA9" s="83"/>
      <c r="FB9" s="83" t="s">
        <v>171</v>
      </c>
      <c r="FC9" s="169">
        <f>B27</f>
        <v>0</v>
      </c>
      <c r="FD9" s="52" t="s">
        <v>388</v>
      </c>
      <c r="FE9" s="83" t="s">
        <v>171</v>
      </c>
      <c r="FF9" s="169">
        <f>B27</f>
        <v>0</v>
      </c>
      <c r="FG9" s="52" t="s">
        <v>388</v>
      </c>
      <c r="FH9" s="83" t="s">
        <v>171</v>
      </c>
      <c r="FI9" s="169">
        <f>B27</f>
        <v>0</v>
      </c>
      <c r="FJ9" s="52" t="s">
        <v>388</v>
      </c>
      <c r="FK9" s="83" t="s">
        <v>471</v>
      </c>
      <c r="FL9" s="150">
        <f>B159</f>
        <v>32.799999999999997</v>
      </c>
      <c r="FM9" s="92" t="s">
        <v>221</v>
      </c>
      <c r="FN9" s="83"/>
      <c r="FO9" s="83"/>
      <c r="FP9" s="83"/>
      <c r="FQ9" s="91" t="s">
        <v>231</v>
      </c>
      <c r="FR9" s="136">
        <f>B18</f>
        <v>1.04753425E-2</v>
      </c>
      <c r="FS9" s="52" t="s">
        <v>60</v>
      </c>
      <c r="FT9" s="83"/>
      <c r="FU9" s="93"/>
      <c r="FV9" s="83"/>
      <c r="FW9" s="83"/>
      <c r="FX9" s="93"/>
      <c r="FY9" s="83"/>
      <c r="FZ9" s="83" t="s">
        <v>473</v>
      </c>
      <c r="GA9" s="174">
        <f>B161</f>
        <v>23.6</v>
      </c>
      <c r="GB9" s="92" t="s">
        <v>221</v>
      </c>
      <c r="GC9" s="83"/>
      <c r="GD9" s="83"/>
      <c r="GE9" s="83"/>
      <c r="GF9" s="83" t="s">
        <v>237</v>
      </c>
      <c r="GG9" s="169">
        <f>B26</f>
        <v>0</v>
      </c>
      <c r="GH9" s="52" t="s">
        <v>388</v>
      </c>
      <c r="GI9" s="83" t="s">
        <v>237</v>
      </c>
      <c r="GJ9" s="169">
        <f>B26</f>
        <v>0</v>
      </c>
      <c r="GK9" s="52" t="s">
        <v>388</v>
      </c>
      <c r="GL9" s="83" t="s">
        <v>237</v>
      </c>
      <c r="GM9" s="169">
        <f>B26</f>
        <v>0</v>
      </c>
      <c r="GN9" s="84"/>
      <c r="GO9" s="83" t="s">
        <v>455</v>
      </c>
      <c r="GP9" s="150">
        <f>B163</f>
        <v>18.5</v>
      </c>
      <c r="GQ9" s="92" t="s">
        <v>221</v>
      </c>
      <c r="GR9" s="83"/>
      <c r="GS9" s="83"/>
      <c r="GT9" s="83"/>
      <c r="GU9" s="83" t="s">
        <v>238</v>
      </c>
      <c r="GV9" s="169">
        <f>B28</f>
        <v>0</v>
      </c>
      <c r="GW9" s="52" t="s">
        <v>388</v>
      </c>
      <c r="GX9" s="83" t="s">
        <v>238</v>
      </c>
      <c r="GY9" s="169">
        <f>B28</f>
        <v>0</v>
      </c>
      <c r="GZ9" s="52" t="s">
        <v>388</v>
      </c>
      <c r="HA9" s="83" t="s">
        <v>238</v>
      </c>
      <c r="HB9" s="169">
        <f>B28</f>
        <v>0</v>
      </c>
      <c r="HC9" s="52" t="s">
        <v>388</v>
      </c>
      <c r="HD9" s="91" t="s">
        <v>231</v>
      </c>
      <c r="HE9" s="136">
        <f>B18</f>
        <v>1.04753425E-2</v>
      </c>
      <c r="HF9" s="52" t="s">
        <v>60</v>
      </c>
    </row>
    <row r="10" spans="1:214" x14ac:dyDescent="0.2">
      <c r="A10" s="83" t="s">
        <v>251</v>
      </c>
      <c r="B10" s="179">
        <v>2.1295200000000002E-3</v>
      </c>
      <c r="C10" s="83" t="s">
        <v>351</v>
      </c>
      <c r="D10" s="52" t="s">
        <v>92</v>
      </c>
      <c r="E10" s="138">
        <f>E9</f>
        <v>1</v>
      </c>
      <c r="G10" s="83" t="s">
        <v>260</v>
      </c>
      <c r="H10" s="143" t="e">
        <f>(H5/(H6*H15))/H70</f>
        <v>#DIV/0!</v>
      </c>
      <c r="I10" s="92" t="s">
        <v>291</v>
      </c>
      <c r="J10" s="83" t="s">
        <v>77</v>
      </c>
      <c r="K10" s="136">
        <f>B19</f>
        <v>1359344473.5814338</v>
      </c>
      <c r="L10" s="83" t="s">
        <v>78</v>
      </c>
      <c r="M10" s="52" t="s">
        <v>379</v>
      </c>
      <c r="N10" s="138">
        <f>B53</f>
        <v>1</v>
      </c>
      <c r="O10" s="52" t="s">
        <v>146</v>
      </c>
      <c r="P10" s="52" t="s">
        <v>379</v>
      </c>
      <c r="Q10" s="138">
        <f>B53</f>
        <v>1</v>
      </c>
      <c r="R10" s="52" t="s">
        <v>146</v>
      </c>
      <c r="S10" s="52" t="s">
        <v>379</v>
      </c>
      <c r="T10" s="138">
        <f>B53</f>
        <v>1</v>
      </c>
      <c r="U10" s="52" t="s">
        <v>146</v>
      </c>
      <c r="V10" s="52" t="s">
        <v>424</v>
      </c>
      <c r="W10" s="138">
        <f>B256</f>
        <v>1</v>
      </c>
      <c r="X10" s="52" t="s">
        <v>146</v>
      </c>
      <c r="Y10" s="52" t="s">
        <v>422</v>
      </c>
      <c r="Z10" s="138">
        <f>B232</f>
        <v>1</v>
      </c>
      <c r="AA10" s="52" t="s">
        <v>146</v>
      </c>
      <c r="AB10" s="83" t="s">
        <v>219</v>
      </c>
      <c r="AC10" s="146"/>
      <c r="AD10" s="146"/>
      <c r="AE10" s="146"/>
      <c r="AF10" s="146">
        <f>B277</f>
        <v>5</v>
      </c>
      <c r="AG10" s="146">
        <f>B300</f>
        <v>5</v>
      </c>
      <c r="AH10" s="83" t="s">
        <v>112</v>
      </c>
      <c r="AI10" s="52" t="s">
        <v>420</v>
      </c>
      <c r="AJ10" s="138">
        <v>1</v>
      </c>
      <c r="AK10" s="52" t="s">
        <v>146</v>
      </c>
      <c r="AL10" s="52" t="s">
        <v>420</v>
      </c>
      <c r="AM10" s="138">
        <f>B244</f>
        <v>1</v>
      </c>
      <c r="AN10" s="52" t="s">
        <v>146</v>
      </c>
      <c r="AO10" s="52" t="s">
        <v>420</v>
      </c>
      <c r="AP10" s="138">
        <f>B244</f>
        <v>1</v>
      </c>
      <c r="AQ10" s="52" t="s">
        <v>146</v>
      </c>
      <c r="AR10" s="52" t="s">
        <v>424</v>
      </c>
      <c r="AS10" s="138">
        <f>B256</f>
        <v>1</v>
      </c>
      <c r="AT10" s="52" t="s">
        <v>146</v>
      </c>
      <c r="AU10" s="52" t="s">
        <v>424</v>
      </c>
      <c r="AV10" s="138">
        <f>B256</f>
        <v>1</v>
      </c>
      <c r="AW10" s="52" t="s">
        <v>146</v>
      </c>
      <c r="AX10" s="52" t="s">
        <v>424</v>
      </c>
      <c r="AY10" s="138">
        <f>B256</f>
        <v>1</v>
      </c>
      <c r="AZ10" s="52" t="s">
        <v>146</v>
      </c>
      <c r="BA10" s="52" t="s">
        <v>422</v>
      </c>
      <c r="BB10" s="138">
        <f>B232</f>
        <v>1</v>
      </c>
      <c r="BC10" s="52" t="s">
        <v>146</v>
      </c>
      <c r="BD10" s="52" t="s">
        <v>422</v>
      </c>
      <c r="BE10" s="138">
        <f>B232</f>
        <v>1</v>
      </c>
      <c r="BF10" s="52" t="s">
        <v>146</v>
      </c>
      <c r="BG10" s="52" t="s">
        <v>422</v>
      </c>
      <c r="BH10" s="138">
        <f>B232</f>
        <v>1</v>
      </c>
      <c r="BI10" s="52" t="s">
        <v>146</v>
      </c>
      <c r="BJ10" s="52" t="s">
        <v>220</v>
      </c>
      <c r="BK10" s="138">
        <f>B278</f>
        <v>50</v>
      </c>
      <c r="BL10" s="52" t="s">
        <v>113</v>
      </c>
      <c r="BM10" s="52" t="s">
        <v>220</v>
      </c>
      <c r="BN10" s="138">
        <f>B278</f>
        <v>50</v>
      </c>
      <c r="BO10" s="52" t="s">
        <v>113</v>
      </c>
      <c r="BP10" s="52" t="s">
        <v>220</v>
      </c>
      <c r="BQ10" s="138">
        <f>B278</f>
        <v>50</v>
      </c>
      <c r="BR10" s="52" t="s">
        <v>113</v>
      </c>
      <c r="BS10" s="83" t="s">
        <v>428</v>
      </c>
      <c r="BT10" s="149">
        <f>(BT22*BT13*(1/24)*BT11*BT25)+(BT23*BT14*(1/24)*BT12*BT26)</f>
        <v>55.3125</v>
      </c>
      <c r="BU10" s="52" t="s">
        <v>426</v>
      </c>
      <c r="BV10" s="83" t="s">
        <v>260</v>
      </c>
      <c r="BW10" s="143" t="e">
        <f>(BW5/(BW6*BW13))/BW32</f>
        <v>#DIV/0!</v>
      </c>
      <c r="BX10" s="92" t="s">
        <v>291</v>
      </c>
      <c r="BY10" s="84" t="s">
        <v>16</v>
      </c>
      <c r="BZ10" s="137">
        <f>(BZ30*BZ11)/(1-EXP(-BZ11*BZ30))</f>
        <v>66.155354824913829</v>
      </c>
      <c r="CB10" s="52" t="s">
        <v>51</v>
      </c>
      <c r="CC10" s="138">
        <f>B117</f>
        <v>1</v>
      </c>
      <c r="CD10" s="52" t="s">
        <v>146</v>
      </c>
      <c r="CE10" s="52" t="s">
        <v>51</v>
      </c>
      <c r="CF10" s="138">
        <f>B117</f>
        <v>1</v>
      </c>
      <c r="CG10" s="52" t="s">
        <v>146</v>
      </c>
      <c r="CH10" s="52" t="s">
        <v>51</v>
      </c>
      <c r="CI10" s="138">
        <f>B117</f>
        <v>1</v>
      </c>
      <c r="CJ10" s="52" t="s">
        <v>146</v>
      </c>
      <c r="CN10" s="84" t="s">
        <v>164</v>
      </c>
      <c r="CO10" s="162">
        <f>B129</f>
        <v>1</v>
      </c>
      <c r="CP10" s="52" t="s">
        <v>246</v>
      </c>
      <c r="CT10" s="83" t="s">
        <v>77</v>
      </c>
      <c r="CU10" s="136">
        <f>B19</f>
        <v>1359344473.5814338</v>
      </c>
      <c r="CV10" s="83" t="s">
        <v>78</v>
      </c>
      <c r="CW10" s="52" t="s">
        <v>350</v>
      </c>
      <c r="CX10" s="138">
        <f>CX9</f>
        <v>1</v>
      </c>
      <c r="CZ10" s="84" t="s">
        <v>16</v>
      </c>
      <c r="DA10" s="137">
        <f>(DA37*DA11)/(1-EXP(-DA11*DA37))</f>
        <v>66.155354824913829</v>
      </c>
      <c r="DC10" s="83" t="s">
        <v>514</v>
      </c>
      <c r="DD10" s="146">
        <f>B152</f>
        <v>125.7</v>
      </c>
      <c r="DE10" s="92" t="s">
        <v>221</v>
      </c>
      <c r="DF10" s="92" t="s">
        <v>32</v>
      </c>
      <c r="DG10" s="136">
        <f>B31</f>
        <v>0</v>
      </c>
      <c r="DI10" s="83" t="s">
        <v>22</v>
      </c>
      <c r="DJ10" s="137">
        <f>0.693/DJ11</f>
        <v>66.155354824913829</v>
      </c>
      <c r="DL10" s="92"/>
      <c r="DO10" s="92" t="s">
        <v>32</v>
      </c>
      <c r="DP10" s="136">
        <f>B31</f>
        <v>0</v>
      </c>
      <c r="DR10" s="83" t="s">
        <v>461</v>
      </c>
      <c r="DS10" s="146">
        <f>B154</f>
        <v>445.6</v>
      </c>
      <c r="DT10" s="92" t="s">
        <v>221</v>
      </c>
      <c r="DU10" s="92"/>
      <c r="DX10" s="83" t="s">
        <v>498</v>
      </c>
      <c r="DY10" s="138">
        <f>B205</f>
        <v>20.3</v>
      </c>
      <c r="DZ10" s="52" t="s">
        <v>246</v>
      </c>
      <c r="EA10" s="83" t="s">
        <v>498</v>
      </c>
      <c r="EB10" s="138">
        <f>B205</f>
        <v>20.3</v>
      </c>
      <c r="EC10" s="52" t="s">
        <v>246</v>
      </c>
      <c r="ED10" s="83" t="s">
        <v>498</v>
      </c>
      <c r="EE10" s="138">
        <f>B205</f>
        <v>20.3</v>
      </c>
      <c r="EF10" s="52" t="s">
        <v>246</v>
      </c>
      <c r="EG10" s="83" t="s">
        <v>462</v>
      </c>
      <c r="EH10" s="170">
        <f>B156</f>
        <v>178</v>
      </c>
      <c r="EI10" s="92" t="s">
        <v>221</v>
      </c>
      <c r="EJ10" s="92"/>
      <c r="EM10" s="83" t="s">
        <v>494</v>
      </c>
      <c r="EN10" s="138">
        <f>B210</f>
        <v>11.77</v>
      </c>
      <c r="EO10" s="52" t="s">
        <v>246</v>
      </c>
      <c r="EP10" s="83" t="s">
        <v>494</v>
      </c>
      <c r="EQ10" s="138">
        <f>B210</f>
        <v>11.77</v>
      </c>
      <c r="ER10" s="52" t="s">
        <v>246</v>
      </c>
      <c r="ES10" s="83" t="s">
        <v>494</v>
      </c>
      <c r="ET10" s="138">
        <f>B210</f>
        <v>11.77</v>
      </c>
      <c r="EU10" s="52" t="s">
        <v>246</v>
      </c>
      <c r="EV10" s="83" t="s">
        <v>463</v>
      </c>
      <c r="EW10" s="170">
        <f>B158</f>
        <v>53.4</v>
      </c>
      <c r="EX10" s="92" t="s">
        <v>221</v>
      </c>
      <c r="EY10" s="83"/>
      <c r="EZ10" s="83"/>
      <c r="FA10" s="83"/>
      <c r="FB10" s="83" t="s">
        <v>152</v>
      </c>
      <c r="FC10" s="142">
        <f>B215</f>
        <v>0.2</v>
      </c>
      <c r="FD10" s="52" t="s">
        <v>246</v>
      </c>
      <c r="FE10" s="83" t="s">
        <v>152</v>
      </c>
      <c r="FF10" s="142">
        <f>B215</f>
        <v>0.2</v>
      </c>
      <c r="FG10" s="52" t="s">
        <v>246</v>
      </c>
      <c r="FH10" s="83" t="s">
        <v>152</v>
      </c>
      <c r="FI10" s="142">
        <f>B215</f>
        <v>0.2</v>
      </c>
      <c r="FJ10" s="52" t="s">
        <v>246</v>
      </c>
      <c r="FK10" s="83" t="s">
        <v>472</v>
      </c>
      <c r="FL10" s="150">
        <f>B160</f>
        <v>155.4</v>
      </c>
      <c r="FM10" s="92" t="s">
        <v>221</v>
      </c>
      <c r="FN10" s="83"/>
      <c r="FO10" s="83"/>
      <c r="FP10" s="83"/>
      <c r="FQ10" s="84" t="s">
        <v>16</v>
      </c>
      <c r="FR10" s="137">
        <f>(FR7*FR8)/(1-EXP(-FR8*FR7))</f>
        <v>66.155354824913829</v>
      </c>
      <c r="FT10" s="83"/>
      <c r="FU10" s="93"/>
      <c r="FV10" s="83"/>
      <c r="FW10" s="83"/>
      <c r="FX10" s="93"/>
      <c r="FY10" s="83"/>
      <c r="FZ10" s="83" t="s">
        <v>474</v>
      </c>
      <c r="GA10" s="174">
        <f>B162</f>
        <v>106.6</v>
      </c>
      <c r="GB10" s="92" t="s">
        <v>221</v>
      </c>
      <c r="GC10" s="83"/>
      <c r="GD10" s="83"/>
      <c r="GE10" s="83"/>
      <c r="GF10" s="83" t="s">
        <v>486</v>
      </c>
      <c r="GG10" s="142">
        <f>B220</f>
        <v>0.2</v>
      </c>
      <c r="GH10" s="52" t="s">
        <v>246</v>
      </c>
      <c r="GI10" s="83" t="s">
        <v>486</v>
      </c>
      <c r="GJ10" s="142">
        <f>B220</f>
        <v>0.2</v>
      </c>
      <c r="GK10" s="52" t="s">
        <v>246</v>
      </c>
      <c r="GL10" s="83" t="s">
        <v>486</v>
      </c>
      <c r="GM10" s="142">
        <f>B220</f>
        <v>0.2</v>
      </c>
      <c r="GN10" s="52" t="s">
        <v>246</v>
      </c>
      <c r="GO10" s="83" t="s">
        <v>464</v>
      </c>
      <c r="GP10" s="150">
        <f>B164</f>
        <v>97.9</v>
      </c>
      <c r="GQ10" s="92" t="s">
        <v>221</v>
      </c>
      <c r="GR10" s="83"/>
      <c r="GS10" s="83"/>
      <c r="GT10" s="83"/>
      <c r="GU10" s="83" t="s">
        <v>490</v>
      </c>
      <c r="GV10" s="142">
        <f>B225</f>
        <v>4.7</v>
      </c>
      <c r="GW10" s="52" t="s">
        <v>246</v>
      </c>
      <c r="GX10" s="83" t="s">
        <v>490</v>
      </c>
      <c r="GY10" s="142">
        <f>B225</f>
        <v>4.7</v>
      </c>
      <c r="GZ10" s="52" t="s">
        <v>246</v>
      </c>
      <c r="HA10" s="83" t="s">
        <v>490</v>
      </c>
      <c r="HB10" s="142">
        <f>B225</f>
        <v>4.7</v>
      </c>
      <c r="HC10" s="52" t="s">
        <v>246</v>
      </c>
      <c r="HD10" s="84" t="s">
        <v>38</v>
      </c>
      <c r="HE10" s="163">
        <f>B83</f>
        <v>0.3</v>
      </c>
    </row>
    <row r="11" spans="1:214" x14ac:dyDescent="0.2">
      <c r="A11" s="83" t="s">
        <v>252</v>
      </c>
      <c r="B11" s="183">
        <v>4.3486799999999998E-4</v>
      </c>
      <c r="C11" s="83" t="s">
        <v>352</v>
      </c>
      <c r="D11" s="52" t="s">
        <v>247</v>
      </c>
      <c r="E11" s="139">
        <f>B6</f>
        <v>1.25E-4</v>
      </c>
      <c r="F11" s="84" t="s">
        <v>259</v>
      </c>
      <c r="G11" s="83" t="s">
        <v>261</v>
      </c>
      <c r="H11" s="144">
        <f>(H5/(H7*H16*H28))/H70</f>
        <v>9.5560936238902439E-2</v>
      </c>
      <c r="I11" s="92" t="s">
        <v>291</v>
      </c>
      <c r="J11" s="84" t="s">
        <v>16</v>
      </c>
      <c r="K11" s="137">
        <f>(K43*K12)/(1-EXP(-K12*K43))</f>
        <v>66.155354824913829</v>
      </c>
      <c r="M11" s="52" t="s">
        <v>299</v>
      </c>
      <c r="N11" s="138">
        <f>B61</f>
        <v>0.4</v>
      </c>
      <c r="P11" s="52" t="s">
        <v>299</v>
      </c>
      <c r="Q11" s="138">
        <f>B61</f>
        <v>0.4</v>
      </c>
      <c r="S11" s="52" t="s">
        <v>299</v>
      </c>
      <c r="T11" s="138">
        <f>B61</f>
        <v>0.4</v>
      </c>
      <c r="V11" s="52" t="s">
        <v>247</v>
      </c>
      <c r="W11" s="139">
        <f>B6</f>
        <v>1.25E-4</v>
      </c>
      <c r="X11" s="84" t="s">
        <v>39</v>
      </c>
      <c r="Y11" s="52" t="s">
        <v>247</v>
      </c>
      <c r="Z11" s="139">
        <f>B6</f>
        <v>1.25E-4</v>
      </c>
      <c r="AA11" s="84" t="s">
        <v>39</v>
      </c>
      <c r="AB11" s="83" t="s">
        <v>220</v>
      </c>
      <c r="AC11" s="146"/>
      <c r="AD11" s="146"/>
      <c r="AE11" s="146"/>
      <c r="AF11" s="146">
        <f>B278</f>
        <v>50</v>
      </c>
      <c r="AG11" s="146">
        <f>B301</f>
        <v>50</v>
      </c>
      <c r="AH11" s="83" t="s">
        <v>113</v>
      </c>
      <c r="AI11" s="52" t="s">
        <v>299</v>
      </c>
      <c r="AJ11" s="138">
        <f>B248</f>
        <v>0.4</v>
      </c>
      <c r="AL11" s="52" t="s">
        <v>299</v>
      </c>
      <c r="AM11" s="138">
        <f>B248</f>
        <v>0.4</v>
      </c>
      <c r="AO11" s="52" t="s">
        <v>299</v>
      </c>
      <c r="AP11" s="138">
        <f>B248</f>
        <v>0.4</v>
      </c>
      <c r="AR11" s="52" t="s">
        <v>299</v>
      </c>
      <c r="AS11" s="138">
        <f>B260</f>
        <v>0.4</v>
      </c>
      <c r="AU11" s="52" t="s">
        <v>299</v>
      </c>
      <c r="AV11" s="138">
        <f>B260</f>
        <v>0.4</v>
      </c>
      <c r="AX11" s="52" t="s">
        <v>299</v>
      </c>
      <c r="AY11" s="138">
        <f>B260</f>
        <v>0.4</v>
      </c>
      <c r="BA11" s="52" t="s">
        <v>299</v>
      </c>
      <c r="BB11" s="138">
        <f>B236</f>
        <v>0.4</v>
      </c>
      <c r="BD11" s="52" t="s">
        <v>299</v>
      </c>
      <c r="BE11" s="138">
        <f>B236</f>
        <v>0.4</v>
      </c>
      <c r="BG11" s="52" t="s">
        <v>299</v>
      </c>
      <c r="BH11" s="138">
        <f>B236</f>
        <v>0.4</v>
      </c>
      <c r="BJ11" s="52" t="s">
        <v>219</v>
      </c>
      <c r="BK11" s="138">
        <f>B277</f>
        <v>5</v>
      </c>
      <c r="BL11" s="52" t="s">
        <v>112</v>
      </c>
      <c r="BM11" s="52" t="s">
        <v>219</v>
      </c>
      <c r="BN11" s="138">
        <f>B277</f>
        <v>5</v>
      </c>
      <c r="BO11" s="52" t="s">
        <v>112</v>
      </c>
      <c r="BP11" s="52" t="s">
        <v>219</v>
      </c>
      <c r="BQ11" s="138">
        <f>B277</f>
        <v>5</v>
      </c>
      <c r="BR11" s="52" t="s">
        <v>112</v>
      </c>
      <c r="BS11" s="83" t="s">
        <v>429</v>
      </c>
      <c r="BT11" s="141">
        <f>B93</f>
        <v>10</v>
      </c>
      <c r="BU11" s="92" t="s">
        <v>407</v>
      </c>
      <c r="BV11" s="83" t="s">
        <v>261</v>
      </c>
      <c r="BW11" s="159"/>
      <c r="BX11" s="92" t="s">
        <v>291</v>
      </c>
      <c r="BY11" s="83" t="s">
        <v>22</v>
      </c>
      <c r="BZ11" s="137">
        <f>0.693/BZ12</f>
        <v>66.155354824913829</v>
      </c>
      <c r="CB11" s="52" t="s">
        <v>300</v>
      </c>
      <c r="CC11" s="138">
        <f>B118</f>
        <v>2.41E-4</v>
      </c>
      <c r="CE11" s="52" t="s">
        <v>300</v>
      </c>
      <c r="CF11" s="138">
        <f>B120</f>
        <v>1.17E-4</v>
      </c>
      <c r="CH11" s="52" t="s">
        <v>300</v>
      </c>
      <c r="CI11" s="138">
        <f>B124</f>
        <v>2.2599999999999999E-4</v>
      </c>
      <c r="CN11" s="84" t="s">
        <v>161</v>
      </c>
      <c r="CO11" s="162">
        <f>B130</f>
        <v>1</v>
      </c>
      <c r="CP11" s="52" t="s">
        <v>246</v>
      </c>
      <c r="CT11" s="84" t="s">
        <v>16</v>
      </c>
      <c r="CU11" s="137">
        <f>(CU43*CU12)/(1-EXP(-CU12*CU43))</f>
        <v>66.155354824913829</v>
      </c>
      <c r="CW11" s="52" t="s">
        <v>247</v>
      </c>
      <c r="CX11" s="139">
        <f>B6</f>
        <v>1.25E-4</v>
      </c>
      <c r="CY11" s="84" t="s">
        <v>259</v>
      </c>
      <c r="CZ11" s="83" t="s">
        <v>22</v>
      </c>
      <c r="DA11" s="137">
        <f>0.693/DA12</f>
        <v>66.155354824913829</v>
      </c>
      <c r="DC11" s="83" t="s">
        <v>515</v>
      </c>
      <c r="DD11" s="149">
        <f>(DD12*DD15*DD20)+(DD13*DD14*DD21)</f>
        <v>56173.250000000007</v>
      </c>
      <c r="DE11" s="92" t="s">
        <v>347</v>
      </c>
      <c r="DF11" s="92" t="s">
        <v>49</v>
      </c>
      <c r="DG11" s="137">
        <f>DG19+DG20</f>
        <v>0.18127454746551735</v>
      </c>
      <c r="DI11" s="91" t="s">
        <v>231</v>
      </c>
      <c r="DJ11" s="136">
        <f>B18</f>
        <v>1.04753425E-2</v>
      </c>
      <c r="DK11" s="52" t="s">
        <v>60</v>
      </c>
      <c r="DL11" s="92"/>
      <c r="DO11" s="92" t="s">
        <v>49</v>
      </c>
      <c r="DP11" s="156">
        <f>DP19+DP20</f>
        <v>2.6999999999999999E-5</v>
      </c>
      <c r="DR11" s="83" t="s">
        <v>456</v>
      </c>
      <c r="DS11" s="150">
        <f>B168</f>
        <v>350</v>
      </c>
      <c r="DT11" s="83" t="s">
        <v>24</v>
      </c>
      <c r="DU11" s="92"/>
      <c r="DX11" s="83" t="s">
        <v>499</v>
      </c>
      <c r="DY11" s="138">
        <v>0.4</v>
      </c>
      <c r="DZ11" s="52" t="s">
        <v>246</v>
      </c>
      <c r="EA11" s="83" t="s">
        <v>499</v>
      </c>
      <c r="EB11" s="138">
        <v>0.4</v>
      </c>
      <c r="EC11" s="52" t="s">
        <v>246</v>
      </c>
      <c r="ED11" s="83" t="s">
        <v>499</v>
      </c>
      <c r="EE11" s="138">
        <v>0.4</v>
      </c>
      <c r="EF11" s="52" t="s">
        <v>246</v>
      </c>
      <c r="EG11" s="83" t="s">
        <v>456</v>
      </c>
      <c r="EH11" s="150">
        <f>B168</f>
        <v>350</v>
      </c>
      <c r="EI11" s="83" t="s">
        <v>24</v>
      </c>
      <c r="EJ11" s="92"/>
      <c r="EM11" s="83" t="s">
        <v>495</v>
      </c>
      <c r="EN11" s="138">
        <f>B211</f>
        <v>0.5</v>
      </c>
      <c r="EO11" s="52" t="s">
        <v>246</v>
      </c>
      <c r="EP11" s="83" t="s">
        <v>495</v>
      </c>
      <c r="EQ11" s="138">
        <f>B211</f>
        <v>0.5</v>
      </c>
      <c r="ER11" s="52" t="s">
        <v>246</v>
      </c>
      <c r="ES11" s="83" t="s">
        <v>495</v>
      </c>
      <c r="ET11" s="138">
        <f>B211</f>
        <v>0.5</v>
      </c>
      <c r="EU11" s="52" t="s">
        <v>246</v>
      </c>
      <c r="EV11" s="83" t="s">
        <v>456</v>
      </c>
      <c r="EW11" s="150">
        <f>B168</f>
        <v>350</v>
      </c>
      <c r="EX11" s="83" t="s">
        <v>24</v>
      </c>
      <c r="EY11" s="83"/>
      <c r="EZ11" s="83"/>
      <c r="FA11" s="83"/>
      <c r="FB11" s="83" t="s">
        <v>151</v>
      </c>
      <c r="FC11" s="142">
        <f>B216</f>
        <v>2.1999999999999999E-2</v>
      </c>
      <c r="FD11" s="52" t="s">
        <v>246</v>
      </c>
      <c r="FE11" s="83" t="s">
        <v>151</v>
      </c>
      <c r="FF11" s="142">
        <f>B216</f>
        <v>2.1999999999999999E-2</v>
      </c>
      <c r="FG11" s="52" t="s">
        <v>246</v>
      </c>
      <c r="FH11" s="83" t="s">
        <v>151</v>
      </c>
      <c r="FI11" s="142">
        <f>B216</f>
        <v>2.1999999999999999E-2</v>
      </c>
      <c r="FJ11" s="52" t="s">
        <v>246</v>
      </c>
      <c r="FK11" s="83" t="s">
        <v>456</v>
      </c>
      <c r="FL11" s="150">
        <f>B168</f>
        <v>350</v>
      </c>
      <c r="FM11" s="83" t="s">
        <v>24</v>
      </c>
      <c r="FN11" s="83"/>
      <c r="FO11" s="83"/>
      <c r="FP11" s="83"/>
      <c r="FQ11" s="95"/>
      <c r="FR11" s="176"/>
      <c r="FS11" s="83"/>
      <c r="FT11" s="83"/>
      <c r="FU11" s="93"/>
      <c r="FV11" s="83"/>
      <c r="FW11" s="83"/>
      <c r="FX11" s="93"/>
      <c r="FY11" s="83"/>
      <c r="FZ11" s="83" t="s">
        <v>456</v>
      </c>
      <c r="GA11" s="150">
        <f>B168</f>
        <v>350</v>
      </c>
      <c r="GB11" s="83" t="s">
        <v>24</v>
      </c>
      <c r="GC11" s="83"/>
      <c r="GD11" s="83"/>
      <c r="GE11" s="83"/>
      <c r="GF11" s="83" t="s">
        <v>487</v>
      </c>
      <c r="GG11" s="142">
        <f>B221</f>
        <v>2.1999999999999999E-2</v>
      </c>
      <c r="GH11" s="52" t="s">
        <v>246</v>
      </c>
      <c r="GI11" s="83" t="s">
        <v>487</v>
      </c>
      <c r="GJ11" s="142">
        <f>B221</f>
        <v>2.1999999999999999E-2</v>
      </c>
      <c r="GK11" s="52" t="s">
        <v>246</v>
      </c>
      <c r="GL11" s="83" t="s">
        <v>487</v>
      </c>
      <c r="GM11" s="142">
        <f>B221</f>
        <v>2.1999999999999999E-2</v>
      </c>
      <c r="GN11" s="52" t="s">
        <v>246</v>
      </c>
      <c r="GO11" s="83" t="s">
        <v>456</v>
      </c>
      <c r="GP11" s="150">
        <f>B168</f>
        <v>350</v>
      </c>
      <c r="GQ11" s="83" t="s">
        <v>24</v>
      </c>
      <c r="GR11" s="83"/>
      <c r="GS11" s="83"/>
      <c r="GT11" s="83"/>
      <c r="GU11" s="83" t="s">
        <v>491</v>
      </c>
      <c r="GV11" s="142">
        <f>B226</f>
        <v>0.37</v>
      </c>
      <c r="GW11" s="52" t="s">
        <v>246</v>
      </c>
      <c r="GX11" s="83" t="s">
        <v>491</v>
      </c>
      <c r="GY11" s="142">
        <f>B226</f>
        <v>0.37</v>
      </c>
      <c r="GZ11" s="52" t="s">
        <v>246</v>
      </c>
      <c r="HA11" s="83" t="s">
        <v>491</v>
      </c>
      <c r="HB11" s="142">
        <f>B226</f>
        <v>0.37</v>
      </c>
      <c r="HC11" s="52" t="s">
        <v>246</v>
      </c>
      <c r="HD11" s="84" t="s">
        <v>42</v>
      </c>
      <c r="HE11" s="150">
        <f>B84</f>
        <v>1.5</v>
      </c>
    </row>
    <row r="12" spans="1:214" x14ac:dyDescent="0.2">
      <c r="A12" s="83" t="s">
        <v>253</v>
      </c>
      <c r="B12" s="183">
        <v>4.4084799999999998E-4</v>
      </c>
      <c r="C12" s="83" t="s">
        <v>351</v>
      </c>
      <c r="D12" s="83" t="s">
        <v>43</v>
      </c>
      <c r="E12" s="140">
        <f>((E15/E16)*E23*E13*E25)+((E15/E16)*E24*E14*E26)</f>
        <v>6195</v>
      </c>
      <c r="F12" s="52" t="s">
        <v>426</v>
      </c>
      <c r="G12" s="83" t="s">
        <v>266</v>
      </c>
      <c r="H12" s="144">
        <f>(H5/(H8*(1/H43)*H21))/H70</f>
        <v>196.52385615240718</v>
      </c>
      <c r="I12" s="92" t="s">
        <v>291</v>
      </c>
      <c r="J12" s="83" t="s">
        <v>22</v>
      </c>
      <c r="K12" s="137">
        <f>0.693/K13</f>
        <v>66.155354824913829</v>
      </c>
      <c r="M12" s="52" t="s">
        <v>300</v>
      </c>
      <c r="N12" s="138">
        <f>B62</f>
        <v>1</v>
      </c>
      <c r="P12" s="52" t="s">
        <v>300</v>
      </c>
      <c r="Q12" s="138">
        <f>B62</f>
        <v>1</v>
      </c>
      <c r="S12" s="52" t="s">
        <v>300</v>
      </c>
      <c r="T12" s="138">
        <f>B62</f>
        <v>1</v>
      </c>
      <c r="V12" s="52" t="s">
        <v>44</v>
      </c>
      <c r="W12" s="150">
        <f>B262</f>
        <v>8</v>
      </c>
      <c r="X12" s="84" t="s">
        <v>194</v>
      </c>
      <c r="Y12" s="52" t="s">
        <v>44</v>
      </c>
      <c r="Z12" s="150">
        <f>B239</f>
        <v>8</v>
      </c>
      <c r="AA12" s="84" t="s">
        <v>194</v>
      </c>
      <c r="AB12" s="83" t="s">
        <v>58</v>
      </c>
      <c r="AC12" s="150">
        <v>8</v>
      </c>
      <c r="AD12" s="150">
        <v>8</v>
      </c>
      <c r="AE12" s="150">
        <v>8</v>
      </c>
      <c r="AF12" s="150">
        <f>B274</f>
        <v>8</v>
      </c>
      <c r="AG12" s="150">
        <f>B297</f>
        <v>8</v>
      </c>
      <c r="AH12" s="83" t="s">
        <v>194</v>
      </c>
      <c r="AI12" s="52" t="s">
        <v>300</v>
      </c>
      <c r="AJ12" s="138">
        <f>B235</f>
        <v>1</v>
      </c>
      <c r="AL12" s="52" t="s">
        <v>300</v>
      </c>
      <c r="AM12" s="138">
        <f>B235</f>
        <v>1</v>
      </c>
      <c r="AO12" s="52" t="s">
        <v>300</v>
      </c>
      <c r="AP12" s="138">
        <f>B247</f>
        <v>1</v>
      </c>
      <c r="AR12" s="52" t="s">
        <v>300</v>
      </c>
      <c r="AS12" s="138">
        <f>B259</f>
        <v>1</v>
      </c>
      <c r="AU12" s="52" t="s">
        <v>300</v>
      </c>
      <c r="AV12" s="138">
        <f>B259</f>
        <v>1</v>
      </c>
      <c r="AX12" s="52" t="s">
        <v>300</v>
      </c>
      <c r="AY12" s="138">
        <f>B259</f>
        <v>1</v>
      </c>
      <c r="BA12" s="52" t="s">
        <v>300</v>
      </c>
      <c r="BB12" s="138">
        <f>B235</f>
        <v>1</v>
      </c>
      <c r="BD12" s="52" t="s">
        <v>300</v>
      </c>
      <c r="BE12" s="138">
        <f>B235</f>
        <v>1</v>
      </c>
      <c r="BG12" s="52" t="s">
        <v>300</v>
      </c>
      <c r="BH12" s="138">
        <f>B235</f>
        <v>1</v>
      </c>
      <c r="BJ12" s="52" t="s">
        <v>158</v>
      </c>
      <c r="BK12" s="138">
        <f>B268</f>
        <v>1</v>
      </c>
      <c r="BL12" s="52" t="s">
        <v>146</v>
      </c>
      <c r="BM12" s="52" t="s">
        <v>158</v>
      </c>
      <c r="BN12" s="138">
        <f>B268</f>
        <v>1</v>
      </c>
      <c r="BO12" s="52" t="s">
        <v>146</v>
      </c>
      <c r="BP12" s="52" t="s">
        <v>158</v>
      </c>
      <c r="BQ12" s="138">
        <f>B268</f>
        <v>1</v>
      </c>
      <c r="BR12" s="52" t="s">
        <v>146</v>
      </c>
      <c r="BS12" s="83" t="s">
        <v>430</v>
      </c>
      <c r="BT12" s="141">
        <f>B94</f>
        <v>20</v>
      </c>
      <c r="BU12" s="92" t="s">
        <v>407</v>
      </c>
      <c r="BV12" s="83" t="s">
        <v>266</v>
      </c>
      <c r="BW12" s="145">
        <f>(BW5/(BW8*(1/BW29)*BW16))/BW32</f>
        <v>1025.4833173872776</v>
      </c>
      <c r="BX12" s="92" t="s">
        <v>291</v>
      </c>
      <c r="BY12" s="91" t="s">
        <v>231</v>
      </c>
      <c r="BZ12" s="136">
        <f>B18</f>
        <v>1.04753425E-2</v>
      </c>
      <c r="CA12" s="52" t="s">
        <v>60</v>
      </c>
      <c r="CB12" s="52" t="s">
        <v>413</v>
      </c>
      <c r="CC12" s="138">
        <f>B119</f>
        <v>0.753</v>
      </c>
      <c r="CE12" s="52" t="s">
        <v>414</v>
      </c>
      <c r="CF12" s="138">
        <f>B121</f>
        <v>0.74299999999999999</v>
      </c>
      <c r="CH12" s="52" t="s">
        <v>416</v>
      </c>
      <c r="CI12" s="138">
        <f>B125</f>
        <v>0.66200000000000003</v>
      </c>
      <c r="CN12" s="84" t="s">
        <v>162</v>
      </c>
      <c r="CO12" s="162">
        <f>B131</f>
        <v>1</v>
      </c>
      <c r="CP12" s="52" t="s">
        <v>41</v>
      </c>
      <c r="CT12" s="83" t="s">
        <v>22</v>
      </c>
      <c r="CU12" s="137">
        <f>0.693/CU13</f>
        <v>66.155354824913829</v>
      </c>
      <c r="CW12" s="83" t="s">
        <v>506</v>
      </c>
      <c r="CX12" s="140">
        <f>((CX16/24)*CX23*CX13*CX25)+((CX15/24)*CX24*CX14*CX26)</f>
        <v>6475</v>
      </c>
      <c r="CY12" s="52" t="s">
        <v>426</v>
      </c>
      <c r="CZ12" s="91" t="s">
        <v>231</v>
      </c>
      <c r="DA12" s="136">
        <f>B18</f>
        <v>1.04753425E-2</v>
      </c>
      <c r="DB12" s="52" t="s">
        <v>60</v>
      </c>
      <c r="DC12" s="83" t="s">
        <v>467</v>
      </c>
      <c r="DD12" s="146">
        <f>B149</f>
        <v>68.099999999999994</v>
      </c>
      <c r="DE12" s="92" t="s">
        <v>221</v>
      </c>
      <c r="DF12" s="92" t="s">
        <v>52</v>
      </c>
      <c r="DG12" s="138">
        <f>B195</f>
        <v>10950</v>
      </c>
      <c r="DH12" s="52" t="s">
        <v>53</v>
      </c>
      <c r="DI12" s="84" t="s">
        <v>16</v>
      </c>
      <c r="DJ12" s="137">
        <f>(DJ9*DJ10)/(1-EXP(-DJ10*DJ9))</f>
        <v>66.155354824913829</v>
      </c>
      <c r="DL12" s="92"/>
      <c r="DO12" s="92" t="s">
        <v>52</v>
      </c>
      <c r="DP12" s="138">
        <f>B195</f>
        <v>10950</v>
      </c>
      <c r="DQ12" s="52" t="s">
        <v>53</v>
      </c>
      <c r="DR12" s="83" t="s">
        <v>465</v>
      </c>
      <c r="DS12" s="150">
        <f>B168</f>
        <v>350</v>
      </c>
      <c r="DT12" s="83" t="s">
        <v>24</v>
      </c>
      <c r="DU12" s="92"/>
      <c r="DX12" s="83" t="s">
        <v>500</v>
      </c>
      <c r="DY12" s="138">
        <f>B207</f>
        <v>1</v>
      </c>
      <c r="EA12" s="83" t="s">
        <v>500</v>
      </c>
      <c r="EB12" s="138">
        <f>B207</f>
        <v>1</v>
      </c>
      <c r="EC12" s="84"/>
      <c r="ED12" s="83" t="s">
        <v>500</v>
      </c>
      <c r="EE12" s="138">
        <f>B207</f>
        <v>1</v>
      </c>
      <c r="EF12" s="84"/>
      <c r="EG12" s="83" t="s">
        <v>465</v>
      </c>
      <c r="EH12" s="150">
        <f>B168</f>
        <v>350</v>
      </c>
      <c r="EI12" s="83" t="s">
        <v>24</v>
      </c>
      <c r="EJ12" s="92"/>
      <c r="EM12" s="83" t="s">
        <v>496</v>
      </c>
      <c r="EN12" s="138">
        <f>B212</f>
        <v>1</v>
      </c>
      <c r="EP12" s="83" t="s">
        <v>496</v>
      </c>
      <c r="EQ12" s="138">
        <f>B212</f>
        <v>1</v>
      </c>
      <c r="ER12" s="84"/>
      <c r="ES12" s="83" t="s">
        <v>496</v>
      </c>
      <c r="ET12" s="138">
        <f>B212</f>
        <v>1</v>
      </c>
      <c r="EU12" s="84"/>
      <c r="EV12" s="83" t="s">
        <v>465</v>
      </c>
      <c r="EW12" s="150">
        <f>B168</f>
        <v>350</v>
      </c>
      <c r="EX12" s="83" t="s">
        <v>24</v>
      </c>
      <c r="EY12" s="83"/>
      <c r="EZ12" s="83"/>
      <c r="FA12" s="83"/>
      <c r="FB12" s="83" t="s">
        <v>153</v>
      </c>
      <c r="FC12" s="164">
        <f>B217</f>
        <v>1</v>
      </c>
      <c r="FD12" s="83"/>
      <c r="FE12" s="83" t="s">
        <v>153</v>
      </c>
      <c r="FF12" s="164">
        <f>B217</f>
        <v>1</v>
      </c>
      <c r="FG12" s="83"/>
      <c r="FH12" s="83" t="s">
        <v>153</v>
      </c>
      <c r="FI12" s="164">
        <f>B217</f>
        <v>1</v>
      </c>
      <c r="FJ12" s="84"/>
      <c r="FK12" s="83" t="s">
        <v>465</v>
      </c>
      <c r="FL12" s="150">
        <f>B168</f>
        <v>350</v>
      </c>
      <c r="FM12" s="83" t="s">
        <v>24</v>
      </c>
      <c r="FN12" s="83"/>
      <c r="FO12" s="83"/>
      <c r="FP12" s="83"/>
      <c r="FQ12" s="88"/>
      <c r="FR12" s="88"/>
      <c r="FS12" s="83"/>
      <c r="FT12" s="83"/>
      <c r="FU12" s="93"/>
      <c r="FV12" s="83"/>
      <c r="FW12" s="83"/>
      <c r="FX12" s="93"/>
      <c r="FY12" s="83"/>
      <c r="FZ12" s="83" t="s">
        <v>465</v>
      </c>
      <c r="GA12" s="150">
        <f>B168</f>
        <v>350</v>
      </c>
      <c r="GB12" s="83" t="s">
        <v>24</v>
      </c>
      <c r="GC12" s="83"/>
      <c r="GD12" s="83"/>
      <c r="GE12" s="83"/>
      <c r="GF12" s="83" t="s">
        <v>488</v>
      </c>
      <c r="GG12" s="142">
        <f>B222</f>
        <v>1</v>
      </c>
      <c r="GH12" s="83"/>
      <c r="GI12" s="83" t="s">
        <v>488</v>
      </c>
      <c r="GJ12" s="142">
        <f>B222</f>
        <v>1</v>
      </c>
      <c r="GK12" s="83"/>
      <c r="GL12" s="83" t="s">
        <v>488</v>
      </c>
      <c r="GM12" s="142">
        <f>B222</f>
        <v>1</v>
      </c>
      <c r="GN12" s="84"/>
      <c r="GO12" s="83" t="s">
        <v>465</v>
      </c>
      <c r="GP12" s="150">
        <f>B168</f>
        <v>350</v>
      </c>
      <c r="GQ12" s="83" t="s">
        <v>24</v>
      </c>
      <c r="GR12" s="83"/>
      <c r="GS12" s="83"/>
      <c r="GT12" s="83"/>
      <c r="GU12" s="83" t="s">
        <v>492</v>
      </c>
      <c r="GV12" s="142">
        <f>B227</f>
        <v>1</v>
      </c>
      <c r="GW12" s="83"/>
      <c r="GX12" s="83" t="s">
        <v>492</v>
      </c>
      <c r="GY12" s="142">
        <f>B227</f>
        <v>1</v>
      </c>
      <c r="GZ12" s="83"/>
      <c r="HA12" s="83" t="s">
        <v>492</v>
      </c>
      <c r="HB12" s="142">
        <f>B227</f>
        <v>1</v>
      </c>
      <c r="HC12" s="84"/>
      <c r="HD12" s="84" t="s">
        <v>47</v>
      </c>
      <c r="HE12" s="163">
        <v>1</v>
      </c>
    </row>
    <row r="13" spans="1:214" x14ac:dyDescent="0.2">
      <c r="A13" s="83" t="s">
        <v>254</v>
      </c>
      <c r="B13" s="183">
        <v>1.2571640000000001E-3</v>
      </c>
      <c r="C13" s="83" t="s">
        <v>351</v>
      </c>
      <c r="D13" s="83" t="s">
        <v>366</v>
      </c>
      <c r="E13" s="141">
        <f>B38</f>
        <v>10</v>
      </c>
      <c r="F13" s="92" t="s">
        <v>407</v>
      </c>
      <c r="G13" s="83" t="s">
        <v>263</v>
      </c>
      <c r="H13" s="144" t="e">
        <f>(H14/((1/H40)*(H48+H49+H50)))/H70</f>
        <v>#DIV/0!</v>
      </c>
      <c r="I13" s="92" t="s">
        <v>291</v>
      </c>
      <c r="J13" s="91" t="s">
        <v>231</v>
      </c>
      <c r="K13" s="136">
        <f>B18</f>
        <v>1.04753425E-2</v>
      </c>
      <c r="L13" s="52" t="s">
        <v>60</v>
      </c>
      <c r="M13" s="52" t="s">
        <v>54</v>
      </c>
      <c r="N13" s="138">
        <f>B63</f>
        <v>1</v>
      </c>
      <c r="P13" s="52" t="s">
        <v>54</v>
      </c>
      <c r="Q13" s="138">
        <f>B63</f>
        <v>1</v>
      </c>
      <c r="S13" s="52" t="s">
        <v>54</v>
      </c>
      <c r="T13" s="138">
        <f>B63</f>
        <v>1</v>
      </c>
      <c r="V13" s="52" t="s">
        <v>50</v>
      </c>
      <c r="W13" s="146">
        <f>B254</f>
        <v>60</v>
      </c>
      <c r="X13" s="84" t="s">
        <v>407</v>
      </c>
      <c r="Y13" s="52" t="s">
        <v>50</v>
      </c>
      <c r="Z13" s="146">
        <f>B230</f>
        <v>60</v>
      </c>
      <c r="AA13" s="84" t="s">
        <v>407</v>
      </c>
      <c r="AB13" s="83" t="s">
        <v>349</v>
      </c>
      <c r="AC13" s="146">
        <f>B233</f>
        <v>100</v>
      </c>
      <c r="AD13" s="146">
        <f>B245</f>
        <v>50</v>
      </c>
      <c r="AE13" s="146">
        <f>B257</f>
        <v>100</v>
      </c>
      <c r="AF13" s="146">
        <f>B269</f>
        <v>330</v>
      </c>
      <c r="AG13" s="146">
        <f>B293</f>
        <v>330</v>
      </c>
      <c r="AH13" s="52" t="s">
        <v>48</v>
      </c>
      <c r="AI13" s="52" t="s">
        <v>54</v>
      </c>
      <c r="AJ13" s="138">
        <f>B249</f>
        <v>1</v>
      </c>
      <c r="AL13" s="52" t="s">
        <v>54</v>
      </c>
      <c r="AM13" s="138">
        <f>B249</f>
        <v>1</v>
      </c>
      <c r="AO13" s="52" t="s">
        <v>54</v>
      </c>
      <c r="AP13" s="138">
        <f>B249</f>
        <v>1</v>
      </c>
      <c r="AR13" s="52" t="s">
        <v>54</v>
      </c>
      <c r="AS13" s="138">
        <f>B261</f>
        <v>1</v>
      </c>
      <c r="AU13" s="52" t="s">
        <v>54</v>
      </c>
      <c r="AV13" s="138">
        <f>B261</f>
        <v>1</v>
      </c>
      <c r="AX13" s="52" t="s">
        <v>54</v>
      </c>
      <c r="AY13" s="138">
        <f>B261</f>
        <v>1</v>
      </c>
      <c r="BA13" s="52" t="s">
        <v>54</v>
      </c>
      <c r="BB13" s="138">
        <f>B237</f>
        <v>1</v>
      </c>
      <c r="BD13" s="52" t="s">
        <v>54</v>
      </c>
      <c r="BE13" s="138">
        <f>B237</f>
        <v>1</v>
      </c>
      <c r="BG13" s="52" t="s">
        <v>54</v>
      </c>
      <c r="BH13" s="138">
        <f>B237</f>
        <v>1</v>
      </c>
      <c r="BJ13" s="52" t="s">
        <v>300</v>
      </c>
      <c r="BK13" s="136">
        <f>B279</f>
        <v>2.41E-4</v>
      </c>
      <c r="BM13" s="52" t="s">
        <v>300</v>
      </c>
      <c r="BN13" s="136">
        <f>B283</f>
        <v>1.17E-4</v>
      </c>
      <c r="BP13" s="52" t="s">
        <v>300</v>
      </c>
      <c r="BQ13" s="136">
        <f>B287</f>
        <v>2.2599999999999999E-4</v>
      </c>
      <c r="BS13" s="52" t="s">
        <v>431</v>
      </c>
      <c r="BT13" s="141">
        <f>B106</f>
        <v>1</v>
      </c>
      <c r="BU13" s="52" t="s">
        <v>194</v>
      </c>
      <c r="BV13" s="83" t="s">
        <v>440</v>
      </c>
      <c r="BW13" s="160">
        <f>((BW18*BW20*BW23*BW14*BW30)+(BW19*BW21*BW24*BW15*BW31))</f>
        <v>2.25</v>
      </c>
      <c r="BX13" s="83" t="s">
        <v>345</v>
      </c>
      <c r="BY13" s="83" t="s">
        <v>260</v>
      </c>
      <c r="BZ13" s="143" t="e">
        <f>((BZ5/(BZ6*BZ16*(1/BZ33)))*BZ10)/BZ36</f>
        <v>#DIV/0!</v>
      </c>
      <c r="CA13" s="92" t="s">
        <v>290</v>
      </c>
      <c r="CB13" s="52" t="s">
        <v>90</v>
      </c>
      <c r="CC13" s="138">
        <f>B108</f>
        <v>1</v>
      </c>
      <c r="CD13" s="52" t="s">
        <v>194</v>
      </c>
      <c r="CE13" s="52" t="s">
        <v>90</v>
      </c>
      <c r="CF13" s="138">
        <f>B108</f>
        <v>1</v>
      </c>
      <c r="CG13" s="52" t="s">
        <v>194</v>
      </c>
      <c r="CH13" s="52" t="s">
        <v>90</v>
      </c>
      <c r="CI13" s="138">
        <f>B108</f>
        <v>1</v>
      </c>
      <c r="CJ13" s="52" t="s">
        <v>194</v>
      </c>
      <c r="CN13" s="84" t="s">
        <v>163</v>
      </c>
      <c r="CO13" s="162">
        <f>B132</f>
        <v>1</v>
      </c>
      <c r="CP13" s="52" t="s">
        <v>41</v>
      </c>
      <c r="CT13" s="91" t="s">
        <v>231</v>
      </c>
      <c r="CU13" s="136">
        <f>B18</f>
        <v>1.04753425E-2</v>
      </c>
      <c r="CV13" s="52" t="s">
        <v>60</v>
      </c>
      <c r="CW13" s="83" t="s">
        <v>450</v>
      </c>
      <c r="CX13" s="141">
        <f>B147</f>
        <v>10</v>
      </c>
      <c r="CY13" s="92" t="s">
        <v>407</v>
      </c>
      <c r="CZ13" s="83" t="s">
        <v>260</v>
      </c>
      <c r="DA13" s="143" t="e">
        <f>(DA5/(DA6*DA24))/DA51</f>
        <v>#DIV/0!</v>
      </c>
      <c r="DB13" s="83" t="s">
        <v>291</v>
      </c>
      <c r="DC13" s="83" t="s">
        <v>468</v>
      </c>
      <c r="DD13" s="146">
        <f>B150</f>
        <v>176.8</v>
      </c>
      <c r="DE13" s="92" t="s">
        <v>221</v>
      </c>
      <c r="DF13" s="92" t="s">
        <v>55</v>
      </c>
      <c r="DG13" s="138">
        <f>B196</f>
        <v>240</v>
      </c>
      <c r="DH13" s="52" t="s">
        <v>56</v>
      </c>
      <c r="DI13" s="95"/>
      <c r="DJ13" s="176"/>
      <c r="DL13" s="92"/>
      <c r="DO13" s="92" t="s">
        <v>55</v>
      </c>
      <c r="DP13" s="138">
        <f>B196</f>
        <v>240</v>
      </c>
      <c r="DQ13" s="52" t="s">
        <v>56</v>
      </c>
      <c r="DR13" s="83" t="s">
        <v>363</v>
      </c>
      <c r="DS13" s="150">
        <v>1</v>
      </c>
      <c r="DT13" s="84" t="s">
        <v>60</v>
      </c>
      <c r="DU13" s="92"/>
      <c r="DX13" s="83" t="s">
        <v>501</v>
      </c>
      <c r="DY13" s="138">
        <f>B208</f>
        <v>1</v>
      </c>
      <c r="EA13" s="83" t="s">
        <v>501</v>
      </c>
      <c r="EB13" s="138">
        <f>B208</f>
        <v>1</v>
      </c>
      <c r="EC13" s="84"/>
      <c r="ED13" s="83" t="s">
        <v>501</v>
      </c>
      <c r="EE13" s="138">
        <f>B208</f>
        <v>1</v>
      </c>
      <c r="EF13" s="84"/>
      <c r="EG13" s="83" t="s">
        <v>363</v>
      </c>
      <c r="EH13" s="150">
        <f>B170</f>
        <v>1</v>
      </c>
      <c r="EI13" s="84" t="s">
        <v>60</v>
      </c>
      <c r="EJ13" s="92"/>
      <c r="EM13" s="83" t="s">
        <v>497</v>
      </c>
      <c r="EN13" s="138">
        <f>B213</f>
        <v>1</v>
      </c>
      <c r="EP13" s="83" t="s">
        <v>497</v>
      </c>
      <c r="EQ13" s="138">
        <f>B213</f>
        <v>1</v>
      </c>
      <c r="ER13" s="84"/>
      <c r="ES13" s="83" t="s">
        <v>497</v>
      </c>
      <c r="ET13" s="138">
        <f>B213</f>
        <v>1</v>
      </c>
      <c r="EU13" s="84"/>
      <c r="EV13" s="83" t="s">
        <v>363</v>
      </c>
      <c r="EW13" s="150">
        <f>B170</f>
        <v>1</v>
      </c>
      <c r="EX13" s="84" t="s">
        <v>60</v>
      </c>
      <c r="EY13" s="83"/>
      <c r="EZ13" s="83"/>
      <c r="FA13" s="83"/>
      <c r="FB13" s="83" t="s">
        <v>154</v>
      </c>
      <c r="FC13" s="164">
        <f>B218</f>
        <v>1</v>
      </c>
      <c r="FD13" s="83"/>
      <c r="FE13" s="83" t="s">
        <v>154</v>
      </c>
      <c r="FF13" s="164">
        <f>B218</f>
        <v>1</v>
      </c>
      <c r="FG13" s="83"/>
      <c r="FH13" s="83" t="s">
        <v>154</v>
      </c>
      <c r="FI13" s="164">
        <f>B218</f>
        <v>1</v>
      </c>
      <c r="FJ13" s="84"/>
      <c r="FK13" s="83" t="s">
        <v>363</v>
      </c>
      <c r="FL13" s="141">
        <f>B170</f>
        <v>1</v>
      </c>
      <c r="FM13" s="92" t="s">
        <v>60</v>
      </c>
      <c r="FN13" s="83"/>
      <c r="FO13" s="83"/>
      <c r="FP13" s="83"/>
      <c r="FQ13" s="88"/>
      <c r="FR13" s="88"/>
      <c r="FS13" s="83"/>
      <c r="FT13" s="83"/>
      <c r="FU13" s="93"/>
      <c r="FV13" s="83"/>
      <c r="FW13" s="83"/>
      <c r="FX13" s="93"/>
      <c r="FY13" s="83"/>
      <c r="FZ13" s="83" t="s">
        <v>363</v>
      </c>
      <c r="GA13" s="141">
        <f>B170</f>
        <v>1</v>
      </c>
      <c r="GB13" s="92" t="s">
        <v>60</v>
      </c>
      <c r="GC13" s="83"/>
      <c r="GD13" s="83"/>
      <c r="GE13" s="83"/>
      <c r="GF13" s="83" t="s">
        <v>489</v>
      </c>
      <c r="GG13" s="142">
        <f>B223</f>
        <v>1</v>
      </c>
      <c r="GH13" s="83"/>
      <c r="GI13" s="83" t="s">
        <v>489</v>
      </c>
      <c r="GJ13" s="142">
        <f>B223</f>
        <v>1</v>
      </c>
      <c r="GK13" s="83"/>
      <c r="GL13" s="83" t="s">
        <v>489</v>
      </c>
      <c r="GM13" s="142">
        <f>B223</f>
        <v>1</v>
      </c>
      <c r="GN13" s="84"/>
      <c r="GO13" s="83" t="s">
        <v>363</v>
      </c>
      <c r="GP13" s="141">
        <f>B170</f>
        <v>1</v>
      </c>
      <c r="GQ13" s="92" t="s">
        <v>60</v>
      </c>
      <c r="GR13" s="83"/>
      <c r="GS13" s="83"/>
      <c r="GT13" s="83"/>
      <c r="GU13" s="83" t="s">
        <v>493</v>
      </c>
      <c r="GV13" s="142">
        <f>B228</f>
        <v>1</v>
      </c>
      <c r="GW13" s="83"/>
      <c r="GX13" s="83" t="s">
        <v>493</v>
      </c>
      <c r="GY13" s="142">
        <f>B228</f>
        <v>1</v>
      </c>
      <c r="GZ13" s="83"/>
      <c r="HA13" s="83" t="s">
        <v>493</v>
      </c>
      <c r="HB13" s="142">
        <f>B228</f>
        <v>1</v>
      </c>
      <c r="HC13" s="84"/>
      <c r="HD13" s="84" t="s">
        <v>59</v>
      </c>
      <c r="HE13" s="150">
        <f>B33</f>
        <v>0</v>
      </c>
    </row>
    <row r="14" spans="1:214" x14ac:dyDescent="0.2">
      <c r="A14" s="83" t="s">
        <v>255</v>
      </c>
      <c r="B14" s="183">
        <v>1.94272E-3</v>
      </c>
      <c r="C14" s="83" t="s">
        <v>351</v>
      </c>
      <c r="D14" s="83" t="s">
        <v>367</v>
      </c>
      <c r="E14" s="141">
        <f>B39</f>
        <v>20</v>
      </c>
      <c r="F14" s="92" t="s">
        <v>407</v>
      </c>
      <c r="G14" s="83" t="s">
        <v>264</v>
      </c>
      <c r="H14" s="145" t="e">
        <f>(H5/(H9*(H22+H25)*H41))/H70</f>
        <v>#DIV/0!</v>
      </c>
      <c r="I14" s="92" t="s">
        <v>290</v>
      </c>
      <c r="J14" s="83" t="s">
        <v>260</v>
      </c>
      <c r="K14" s="143" t="e">
        <f>((K5/(K6*K19*(1/K46)))*K11)/K53</f>
        <v>#DIV/0!</v>
      </c>
      <c r="L14" s="92" t="s">
        <v>290</v>
      </c>
      <c r="M14" s="52" t="s">
        <v>408</v>
      </c>
      <c r="N14" s="150">
        <f>B78</f>
        <v>1.752</v>
      </c>
      <c r="O14" s="52" t="s">
        <v>194</v>
      </c>
      <c r="P14" s="52" t="s">
        <v>408</v>
      </c>
      <c r="Q14" s="150">
        <f>B78</f>
        <v>1.752</v>
      </c>
      <c r="R14" s="52" t="s">
        <v>194</v>
      </c>
      <c r="S14" s="52" t="s">
        <v>408</v>
      </c>
      <c r="T14" s="150">
        <f>B78</f>
        <v>1.752</v>
      </c>
      <c r="U14" s="52" t="s">
        <v>194</v>
      </c>
      <c r="V14" s="83" t="s">
        <v>256</v>
      </c>
      <c r="W14" s="136">
        <f>B15</f>
        <v>3.2316400000000001</v>
      </c>
      <c r="X14" s="83" t="s">
        <v>343</v>
      </c>
      <c r="Y14" s="83" t="s">
        <v>256</v>
      </c>
      <c r="Z14" s="136">
        <f>B15</f>
        <v>3.2316400000000001</v>
      </c>
      <c r="AA14" s="83" t="s">
        <v>343</v>
      </c>
      <c r="AB14" s="83" t="s">
        <v>300</v>
      </c>
      <c r="AC14" s="141">
        <f>B235</f>
        <v>1</v>
      </c>
      <c r="AD14" s="141">
        <f>B247</f>
        <v>1</v>
      </c>
      <c r="AE14" s="141">
        <f>B259</f>
        <v>1</v>
      </c>
      <c r="AF14" s="141">
        <f>B279</f>
        <v>2.41E-4</v>
      </c>
      <c r="AG14" s="141">
        <f>B279</f>
        <v>2.41E-4</v>
      </c>
      <c r="AH14" s="92"/>
      <c r="AI14" s="52" t="s">
        <v>57</v>
      </c>
      <c r="AJ14" s="136">
        <f>B250</f>
        <v>0</v>
      </c>
      <c r="AK14" s="52" t="s">
        <v>194</v>
      </c>
      <c r="AL14" s="52" t="s">
        <v>57</v>
      </c>
      <c r="AM14" s="136">
        <f>B250</f>
        <v>0</v>
      </c>
      <c r="AN14" s="52" t="s">
        <v>194</v>
      </c>
      <c r="AO14" s="52" t="s">
        <v>57</v>
      </c>
      <c r="AP14" s="136">
        <f>B250</f>
        <v>0</v>
      </c>
      <c r="AQ14" s="52" t="s">
        <v>194</v>
      </c>
      <c r="AR14" s="52" t="s">
        <v>57</v>
      </c>
      <c r="AS14" s="136">
        <f>B262</f>
        <v>8</v>
      </c>
      <c r="AT14" s="52" t="s">
        <v>194</v>
      </c>
      <c r="AU14" s="52" t="s">
        <v>57</v>
      </c>
      <c r="AV14" s="136">
        <f>B262</f>
        <v>8</v>
      </c>
      <c r="AW14" s="52" t="s">
        <v>194</v>
      </c>
      <c r="AX14" s="52" t="s">
        <v>57</v>
      </c>
      <c r="AY14" s="136">
        <f>B262</f>
        <v>8</v>
      </c>
      <c r="AZ14" s="52" t="s">
        <v>194</v>
      </c>
      <c r="BA14" s="52" t="s">
        <v>57</v>
      </c>
      <c r="BB14" s="136">
        <f>B238</f>
        <v>8</v>
      </c>
      <c r="BC14" s="52" t="s">
        <v>194</v>
      </c>
      <c r="BD14" s="52" t="s">
        <v>57</v>
      </c>
      <c r="BE14" s="136">
        <f>B238</f>
        <v>8</v>
      </c>
      <c r="BF14" s="52" t="s">
        <v>194</v>
      </c>
      <c r="BG14" s="52" t="s">
        <v>58</v>
      </c>
      <c r="BH14" s="136">
        <f>B238</f>
        <v>8</v>
      </c>
      <c r="BI14" s="52" t="s">
        <v>194</v>
      </c>
      <c r="BJ14" s="52" t="s">
        <v>413</v>
      </c>
      <c r="BK14" s="136">
        <f>B280</f>
        <v>0.753</v>
      </c>
      <c r="BM14" s="52" t="s">
        <v>414</v>
      </c>
      <c r="BN14" s="136">
        <f>B284</f>
        <v>0.74299999999999999</v>
      </c>
      <c r="BP14" s="52" t="s">
        <v>416</v>
      </c>
      <c r="BQ14" s="136">
        <f>B288</f>
        <v>0.66200000000000003</v>
      </c>
      <c r="BS14" s="52" t="s">
        <v>432</v>
      </c>
      <c r="BT14" s="141">
        <f>B107</f>
        <v>1</v>
      </c>
      <c r="BU14" s="52" t="s">
        <v>194</v>
      </c>
      <c r="BV14" s="83" t="s">
        <v>439</v>
      </c>
      <c r="BW14" s="146">
        <f>B95</f>
        <v>0.05</v>
      </c>
      <c r="BX14" s="83" t="s">
        <v>357</v>
      </c>
      <c r="BY14" s="83" t="s">
        <v>261</v>
      </c>
      <c r="BZ14" s="144">
        <f>((BZ5/(BZ7*BZ17*(1/BZ9)*BZ32))*BZ10)/BZ36</f>
        <v>481241367.3184796</v>
      </c>
      <c r="CA14" s="92" t="s">
        <v>290</v>
      </c>
      <c r="CB14" s="52" t="s">
        <v>412</v>
      </c>
      <c r="CC14" s="139">
        <f>B10</f>
        <v>2.1295200000000002E-3</v>
      </c>
      <c r="CD14" s="84" t="s">
        <v>353</v>
      </c>
      <c r="CE14" s="52" t="s">
        <v>415</v>
      </c>
      <c r="CF14" s="139">
        <f>B12</f>
        <v>4.4084799999999998E-4</v>
      </c>
      <c r="CG14" s="84" t="s">
        <v>353</v>
      </c>
      <c r="CH14" s="52" t="s">
        <v>417</v>
      </c>
      <c r="CI14" s="139">
        <f>B14</f>
        <v>1.94272E-3</v>
      </c>
      <c r="CJ14" s="84" t="s">
        <v>353</v>
      </c>
      <c r="CK14" s="84"/>
      <c r="CL14" s="84"/>
      <c r="CM14" s="84"/>
      <c r="CN14" s="52" t="s">
        <v>95</v>
      </c>
      <c r="CO14" s="164">
        <f>B117</f>
        <v>1</v>
      </c>
      <c r="CQ14" s="84"/>
      <c r="CR14" s="84"/>
      <c r="CS14" s="84"/>
      <c r="CT14" s="83" t="s">
        <v>260</v>
      </c>
      <c r="CU14" s="143" t="e">
        <f>((CU5/(CU6*CU25*(1/CU46)))*CU11)/CU49</f>
        <v>#DIV/0!</v>
      </c>
      <c r="CV14" s="92" t="s">
        <v>290</v>
      </c>
      <c r="CW14" s="83" t="s">
        <v>459</v>
      </c>
      <c r="CX14" s="141">
        <f>B148</f>
        <v>20</v>
      </c>
      <c r="CY14" s="92" t="s">
        <v>407</v>
      </c>
      <c r="CZ14" s="83" t="s">
        <v>261</v>
      </c>
      <c r="DA14" s="144">
        <f>(DA5/(DA7*DA25*DA45))/DA51</f>
        <v>9.1428571428571526E-2</v>
      </c>
      <c r="DB14" s="83" t="s">
        <v>291</v>
      </c>
      <c r="DC14" s="83" t="s">
        <v>465</v>
      </c>
      <c r="DD14" s="146">
        <f>B168</f>
        <v>350</v>
      </c>
      <c r="DE14" s="83" t="s">
        <v>24</v>
      </c>
      <c r="DF14" s="92" t="s">
        <v>393</v>
      </c>
      <c r="DG14" s="138">
        <f>B35</f>
        <v>0.26</v>
      </c>
      <c r="DL14" s="92"/>
      <c r="DO14" s="92" t="s">
        <v>393</v>
      </c>
      <c r="DP14" s="138">
        <f>B35</f>
        <v>0.26</v>
      </c>
      <c r="DS14" s="146">
        <v>1000</v>
      </c>
      <c r="DT14" s="92" t="s">
        <v>99</v>
      </c>
      <c r="DU14" s="92"/>
      <c r="DX14" s="52" t="s">
        <v>285</v>
      </c>
      <c r="DY14" s="146">
        <f>B204</f>
        <v>1.03</v>
      </c>
      <c r="DZ14" s="52" t="s">
        <v>286</v>
      </c>
      <c r="EA14" s="52" t="s">
        <v>518</v>
      </c>
      <c r="EB14" s="146">
        <f>B204</f>
        <v>1.03</v>
      </c>
      <c r="EC14" s="52" t="s">
        <v>286</v>
      </c>
      <c r="ED14" s="92" t="s">
        <v>392</v>
      </c>
      <c r="EE14" s="163">
        <f>B36</f>
        <v>0.25</v>
      </c>
      <c r="EF14" s="84"/>
      <c r="EH14" s="146">
        <v>1000</v>
      </c>
      <c r="EI14" s="92" t="s">
        <v>99</v>
      </c>
      <c r="EJ14" s="92"/>
      <c r="EM14" s="52" t="s">
        <v>350</v>
      </c>
      <c r="EN14" s="164">
        <f>B170</f>
        <v>1</v>
      </c>
      <c r="EP14" s="95"/>
      <c r="EQ14" s="176"/>
      <c r="ER14" s="84"/>
      <c r="ES14" s="92" t="s">
        <v>392</v>
      </c>
      <c r="ET14" s="163">
        <f>B36</f>
        <v>0.25</v>
      </c>
      <c r="EU14" s="84"/>
      <c r="EW14" s="172">
        <v>1000</v>
      </c>
      <c r="EX14" s="92" t="s">
        <v>99</v>
      </c>
      <c r="EY14" s="83"/>
      <c r="EZ14" s="83"/>
      <c r="FA14" s="83"/>
      <c r="FB14" s="52" t="s">
        <v>350</v>
      </c>
      <c r="FC14" s="164">
        <f>B170</f>
        <v>1</v>
      </c>
      <c r="FE14" s="95"/>
      <c r="FF14" s="176"/>
      <c r="FG14" s="83"/>
      <c r="FH14" s="83" t="s">
        <v>392</v>
      </c>
      <c r="FI14" s="142">
        <f>B36</f>
        <v>0.25</v>
      </c>
      <c r="FJ14" s="84"/>
      <c r="FL14" s="146">
        <v>1000</v>
      </c>
      <c r="FM14" s="92" t="s">
        <v>99</v>
      </c>
      <c r="FN14" s="83"/>
      <c r="FO14" s="83"/>
      <c r="FP14" s="83"/>
      <c r="FQ14" s="88"/>
      <c r="FR14" s="88"/>
      <c r="FS14" s="83"/>
      <c r="FV14" s="83"/>
      <c r="FW14" s="83"/>
      <c r="FX14" s="83"/>
      <c r="FY14" s="83"/>
      <c r="GA14" s="146">
        <v>1000</v>
      </c>
      <c r="GB14" s="92" t="s">
        <v>99</v>
      </c>
      <c r="GC14" s="83"/>
      <c r="GD14" s="83"/>
      <c r="GE14" s="83"/>
      <c r="GF14" s="52" t="s">
        <v>350</v>
      </c>
      <c r="GG14" s="164">
        <f>B170</f>
        <v>1</v>
      </c>
      <c r="GI14" s="95"/>
      <c r="GJ14" s="176"/>
      <c r="GK14" s="83"/>
      <c r="GL14" s="83" t="s">
        <v>392</v>
      </c>
      <c r="GM14" s="142">
        <f>B36</f>
        <v>0.25</v>
      </c>
      <c r="GN14" s="84"/>
      <c r="GO14" s="92" t="s">
        <v>484</v>
      </c>
      <c r="GP14" s="146">
        <f>B192</f>
        <v>1</v>
      </c>
      <c r="GR14" s="83"/>
      <c r="GS14" s="83"/>
      <c r="GT14" s="83"/>
      <c r="GU14" s="52" t="s">
        <v>350</v>
      </c>
      <c r="GV14" s="164">
        <f>B170</f>
        <v>1</v>
      </c>
      <c r="GX14" s="95"/>
      <c r="GY14" s="176"/>
      <c r="GZ14" s="83"/>
      <c r="HA14" s="83" t="s">
        <v>392</v>
      </c>
      <c r="HB14" s="142">
        <f>B36</f>
        <v>0.25</v>
      </c>
      <c r="HC14" s="84"/>
      <c r="HD14" s="52" t="s">
        <v>225</v>
      </c>
      <c r="HE14" s="138">
        <v>1</v>
      </c>
    </row>
    <row r="15" spans="1:214" x14ac:dyDescent="0.2">
      <c r="A15" s="83" t="s">
        <v>256</v>
      </c>
      <c r="B15" s="183">
        <v>3.2316400000000001</v>
      </c>
      <c r="C15" s="83" t="s">
        <v>351</v>
      </c>
      <c r="D15" s="52" t="s">
        <v>384</v>
      </c>
      <c r="E15" s="138">
        <f>B59</f>
        <v>24</v>
      </c>
      <c r="F15" s="52" t="s">
        <v>194</v>
      </c>
      <c r="G15" s="83" t="s">
        <v>395</v>
      </c>
      <c r="H15" s="147">
        <f>(H29*H17*H68)+(H30*H18*H69)</f>
        <v>736.54</v>
      </c>
      <c r="I15" s="83" t="s">
        <v>345</v>
      </c>
      <c r="J15" s="83" t="s">
        <v>261</v>
      </c>
      <c r="K15" s="144">
        <f>((K5/(K7*K20*(1/K10)*K45))*K11)/K53</f>
        <v>4296797.9224864254</v>
      </c>
      <c r="L15" s="92" t="s">
        <v>290</v>
      </c>
      <c r="M15" s="52" t="s">
        <v>412</v>
      </c>
      <c r="N15" s="139">
        <f>B10</f>
        <v>2.1295200000000002E-3</v>
      </c>
      <c r="O15" s="84" t="s">
        <v>353</v>
      </c>
      <c r="P15" s="52" t="s">
        <v>415</v>
      </c>
      <c r="Q15" s="139">
        <f>B12</f>
        <v>4.4084799999999998E-4</v>
      </c>
      <c r="R15" s="84" t="s">
        <v>353</v>
      </c>
      <c r="S15" s="52" t="s">
        <v>417</v>
      </c>
      <c r="T15" s="139">
        <f>B14</f>
        <v>1.94272E-3</v>
      </c>
      <c r="U15" s="84" t="s">
        <v>353</v>
      </c>
      <c r="V15" s="83" t="s">
        <v>301</v>
      </c>
      <c r="W15" s="142">
        <f>B258</f>
        <v>1</v>
      </c>
      <c r="Y15" s="83" t="s">
        <v>301</v>
      </c>
      <c r="Z15" s="142">
        <f>B234</f>
        <v>1</v>
      </c>
      <c r="AB15" s="83" t="s">
        <v>232</v>
      </c>
      <c r="AC15" s="141">
        <f>B230</f>
        <v>60</v>
      </c>
      <c r="AD15" s="141">
        <f>B242</f>
        <v>60</v>
      </c>
      <c r="AE15" s="141">
        <f>B254</f>
        <v>60</v>
      </c>
      <c r="AF15" s="141">
        <f>B266</f>
        <v>60</v>
      </c>
      <c r="AG15" s="141">
        <f>B290</f>
        <v>60</v>
      </c>
      <c r="AH15" s="92" t="s">
        <v>407</v>
      </c>
      <c r="AI15" s="52" t="s">
        <v>412</v>
      </c>
      <c r="AJ15" s="139">
        <f>B10</f>
        <v>2.1295200000000002E-3</v>
      </c>
      <c r="AK15" s="84" t="s">
        <v>353</v>
      </c>
      <c r="AL15" s="52" t="s">
        <v>415</v>
      </c>
      <c r="AM15" s="139">
        <f>B12</f>
        <v>4.4084799999999998E-4</v>
      </c>
      <c r="AN15" s="84" t="s">
        <v>353</v>
      </c>
      <c r="AO15" s="52" t="s">
        <v>417</v>
      </c>
      <c r="AP15" s="139">
        <f>B14</f>
        <v>1.94272E-3</v>
      </c>
      <c r="AQ15" s="84" t="s">
        <v>353</v>
      </c>
      <c r="AR15" s="52" t="s">
        <v>412</v>
      </c>
      <c r="AS15" s="139">
        <f>B10</f>
        <v>2.1295200000000002E-3</v>
      </c>
      <c r="AT15" s="84" t="s">
        <v>353</v>
      </c>
      <c r="AU15" s="52" t="s">
        <v>415</v>
      </c>
      <c r="AV15" s="139">
        <f>B12</f>
        <v>4.4084799999999998E-4</v>
      </c>
      <c r="AW15" s="84" t="s">
        <v>353</v>
      </c>
      <c r="AX15" s="52" t="s">
        <v>417</v>
      </c>
      <c r="AY15" s="139">
        <f>B14</f>
        <v>1.94272E-3</v>
      </c>
      <c r="AZ15" s="84" t="s">
        <v>353</v>
      </c>
      <c r="BA15" s="52" t="s">
        <v>412</v>
      </c>
      <c r="BB15" s="139">
        <f>B10</f>
        <v>2.1295200000000002E-3</v>
      </c>
      <c r="BC15" s="84" t="s">
        <v>353</v>
      </c>
      <c r="BD15" s="52" t="s">
        <v>415</v>
      </c>
      <c r="BE15" s="139">
        <f>B12</f>
        <v>4.4084799999999998E-4</v>
      </c>
      <c r="BF15" s="84" t="s">
        <v>353</v>
      </c>
      <c r="BG15" s="52" t="s">
        <v>417</v>
      </c>
      <c r="BH15" s="139">
        <f>B14</f>
        <v>1.94272E-3</v>
      </c>
      <c r="BI15" s="84" t="s">
        <v>353</v>
      </c>
      <c r="BJ15" s="52" t="s">
        <v>57</v>
      </c>
      <c r="BK15" s="136">
        <f>B274</f>
        <v>8</v>
      </c>
      <c r="BL15" s="52" t="s">
        <v>194</v>
      </c>
      <c r="BM15" s="52" t="s">
        <v>57</v>
      </c>
      <c r="BN15" s="136">
        <f>B274</f>
        <v>8</v>
      </c>
      <c r="BO15" s="52" t="s">
        <v>194</v>
      </c>
      <c r="BP15" s="52" t="s">
        <v>57</v>
      </c>
      <c r="BQ15" s="136">
        <f>B274</f>
        <v>8</v>
      </c>
      <c r="BR15" s="52" t="s">
        <v>194</v>
      </c>
      <c r="BS15" s="52" t="s">
        <v>90</v>
      </c>
      <c r="BT15" s="138">
        <f>B108</f>
        <v>1</v>
      </c>
      <c r="BU15" s="52" t="s">
        <v>194</v>
      </c>
      <c r="BV15" s="83" t="s">
        <v>438</v>
      </c>
      <c r="BW15" s="146">
        <f>B96</f>
        <v>0.05</v>
      </c>
      <c r="BX15" s="83" t="s">
        <v>357</v>
      </c>
      <c r="BY15" s="83" t="s">
        <v>262</v>
      </c>
      <c r="BZ15" s="145">
        <f>(((BZ5)/(BZ8*BZ22*(1/BZ31)*BZ25*(1/24)*BZ28*BZ29))*BZ10)/BZ36</f>
        <v>739802556.85485995</v>
      </c>
      <c r="CA15" s="92" t="s">
        <v>290</v>
      </c>
      <c r="CB15" s="95" t="s">
        <v>287</v>
      </c>
      <c r="CC15" s="176">
        <v>27.027027027027</v>
      </c>
      <c r="CD15" s="52" t="s">
        <v>288</v>
      </c>
      <c r="CE15" s="95" t="s">
        <v>287</v>
      </c>
      <c r="CF15" s="176">
        <v>27.027027027027</v>
      </c>
      <c r="CG15" s="52" t="s">
        <v>288</v>
      </c>
      <c r="CH15" s="95" t="s">
        <v>287</v>
      </c>
      <c r="CI15" s="176">
        <v>27.027027027027</v>
      </c>
      <c r="CJ15" s="52" t="s">
        <v>288</v>
      </c>
      <c r="CN15" s="83" t="s">
        <v>22</v>
      </c>
      <c r="CO15" s="137">
        <f>0.693/CO16</f>
        <v>66.155354824913829</v>
      </c>
      <c r="CT15" s="83" t="s">
        <v>261</v>
      </c>
      <c r="CU15" s="144">
        <f>((CU5/(CU7*CU26*(1/CU10)*CU45))*CU11)/CU49</f>
        <v>4110990.4447572818</v>
      </c>
      <c r="CV15" s="92" t="s">
        <v>290</v>
      </c>
      <c r="CW15" s="52" t="s">
        <v>365</v>
      </c>
      <c r="CX15" s="138">
        <f>B172</f>
        <v>24</v>
      </c>
      <c r="CY15" s="52" t="s">
        <v>194</v>
      </c>
      <c r="CZ15" s="83" t="s">
        <v>266</v>
      </c>
      <c r="DA15" s="153">
        <f>(DA5/(DA8*DA26*(DA46/DA47)))/DA51</f>
        <v>192.61921854295102</v>
      </c>
      <c r="DB15" s="83" t="s">
        <v>291</v>
      </c>
      <c r="DC15" s="83" t="s">
        <v>456</v>
      </c>
      <c r="DD15" s="146">
        <f>B167</f>
        <v>350</v>
      </c>
      <c r="DE15" s="83" t="s">
        <v>24</v>
      </c>
      <c r="DF15" s="92" t="s">
        <v>61</v>
      </c>
      <c r="DG15" s="138">
        <f>B197</f>
        <v>0.42</v>
      </c>
      <c r="DH15" s="52" t="s">
        <v>41</v>
      </c>
      <c r="DL15" s="92"/>
      <c r="DO15" s="92" t="s">
        <v>61</v>
      </c>
      <c r="DP15" s="138">
        <f>B197</f>
        <v>0.42</v>
      </c>
      <c r="DQ15" s="52" t="s">
        <v>41</v>
      </c>
      <c r="DR15" s="92" t="s">
        <v>479</v>
      </c>
      <c r="DS15" s="146">
        <f>B187</f>
        <v>1</v>
      </c>
      <c r="DU15" s="92"/>
      <c r="DX15" s="52" t="s">
        <v>350</v>
      </c>
      <c r="DY15" s="164">
        <f>B170</f>
        <v>1</v>
      </c>
      <c r="EA15" s="95"/>
      <c r="EB15" s="176"/>
      <c r="EC15" s="84"/>
      <c r="ED15" s="83" t="s">
        <v>27</v>
      </c>
      <c r="EE15" s="142">
        <f>B203</f>
        <v>92</v>
      </c>
      <c r="EF15" s="83" t="s">
        <v>28</v>
      </c>
      <c r="EG15" s="92" t="s">
        <v>480</v>
      </c>
      <c r="EH15" s="146">
        <f>B188</f>
        <v>1</v>
      </c>
      <c r="EJ15" s="92"/>
      <c r="EM15" s="83" t="s">
        <v>22</v>
      </c>
      <c r="EN15" s="137">
        <f>0.693/EN16</f>
        <v>66.155354824913829</v>
      </c>
      <c r="EP15" s="92"/>
      <c r="EQ15" s="84"/>
      <c r="ER15" s="84"/>
      <c r="ES15" s="83" t="s">
        <v>29</v>
      </c>
      <c r="ET15" s="142">
        <f>B209</f>
        <v>53</v>
      </c>
      <c r="EU15" s="83" t="s">
        <v>28</v>
      </c>
      <c r="EV15" s="92" t="s">
        <v>481</v>
      </c>
      <c r="EW15" s="146">
        <f>B189</f>
        <v>1</v>
      </c>
      <c r="EY15" s="83"/>
      <c r="EZ15" s="83"/>
      <c r="FA15" s="83"/>
      <c r="FB15" s="83" t="s">
        <v>22</v>
      </c>
      <c r="FC15" s="137">
        <f>0.693/FC16</f>
        <v>66.155354824913829</v>
      </c>
      <c r="FE15" s="83"/>
      <c r="FF15" s="83"/>
      <c r="FG15" s="83"/>
      <c r="FH15" s="83" t="s">
        <v>148</v>
      </c>
      <c r="FI15" s="164">
        <f>B214</f>
        <v>0.4</v>
      </c>
      <c r="FJ15" s="83" t="s">
        <v>28</v>
      </c>
      <c r="FK15" s="92" t="s">
        <v>482</v>
      </c>
      <c r="FL15" s="146">
        <f>B190</f>
        <v>1</v>
      </c>
      <c r="FN15" s="83"/>
      <c r="FO15" s="83"/>
      <c r="FP15" s="83"/>
      <c r="FQ15" s="88"/>
      <c r="FR15" s="88"/>
      <c r="FS15" s="83"/>
      <c r="FV15" s="83"/>
      <c r="FW15" s="83"/>
      <c r="FX15" s="93"/>
      <c r="FY15" s="83"/>
      <c r="FZ15" s="92" t="s">
        <v>483</v>
      </c>
      <c r="GA15" s="146">
        <f>B191</f>
        <v>1</v>
      </c>
      <c r="GC15" s="83"/>
      <c r="GD15" s="83"/>
      <c r="GE15" s="83"/>
      <c r="GF15" s="83" t="s">
        <v>22</v>
      </c>
      <c r="GG15" s="137">
        <f>0.693/GG16</f>
        <v>66.155354824913829</v>
      </c>
      <c r="GI15" s="83"/>
      <c r="GJ15" s="83"/>
      <c r="GK15" s="83"/>
      <c r="GL15" s="83" t="s">
        <v>149</v>
      </c>
      <c r="GM15" s="164">
        <f>B219</f>
        <v>0.4</v>
      </c>
      <c r="GN15" s="83" t="s">
        <v>28</v>
      </c>
      <c r="GO15" s="83"/>
      <c r="GP15" s="146">
        <v>365</v>
      </c>
      <c r="GQ15" s="52" t="s">
        <v>24</v>
      </c>
      <c r="GR15" s="83"/>
      <c r="GS15" s="83"/>
      <c r="GT15" s="83"/>
      <c r="GU15" s="83" t="s">
        <v>22</v>
      </c>
      <c r="GV15" s="137">
        <f>0.693/GV16</f>
        <v>66.155354824913829</v>
      </c>
      <c r="GX15" s="83"/>
      <c r="GY15" s="83"/>
      <c r="GZ15" s="83"/>
      <c r="HA15" s="83" t="s">
        <v>150</v>
      </c>
      <c r="HB15" s="142">
        <f>B224</f>
        <v>11.4</v>
      </c>
      <c r="HC15" s="83" t="s">
        <v>28</v>
      </c>
      <c r="HD15" s="84"/>
    </row>
    <row r="16" spans="1:214" x14ac:dyDescent="0.2">
      <c r="A16" s="91" t="s">
        <v>257</v>
      </c>
      <c r="B16" s="183">
        <v>7.02368E-3</v>
      </c>
      <c r="C16" s="84" t="s">
        <v>259</v>
      </c>
      <c r="E16" s="138">
        <v>24</v>
      </c>
      <c r="F16" s="52" t="s">
        <v>194</v>
      </c>
      <c r="G16" s="83" t="s">
        <v>396</v>
      </c>
      <c r="H16" s="137">
        <f>(H29*H19*H68)+(H30*H20*H69)</f>
        <v>6195</v>
      </c>
      <c r="I16" s="83" t="s">
        <v>426</v>
      </c>
      <c r="J16" s="83" t="s">
        <v>262</v>
      </c>
      <c r="K16" s="144">
        <f>((K5/(K8*K42*((K37*K41*(1/K35))+(K38*K40*(1/K35)))*K32*(1/K44)*K33))*K11)/K53</f>
        <v>3458.4481236120791</v>
      </c>
      <c r="L16" s="92" t="s">
        <v>290</v>
      </c>
      <c r="M16" s="52" t="s">
        <v>409</v>
      </c>
      <c r="N16" s="150">
        <f>B79</f>
        <v>16.416</v>
      </c>
      <c r="O16" s="52" t="s">
        <v>194</v>
      </c>
      <c r="P16" s="52" t="s">
        <v>409</v>
      </c>
      <c r="Q16" s="150">
        <f>B79</f>
        <v>16.416</v>
      </c>
      <c r="R16" s="52" t="s">
        <v>194</v>
      </c>
      <c r="S16" s="52" t="s">
        <v>409</v>
      </c>
      <c r="T16" s="150">
        <f>B79</f>
        <v>16.416</v>
      </c>
      <c r="U16" s="52" t="s">
        <v>194</v>
      </c>
      <c r="V16" s="52" t="s">
        <v>261</v>
      </c>
      <c r="W16" s="143">
        <f>((W5)/((W12/24)*W9*W10*W11*W13))/W20</f>
        <v>6.5777777777777838E-2</v>
      </c>
      <c r="X16" s="52" t="s">
        <v>15</v>
      </c>
      <c r="Y16" s="52" t="s">
        <v>261</v>
      </c>
      <c r="Z16" s="143">
        <f>((Z5)/((Z12/24)*Z9*Z10*Z11*Z13))/Z20</f>
        <v>5.9200000000000065E-2</v>
      </c>
      <c r="AA16" s="52" t="s">
        <v>15</v>
      </c>
      <c r="AB16" s="83" t="s">
        <v>299</v>
      </c>
      <c r="AC16" s="141">
        <f>B236</f>
        <v>0.4</v>
      </c>
      <c r="AD16" s="141">
        <f>B248</f>
        <v>0.4</v>
      </c>
      <c r="AE16" s="141">
        <f>B260</f>
        <v>0.4</v>
      </c>
      <c r="AF16" s="141">
        <f>B272</f>
        <v>0.4</v>
      </c>
      <c r="AG16" s="141">
        <f>B295</f>
        <v>0.4</v>
      </c>
      <c r="AH16" s="92"/>
      <c r="AI16" s="52" t="s">
        <v>69</v>
      </c>
      <c r="AJ16" s="136">
        <f>B251</f>
        <v>8</v>
      </c>
      <c r="AK16" s="52" t="s">
        <v>194</v>
      </c>
      <c r="AL16" s="52" t="s">
        <v>69</v>
      </c>
      <c r="AM16" s="136">
        <f>B251</f>
        <v>8</v>
      </c>
      <c r="AN16" s="52" t="s">
        <v>194</v>
      </c>
      <c r="AO16" s="52" t="s">
        <v>69</v>
      </c>
      <c r="AP16" s="136">
        <f>B251</f>
        <v>8</v>
      </c>
      <c r="AQ16" s="52" t="s">
        <v>194</v>
      </c>
      <c r="AR16" s="52" t="s">
        <v>69</v>
      </c>
      <c r="AS16" s="136">
        <f>B263</f>
        <v>0</v>
      </c>
      <c r="AT16" s="52" t="s">
        <v>194</v>
      </c>
      <c r="AU16" s="52" t="s">
        <v>69</v>
      </c>
      <c r="AV16" s="136">
        <f>B263</f>
        <v>0</v>
      </c>
      <c r="AW16" s="52" t="s">
        <v>194</v>
      </c>
      <c r="AX16" s="52" t="s">
        <v>69</v>
      </c>
      <c r="AY16" s="136">
        <f>B263</f>
        <v>0</v>
      </c>
      <c r="AZ16" s="52" t="s">
        <v>194</v>
      </c>
      <c r="BA16" s="52" t="s">
        <v>69</v>
      </c>
      <c r="BB16" s="136">
        <f>B239</f>
        <v>8</v>
      </c>
      <c r="BC16" s="52" t="s">
        <v>194</v>
      </c>
      <c r="BD16" s="52" t="s">
        <v>69</v>
      </c>
      <c r="BE16" s="136">
        <f>B239</f>
        <v>8</v>
      </c>
      <c r="BF16" s="52" t="s">
        <v>194</v>
      </c>
      <c r="BG16" s="52" t="s">
        <v>69</v>
      </c>
      <c r="BH16" s="136">
        <f>B239</f>
        <v>8</v>
      </c>
      <c r="BI16" s="52" t="s">
        <v>194</v>
      </c>
      <c r="BJ16" s="52" t="s">
        <v>412</v>
      </c>
      <c r="BK16" s="139">
        <f>B10</f>
        <v>2.1295200000000002E-3</v>
      </c>
      <c r="BL16" s="84" t="s">
        <v>353</v>
      </c>
      <c r="BM16" s="52" t="s">
        <v>415</v>
      </c>
      <c r="BN16" s="139">
        <f>B12</f>
        <v>4.4084799999999998E-4</v>
      </c>
      <c r="BO16" s="84" t="s">
        <v>353</v>
      </c>
      <c r="BP16" s="52" t="s">
        <v>417</v>
      </c>
      <c r="BQ16" s="139">
        <f>B14</f>
        <v>1.94272E-3</v>
      </c>
      <c r="BR16" s="84" t="s">
        <v>353</v>
      </c>
      <c r="BS16" s="83" t="s">
        <v>256</v>
      </c>
      <c r="BT16" s="136">
        <f>E17</f>
        <v>3.2316400000000001</v>
      </c>
      <c r="BU16" s="83" t="s">
        <v>343</v>
      </c>
      <c r="BV16" s="83" t="s">
        <v>437</v>
      </c>
      <c r="BW16" s="140">
        <f>((BW18*BW20*BW23*BW30)+(BW19*BW21*BW24*BW31))</f>
        <v>45</v>
      </c>
      <c r="BX16" s="83" t="s">
        <v>356</v>
      </c>
      <c r="BY16" s="83" t="s">
        <v>46</v>
      </c>
      <c r="BZ16" s="149">
        <f>(BZ18*BZ22*BZ34)+(BZ19*BZ23*BZ35)</f>
        <v>9225</v>
      </c>
      <c r="CA16" s="83" t="s">
        <v>346</v>
      </c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91" t="s">
        <v>231</v>
      </c>
      <c r="CO16" s="136">
        <f>B18</f>
        <v>1.04753425E-2</v>
      </c>
      <c r="CP16" s="52" t="s">
        <v>60</v>
      </c>
      <c r="CQ16" s="83"/>
      <c r="CR16" s="83"/>
      <c r="CS16" s="83"/>
      <c r="CT16" s="83" t="s">
        <v>262</v>
      </c>
      <c r="CU16" s="144">
        <f>((CU5/(CU8*CU42*((CU37*CU41*(1/24))+(CU38*CU40*(1/24)))*CU32*(1/CU44)))*CU11)/CU49</f>
        <v>1779.0117537013164</v>
      </c>
      <c r="CV16" s="92" t="s">
        <v>290</v>
      </c>
      <c r="CW16" s="52" t="s">
        <v>364</v>
      </c>
      <c r="CX16" s="138">
        <f>B171</f>
        <v>24</v>
      </c>
      <c r="CY16" s="52" t="s">
        <v>194</v>
      </c>
      <c r="CZ16" s="83" t="s">
        <v>512</v>
      </c>
      <c r="DA16" s="153" t="e">
        <f>DG2</f>
        <v>#DIV/0!</v>
      </c>
      <c r="DB16" s="83" t="s">
        <v>291</v>
      </c>
      <c r="DC16" s="83" t="s">
        <v>363</v>
      </c>
      <c r="DD16" s="146">
        <f>B170</f>
        <v>1</v>
      </c>
      <c r="DE16" s="83" t="s">
        <v>60</v>
      </c>
      <c r="DF16" s="92" t="s">
        <v>63</v>
      </c>
      <c r="DG16" s="151">
        <f>DG20+(0.693/DG22)</f>
        <v>0.23074754746551734</v>
      </c>
      <c r="DH16" s="83" t="s">
        <v>64</v>
      </c>
      <c r="DI16" s="83"/>
      <c r="DJ16" s="83"/>
      <c r="DK16" s="83"/>
      <c r="DL16" s="92"/>
      <c r="DM16" s="83"/>
      <c r="DN16" s="83"/>
      <c r="DO16" s="92" t="s">
        <v>63</v>
      </c>
      <c r="DP16" s="167">
        <f>DP20+(0.693/DP22)</f>
        <v>4.9499999999999995E-2</v>
      </c>
      <c r="DQ16" s="83" t="s">
        <v>64</v>
      </c>
      <c r="DR16" s="83"/>
      <c r="DS16" s="146">
        <v>365</v>
      </c>
      <c r="DT16" s="52" t="s">
        <v>24</v>
      </c>
      <c r="DU16" s="92"/>
      <c r="DV16" s="83"/>
      <c r="DW16" s="83"/>
      <c r="DX16" s="83" t="s">
        <v>22</v>
      </c>
      <c r="DY16" s="137">
        <f>0.693/DY17</f>
        <v>66.155354824913829</v>
      </c>
      <c r="EA16" s="92"/>
      <c r="EB16" s="83"/>
      <c r="EC16" s="83"/>
      <c r="ED16" s="92" t="s">
        <v>63</v>
      </c>
      <c r="EE16" s="167">
        <f>EE20+(0.693/EE22)</f>
        <v>4.9499999999999995E-2</v>
      </c>
      <c r="EF16" s="83" t="s">
        <v>64</v>
      </c>
      <c r="EH16" s="146">
        <v>365</v>
      </c>
      <c r="EI16" s="52" t="s">
        <v>24</v>
      </c>
      <c r="EJ16" s="92"/>
      <c r="EK16" s="83"/>
      <c r="EL16" s="83"/>
      <c r="EM16" s="91" t="s">
        <v>231</v>
      </c>
      <c r="EN16" s="136">
        <f>B18</f>
        <v>1.04753425E-2</v>
      </c>
      <c r="EO16" s="52" t="s">
        <v>60</v>
      </c>
      <c r="EP16" s="92"/>
      <c r="EQ16" s="83"/>
      <c r="ER16" s="83"/>
      <c r="ES16" s="92" t="s">
        <v>63</v>
      </c>
      <c r="ET16" s="167">
        <f>ET20+(0.693/ET22)</f>
        <v>4.9499999999999995E-2</v>
      </c>
      <c r="EU16" s="83" t="s">
        <v>64</v>
      </c>
      <c r="EV16" s="83"/>
      <c r="EW16" s="146">
        <v>365</v>
      </c>
      <c r="EX16" s="52" t="s">
        <v>24</v>
      </c>
      <c r="EY16" s="83"/>
      <c r="EZ16" s="83"/>
      <c r="FA16" s="83"/>
      <c r="FB16" s="91" t="s">
        <v>231</v>
      </c>
      <c r="FC16" s="136">
        <f>B18</f>
        <v>1.04753425E-2</v>
      </c>
      <c r="FD16" s="52" t="s">
        <v>60</v>
      </c>
      <c r="FE16" s="83"/>
      <c r="FF16" s="83"/>
      <c r="FG16" s="83"/>
      <c r="FH16" s="83" t="s">
        <v>63</v>
      </c>
      <c r="FI16" s="167">
        <f>FI20+(0.693/FI22)</f>
        <v>4.9499999999999995E-2</v>
      </c>
      <c r="FJ16" s="83" t="s">
        <v>64</v>
      </c>
      <c r="FK16" s="83"/>
      <c r="FL16" s="146">
        <v>365</v>
      </c>
      <c r="FM16" s="52" t="s">
        <v>24</v>
      </c>
      <c r="FN16" s="83"/>
      <c r="FO16" s="83"/>
      <c r="FP16" s="83"/>
      <c r="FQ16" s="83"/>
      <c r="FR16" s="83"/>
      <c r="FS16" s="83"/>
      <c r="FT16" s="83"/>
      <c r="FU16" s="83"/>
      <c r="FV16" s="83"/>
      <c r="FW16" s="83"/>
      <c r="FX16" s="83"/>
      <c r="FY16" s="83"/>
      <c r="FZ16" s="83"/>
      <c r="GA16" s="146">
        <v>365</v>
      </c>
      <c r="GB16" s="52" t="s">
        <v>24</v>
      </c>
      <c r="GC16" s="83"/>
      <c r="GD16" s="83"/>
      <c r="GE16" s="83"/>
      <c r="GF16" s="91" t="s">
        <v>231</v>
      </c>
      <c r="GG16" s="136">
        <f>B18</f>
        <v>1.04753425E-2</v>
      </c>
      <c r="GH16" s="52" t="s">
        <v>60</v>
      </c>
      <c r="GI16" s="83"/>
      <c r="GJ16" s="83"/>
      <c r="GK16" s="83"/>
      <c r="GL16" s="83" t="s">
        <v>63</v>
      </c>
      <c r="GM16" s="167">
        <f>GM20+(0.693/GM22)</f>
        <v>4.9499999999999995E-2</v>
      </c>
      <c r="GN16" s="83" t="s">
        <v>64</v>
      </c>
      <c r="GO16" s="83" t="s">
        <v>475</v>
      </c>
      <c r="GP16" s="146">
        <f>B165</f>
        <v>0.15</v>
      </c>
      <c r="GR16" s="83"/>
      <c r="GS16" s="83"/>
      <c r="GT16" s="83"/>
      <c r="GU16" s="91" t="s">
        <v>231</v>
      </c>
      <c r="GV16" s="136">
        <f>B18</f>
        <v>1.04753425E-2</v>
      </c>
      <c r="GW16" s="52" t="s">
        <v>60</v>
      </c>
      <c r="GX16" s="83"/>
      <c r="GY16" s="83"/>
      <c r="GZ16" s="83"/>
      <c r="HA16" s="83" t="s">
        <v>63</v>
      </c>
      <c r="HB16" s="167">
        <f>HB20+(0.693/HB22)</f>
        <v>4.9499999999999995E-2</v>
      </c>
      <c r="HC16" s="83" t="s">
        <v>64</v>
      </c>
      <c r="HD16" s="83"/>
      <c r="HE16" s="83"/>
      <c r="HF16" s="83"/>
    </row>
    <row r="17" spans="1:214" ht="13.5" thickBot="1" x14ac:dyDescent="0.25">
      <c r="A17" s="83" t="s">
        <v>258</v>
      </c>
      <c r="B17" s="183">
        <v>0</v>
      </c>
      <c r="C17" s="92" t="s">
        <v>259</v>
      </c>
      <c r="D17" s="83" t="s">
        <v>256</v>
      </c>
      <c r="E17" s="136">
        <f>B15</f>
        <v>3.2316400000000001</v>
      </c>
      <c r="F17" s="83" t="s">
        <v>343</v>
      </c>
      <c r="G17" s="83" t="s">
        <v>370</v>
      </c>
      <c r="H17" s="146">
        <f>B42</f>
        <v>0.78</v>
      </c>
      <c r="I17" s="52" t="s">
        <v>28</v>
      </c>
      <c r="J17" s="83" t="s">
        <v>263</v>
      </c>
      <c r="K17" s="153" t="e">
        <f>((K18/(K47+K48))*K11)</f>
        <v>#DIV/0!</v>
      </c>
      <c r="L17" s="92" t="s">
        <v>290</v>
      </c>
      <c r="M17" s="95" t="s">
        <v>287</v>
      </c>
      <c r="N17" s="176">
        <v>27.027027027027</v>
      </c>
      <c r="O17" s="52" t="s">
        <v>288</v>
      </c>
      <c r="P17" s="95" t="s">
        <v>287</v>
      </c>
      <c r="Q17" s="176">
        <v>27.027027027027</v>
      </c>
      <c r="R17" s="52" t="s">
        <v>288</v>
      </c>
      <c r="S17" s="95" t="s">
        <v>287</v>
      </c>
      <c r="T17" s="176">
        <v>27.027027027027</v>
      </c>
      <c r="U17" s="52" t="s">
        <v>288</v>
      </c>
      <c r="V17" s="52" t="s">
        <v>271</v>
      </c>
      <c r="W17" s="144">
        <f>((W5)/((W12/24)*W9*W14*(1/365)))/W20</f>
        <v>5.5719902794453234E-2</v>
      </c>
      <c r="X17" s="52" t="s">
        <v>15</v>
      </c>
      <c r="Y17" s="52" t="s">
        <v>271</v>
      </c>
      <c r="Z17" s="144">
        <f>((Z5)/((Z12/24)*Z9*Z14*(1/365)))/Z20</f>
        <v>5.0147912515007907E-2</v>
      </c>
      <c r="AA17" s="52" t="s">
        <v>15</v>
      </c>
      <c r="AB17" s="83" t="s">
        <v>413</v>
      </c>
      <c r="AC17" s="141">
        <f>B237</f>
        <v>1</v>
      </c>
      <c r="AD17" s="141">
        <f>B249</f>
        <v>1</v>
      </c>
      <c r="AE17" s="141">
        <f>B261</f>
        <v>1</v>
      </c>
      <c r="AF17" s="141">
        <f>B280</f>
        <v>0.753</v>
      </c>
      <c r="AG17" s="141">
        <f>B280</f>
        <v>0.753</v>
      </c>
      <c r="AH17" s="92"/>
      <c r="AI17" s="95" t="s">
        <v>287</v>
      </c>
      <c r="AJ17" s="176">
        <v>27.027027027027</v>
      </c>
      <c r="AK17" s="52" t="s">
        <v>288</v>
      </c>
      <c r="AL17" s="95" t="s">
        <v>287</v>
      </c>
      <c r="AM17" s="176">
        <v>27.027027027027</v>
      </c>
      <c r="AN17" s="52" t="s">
        <v>288</v>
      </c>
      <c r="AO17" s="95" t="s">
        <v>287</v>
      </c>
      <c r="AP17" s="176">
        <v>27.027027027027</v>
      </c>
      <c r="AQ17" s="52" t="s">
        <v>288</v>
      </c>
      <c r="AR17" s="95" t="s">
        <v>287</v>
      </c>
      <c r="AS17" s="176">
        <v>27.027027027027</v>
      </c>
      <c r="AT17" s="52" t="s">
        <v>288</v>
      </c>
      <c r="AU17" s="95" t="s">
        <v>287</v>
      </c>
      <c r="AV17" s="176">
        <v>27.027027027027</v>
      </c>
      <c r="AW17" s="52" t="s">
        <v>288</v>
      </c>
      <c r="AX17" s="95" t="s">
        <v>287</v>
      </c>
      <c r="AY17" s="176">
        <v>27.027027027027</v>
      </c>
      <c r="AZ17" s="52" t="s">
        <v>288</v>
      </c>
      <c r="BA17" s="95" t="s">
        <v>287</v>
      </c>
      <c r="BB17" s="176">
        <v>27.027027027027</v>
      </c>
      <c r="BC17" s="52" t="s">
        <v>288</v>
      </c>
      <c r="BD17" s="95" t="s">
        <v>287</v>
      </c>
      <c r="BE17" s="176">
        <v>27.027027027027</v>
      </c>
      <c r="BF17" s="52" t="s">
        <v>288</v>
      </c>
      <c r="BG17" s="95" t="s">
        <v>287</v>
      </c>
      <c r="BH17" s="176">
        <v>27.027027027027</v>
      </c>
      <c r="BI17" s="52" t="s">
        <v>288</v>
      </c>
      <c r="BJ17" s="95" t="s">
        <v>287</v>
      </c>
      <c r="BK17" s="176">
        <v>27.027027027027</v>
      </c>
      <c r="BL17" s="52" t="s">
        <v>288</v>
      </c>
      <c r="BM17" s="95" t="s">
        <v>287</v>
      </c>
      <c r="BN17" s="176">
        <v>27.027027027027</v>
      </c>
      <c r="BO17" s="52" t="s">
        <v>288</v>
      </c>
      <c r="BP17" s="95" t="s">
        <v>287</v>
      </c>
      <c r="BQ17" s="176">
        <v>27.027027027027</v>
      </c>
      <c r="BR17" s="52" t="s">
        <v>288</v>
      </c>
      <c r="BS17" s="83" t="s">
        <v>301</v>
      </c>
      <c r="BT17" s="142">
        <f>B111</f>
        <v>1</v>
      </c>
      <c r="BV17" s="83" t="s">
        <v>65</v>
      </c>
      <c r="BW17" s="141">
        <f>B116</f>
        <v>0.5</v>
      </c>
      <c r="BX17" s="52" t="s">
        <v>66</v>
      </c>
      <c r="BY17" s="83" t="s">
        <v>43</v>
      </c>
      <c r="BZ17" s="149">
        <f>(BZ24*BZ20*(BZ26/24)*BZ34)+(BZ23*BZ21*(BZ27/24)*BZ35)</f>
        <v>55.3125</v>
      </c>
      <c r="CA17" s="52" t="s">
        <v>426</v>
      </c>
      <c r="CN17" s="84" t="s">
        <v>16</v>
      </c>
      <c r="CO17" s="137">
        <f>(CO14*CO15)/(1-EXP(-CO15*CO14))</f>
        <v>66.155354824913829</v>
      </c>
      <c r="CT17" s="83" t="s">
        <v>263</v>
      </c>
      <c r="CU17" s="153" t="e">
        <f>DJ2</f>
        <v>#DIV/0!</v>
      </c>
      <c r="CV17" s="92" t="s">
        <v>290</v>
      </c>
      <c r="CW17" s="83" t="s">
        <v>256</v>
      </c>
      <c r="CX17" s="136">
        <f>B15</f>
        <v>3.2316400000000001</v>
      </c>
      <c r="CY17" s="83" t="s">
        <v>343</v>
      </c>
      <c r="CZ17" s="83" t="s">
        <v>511</v>
      </c>
      <c r="DA17" s="153" t="e">
        <f>DD2</f>
        <v>#DIV/0!</v>
      </c>
      <c r="DB17" s="83" t="s">
        <v>290</v>
      </c>
      <c r="DC17" s="93"/>
      <c r="DD17" s="136">
        <v>9.9999999999999995E-7</v>
      </c>
      <c r="DE17" s="88"/>
      <c r="DF17" s="92" t="s">
        <v>67</v>
      </c>
      <c r="DG17" s="142">
        <f>B198</f>
        <v>60</v>
      </c>
      <c r="DH17" s="83" t="s">
        <v>53</v>
      </c>
      <c r="DL17" s="92"/>
      <c r="DM17" s="83"/>
      <c r="DN17" s="83"/>
      <c r="DO17" s="92" t="s">
        <v>67</v>
      </c>
      <c r="DP17" s="142">
        <f>B198</f>
        <v>60</v>
      </c>
      <c r="DQ17" s="83" t="s">
        <v>53</v>
      </c>
      <c r="DR17" s="83" t="s">
        <v>475</v>
      </c>
      <c r="DS17" s="146">
        <f>B165</f>
        <v>0.15</v>
      </c>
      <c r="DU17" s="92"/>
      <c r="DV17" s="87"/>
      <c r="DW17" s="83"/>
      <c r="DX17" s="91" t="s">
        <v>231</v>
      </c>
      <c r="DY17" s="136">
        <f>B18</f>
        <v>1.04753425E-2</v>
      </c>
      <c r="DZ17" s="52" t="s">
        <v>60</v>
      </c>
      <c r="EA17" s="92"/>
      <c r="EB17" s="83"/>
      <c r="EC17" s="83"/>
      <c r="ED17" s="92" t="s">
        <v>67</v>
      </c>
      <c r="EE17" s="142">
        <f>B198</f>
        <v>60</v>
      </c>
      <c r="EF17" s="83" t="s">
        <v>53</v>
      </c>
      <c r="EG17" s="83" t="s">
        <v>475</v>
      </c>
      <c r="EH17" s="146">
        <f>B165</f>
        <v>0.15</v>
      </c>
      <c r="EI17" s="92"/>
      <c r="EJ17" s="92"/>
      <c r="EK17" s="83"/>
      <c r="EL17" s="83"/>
      <c r="EM17" s="84" t="s">
        <v>16</v>
      </c>
      <c r="EN17" s="137">
        <f>(EN14*EN15)/(1-EXP(-EN15*EN14))</f>
        <v>66.155354824913829</v>
      </c>
      <c r="EP17" s="92"/>
      <c r="EQ17" s="83"/>
      <c r="ER17" s="83"/>
      <c r="ES17" s="92" t="s">
        <v>67</v>
      </c>
      <c r="ET17" s="142">
        <f>B198</f>
        <v>60</v>
      </c>
      <c r="EU17" s="83" t="s">
        <v>53</v>
      </c>
      <c r="EV17" s="83" t="s">
        <v>475</v>
      </c>
      <c r="EW17" s="141">
        <f>B165</f>
        <v>0.15</v>
      </c>
      <c r="EX17" s="92"/>
      <c r="EY17" s="83"/>
      <c r="EZ17" s="83"/>
      <c r="FA17" s="83"/>
      <c r="FB17" s="84" t="s">
        <v>16</v>
      </c>
      <c r="FC17" s="137">
        <f>(FC14*FC15)/(1-EXP(-FC15*FC14))</f>
        <v>66.155354824913829</v>
      </c>
      <c r="FE17" s="83"/>
      <c r="FF17" s="83"/>
      <c r="FG17" s="83"/>
      <c r="FH17" s="83" t="s">
        <v>67</v>
      </c>
      <c r="FI17" s="142">
        <f>B198</f>
        <v>60</v>
      </c>
      <c r="FJ17" s="83" t="s">
        <v>53</v>
      </c>
      <c r="FK17" s="83" t="s">
        <v>475</v>
      </c>
      <c r="FL17" s="141">
        <f>B165</f>
        <v>0.15</v>
      </c>
      <c r="FM17" s="92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 t="s">
        <v>475</v>
      </c>
      <c r="GA17" s="141">
        <f>B165</f>
        <v>0.15</v>
      </c>
      <c r="GB17" s="92"/>
      <c r="GC17" s="83"/>
      <c r="GD17" s="83"/>
      <c r="GE17" s="83"/>
      <c r="GF17" s="84" t="s">
        <v>16</v>
      </c>
      <c r="GG17" s="137">
        <f>(GG14*GG15)/(1-EXP(-GG15*GG14))</f>
        <v>66.155354824913829</v>
      </c>
      <c r="GI17" s="83"/>
      <c r="GJ17" s="83"/>
      <c r="GK17" s="83"/>
      <c r="GL17" s="83" t="s">
        <v>67</v>
      </c>
      <c r="GM17" s="142">
        <f>B198</f>
        <v>60</v>
      </c>
      <c r="GN17" s="83" t="s">
        <v>53</v>
      </c>
      <c r="GO17" s="83" t="s">
        <v>476</v>
      </c>
      <c r="GP17" s="141">
        <f>B166</f>
        <v>0.85</v>
      </c>
      <c r="GQ17" s="92"/>
      <c r="GR17" s="83"/>
      <c r="GS17" s="83"/>
      <c r="GT17" s="83"/>
      <c r="GU17" s="84" t="s">
        <v>16</v>
      </c>
      <c r="GV17" s="137">
        <f>(GV14*GV15)/(1-EXP(-GV15*GV14))</f>
        <v>66.155354824913829</v>
      </c>
      <c r="GX17" s="83"/>
      <c r="GY17" s="83"/>
      <c r="GZ17" s="83"/>
      <c r="HA17" s="83" t="s">
        <v>67</v>
      </c>
      <c r="HB17" s="142">
        <f>B198</f>
        <v>60</v>
      </c>
      <c r="HC17" s="83" t="s">
        <v>53</v>
      </c>
      <c r="HD17" s="84"/>
      <c r="HE17" s="84"/>
    </row>
    <row r="18" spans="1:214" ht="19.5" thickTop="1" thickBot="1" x14ac:dyDescent="0.25">
      <c r="A18" s="91" t="s">
        <v>231</v>
      </c>
      <c r="B18" s="183">
        <v>1.04753425E-2</v>
      </c>
      <c r="C18" s="52" t="s">
        <v>235</v>
      </c>
      <c r="D18" s="83" t="s">
        <v>301</v>
      </c>
      <c r="E18" s="142">
        <f>B60</f>
        <v>1</v>
      </c>
      <c r="G18" s="83" t="s">
        <v>371</v>
      </c>
      <c r="H18" s="146">
        <f>B43</f>
        <v>2.5</v>
      </c>
      <c r="I18" s="52" t="s">
        <v>28</v>
      </c>
      <c r="J18" s="83" t="s">
        <v>264</v>
      </c>
      <c r="K18" s="154" t="e">
        <f>(K5/(K9*(K25+K28)*K36))/K53</f>
        <v>#DIV/0!</v>
      </c>
      <c r="L18" s="92" t="s">
        <v>290</v>
      </c>
      <c r="V18" s="52" t="s">
        <v>261</v>
      </c>
      <c r="W18" s="144">
        <f>((W5*W7*W6)/((W12/24)*(1-EXP(-W7*W10))*W11*W13*W9*W10))/W20</f>
        <v>4.3515522284832251</v>
      </c>
      <c r="X18" s="52" t="s">
        <v>16</v>
      </c>
      <c r="Y18" s="52" t="s">
        <v>261</v>
      </c>
      <c r="Z18" s="144">
        <f>((Z5*Z7*Z6)/((Z12/24)*(1-EXP(-Z7*Z10))*Z11*Z13*Z9*Z10))/Z20</f>
        <v>3.9163970056349027</v>
      </c>
      <c r="AA18" s="52" t="s">
        <v>16</v>
      </c>
      <c r="AB18" s="83" t="s">
        <v>412</v>
      </c>
      <c r="AC18" s="136">
        <f>B10</f>
        <v>2.1295200000000002E-3</v>
      </c>
      <c r="AD18" s="136">
        <f>B10</f>
        <v>2.1295200000000002E-3</v>
      </c>
      <c r="AE18" s="136">
        <f>B10</f>
        <v>2.1295200000000002E-3</v>
      </c>
      <c r="AF18" s="136">
        <f>B10</f>
        <v>2.1295200000000002E-3</v>
      </c>
      <c r="AG18" s="136">
        <f>B10</f>
        <v>2.1295200000000002E-3</v>
      </c>
      <c r="AH18" s="83" t="s">
        <v>351</v>
      </c>
      <c r="BS18" s="52" t="s">
        <v>261</v>
      </c>
      <c r="BT18" s="143">
        <f>((BT5)/(BT9*BT10))/BT27</f>
        <v>5.351412429378537</v>
      </c>
      <c r="BU18" s="52" t="s">
        <v>15</v>
      </c>
      <c r="BV18" s="83" t="s">
        <v>433</v>
      </c>
      <c r="BW18" s="150">
        <f>B112</f>
        <v>45</v>
      </c>
      <c r="BX18" s="83" t="s">
        <v>24</v>
      </c>
      <c r="BY18" s="83" t="s">
        <v>441</v>
      </c>
      <c r="BZ18" s="146">
        <f>B97</f>
        <v>200</v>
      </c>
      <c r="CA18" s="84" t="s">
        <v>48</v>
      </c>
      <c r="CB18" s="675" t="s">
        <v>572</v>
      </c>
      <c r="CC18" s="673"/>
      <c r="CD18" s="673"/>
      <c r="CE18" s="676" t="s">
        <v>573</v>
      </c>
      <c r="CF18" s="673"/>
      <c r="CG18" s="674"/>
      <c r="CJ18" s="83"/>
      <c r="CT18" s="83" t="s">
        <v>264</v>
      </c>
      <c r="CU18" s="153" t="e">
        <f>DD2</f>
        <v>#DIV/0!</v>
      </c>
      <c r="CV18" s="92" t="s">
        <v>290</v>
      </c>
      <c r="CW18" s="83" t="s">
        <v>301</v>
      </c>
      <c r="CX18" s="142">
        <f>B180</f>
        <v>1</v>
      </c>
      <c r="CZ18" s="91" t="s">
        <v>272</v>
      </c>
      <c r="DA18" s="144" t="e">
        <f>EZ2</f>
        <v>#DIV/0!</v>
      </c>
      <c r="DB18" s="83" t="s">
        <v>290</v>
      </c>
      <c r="DC18" s="88"/>
      <c r="DD18" s="136">
        <v>1000</v>
      </c>
      <c r="DE18" s="92" t="s">
        <v>99</v>
      </c>
      <c r="DF18" s="92" t="s">
        <v>68</v>
      </c>
      <c r="DG18" s="142">
        <f>B199</f>
        <v>2</v>
      </c>
      <c r="DH18" s="83" t="s">
        <v>56</v>
      </c>
      <c r="DL18" s="92"/>
      <c r="DM18" s="83"/>
      <c r="DN18" s="83"/>
      <c r="DO18" s="92" t="s">
        <v>68</v>
      </c>
      <c r="DP18" s="142">
        <f>B199</f>
        <v>2</v>
      </c>
      <c r="DQ18" s="83" t="s">
        <v>56</v>
      </c>
      <c r="DR18" s="83" t="s">
        <v>476</v>
      </c>
      <c r="DS18" s="146">
        <f>B166</f>
        <v>0.85</v>
      </c>
      <c r="DU18" s="92"/>
      <c r="DV18" s="83"/>
      <c r="DW18" s="83"/>
      <c r="DX18" s="84" t="s">
        <v>16</v>
      </c>
      <c r="DY18" s="137">
        <f>(DY15*DY16)/(1-EXP(-DY16*DY15))</f>
        <v>66.155354824913829</v>
      </c>
      <c r="EA18" s="92"/>
      <c r="EB18" s="83"/>
      <c r="EC18" s="83"/>
      <c r="ED18" s="92" t="s">
        <v>68</v>
      </c>
      <c r="EE18" s="142">
        <f>B199</f>
        <v>2</v>
      </c>
      <c r="EF18" s="83" t="s">
        <v>56</v>
      </c>
      <c r="EG18" s="83" t="s">
        <v>476</v>
      </c>
      <c r="EH18" s="146">
        <f>B166</f>
        <v>0.85</v>
      </c>
      <c r="EJ18" s="92"/>
      <c r="EK18" s="83"/>
      <c r="EL18" s="83"/>
      <c r="EM18" s="95"/>
      <c r="EN18" s="176"/>
      <c r="EP18" s="92"/>
      <c r="EQ18" s="83"/>
      <c r="ER18" s="83"/>
      <c r="ES18" s="92" t="s">
        <v>68</v>
      </c>
      <c r="ET18" s="142">
        <f>B199</f>
        <v>2</v>
      </c>
      <c r="EU18" s="83" t="s">
        <v>56</v>
      </c>
      <c r="EV18" s="83" t="s">
        <v>476</v>
      </c>
      <c r="EW18" s="141">
        <f>B166</f>
        <v>0.85</v>
      </c>
      <c r="EX18" s="92"/>
      <c r="EY18" s="83"/>
      <c r="EZ18" s="83"/>
      <c r="FA18" s="83"/>
      <c r="FB18" s="95"/>
      <c r="FC18" s="176"/>
      <c r="FD18" s="83"/>
      <c r="FE18" s="83"/>
      <c r="FF18" s="83"/>
      <c r="FG18" s="83"/>
      <c r="FH18" s="83" t="s">
        <v>68</v>
      </c>
      <c r="FI18" s="142">
        <f>B199</f>
        <v>2</v>
      </c>
      <c r="FJ18" s="83" t="s">
        <v>56</v>
      </c>
      <c r="FK18" s="83" t="s">
        <v>476</v>
      </c>
      <c r="FL18" s="141">
        <f>B166</f>
        <v>0.85</v>
      </c>
      <c r="FM18" s="92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 t="s">
        <v>476</v>
      </c>
      <c r="GA18" s="141">
        <f>B166</f>
        <v>0.85</v>
      </c>
      <c r="GB18" s="92"/>
      <c r="GC18" s="83"/>
      <c r="GD18" s="83"/>
      <c r="GE18" s="83"/>
      <c r="GF18" s="95"/>
      <c r="GG18" s="176"/>
      <c r="GH18" s="83"/>
      <c r="GI18" s="83"/>
      <c r="GJ18" s="83"/>
      <c r="GK18" s="83"/>
      <c r="GL18" s="83" t="s">
        <v>68</v>
      </c>
      <c r="GM18" s="142">
        <f>B199</f>
        <v>2</v>
      </c>
      <c r="GN18" s="83" t="s">
        <v>56</v>
      </c>
      <c r="GO18" s="95" t="s">
        <v>287</v>
      </c>
      <c r="GP18" s="176">
        <v>27.027027027027</v>
      </c>
      <c r="GQ18" s="52" t="s">
        <v>288</v>
      </c>
      <c r="GR18" s="83"/>
      <c r="GS18" s="83"/>
      <c r="GT18" s="83"/>
      <c r="GU18" s="95"/>
      <c r="GV18" s="176"/>
      <c r="GW18" s="83"/>
      <c r="GX18" s="83"/>
      <c r="GY18" s="83"/>
      <c r="GZ18" s="83"/>
      <c r="HA18" s="83" t="s">
        <v>68</v>
      </c>
      <c r="HB18" s="142">
        <f>B199</f>
        <v>2</v>
      </c>
      <c r="HC18" s="83" t="s">
        <v>56</v>
      </c>
    </row>
    <row r="19" spans="1:214" ht="19.5" thickTop="1" thickBot="1" x14ac:dyDescent="0.25">
      <c r="A19" s="91" t="s">
        <v>77</v>
      </c>
      <c r="B19" s="183">
        <f>PEF!D3</f>
        <v>1359344473.5814338</v>
      </c>
      <c r="C19" s="52" t="s">
        <v>524</v>
      </c>
      <c r="D19" s="52" t="s">
        <v>261</v>
      </c>
      <c r="E19" s="143">
        <f>((E5)/((E15/E16)*E11*E12))/E27</f>
        <v>4.7780468119451219E-2</v>
      </c>
      <c r="F19" s="52" t="s">
        <v>15</v>
      </c>
      <c r="G19" s="83" t="s">
        <v>366</v>
      </c>
      <c r="H19" s="146">
        <f>B38</f>
        <v>10</v>
      </c>
      <c r="I19" s="52" t="s">
        <v>407</v>
      </c>
      <c r="J19" s="83" t="s">
        <v>445</v>
      </c>
      <c r="K19" s="155">
        <f>K21*K31*K51+K22*K32*K52</f>
        <v>43050</v>
      </c>
      <c r="L19" s="83" t="s">
        <v>346</v>
      </c>
      <c r="V19" s="52" t="s">
        <v>271</v>
      </c>
      <c r="W19" s="145">
        <f>((W5*W7*W6)/((W12/24)*(1-EXP(-W7*W6))*W14*W9*(1/365)))/W20</f>
        <v>3.6861699401767609</v>
      </c>
      <c r="X19" s="52" t="s">
        <v>16</v>
      </c>
      <c r="Y19" s="52" t="s">
        <v>271</v>
      </c>
      <c r="Z19" s="145">
        <f>((Z5*Z7*Z6)/((Z12/24)*(1-EXP(-Z7*Z6))*Z14*Z9*(1/365)))/Z20</f>
        <v>3.3175529461590849</v>
      </c>
      <c r="AA19" s="52" t="s">
        <v>16</v>
      </c>
      <c r="AB19" s="83" t="s">
        <v>247</v>
      </c>
      <c r="AC19" s="139">
        <f>B6</f>
        <v>1.25E-4</v>
      </c>
      <c r="AD19" s="139">
        <f>B6</f>
        <v>1.25E-4</v>
      </c>
      <c r="AE19" s="139">
        <f>B6</f>
        <v>1.25E-4</v>
      </c>
      <c r="AF19" s="139">
        <f>B6</f>
        <v>1.25E-4</v>
      </c>
      <c r="AG19" s="139">
        <f>B6</f>
        <v>1.25E-4</v>
      </c>
      <c r="AH19" s="84" t="s">
        <v>259</v>
      </c>
      <c r="BS19" s="52" t="s">
        <v>271</v>
      </c>
      <c r="BT19" s="144">
        <f>((BT5)/(BT16*BT8*(1/365)*BT15*(1/24)*BT17))/BT27</f>
        <v>1.3372776670668778</v>
      </c>
      <c r="BU19" s="52" t="s">
        <v>15</v>
      </c>
      <c r="BV19" s="83" t="s">
        <v>434</v>
      </c>
      <c r="BW19" s="150">
        <f>B113</f>
        <v>45</v>
      </c>
      <c r="BX19" s="83" t="s">
        <v>24</v>
      </c>
      <c r="BY19" s="83" t="s">
        <v>442</v>
      </c>
      <c r="BZ19" s="146">
        <f>B98</f>
        <v>100</v>
      </c>
      <c r="CA19" s="84" t="s">
        <v>48</v>
      </c>
      <c r="CB19" s="268" t="s">
        <v>537</v>
      </c>
      <c r="CC19" s="262">
        <f>((CC22*CC23*CC24)/((1-EXP(-CC24*CC23))*CC31*(CC26/365)*CC29*(CC30/24)*CC28))/CC32</f>
        <v>51761153363.894257</v>
      </c>
      <c r="CD19" s="279" t="s">
        <v>290</v>
      </c>
      <c r="CE19" s="259" t="s">
        <v>537</v>
      </c>
      <c r="CF19" s="262">
        <f>((CF22*CF23*CF24)/((1-EXP(-CF24*CF23))*CF31*(CF26/365)*CF29*(CF30/24)*CF28))/CF32</f>
        <v>2369268413.8307447</v>
      </c>
      <c r="CG19" s="265" t="s">
        <v>290</v>
      </c>
      <c r="CH19" s="83"/>
      <c r="CI19" s="83"/>
      <c r="CK19" s="675" t="s">
        <v>576</v>
      </c>
      <c r="CL19" s="673"/>
      <c r="CM19" s="673"/>
      <c r="CN19" s="676" t="s">
        <v>576</v>
      </c>
      <c r="CO19" s="673"/>
      <c r="CP19" s="677"/>
      <c r="CQ19" s="673" t="s">
        <v>576</v>
      </c>
      <c r="CR19" s="673"/>
      <c r="CS19" s="674"/>
      <c r="CT19" s="91" t="s">
        <v>272</v>
      </c>
      <c r="CU19" s="144" t="e">
        <f>FC2</f>
        <v>#DIV/0!</v>
      </c>
      <c r="CV19" s="92" t="s">
        <v>290</v>
      </c>
      <c r="CW19" s="52" t="s">
        <v>261</v>
      </c>
      <c r="CX19" s="143">
        <f>((CX5)/((CX15/CX16)*CX11*CX12))/CX27</f>
        <v>4.5714285714285763E-2</v>
      </c>
      <c r="CY19" s="52" t="s">
        <v>15</v>
      </c>
      <c r="CZ19" s="91" t="s">
        <v>273</v>
      </c>
      <c r="DA19" s="144" t="e">
        <f>GS2</f>
        <v>#DIV/0!</v>
      </c>
      <c r="DB19" s="83" t="s">
        <v>290</v>
      </c>
      <c r="DC19" s="92" t="s">
        <v>72</v>
      </c>
      <c r="DD19" s="146">
        <f>B186</f>
        <v>1</v>
      </c>
      <c r="DE19" s="93"/>
      <c r="DF19" s="92" t="s">
        <v>70</v>
      </c>
      <c r="DG19" s="138">
        <f>B200</f>
        <v>2.6999999999999999E-5</v>
      </c>
      <c r="DH19" s="52" t="s">
        <v>64</v>
      </c>
      <c r="DL19" s="92"/>
      <c r="DO19" s="92" t="s">
        <v>70</v>
      </c>
      <c r="DP19" s="138">
        <f>B200</f>
        <v>2.6999999999999999E-5</v>
      </c>
      <c r="DQ19" s="52" t="s">
        <v>64</v>
      </c>
      <c r="DR19" s="95" t="s">
        <v>287</v>
      </c>
      <c r="DS19" s="176">
        <v>27.027027027027</v>
      </c>
      <c r="DT19" s="52" t="s">
        <v>288</v>
      </c>
      <c r="DU19" s="92"/>
      <c r="DX19" s="95"/>
      <c r="DY19" s="176"/>
      <c r="EA19" s="92"/>
      <c r="EB19" s="84"/>
      <c r="EC19" s="84"/>
      <c r="ED19" s="92" t="s">
        <v>70</v>
      </c>
      <c r="EE19" s="163">
        <f>B200</f>
        <v>2.6999999999999999E-5</v>
      </c>
      <c r="EF19" s="84" t="s">
        <v>64</v>
      </c>
      <c r="EG19" s="95" t="s">
        <v>287</v>
      </c>
      <c r="EH19" s="176">
        <v>27.027027027027</v>
      </c>
      <c r="EI19" s="52" t="s">
        <v>288</v>
      </c>
      <c r="EJ19" s="92"/>
      <c r="EP19" s="92"/>
      <c r="EQ19" s="84"/>
      <c r="ER19" s="84"/>
      <c r="ES19" s="92" t="s">
        <v>70</v>
      </c>
      <c r="ET19" s="163">
        <f>B200</f>
        <v>2.6999999999999999E-5</v>
      </c>
      <c r="EU19" s="84" t="s">
        <v>64</v>
      </c>
      <c r="EV19" s="95" t="s">
        <v>287</v>
      </c>
      <c r="EW19" s="176">
        <v>27.027027027027</v>
      </c>
      <c r="EX19" s="52" t="s">
        <v>288</v>
      </c>
      <c r="EY19" s="83"/>
      <c r="EZ19" s="83"/>
      <c r="FA19" s="83"/>
      <c r="FB19" s="83"/>
      <c r="FC19" s="83"/>
      <c r="FD19" s="83"/>
      <c r="FE19" s="83"/>
      <c r="FF19" s="83"/>
      <c r="FG19" s="83"/>
      <c r="FH19" s="83" t="s">
        <v>70</v>
      </c>
      <c r="FI19" s="142">
        <f>B200</f>
        <v>2.6999999999999999E-5</v>
      </c>
      <c r="FJ19" s="84" t="s">
        <v>64</v>
      </c>
      <c r="FK19" s="95" t="s">
        <v>287</v>
      </c>
      <c r="FL19" s="176">
        <v>27.027027027027</v>
      </c>
      <c r="FM19" s="52" t="s">
        <v>288</v>
      </c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95" t="s">
        <v>287</v>
      </c>
      <c r="GA19" s="176">
        <v>27.027027027027</v>
      </c>
      <c r="GB19" s="52" t="s">
        <v>288</v>
      </c>
      <c r="GC19" s="83"/>
      <c r="GD19" s="83"/>
      <c r="GE19" s="83"/>
      <c r="GF19" s="83"/>
      <c r="GG19" s="83"/>
      <c r="GH19" s="83"/>
      <c r="GI19" s="83"/>
      <c r="GJ19" s="83"/>
      <c r="GK19" s="83"/>
      <c r="GL19" s="83" t="s">
        <v>70</v>
      </c>
      <c r="GM19" s="142">
        <f>B200</f>
        <v>2.6999999999999999E-5</v>
      </c>
      <c r="GN19" s="84" t="s">
        <v>64</v>
      </c>
      <c r="GR19" s="83"/>
      <c r="GS19" s="83"/>
      <c r="GT19" s="83"/>
      <c r="GU19" s="83"/>
      <c r="GV19" s="83"/>
      <c r="GW19" s="83"/>
      <c r="GX19" s="83"/>
      <c r="GY19" s="83"/>
      <c r="GZ19" s="83"/>
      <c r="HA19" s="83" t="s">
        <v>70</v>
      </c>
      <c r="HB19" s="142">
        <f>B200</f>
        <v>2.6999999999999999E-5</v>
      </c>
      <c r="HC19" s="84" t="s">
        <v>64</v>
      </c>
    </row>
    <row r="20" spans="1:214" ht="19.5" thickTop="1" thickBot="1" x14ac:dyDescent="0.25">
      <c r="A20" s="91" t="s">
        <v>103</v>
      </c>
      <c r="B20" s="183">
        <f>PEF!G3</f>
        <v>776129.4078035407</v>
      </c>
      <c r="C20" s="52" t="s">
        <v>524</v>
      </c>
      <c r="D20" s="52" t="s">
        <v>271</v>
      </c>
      <c r="E20" s="144">
        <f>((E5)/((E15/E16)*E8*E17*(1/365)*E18))/E27</f>
        <v>1.1939979170239978E-2</v>
      </c>
      <c r="F20" s="52" t="s">
        <v>15</v>
      </c>
      <c r="G20" s="83" t="s">
        <v>367</v>
      </c>
      <c r="H20" s="146">
        <f>B39</f>
        <v>20</v>
      </c>
      <c r="I20" s="52" t="s">
        <v>407</v>
      </c>
      <c r="J20" s="83" t="s">
        <v>396</v>
      </c>
      <c r="K20" s="155">
        <f>(K31*K23*(K34/24)*K51)+(K32*K24*(K35/24)*K52)</f>
        <v>6195</v>
      </c>
      <c r="L20" s="52" t="s">
        <v>407</v>
      </c>
      <c r="M20" s="325" t="s">
        <v>533</v>
      </c>
      <c r="N20" s="326"/>
      <c r="O20" s="326"/>
      <c r="P20" s="327" t="s">
        <v>536</v>
      </c>
      <c r="Q20" s="326"/>
      <c r="R20" s="329"/>
      <c r="V20" s="95" t="s">
        <v>287</v>
      </c>
      <c r="W20" s="176">
        <v>27.027027027027</v>
      </c>
      <c r="X20" s="52" t="s">
        <v>288</v>
      </c>
      <c r="Y20" s="95" t="s">
        <v>287</v>
      </c>
      <c r="Z20" s="176">
        <v>27.027027027027</v>
      </c>
      <c r="AA20" s="52" t="s">
        <v>288</v>
      </c>
      <c r="AB20" s="83" t="s">
        <v>83</v>
      </c>
      <c r="AC20" s="139">
        <f>B238</f>
        <v>8</v>
      </c>
      <c r="AD20" s="139">
        <f>B250</f>
        <v>0</v>
      </c>
      <c r="AE20" s="139">
        <f>B262</f>
        <v>8</v>
      </c>
      <c r="AF20" s="139">
        <f>B274</f>
        <v>8</v>
      </c>
      <c r="AG20" s="139">
        <f>B297</f>
        <v>8</v>
      </c>
      <c r="AH20" s="84" t="s">
        <v>194</v>
      </c>
      <c r="AI20" s="658" t="s">
        <v>558</v>
      </c>
      <c r="AJ20" s="659"/>
      <c r="AK20" s="660"/>
      <c r="AL20" s="661" t="s">
        <v>545</v>
      </c>
      <c r="AM20" s="659"/>
      <c r="AN20" s="662"/>
      <c r="AR20" s="658" t="s">
        <v>560</v>
      </c>
      <c r="AS20" s="659"/>
      <c r="AT20" s="660"/>
      <c r="AU20" s="661" t="s">
        <v>550</v>
      </c>
      <c r="AV20" s="659"/>
      <c r="AW20" s="662"/>
      <c r="BA20" s="658" t="s">
        <v>562</v>
      </c>
      <c r="BB20" s="659"/>
      <c r="BC20" s="660"/>
      <c r="BD20" s="661" t="s">
        <v>553</v>
      </c>
      <c r="BE20" s="659"/>
      <c r="BF20" s="662"/>
      <c r="BJ20" s="658" t="s">
        <v>563</v>
      </c>
      <c r="BK20" s="659"/>
      <c r="BL20" s="660"/>
      <c r="BM20" s="661" t="s">
        <v>556</v>
      </c>
      <c r="BN20" s="659"/>
      <c r="BO20" s="662"/>
      <c r="BS20" s="52" t="s">
        <v>261</v>
      </c>
      <c r="BT20" s="144">
        <f>((BT5*BT24*BT6)/((1-EXP(-BT6*BT24))*BT9*BT10))/BT27</f>
        <v>354.02458807999119</v>
      </c>
      <c r="BU20" s="52" t="s">
        <v>16</v>
      </c>
      <c r="BV20" s="52" t="s">
        <v>443</v>
      </c>
      <c r="BW20" s="138">
        <f>B109</f>
        <v>1</v>
      </c>
      <c r="BX20" s="52" t="s">
        <v>89</v>
      </c>
      <c r="BY20" s="83" t="s">
        <v>429</v>
      </c>
      <c r="BZ20" s="141">
        <f>B93</f>
        <v>10</v>
      </c>
      <c r="CA20" s="92" t="s">
        <v>407</v>
      </c>
      <c r="CB20" s="268"/>
      <c r="CC20" s="262"/>
      <c r="CD20" s="279"/>
      <c r="CE20" s="259"/>
      <c r="CF20" s="262"/>
      <c r="CG20" s="265"/>
      <c r="CK20" s="268" t="s">
        <v>530</v>
      </c>
      <c r="CL20" s="262" t="e">
        <f>(CL23/(CL24*CL25*CL26))/CL27</f>
        <v>#DIV/0!</v>
      </c>
      <c r="CM20" s="279" t="s">
        <v>290</v>
      </c>
      <c r="CN20" s="259" t="s">
        <v>7</v>
      </c>
      <c r="CO20" s="262" t="e">
        <f>(CL20/(CO23*((CO28*CO30*CO31*(CO24+CO25))+(CO29*CO30))))*CO34</f>
        <v>#DIV/0!</v>
      </c>
      <c r="CP20" s="279" t="s">
        <v>290</v>
      </c>
      <c r="CQ20" s="259" t="s">
        <v>6</v>
      </c>
      <c r="CR20" s="262" t="e">
        <f>CL20/(CR23*CR24*(1/CR25))</f>
        <v>#DIV/0!</v>
      </c>
      <c r="CS20" s="265" t="s">
        <v>290</v>
      </c>
      <c r="CT20" s="91" t="s">
        <v>273</v>
      </c>
      <c r="CU20" s="144" t="e">
        <f>GV2</f>
        <v>#DIV/0!</v>
      </c>
      <c r="CV20" s="92" t="s">
        <v>290</v>
      </c>
      <c r="CW20" s="52" t="s">
        <v>271</v>
      </c>
      <c r="CX20" s="144">
        <f>((CX5)/((CX15/CX16)*CX8*CX17*(1/365)*CX18))/CX27</f>
        <v>1.1939979170239978E-2</v>
      </c>
      <c r="CY20" s="52" t="s">
        <v>15</v>
      </c>
      <c r="CZ20" s="91" t="s">
        <v>274</v>
      </c>
      <c r="DA20" s="144" t="e">
        <f>EK2</f>
        <v>#DIV/0!</v>
      </c>
      <c r="DB20" s="83" t="s">
        <v>290</v>
      </c>
      <c r="DC20" s="83" t="s">
        <v>475</v>
      </c>
      <c r="DD20" s="146">
        <f>B165</f>
        <v>0.15</v>
      </c>
      <c r="DF20" s="92" t="s">
        <v>71</v>
      </c>
      <c r="DG20" s="137">
        <f>0.693/DG23</f>
        <v>0.18124754746551736</v>
      </c>
      <c r="DH20" s="52" t="s">
        <v>64</v>
      </c>
      <c r="DL20" s="92"/>
      <c r="DO20" s="92" t="s">
        <v>71</v>
      </c>
      <c r="DP20" s="138">
        <v>0</v>
      </c>
      <c r="DQ20" s="52" t="s">
        <v>64</v>
      </c>
      <c r="DU20" s="92"/>
      <c r="EA20" s="92"/>
      <c r="EB20" s="84"/>
      <c r="EC20" s="84"/>
      <c r="ED20" s="92" t="s">
        <v>71</v>
      </c>
      <c r="EE20" s="163">
        <v>0</v>
      </c>
      <c r="EF20" s="84" t="s">
        <v>64</v>
      </c>
      <c r="EJ20" s="92"/>
      <c r="EP20" s="92"/>
      <c r="EQ20" s="84"/>
      <c r="ER20" s="84"/>
      <c r="ES20" s="92" t="s">
        <v>71</v>
      </c>
      <c r="ET20" s="163">
        <v>0</v>
      </c>
      <c r="EU20" s="84" t="s">
        <v>64</v>
      </c>
      <c r="EY20" s="83"/>
      <c r="EZ20" s="83"/>
      <c r="FA20" s="83"/>
      <c r="FB20" s="83"/>
      <c r="FC20" s="83"/>
      <c r="FD20" s="83"/>
      <c r="FE20" s="83"/>
      <c r="FF20" s="83"/>
      <c r="FG20" s="83"/>
      <c r="FH20" s="83" t="s">
        <v>71</v>
      </c>
      <c r="FI20" s="142">
        <v>0</v>
      </c>
      <c r="FJ20" s="84" t="s">
        <v>64</v>
      </c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 t="s">
        <v>71</v>
      </c>
      <c r="GM20" s="142">
        <v>0</v>
      </c>
      <c r="GN20" s="84" t="s">
        <v>64</v>
      </c>
      <c r="GO20" s="92"/>
      <c r="GP20" s="92"/>
      <c r="GQ20" s="92"/>
      <c r="GR20" s="83"/>
      <c r="GS20" s="83"/>
      <c r="GT20" s="83"/>
      <c r="GU20" s="83"/>
      <c r="GV20" s="83"/>
      <c r="GW20" s="83"/>
      <c r="GX20" s="83"/>
      <c r="GY20" s="83"/>
      <c r="GZ20" s="83"/>
      <c r="HA20" s="83" t="s">
        <v>71</v>
      </c>
      <c r="HB20" s="142">
        <v>0</v>
      </c>
      <c r="HC20" s="84" t="s">
        <v>64</v>
      </c>
    </row>
    <row r="21" spans="1:214" ht="19.5" thickTop="1" thickBot="1" x14ac:dyDescent="0.25">
      <c r="A21" s="91" t="s">
        <v>104</v>
      </c>
      <c r="B21" s="183">
        <f>PEF!J3</f>
        <v>69557565.807898715</v>
      </c>
      <c r="C21" s="52" t="s">
        <v>524</v>
      </c>
      <c r="D21" s="52" t="s">
        <v>261</v>
      </c>
      <c r="E21" s="144">
        <f>((E5*E10*E6)/((1-EXP(-E6*E10))*E11*E12))/E27</f>
        <v>3.1609338221427783</v>
      </c>
      <c r="F21" s="52" t="s">
        <v>16</v>
      </c>
      <c r="G21" s="83" t="s">
        <v>397</v>
      </c>
      <c r="H21" s="148">
        <f>(H29*H36*H32*H68)+(H30*H37*H33*H69)</f>
        <v>234.815</v>
      </c>
      <c r="I21" s="83" t="s">
        <v>356</v>
      </c>
      <c r="J21" s="83" t="s">
        <v>368</v>
      </c>
      <c r="K21" s="146">
        <f>B40</f>
        <v>200</v>
      </c>
      <c r="L21" s="84" t="s">
        <v>48</v>
      </c>
      <c r="M21" s="330" t="s">
        <v>537</v>
      </c>
      <c r="N21" s="333">
        <f>((N24*N25*N26)/((1-EXP(-N26*N25))*N34*N32*(N28/365)*(((N33/24)*N31)+((N35/24)*N30))))/N36</f>
        <v>16935.793041093839</v>
      </c>
      <c r="O21" s="336" t="s">
        <v>292</v>
      </c>
      <c r="P21" s="339" t="s">
        <v>537</v>
      </c>
      <c r="Q21" s="333">
        <f>((Q24*Q25*Q26)/((1-EXP(-Q26*Q25))*Q34*Q32*(Q28/365)*(((Q33/24)*Q31)+((Q35/24)*Q30))))/Q36</f>
        <v>5858.2925125078309</v>
      </c>
      <c r="R21" s="342" t="s">
        <v>290</v>
      </c>
      <c r="AB21" s="83" t="s">
        <v>85</v>
      </c>
      <c r="AC21" s="139">
        <f>B239</f>
        <v>8</v>
      </c>
      <c r="AD21" s="139">
        <f>B251</f>
        <v>8</v>
      </c>
      <c r="AE21" s="139">
        <f>B263</f>
        <v>0</v>
      </c>
      <c r="AF21" s="139">
        <f>B275</f>
        <v>8</v>
      </c>
      <c r="AG21" s="139">
        <f>B298</f>
        <v>8</v>
      </c>
      <c r="AH21" s="84" t="s">
        <v>194</v>
      </c>
      <c r="AI21" s="307" t="s">
        <v>537</v>
      </c>
      <c r="AJ21" s="304">
        <f>((AJ24*AJ25*AJ26)/((1-EXP(-AJ26*AJ25))*AJ34*(AJ28/365)*AJ29*(AJ35/24)*AJ30*AJ32))/AJ36</f>
        <v>61634.43161445282</v>
      </c>
      <c r="AK21" s="291" t="s">
        <v>292</v>
      </c>
      <c r="AL21" s="288" t="s">
        <v>537</v>
      </c>
      <c r="AM21" s="304">
        <f>((AM24*AM25*AM26)/((1-EXP(-AM26*AM25))*AM34*(AM28/365)*AM29*(AM35/24)*AM30*AM32))/AM36</f>
        <v>21320.083940769757</v>
      </c>
      <c r="AN21" s="282" t="s">
        <v>290</v>
      </c>
      <c r="AR21" s="665" t="s">
        <v>537</v>
      </c>
      <c r="AS21" s="304">
        <f>((AS24*AS25*AS26)/((1-EXP(-AS26*AS25))*AS34*(AS28/365)*AS29*(AS33/24)*AS31*AS32))/AS36</f>
        <v>27393.08071753458</v>
      </c>
      <c r="AT21" s="667" t="s">
        <v>292</v>
      </c>
      <c r="AU21" s="663" t="s">
        <v>537</v>
      </c>
      <c r="AV21" s="304">
        <f>((AV24*AV25*AV26)/((1-EXP(-AV26*AV25))*AV34*(AV28/365)*AV29*(AV33/24)*AV31*AV32))/AV36</f>
        <v>9475.5928625643337</v>
      </c>
      <c r="AW21" s="669" t="s">
        <v>290</v>
      </c>
      <c r="BA21" s="665" t="s">
        <v>537</v>
      </c>
      <c r="BB21" s="304">
        <f>((BB24*BB25*BB26)/((1-EXP(-BB26*BB25))*BB34*(BB28/365)*(BB33/24)*BB31*BB32))/BB36</f>
        <v>24653.772645781126</v>
      </c>
      <c r="BC21" s="667" t="s">
        <v>292</v>
      </c>
      <c r="BD21" s="663" t="s">
        <v>537</v>
      </c>
      <c r="BE21" s="304">
        <f>((BE24*BE25*BE26)/((1-EXP(-BE26*BE25))*BE34*(BE28/365)*(BE33/24)*BE31*BE32))/BE36</f>
        <v>8528.033576307902</v>
      </c>
      <c r="BF21" s="669" t="s">
        <v>290</v>
      </c>
      <c r="BJ21" s="665" t="s">
        <v>537</v>
      </c>
      <c r="BK21" s="285">
        <f>((BK24*BK25*BK26)/((1-EXP(-BK26*BK25))*BK35*(BK28/365)*(BK34/24)*BK32*BK33))/BK36</f>
        <v>1941043251.1460342</v>
      </c>
      <c r="BL21" s="667" t="s">
        <v>292</v>
      </c>
      <c r="BM21" s="663" t="s">
        <v>537</v>
      </c>
      <c r="BN21" s="285">
        <f>((BN24*BN25*BN26)/((1-EXP(-BN26*BN25))*BN35*(BN28/365)*(BN34/24)*BN32*BN33))/BN36</f>
        <v>88847565.518652961</v>
      </c>
      <c r="BO21" s="669" t="s">
        <v>290</v>
      </c>
      <c r="BS21" s="52" t="s">
        <v>271</v>
      </c>
      <c r="BT21" s="145">
        <f>((BT5*BT24*BT6)/((1-EXP(-BT6*BT24))*BT16*BT8*(1/365)*BT15*(1/24)*BT17))/BT27</f>
        <v>88.468078564242276</v>
      </c>
      <c r="BU21" s="52" t="s">
        <v>16</v>
      </c>
      <c r="BV21" s="52" t="s">
        <v>444</v>
      </c>
      <c r="BW21" s="138">
        <f>B110</f>
        <v>1</v>
      </c>
      <c r="BX21" s="52" t="s">
        <v>89</v>
      </c>
      <c r="BY21" s="83" t="s">
        <v>430</v>
      </c>
      <c r="BZ21" s="141">
        <f>B94</f>
        <v>20</v>
      </c>
      <c r="CA21" s="92" t="s">
        <v>407</v>
      </c>
      <c r="CB21" s="269"/>
      <c r="CC21" s="263"/>
      <c r="CD21" s="280"/>
      <c r="CE21" s="260"/>
      <c r="CF21" s="263"/>
      <c r="CG21" s="266"/>
      <c r="CK21" s="268"/>
      <c r="CL21" s="262"/>
      <c r="CM21" s="279"/>
      <c r="CN21" s="259"/>
      <c r="CO21" s="262"/>
      <c r="CP21" s="279"/>
      <c r="CQ21" s="259"/>
      <c r="CR21" s="262"/>
      <c r="CS21" s="265"/>
      <c r="CT21" s="91" t="s">
        <v>274</v>
      </c>
      <c r="CU21" s="144" t="e">
        <f>EN2</f>
        <v>#DIV/0!</v>
      </c>
      <c r="CV21" s="92" t="s">
        <v>290</v>
      </c>
      <c r="CW21" s="52" t="s">
        <v>261</v>
      </c>
      <c r="CX21" s="144">
        <f>((CX5*CX10*CX6)/((CX15/CX16)*(1-EXP(-CX6*CX9))*CX11*CX12))/CX27</f>
        <v>3.0242447919960633</v>
      </c>
      <c r="CY21" s="52" t="s">
        <v>16</v>
      </c>
      <c r="CZ21" s="91" t="s">
        <v>509</v>
      </c>
      <c r="DA21" s="144" t="e">
        <f>DV2</f>
        <v>#DIV/0!</v>
      </c>
      <c r="DB21" s="83" t="s">
        <v>290</v>
      </c>
      <c r="DC21" s="83" t="s">
        <v>476</v>
      </c>
      <c r="DD21" s="146">
        <f>B166</f>
        <v>0.85</v>
      </c>
      <c r="DF21" s="92" t="s">
        <v>73</v>
      </c>
      <c r="DG21" s="138">
        <f>B201</f>
        <v>1</v>
      </c>
      <c r="DH21" s="52" t="s">
        <v>41</v>
      </c>
      <c r="DL21" s="92"/>
      <c r="DO21" s="92" t="s">
        <v>73</v>
      </c>
      <c r="DP21" s="138">
        <f>B201</f>
        <v>1</v>
      </c>
      <c r="DQ21" s="52" t="s">
        <v>41</v>
      </c>
      <c r="DU21" s="92"/>
      <c r="EA21" s="92"/>
      <c r="EB21" s="84"/>
      <c r="EC21" s="84"/>
      <c r="ED21" s="92" t="s">
        <v>73</v>
      </c>
      <c r="EE21" s="163">
        <f>B201</f>
        <v>1</v>
      </c>
      <c r="EF21" s="84" t="s">
        <v>41</v>
      </c>
      <c r="EJ21" s="92"/>
      <c r="EP21" s="92"/>
      <c r="EQ21" s="84"/>
      <c r="ER21" s="84"/>
      <c r="ES21" s="92" t="s">
        <v>73</v>
      </c>
      <c r="ET21" s="163">
        <f>B201</f>
        <v>1</v>
      </c>
      <c r="EU21" s="84" t="s">
        <v>41</v>
      </c>
      <c r="EV21" s="92"/>
      <c r="EW21" s="92"/>
      <c r="EX21" s="92"/>
      <c r="EY21" s="83"/>
      <c r="EZ21" s="83"/>
      <c r="FA21" s="83"/>
      <c r="FB21" s="83"/>
      <c r="FC21" s="83"/>
      <c r="FD21" s="83"/>
      <c r="FE21" s="83"/>
      <c r="FF21" s="83"/>
      <c r="FG21" s="83"/>
      <c r="FH21" s="83" t="s">
        <v>73</v>
      </c>
      <c r="FI21" s="142">
        <f>B201</f>
        <v>1</v>
      </c>
      <c r="FJ21" s="84" t="s">
        <v>41</v>
      </c>
      <c r="FK21" s="92"/>
      <c r="FL21" s="92"/>
      <c r="FM21" s="92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92"/>
      <c r="GA21" s="92"/>
      <c r="GB21" s="92"/>
      <c r="GC21" s="83"/>
      <c r="GD21" s="83"/>
      <c r="GE21" s="83"/>
      <c r="GF21" s="83"/>
      <c r="GG21" s="83"/>
      <c r="GH21" s="83"/>
      <c r="GI21" s="83"/>
      <c r="GJ21" s="83"/>
      <c r="GK21" s="83"/>
      <c r="GL21" s="83" t="s">
        <v>73</v>
      </c>
      <c r="GM21" s="142">
        <f>B201</f>
        <v>1</v>
      </c>
      <c r="GN21" s="84" t="s">
        <v>41</v>
      </c>
      <c r="GO21" s="92"/>
      <c r="GP21" s="92"/>
      <c r="GQ21" s="92"/>
      <c r="GR21" s="83"/>
      <c r="GS21" s="83"/>
      <c r="GT21" s="83"/>
      <c r="GU21" s="83"/>
      <c r="GV21" s="83"/>
      <c r="GW21" s="83"/>
      <c r="GX21" s="83"/>
      <c r="GY21" s="83"/>
      <c r="GZ21" s="83"/>
      <c r="HA21" s="83" t="s">
        <v>73</v>
      </c>
      <c r="HB21" s="142">
        <f>B201</f>
        <v>1</v>
      </c>
      <c r="HC21" s="84" t="s">
        <v>41</v>
      </c>
      <c r="HD21" s="618" t="s">
        <v>594</v>
      </c>
      <c r="HE21" s="619"/>
      <c r="HF21" s="620"/>
    </row>
    <row r="22" spans="1:214" ht="14.25" thickTop="1" thickBot="1" x14ac:dyDescent="0.25">
      <c r="A22" s="91" t="s">
        <v>231</v>
      </c>
      <c r="B22" s="183">
        <f>B18*365</f>
        <v>3.8235000124999998</v>
      </c>
      <c r="C22" s="52" t="s">
        <v>222</v>
      </c>
      <c r="D22" s="52" t="s">
        <v>271</v>
      </c>
      <c r="E22" s="145">
        <f>((E5*E10*E6)/((E15/E16)*E8*(1-EXP(-E6*E10))*E17*(1/365)*E18))/E27</f>
        <v>0.78989355860930599</v>
      </c>
      <c r="F22" s="52" t="s">
        <v>16</v>
      </c>
      <c r="G22" s="83" t="s">
        <v>398</v>
      </c>
      <c r="H22" s="149">
        <f>(H29*H23*H68)+(H30*H24*H69)</f>
        <v>56282.8</v>
      </c>
      <c r="I22" s="92" t="s">
        <v>347</v>
      </c>
      <c r="J22" s="83" t="s">
        <v>369</v>
      </c>
      <c r="K22" s="146">
        <f>B41</f>
        <v>100</v>
      </c>
      <c r="L22" s="84" t="s">
        <v>48</v>
      </c>
      <c r="M22" s="331"/>
      <c r="N22" s="334"/>
      <c r="O22" s="337"/>
      <c r="P22" s="340"/>
      <c r="Q22" s="334"/>
      <c r="R22" s="343"/>
      <c r="AB22" s="83" t="s">
        <v>88</v>
      </c>
      <c r="AC22" s="150">
        <f>B240</f>
        <v>0.4</v>
      </c>
      <c r="AD22" s="150">
        <f>B252</f>
        <v>0.4</v>
      </c>
      <c r="AE22" s="150">
        <f>B264</f>
        <v>0.4</v>
      </c>
      <c r="AF22" s="150">
        <f>B276</f>
        <v>0.4</v>
      </c>
      <c r="AG22" s="150">
        <f>B299</f>
        <v>0.4</v>
      </c>
      <c r="AI22" s="307"/>
      <c r="AJ22" s="304"/>
      <c r="AK22" s="291"/>
      <c r="AL22" s="288"/>
      <c r="AM22" s="304"/>
      <c r="AN22" s="282"/>
      <c r="AR22" s="665"/>
      <c r="AS22" s="304"/>
      <c r="AT22" s="667"/>
      <c r="AU22" s="663"/>
      <c r="AV22" s="304"/>
      <c r="AW22" s="669"/>
      <c r="BA22" s="665"/>
      <c r="BB22" s="304"/>
      <c r="BC22" s="667"/>
      <c r="BD22" s="663"/>
      <c r="BE22" s="304"/>
      <c r="BF22" s="669"/>
      <c r="BJ22" s="665"/>
      <c r="BK22" s="285"/>
      <c r="BL22" s="667"/>
      <c r="BM22" s="663"/>
      <c r="BN22" s="285"/>
      <c r="BO22" s="669"/>
      <c r="BS22" s="52" t="s">
        <v>433</v>
      </c>
      <c r="BT22" s="138">
        <f>B104</f>
        <v>75</v>
      </c>
      <c r="BU22" s="52" t="s">
        <v>24</v>
      </c>
      <c r="BV22" s="83" t="s">
        <v>90</v>
      </c>
      <c r="BW22" s="150">
        <f>B108</f>
        <v>1</v>
      </c>
      <c r="BX22" s="52" t="s">
        <v>194</v>
      </c>
      <c r="BY22" s="83" t="s">
        <v>140</v>
      </c>
      <c r="BZ22" s="150">
        <f>B103</f>
        <v>75</v>
      </c>
      <c r="CA22" s="83" t="s">
        <v>24</v>
      </c>
      <c r="CB22" s="52" t="s">
        <v>267</v>
      </c>
      <c r="CC22" s="136">
        <f>B5</f>
        <v>1</v>
      </c>
      <c r="CD22" s="52" t="s">
        <v>344</v>
      </c>
      <c r="CE22" s="52" t="s">
        <v>267</v>
      </c>
      <c r="CF22" s="136">
        <f>B5</f>
        <v>1</v>
      </c>
      <c r="CG22" s="52" t="s">
        <v>344</v>
      </c>
      <c r="CK22" s="269"/>
      <c r="CL22" s="263"/>
      <c r="CM22" s="280"/>
      <c r="CN22" s="260"/>
      <c r="CO22" s="263"/>
      <c r="CP22" s="280"/>
      <c r="CQ22" s="260"/>
      <c r="CR22" s="263"/>
      <c r="CS22" s="266"/>
      <c r="CT22" s="91" t="s">
        <v>275</v>
      </c>
      <c r="CU22" s="144" t="e">
        <f>DY2</f>
        <v>#DIV/0!</v>
      </c>
      <c r="CV22" s="92" t="s">
        <v>290</v>
      </c>
      <c r="CW22" s="52" t="s">
        <v>271</v>
      </c>
      <c r="CX22" s="145">
        <f>((CX5*CX10*CX6)/((CX15/CX16)*CX8*(1-EXP(-CX6*CX10))*CX17*(1/365)*CX18))/CX27</f>
        <v>0.78989355860930599</v>
      </c>
      <c r="CY22" s="52" t="s">
        <v>16</v>
      </c>
      <c r="CZ22" s="91" t="s">
        <v>510</v>
      </c>
      <c r="DA22" s="144" t="e">
        <f>GD2</f>
        <v>#DIV/0!</v>
      </c>
      <c r="DB22" s="83" t="s">
        <v>290</v>
      </c>
      <c r="DC22" s="95" t="s">
        <v>287</v>
      </c>
      <c r="DD22" s="176">
        <v>27.027027027027</v>
      </c>
      <c r="DE22" s="52" t="s">
        <v>288</v>
      </c>
      <c r="DF22" s="92" t="s">
        <v>74</v>
      </c>
      <c r="DG22" s="138">
        <f>B202</f>
        <v>14</v>
      </c>
      <c r="DH22" s="52" t="s">
        <v>75</v>
      </c>
      <c r="DL22" s="92"/>
      <c r="DO22" s="92" t="s">
        <v>74</v>
      </c>
      <c r="DP22" s="138">
        <f>B202</f>
        <v>14</v>
      </c>
      <c r="DQ22" s="52" t="s">
        <v>75</v>
      </c>
      <c r="DU22" s="92"/>
      <c r="EA22" s="92"/>
      <c r="EB22" s="84"/>
      <c r="EC22" s="84"/>
      <c r="ED22" s="92" t="s">
        <v>74</v>
      </c>
      <c r="EE22" s="163">
        <f>B202</f>
        <v>14</v>
      </c>
      <c r="EF22" s="84" t="s">
        <v>75</v>
      </c>
      <c r="EJ22" s="92"/>
      <c r="EP22" s="92"/>
      <c r="EQ22" s="84"/>
      <c r="ER22" s="84"/>
      <c r="ES22" s="92" t="s">
        <v>74</v>
      </c>
      <c r="ET22" s="163">
        <f>B202</f>
        <v>14</v>
      </c>
      <c r="EU22" s="84" t="s">
        <v>75</v>
      </c>
      <c r="EV22" s="92"/>
      <c r="EW22" s="92"/>
      <c r="EX22" s="92"/>
      <c r="EY22" s="83"/>
      <c r="EZ22" s="83"/>
      <c r="FA22" s="83"/>
      <c r="FB22" s="83"/>
      <c r="FC22" s="83"/>
      <c r="FD22" s="83"/>
      <c r="FE22" s="83"/>
      <c r="FF22" s="83"/>
      <c r="FG22" s="83"/>
      <c r="FH22" s="83" t="s">
        <v>74</v>
      </c>
      <c r="FI22" s="142">
        <f>B202</f>
        <v>14</v>
      </c>
      <c r="FJ22" s="84" t="s">
        <v>75</v>
      </c>
      <c r="FK22" s="92"/>
      <c r="FL22" s="92"/>
      <c r="FM22" s="92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92"/>
      <c r="GA22" s="92"/>
      <c r="GB22" s="92"/>
      <c r="GC22" s="83"/>
      <c r="GD22" s="83"/>
      <c r="GE22" s="83"/>
      <c r="GF22" s="83"/>
      <c r="GG22" s="83"/>
      <c r="GH22" s="83"/>
      <c r="GI22" s="83"/>
      <c r="GJ22" s="83"/>
      <c r="GK22" s="83"/>
      <c r="GL22" s="83" t="s">
        <v>74</v>
      </c>
      <c r="GM22" s="142">
        <f>B202</f>
        <v>14</v>
      </c>
      <c r="GN22" s="84" t="s">
        <v>75</v>
      </c>
      <c r="GO22" s="92"/>
      <c r="GP22" s="92"/>
      <c r="GQ22" s="92"/>
      <c r="GR22" s="83"/>
      <c r="GS22" s="83"/>
      <c r="GT22" s="83"/>
      <c r="GU22" s="83"/>
      <c r="GV22" s="83"/>
      <c r="GW22" s="83"/>
      <c r="GX22" s="83"/>
      <c r="GY22" s="83"/>
      <c r="GZ22" s="83"/>
      <c r="HA22" s="83" t="s">
        <v>74</v>
      </c>
      <c r="HB22" s="142">
        <f>B202</f>
        <v>14</v>
      </c>
      <c r="HC22" s="84" t="s">
        <v>75</v>
      </c>
      <c r="HD22" s="54"/>
      <c r="HE22" s="55"/>
      <c r="HF22" s="56"/>
    </row>
    <row r="23" spans="1:214" ht="19.5" thickTop="1" thickBot="1" x14ac:dyDescent="0.25">
      <c r="A23" s="83" t="s">
        <v>105</v>
      </c>
      <c r="B23" s="182">
        <v>0</v>
      </c>
      <c r="C23" s="84" t="s">
        <v>18</v>
      </c>
      <c r="D23" s="52" t="s">
        <v>380</v>
      </c>
      <c r="E23" s="138">
        <f>B54</f>
        <v>350</v>
      </c>
      <c r="F23" s="52" t="s">
        <v>24</v>
      </c>
      <c r="G23" s="83" t="s">
        <v>399</v>
      </c>
      <c r="H23" s="146">
        <f>B149</f>
        <v>68.099999999999994</v>
      </c>
      <c r="I23" s="92" t="s">
        <v>221</v>
      </c>
      <c r="J23" s="83" t="s">
        <v>366</v>
      </c>
      <c r="K23" s="141">
        <f>B38</f>
        <v>10</v>
      </c>
      <c r="L23" s="52" t="s">
        <v>407</v>
      </c>
      <c r="M23" s="332"/>
      <c r="N23" s="335"/>
      <c r="O23" s="338"/>
      <c r="P23" s="341"/>
      <c r="Q23" s="335"/>
      <c r="R23" s="344"/>
      <c r="V23" s="366" t="s">
        <v>540</v>
      </c>
      <c r="W23" s="367"/>
      <c r="X23" s="367"/>
      <c r="Y23" s="368" t="s">
        <v>541</v>
      </c>
      <c r="Z23" s="367"/>
      <c r="AA23" s="369"/>
      <c r="AB23" s="94" t="s">
        <v>74</v>
      </c>
      <c r="AC23" s="150">
        <f>AC9</f>
        <v>1</v>
      </c>
      <c r="AD23" s="150">
        <f>AD9</f>
        <v>1</v>
      </c>
      <c r="AE23" s="150">
        <f>AE9</f>
        <v>1</v>
      </c>
      <c r="AF23" s="150">
        <f>AF9</f>
        <v>1</v>
      </c>
      <c r="AG23" s="150">
        <f>AG9</f>
        <v>1</v>
      </c>
      <c r="AH23" s="94" t="s">
        <v>60</v>
      </c>
      <c r="AI23" s="308"/>
      <c r="AJ23" s="305"/>
      <c r="AK23" s="292"/>
      <c r="AL23" s="289"/>
      <c r="AM23" s="305"/>
      <c r="AN23" s="283"/>
      <c r="AR23" s="666"/>
      <c r="AS23" s="305"/>
      <c r="AT23" s="668"/>
      <c r="AU23" s="664"/>
      <c r="AV23" s="305"/>
      <c r="AW23" s="670"/>
      <c r="BA23" s="666"/>
      <c r="BB23" s="305"/>
      <c r="BC23" s="668"/>
      <c r="BD23" s="664"/>
      <c r="BE23" s="305"/>
      <c r="BF23" s="670"/>
      <c r="BJ23" s="666"/>
      <c r="BK23" s="286"/>
      <c r="BL23" s="668"/>
      <c r="BM23" s="664"/>
      <c r="BN23" s="286"/>
      <c r="BO23" s="670"/>
      <c r="BS23" s="52" t="s">
        <v>434</v>
      </c>
      <c r="BT23" s="138">
        <f>B105</f>
        <v>75</v>
      </c>
      <c r="BU23" s="52" t="s">
        <v>24</v>
      </c>
      <c r="BV23" s="83" t="s">
        <v>435</v>
      </c>
      <c r="BW23" s="138">
        <f>B114</f>
        <v>1</v>
      </c>
      <c r="BX23" s="52" t="s">
        <v>80</v>
      </c>
      <c r="BY23" s="83" t="s">
        <v>434</v>
      </c>
      <c r="BZ23" s="150">
        <f>B105</f>
        <v>75</v>
      </c>
      <c r="CA23" s="83" t="s">
        <v>24</v>
      </c>
      <c r="CB23" s="52" t="s">
        <v>95</v>
      </c>
      <c r="CC23" s="138">
        <f>CC27</f>
        <v>1</v>
      </c>
      <c r="CD23" s="52" t="s">
        <v>146</v>
      </c>
      <c r="CE23" s="52" t="s">
        <v>95</v>
      </c>
      <c r="CF23" s="138">
        <f>CF27</f>
        <v>1</v>
      </c>
      <c r="CG23" s="52" t="s">
        <v>146</v>
      </c>
      <c r="CK23" s="52" t="s">
        <v>267</v>
      </c>
      <c r="CL23" s="136">
        <f>B5</f>
        <v>1</v>
      </c>
      <c r="CM23" s="52" t="s">
        <v>344</v>
      </c>
      <c r="CN23" s="52" t="s">
        <v>229</v>
      </c>
      <c r="CO23" s="136">
        <f>B29</f>
        <v>0</v>
      </c>
      <c r="CP23" s="52" t="s">
        <v>268</v>
      </c>
      <c r="CQ23" s="83" t="s">
        <v>229</v>
      </c>
      <c r="CR23" s="136">
        <f>CO23</f>
        <v>0</v>
      </c>
      <c r="CS23" s="52" t="s">
        <v>268</v>
      </c>
      <c r="CT23" s="91" t="s">
        <v>276</v>
      </c>
      <c r="CU23" s="144" t="e">
        <f>GG2</f>
        <v>#DIV/0!</v>
      </c>
      <c r="CV23" s="92" t="s">
        <v>290</v>
      </c>
      <c r="CW23" s="52" t="s">
        <v>456</v>
      </c>
      <c r="CX23" s="138">
        <f>B167</f>
        <v>350</v>
      </c>
      <c r="CY23" s="52" t="s">
        <v>24</v>
      </c>
      <c r="CZ23" s="91" t="s">
        <v>277</v>
      </c>
      <c r="DA23" s="145" t="e">
        <f>FO2</f>
        <v>#DIV/0!</v>
      </c>
      <c r="DB23" s="83" t="s">
        <v>290</v>
      </c>
      <c r="DF23" s="83" t="s">
        <v>267</v>
      </c>
      <c r="DG23" s="136">
        <f>B22</f>
        <v>3.8235000124999998</v>
      </c>
      <c r="DH23" s="52" t="s">
        <v>222</v>
      </c>
      <c r="DO23" s="83" t="s">
        <v>19</v>
      </c>
      <c r="DP23" s="161">
        <f>DP25</f>
        <v>0</v>
      </c>
      <c r="EA23" s="83"/>
      <c r="EB23" s="83"/>
      <c r="EC23" s="84"/>
      <c r="ED23" s="83" t="s">
        <v>19</v>
      </c>
      <c r="EE23" s="161">
        <f>EE25</f>
        <v>0</v>
      </c>
      <c r="EF23" s="84"/>
      <c r="EP23" s="83"/>
      <c r="EQ23" s="83"/>
      <c r="ER23" s="84"/>
      <c r="ES23" s="83" t="s">
        <v>19</v>
      </c>
      <c r="ET23" s="161">
        <f>ET25</f>
        <v>0</v>
      </c>
      <c r="EU23" s="84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 t="s">
        <v>19</v>
      </c>
      <c r="FI23" s="161">
        <f>FI25</f>
        <v>0</v>
      </c>
      <c r="FJ23" s="84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 t="s">
        <v>19</v>
      </c>
      <c r="GM23" s="161">
        <f>GM25</f>
        <v>0</v>
      </c>
      <c r="GN23" s="84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 t="s">
        <v>19</v>
      </c>
      <c r="HB23" s="161">
        <f>HB25</f>
        <v>0</v>
      </c>
      <c r="HC23" s="84"/>
      <c r="HD23" s="67" t="s">
        <v>14</v>
      </c>
      <c r="HE23" s="126">
        <f>((HE25*HE42)*HE38*HE33*10^-3*HE32*HE27)/(HE31*HE41*(1-EXP(-HE27*HE32)))</f>
        <v>0</v>
      </c>
      <c r="HF23" s="220" t="s">
        <v>595</v>
      </c>
    </row>
    <row r="24" spans="1:214" ht="14.25" thickTop="1" thickBot="1" x14ac:dyDescent="0.25">
      <c r="A24" s="83" t="s">
        <v>239</v>
      </c>
      <c r="B24" s="183">
        <v>0</v>
      </c>
      <c r="C24" s="52" t="s">
        <v>601</v>
      </c>
      <c r="D24" s="52" t="s">
        <v>381</v>
      </c>
      <c r="E24" s="138">
        <f>B55</f>
        <v>350</v>
      </c>
      <c r="F24" s="52" t="s">
        <v>24</v>
      </c>
      <c r="G24" s="83" t="s">
        <v>310</v>
      </c>
      <c r="H24" s="146">
        <f>B46</f>
        <v>188.5</v>
      </c>
      <c r="I24" s="92" t="s">
        <v>221</v>
      </c>
      <c r="J24" s="83" t="s">
        <v>367</v>
      </c>
      <c r="K24" s="141">
        <f>B39</f>
        <v>20</v>
      </c>
      <c r="L24" s="52" t="s">
        <v>407</v>
      </c>
      <c r="M24" s="52" t="s">
        <v>267</v>
      </c>
      <c r="N24" s="136">
        <f>B5</f>
        <v>1</v>
      </c>
      <c r="O24" s="52" t="s">
        <v>344</v>
      </c>
      <c r="P24" s="52" t="s">
        <v>267</v>
      </c>
      <c r="Q24" s="136">
        <f>B5</f>
        <v>1</v>
      </c>
      <c r="R24" s="52" t="s">
        <v>344</v>
      </c>
      <c r="V24" s="204"/>
      <c r="W24" s="205"/>
      <c r="X24" s="205"/>
      <c r="Y24" s="206"/>
      <c r="Z24" s="205"/>
      <c r="AA24" s="207"/>
      <c r="AB24" s="94" t="s">
        <v>22</v>
      </c>
      <c r="AC24" s="137">
        <f>0.693/AC25</f>
        <v>66.155354824913829</v>
      </c>
      <c r="AD24" s="137">
        <f>0.693/AD25</f>
        <v>66.155354824913829</v>
      </c>
      <c r="AE24" s="137">
        <f>0.693/AE25</f>
        <v>66.155354824913829</v>
      </c>
      <c r="AF24" s="137">
        <f>0.693/AF25</f>
        <v>66.155354824913829</v>
      </c>
      <c r="AG24" s="137">
        <f>0.693/AG25</f>
        <v>66.155354824913829</v>
      </c>
      <c r="AI24" s="52" t="s">
        <v>267</v>
      </c>
      <c r="AJ24" s="136">
        <f>B5</f>
        <v>1</v>
      </c>
      <c r="AK24" s="52" t="s">
        <v>344</v>
      </c>
      <c r="AL24" s="52" t="s">
        <v>267</v>
      </c>
      <c r="AM24" s="136">
        <f>B5</f>
        <v>1</v>
      </c>
      <c r="AN24" s="52" t="s">
        <v>344</v>
      </c>
      <c r="AR24" s="52" t="s">
        <v>267</v>
      </c>
      <c r="AS24" s="136">
        <f>B5</f>
        <v>1</v>
      </c>
      <c r="AT24" s="52" t="s">
        <v>344</v>
      </c>
      <c r="AU24" s="52" t="s">
        <v>267</v>
      </c>
      <c r="AV24" s="136">
        <f>B5</f>
        <v>1</v>
      </c>
      <c r="AW24" s="52" t="s">
        <v>344</v>
      </c>
      <c r="BA24" s="52" t="s">
        <v>267</v>
      </c>
      <c r="BB24" s="136">
        <f>B5</f>
        <v>1</v>
      </c>
      <c r="BC24" s="52" t="s">
        <v>344</v>
      </c>
      <c r="BD24" s="52" t="s">
        <v>267</v>
      </c>
      <c r="BE24" s="136">
        <f>B5</f>
        <v>1</v>
      </c>
      <c r="BF24" s="52" t="s">
        <v>344</v>
      </c>
      <c r="BJ24" s="52" t="s">
        <v>267</v>
      </c>
      <c r="BK24" s="136">
        <f>B5</f>
        <v>1</v>
      </c>
      <c r="BL24" s="52" t="s">
        <v>344</v>
      </c>
      <c r="BM24" s="52" t="s">
        <v>267</v>
      </c>
      <c r="BN24" s="136">
        <f>B5</f>
        <v>1</v>
      </c>
      <c r="BO24" s="52" t="s">
        <v>344</v>
      </c>
      <c r="BS24" s="91" t="s">
        <v>95</v>
      </c>
      <c r="BT24" s="158">
        <f>B117</f>
        <v>1</v>
      </c>
      <c r="BU24" s="91" t="s">
        <v>60</v>
      </c>
      <c r="BV24" s="83" t="s">
        <v>436</v>
      </c>
      <c r="BW24" s="138">
        <f>B115</f>
        <v>1</v>
      </c>
      <c r="BX24" s="52" t="s">
        <v>80</v>
      </c>
      <c r="BY24" s="83" t="s">
        <v>433</v>
      </c>
      <c r="BZ24" s="150">
        <f>B104</f>
        <v>75</v>
      </c>
      <c r="CA24" s="83" t="s">
        <v>24</v>
      </c>
      <c r="CB24" s="83" t="s">
        <v>22</v>
      </c>
      <c r="CC24" s="137">
        <f>0.693/CC25</f>
        <v>66.155354824913829</v>
      </c>
      <c r="CE24" s="83" t="s">
        <v>22</v>
      </c>
      <c r="CF24" s="137">
        <f>0.693/CF25</f>
        <v>66.155354824913829</v>
      </c>
      <c r="CK24" s="52" t="s">
        <v>258</v>
      </c>
      <c r="CL24" s="136">
        <f>B17</f>
        <v>0</v>
      </c>
      <c r="CM24" s="92" t="s">
        <v>259</v>
      </c>
      <c r="CN24" s="52" t="s">
        <v>20</v>
      </c>
      <c r="CO24" s="139">
        <f>CO26</f>
        <v>0</v>
      </c>
      <c r="CQ24" s="84" t="s">
        <v>170</v>
      </c>
      <c r="CR24" s="162">
        <f>B139</f>
        <v>1</v>
      </c>
      <c r="CS24" s="52" t="s">
        <v>28</v>
      </c>
      <c r="CT24" s="91" t="s">
        <v>277</v>
      </c>
      <c r="CU24" s="145" t="e">
        <f>FR2</f>
        <v>#DIV/0!</v>
      </c>
      <c r="CV24" s="92" t="s">
        <v>290</v>
      </c>
      <c r="CW24" s="52" t="s">
        <v>465</v>
      </c>
      <c r="CX24" s="138">
        <f>B168</f>
        <v>350</v>
      </c>
      <c r="CY24" s="52" t="s">
        <v>24</v>
      </c>
      <c r="CZ24" s="83" t="s">
        <v>45</v>
      </c>
      <c r="DA24" s="149">
        <f>(DA35*DA27*DA49)+(DA36*DA28*DA50)</f>
        <v>784.7</v>
      </c>
      <c r="DB24" s="52" t="s">
        <v>345</v>
      </c>
      <c r="DG24" s="138">
        <v>1000</v>
      </c>
      <c r="DO24" s="83" t="s">
        <v>26</v>
      </c>
      <c r="DP24" s="142">
        <f>DP26</f>
        <v>0.26</v>
      </c>
      <c r="EA24" s="83"/>
      <c r="EB24" s="83"/>
      <c r="EC24" s="84"/>
      <c r="ED24" s="83" t="s">
        <v>26</v>
      </c>
      <c r="EE24" s="142">
        <f>EE26</f>
        <v>0.25</v>
      </c>
      <c r="EF24" s="84"/>
      <c r="EP24" s="83"/>
      <c r="EQ24" s="83"/>
      <c r="ER24" s="84"/>
      <c r="ES24" s="83" t="s">
        <v>26</v>
      </c>
      <c r="ET24" s="142">
        <f>ET26</f>
        <v>0.25</v>
      </c>
      <c r="EU24" s="84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 t="s">
        <v>26</v>
      </c>
      <c r="FI24" s="142">
        <v>0.25</v>
      </c>
      <c r="FJ24" s="84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 t="s">
        <v>26</v>
      </c>
      <c r="GM24" s="142">
        <f>GM26</f>
        <v>0.25</v>
      </c>
      <c r="GN24" s="84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 t="s">
        <v>26</v>
      </c>
      <c r="HB24" s="142">
        <f>HB26</f>
        <v>0.25</v>
      </c>
      <c r="HC24" s="84"/>
      <c r="HD24" s="82" t="s">
        <v>14</v>
      </c>
      <c r="HE24" s="128">
        <f>((HE26*HE42)*HE38*HE33*10^-3*HE32*HE27)/(HE31*HE41*(1-EXP(-HE27*HE32)))</f>
        <v>3.3551553395363636E-2</v>
      </c>
      <c r="HF24" s="221" t="s">
        <v>596</v>
      </c>
    </row>
    <row r="25" spans="1:214" ht="15" thickTop="1" x14ac:dyDescent="0.2">
      <c r="A25" s="83" t="s">
        <v>236</v>
      </c>
      <c r="B25" s="183">
        <v>0</v>
      </c>
      <c r="C25" s="52" t="s">
        <v>388</v>
      </c>
      <c r="D25" s="83" t="s">
        <v>376</v>
      </c>
      <c r="E25" s="146">
        <f>B49</f>
        <v>0.23</v>
      </c>
      <c r="G25" s="83" t="s">
        <v>400</v>
      </c>
      <c r="H25" s="149">
        <f>(H29*H26*H68)+(H30*H27*H69)</f>
        <v>38095.4</v>
      </c>
      <c r="I25" s="92" t="s">
        <v>347</v>
      </c>
      <c r="J25" s="83" t="s">
        <v>446</v>
      </c>
      <c r="K25" s="149">
        <f>(K31*K26*K51)+(K32*K27*K52)</f>
        <v>56282.8</v>
      </c>
      <c r="L25" s="92" t="s">
        <v>347</v>
      </c>
      <c r="M25" s="52" t="s">
        <v>92</v>
      </c>
      <c r="N25" s="138">
        <f>N29</f>
        <v>1</v>
      </c>
      <c r="O25" s="52" t="s">
        <v>146</v>
      </c>
      <c r="P25" s="52" t="s">
        <v>92</v>
      </c>
      <c r="Q25" s="138">
        <f>Q29</f>
        <v>1</v>
      </c>
      <c r="R25" s="52" t="s">
        <v>146</v>
      </c>
      <c r="V25" s="200" t="s">
        <v>16</v>
      </c>
      <c r="W25" s="61">
        <f>1/((1/W40)+(1/W41))</f>
        <v>1.796094044188199</v>
      </c>
      <c r="X25" s="62" t="s">
        <v>289</v>
      </c>
      <c r="Y25" s="202" t="s">
        <v>16</v>
      </c>
      <c r="Z25" s="187">
        <f>1/((1/Z41)+(1/Z40))</f>
        <v>0.97086164550713372</v>
      </c>
      <c r="AA25" s="63" t="s">
        <v>289</v>
      </c>
      <c r="AB25" s="91" t="s">
        <v>231</v>
      </c>
      <c r="AC25" s="136">
        <f>B18</f>
        <v>1.04753425E-2</v>
      </c>
      <c r="AD25" s="136">
        <f>B18</f>
        <v>1.04753425E-2</v>
      </c>
      <c r="AE25" s="136">
        <f>B18</f>
        <v>1.04753425E-2</v>
      </c>
      <c r="AF25" s="136">
        <f>B18</f>
        <v>1.04753425E-2</v>
      </c>
      <c r="AG25" s="136">
        <f>B18</f>
        <v>1.04753425E-2</v>
      </c>
      <c r="AH25" s="52" t="s">
        <v>60</v>
      </c>
      <c r="AI25" s="52" t="s">
        <v>306</v>
      </c>
      <c r="AJ25" s="138">
        <f>AJ29</f>
        <v>1</v>
      </c>
      <c r="AK25" s="52" t="s">
        <v>146</v>
      </c>
      <c r="AL25" s="52" t="s">
        <v>306</v>
      </c>
      <c r="AM25" s="138">
        <f>AM29</f>
        <v>1</v>
      </c>
      <c r="AN25" s="52" t="s">
        <v>146</v>
      </c>
      <c r="AR25" s="52" t="s">
        <v>305</v>
      </c>
      <c r="AS25" s="138">
        <f>AS29</f>
        <v>1</v>
      </c>
      <c r="AT25" s="52" t="s">
        <v>146</v>
      </c>
      <c r="AU25" s="52" t="s">
        <v>305</v>
      </c>
      <c r="AV25" s="138">
        <f>AV29</f>
        <v>1</v>
      </c>
      <c r="AW25" s="52" t="s">
        <v>146</v>
      </c>
      <c r="BA25" s="52" t="s">
        <v>74</v>
      </c>
      <c r="BB25" s="138">
        <f>BB29</f>
        <v>1</v>
      </c>
      <c r="BC25" s="52" t="s">
        <v>146</v>
      </c>
      <c r="BD25" s="52" t="s">
        <v>74</v>
      </c>
      <c r="BE25" s="138">
        <f>BE29</f>
        <v>1</v>
      </c>
      <c r="BF25" s="52" t="s">
        <v>146</v>
      </c>
      <c r="BJ25" s="52" t="s">
        <v>307</v>
      </c>
      <c r="BK25" s="138">
        <v>1</v>
      </c>
      <c r="BL25" s="52" t="s">
        <v>146</v>
      </c>
      <c r="BM25" s="52" t="s">
        <v>307</v>
      </c>
      <c r="BN25" s="138">
        <v>1</v>
      </c>
      <c r="BO25" s="52" t="s">
        <v>146</v>
      </c>
      <c r="BS25" s="91" t="s">
        <v>308</v>
      </c>
      <c r="BT25" s="178">
        <f>B101</f>
        <v>0.23</v>
      </c>
      <c r="BU25" s="98"/>
      <c r="BW25" s="138">
        <f>1/1000</f>
        <v>1E-3</v>
      </c>
      <c r="BX25" s="52" t="s">
        <v>82</v>
      </c>
      <c r="BY25" s="83" t="s">
        <v>431</v>
      </c>
      <c r="BZ25" s="150">
        <f>B108</f>
        <v>1</v>
      </c>
      <c r="CA25" s="94" t="s">
        <v>194</v>
      </c>
      <c r="CB25" s="91" t="s">
        <v>231</v>
      </c>
      <c r="CC25" s="136">
        <f>B18</f>
        <v>1.04753425E-2</v>
      </c>
      <c r="CD25" s="52" t="s">
        <v>60</v>
      </c>
      <c r="CE25" s="91" t="s">
        <v>231</v>
      </c>
      <c r="CF25" s="136">
        <f>B18</f>
        <v>1.04753425E-2</v>
      </c>
      <c r="CG25" s="52" t="s">
        <v>60</v>
      </c>
      <c r="CK25" s="52" t="s">
        <v>140</v>
      </c>
      <c r="CL25" s="138">
        <f>B103</f>
        <v>75</v>
      </c>
      <c r="CM25" s="91" t="s">
        <v>24</v>
      </c>
      <c r="CN25" s="52" t="s">
        <v>26</v>
      </c>
      <c r="CO25" s="163">
        <f>CO27</f>
        <v>0.25</v>
      </c>
      <c r="CR25" s="138">
        <v>1000</v>
      </c>
      <c r="CS25" s="52" t="s">
        <v>132</v>
      </c>
      <c r="CT25" s="83" t="s">
        <v>505</v>
      </c>
      <c r="CU25" s="155">
        <f>(CU27*CU31*CU47)+(CU28*CU32*CU48)</f>
        <v>40250</v>
      </c>
      <c r="CV25" s="83" t="s">
        <v>346</v>
      </c>
      <c r="CW25" s="83" t="s">
        <v>475</v>
      </c>
      <c r="CX25" s="146">
        <f>B165</f>
        <v>0.15</v>
      </c>
      <c r="CZ25" s="83" t="s">
        <v>43</v>
      </c>
      <c r="DA25" s="140">
        <f>(DA35*DA29*(DA38/24)*DA49)+(DA36*DA30*(DA39/24)*DA50)</f>
        <v>6475</v>
      </c>
      <c r="DB25" s="83" t="s">
        <v>426</v>
      </c>
      <c r="DF25" s="52" t="s">
        <v>33</v>
      </c>
      <c r="DG25" s="136">
        <f>B32</f>
        <v>0</v>
      </c>
      <c r="DO25" s="83" t="s">
        <v>32</v>
      </c>
      <c r="DP25" s="136">
        <f>B31</f>
        <v>0</v>
      </c>
      <c r="EA25" s="83"/>
      <c r="EC25" s="84"/>
      <c r="ED25" s="83" t="s">
        <v>33</v>
      </c>
      <c r="EE25" s="136">
        <f>B32</f>
        <v>0</v>
      </c>
      <c r="EF25" s="84"/>
      <c r="EP25" s="83"/>
      <c r="ER25" s="84"/>
      <c r="ES25" s="83" t="s">
        <v>33</v>
      </c>
      <c r="ET25" s="136">
        <f>B32</f>
        <v>0</v>
      </c>
      <c r="EU25" s="84"/>
      <c r="EV25" s="84"/>
      <c r="EW25" s="84"/>
      <c r="EX25" s="84"/>
      <c r="EY25" s="83"/>
      <c r="EZ25" s="83"/>
      <c r="FA25" s="83"/>
      <c r="FB25" s="83"/>
      <c r="FC25" s="83"/>
      <c r="FD25" s="83"/>
      <c r="FE25" s="83"/>
      <c r="FF25" s="83"/>
      <c r="FG25" s="83"/>
      <c r="FH25" s="83" t="s">
        <v>33</v>
      </c>
      <c r="FI25" s="161">
        <f>B32</f>
        <v>0</v>
      </c>
      <c r="FJ25" s="84"/>
      <c r="FK25" s="84"/>
      <c r="FL25" s="84"/>
      <c r="FM25" s="84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4"/>
      <c r="GA25" s="84"/>
      <c r="GB25" s="84"/>
      <c r="GC25" s="83"/>
      <c r="GD25" s="83"/>
      <c r="GE25" s="83"/>
      <c r="GF25" s="83"/>
      <c r="GG25" s="83"/>
      <c r="GH25" s="83"/>
      <c r="GI25" s="83"/>
      <c r="GJ25" s="83"/>
      <c r="GK25" s="83"/>
      <c r="GL25" s="83" t="s">
        <v>33</v>
      </c>
      <c r="GM25" s="161">
        <f>B32</f>
        <v>0</v>
      </c>
      <c r="GN25" s="84"/>
      <c r="GO25" s="84"/>
      <c r="GP25" s="84"/>
      <c r="GQ25" s="84"/>
      <c r="GR25" s="83"/>
      <c r="GS25" s="83"/>
      <c r="GT25" s="83"/>
      <c r="GU25" s="83"/>
      <c r="GV25" s="83"/>
      <c r="GW25" s="83"/>
      <c r="GX25" s="83"/>
      <c r="GY25" s="83"/>
      <c r="GZ25" s="83"/>
      <c r="HA25" s="83" t="s">
        <v>33</v>
      </c>
      <c r="HB25" s="161">
        <f>B32</f>
        <v>0</v>
      </c>
      <c r="HC25" s="84"/>
      <c r="HD25" s="89" t="s">
        <v>21</v>
      </c>
      <c r="HE25" s="150">
        <f>B34</f>
        <v>0</v>
      </c>
      <c r="HF25" s="83" t="s">
        <v>291</v>
      </c>
    </row>
    <row r="26" spans="1:214" ht="13.5" thickBot="1" x14ac:dyDescent="0.25">
      <c r="A26" s="83" t="s">
        <v>237</v>
      </c>
      <c r="B26" s="183">
        <v>0</v>
      </c>
      <c r="C26" s="52" t="s">
        <v>388</v>
      </c>
      <c r="D26" s="83" t="s">
        <v>377</v>
      </c>
      <c r="E26" s="146">
        <f>B50</f>
        <v>0.77</v>
      </c>
      <c r="G26" s="83" t="s">
        <v>401</v>
      </c>
      <c r="H26" s="146">
        <f>B151</f>
        <v>41.7</v>
      </c>
      <c r="I26" s="92" t="s">
        <v>221</v>
      </c>
      <c r="J26" s="83" t="s">
        <v>399</v>
      </c>
      <c r="K26" s="146">
        <f>B45</f>
        <v>68.099999999999994</v>
      </c>
      <c r="L26" s="92" t="s">
        <v>221</v>
      </c>
      <c r="M26" s="83" t="s">
        <v>22</v>
      </c>
      <c r="N26" s="137">
        <f>0.693/N27</f>
        <v>66.155354824913829</v>
      </c>
      <c r="P26" s="83" t="s">
        <v>22</v>
      </c>
      <c r="Q26" s="137">
        <f>0.693/Q27</f>
        <v>66.155354824913829</v>
      </c>
      <c r="V26" s="201" t="s">
        <v>15</v>
      </c>
      <c r="W26" s="75">
        <f>1/((1/W38)+(1/W39))</f>
        <v>2.7149639646582284E-2</v>
      </c>
      <c r="X26" s="76" t="s">
        <v>289</v>
      </c>
      <c r="Y26" s="203" t="s">
        <v>15</v>
      </c>
      <c r="Z26" s="185">
        <f>1/((1/Z38)+(1/Z39))</f>
        <v>1.4675480890044463E-2</v>
      </c>
      <c r="AA26" s="77" t="s">
        <v>289</v>
      </c>
      <c r="AC26" s="150">
        <v>365</v>
      </c>
      <c r="AD26" s="150">
        <v>365</v>
      </c>
      <c r="AE26" s="150">
        <v>365</v>
      </c>
      <c r="AF26" s="150">
        <v>365</v>
      </c>
      <c r="AG26" s="150">
        <v>365</v>
      </c>
      <c r="AH26" s="52" t="s">
        <v>24</v>
      </c>
      <c r="AI26" s="83" t="s">
        <v>22</v>
      </c>
      <c r="AJ26" s="137">
        <f>0.693/AJ27</f>
        <v>66.155354824913829</v>
      </c>
      <c r="AL26" s="83" t="s">
        <v>22</v>
      </c>
      <c r="AM26" s="137">
        <f>0.693/AM27</f>
        <v>66.155354824913829</v>
      </c>
      <c r="AR26" s="83" t="s">
        <v>22</v>
      </c>
      <c r="AS26" s="137">
        <f>0.693/AS27</f>
        <v>66.155354824913829</v>
      </c>
      <c r="AU26" s="83" t="s">
        <v>22</v>
      </c>
      <c r="AV26" s="137">
        <f>0.693/AV27</f>
        <v>66.155354824913829</v>
      </c>
      <c r="BA26" s="83" t="s">
        <v>22</v>
      </c>
      <c r="BB26" s="137">
        <f>0.693/BB27</f>
        <v>66.155354824913829</v>
      </c>
      <c r="BD26" s="83" t="s">
        <v>22</v>
      </c>
      <c r="BE26" s="137">
        <f>0.693/BE27</f>
        <v>66.155354824913829</v>
      </c>
      <c r="BJ26" s="83" t="s">
        <v>22</v>
      </c>
      <c r="BK26" s="137">
        <f>0.693/BK27</f>
        <v>66.155354824913829</v>
      </c>
      <c r="BM26" s="83" t="s">
        <v>22</v>
      </c>
      <c r="BN26" s="137">
        <f>0.693/BN27</f>
        <v>66.155354824913829</v>
      </c>
      <c r="BS26" s="91" t="s">
        <v>309</v>
      </c>
      <c r="BT26" s="177">
        <f>B102</f>
        <v>0.77</v>
      </c>
      <c r="BU26" s="100"/>
      <c r="BW26" s="138">
        <v>1000</v>
      </c>
      <c r="BX26" s="52" t="s">
        <v>427</v>
      </c>
      <c r="BY26" s="83" t="s">
        <v>432</v>
      </c>
      <c r="BZ26" s="150">
        <f>B106</f>
        <v>1</v>
      </c>
      <c r="CA26" s="94" t="s">
        <v>194</v>
      </c>
      <c r="CB26" s="52" t="s">
        <v>140</v>
      </c>
      <c r="CC26" s="138">
        <f>B103</f>
        <v>75</v>
      </c>
      <c r="CD26" s="52" t="s">
        <v>24</v>
      </c>
      <c r="CE26" s="52" t="s">
        <v>140</v>
      </c>
      <c r="CF26" s="138">
        <f>B103</f>
        <v>75</v>
      </c>
      <c r="CG26" s="52" t="s">
        <v>24</v>
      </c>
      <c r="CK26" s="52" t="s">
        <v>160</v>
      </c>
      <c r="CL26" s="162">
        <f>B134</f>
        <v>1</v>
      </c>
      <c r="CM26" s="52" t="s">
        <v>221</v>
      </c>
      <c r="CN26" s="52" t="s">
        <v>33</v>
      </c>
      <c r="CO26" s="136">
        <f>B32</f>
        <v>0</v>
      </c>
      <c r="CT26" s="83" t="s">
        <v>506</v>
      </c>
      <c r="CU26" s="155">
        <f>((CU31*CU29*CU47)+(CU32*CU30*CU48))</f>
        <v>6475</v>
      </c>
      <c r="CV26" s="52" t="s">
        <v>426</v>
      </c>
      <c r="CW26" s="83" t="s">
        <v>476</v>
      </c>
      <c r="CX26" s="141">
        <f>B166</f>
        <v>0.85</v>
      </c>
      <c r="CY26" s="83"/>
      <c r="CZ26" s="83" t="s">
        <v>142</v>
      </c>
      <c r="DA26" s="149">
        <f>(DA35*DA40*DA42*DA49)+(DA36*DA41*DA43*DA50)</f>
        <v>239.57499999999999</v>
      </c>
      <c r="DB26" s="52" t="s">
        <v>356</v>
      </c>
      <c r="DF26" s="95"/>
      <c r="DG26" s="176"/>
      <c r="DO26" s="83" t="s">
        <v>393</v>
      </c>
      <c r="DP26" s="138">
        <f>B35</f>
        <v>0.26</v>
      </c>
      <c r="EA26" s="83"/>
      <c r="EB26" s="84"/>
      <c r="EC26" s="84"/>
      <c r="ED26" s="83" t="s">
        <v>392</v>
      </c>
      <c r="EE26" s="163">
        <f>B36</f>
        <v>0.25</v>
      </c>
      <c r="EF26" s="84"/>
      <c r="EP26" s="83"/>
      <c r="EQ26" s="84"/>
      <c r="ER26" s="84"/>
      <c r="ES26" s="83" t="s">
        <v>392</v>
      </c>
      <c r="ET26" s="163">
        <f>B36</f>
        <v>0.25</v>
      </c>
      <c r="EU26" s="84"/>
      <c r="EV26" s="84"/>
      <c r="EW26" s="84"/>
      <c r="EX26" s="84"/>
      <c r="EY26" s="83"/>
      <c r="EZ26" s="83"/>
      <c r="FA26" s="83"/>
      <c r="FB26" s="83"/>
      <c r="FC26" s="83"/>
      <c r="FD26" s="83"/>
      <c r="FE26" s="83"/>
      <c r="FF26" s="83"/>
      <c r="FG26" s="83"/>
      <c r="FH26" s="83" t="s">
        <v>392</v>
      </c>
      <c r="FI26" s="142">
        <f>B36</f>
        <v>0.25</v>
      </c>
      <c r="FJ26" s="84"/>
      <c r="FK26" s="84"/>
      <c r="FL26" s="84"/>
      <c r="FM26" s="84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4"/>
      <c r="GA26" s="84"/>
      <c r="GB26" s="84"/>
      <c r="GC26" s="83"/>
      <c r="GD26" s="83"/>
      <c r="GE26" s="83"/>
      <c r="GF26" s="83"/>
      <c r="GG26" s="83"/>
      <c r="GH26" s="83"/>
      <c r="GI26" s="83"/>
      <c r="GJ26" s="83"/>
      <c r="GK26" s="83"/>
      <c r="GL26" s="83" t="s">
        <v>392</v>
      </c>
      <c r="GM26" s="142">
        <f>B36</f>
        <v>0.25</v>
      </c>
      <c r="GN26" s="84"/>
      <c r="GO26" s="84"/>
      <c r="GP26" s="84"/>
      <c r="GQ26" s="84"/>
      <c r="GR26" s="83"/>
      <c r="GS26" s="83"/>
      <c r="GT26" s="83"/>
      <c r="GU26" s="83"/>
      <c r="GV26" s="83"/>
      <c r="GW26" s="83"/>
      <c r="GX26" s="83"/>
      <c r="GY26" s="83"/>
      <c r="GZ26" s="83"/>
      <c r="HA26" s="83" t="s">
        <v>392</v>
      </c>
      <c r="HB26" s="142">
        <f>B36</f>
        <v>0.25</v>
      </c>
      <c r="HC26" s="84"/>
      <c r="HD26" s="84" t="s">
        <v>265</v>
      </c>
      <c r="HE26" s="139">
        <f>H2</f>
        <v>9.5514491728639558E-2</v>
      </c>
      <c r="HF26" s="83" t="s">
        <v>291</v>
      </c>
    </row>
    <row r="27" spans="1:214" ht="13.5" thickTop="1" x14ac:dyDescent="0.2">
      <c r="A27" s="83" t="s">
        <v>171</v>
      </c>
      <c r="B27" s="183">
        <v>0</v>
      </c>
      <c r="C27" s="52" t="s">
        <v>388</v>
      </c>
      <c r="D27" s="95" t="s">
        <v>287</v>
      </c>
      <c r="E27" s="176">
        <v>27.027027027027</v>
      </c>
      <c r="F27" s="52" t="s">
        <v>288</v>
      </c>
      <c r="G27" s="83" t="s">
        <v>402</v>
      </c>
      <c r="H27" s="146">
        <f>B48</f>
        <v>128.9</v>
      </c>
      <c r="I27" s="92" t="s">
        <v>221</v>
      </c>
      <c r="J27" s="83" t="s">
        <v>310</v>
      </c>
      <c r="K27" s="146">
        <f>B46</f>
        <v>188.5</v>
      </c>
      <c r="L27" s="92" t="s">
        <v>221</v>
      </c>
      <c r="M27" s="91" t="s">
        <v>231</v>
      </c>
      <c r="N27" s="136">
        <f>B18</f>
        <v>1.04753425E-2</v>
      </c>
      <c r="O27" s="52" t="s">
        <v>60</v>
      </c>
      <c r="P27" s="91" t="s">
        <v>231</v>
      </c>
      <c r="Q27" s="136">
        <f>B18</f>
        <v>1.04753425E-2</v>
      </c>
      <c r="R27" s="52" t="s">
        <v>60</v>
      </c>
      <c r="V27" s="52" t="s">
        <v>267</v>
      </c>
      <c r="W27" s="136">
        <f>B5</f>
        <v>1</v>
      </c>
      <c r="X27" s="52" t="s">
        <v>344</v>
      </c>
      <c r="Y27" s="52" t="s">
        <v>267</v>
      </c>
      <c r="Z27" s="136">
        <f>B5</f>
        <v>1</v>
      </c>
      <c r="AA27" s="52" t="s">
        <v>344</v>
      </c>
      <c r="AB27" s="84" t="s">
        <v>16</v>
      </c>
      <c r="AC27" s="156">
        <f>(AC23*AC24)/(1-EXP(-AC24*AC23))</f>
        <v>66.155354824913829</v>
      </c>
      <c r="AD27" s="156">
        <f>(AD23*AD24)/(1-EXP(-AD24*AD23))</f>
        <v>66.155354824913829</v>
      </c>
      <c r="AE27" s="156">
        <f>(AE23*AE24)/(1-EXP(-AE24*AE23))</f>
        <v>66.155354824913829</v>
      </c>
      <c r="AF27" s="156">
        <f>(AF23*AF24)/(1-EXP(-AF24*AF23))</f>
        <v>66.155354824913829</v>
      </c>
      <c r="AG27" s="156">
        <f>(AG23*AG24)/(1-EXP(-AG24*AG23))</f>
        <v>66.155354824913829</v>
      </c>
      <c r="AI27" s="91" t="s">
        <v>231</v>
      </c>
      <c r="AJ27" s="136">
        <f>B18</f>
        <v>1.04753425E-2</v>
      </c>
      <c r="AK27" s="52" t="s">
        <v>60</v>
      </c>
      <c r="AL27" s="91" t="s">
        <v>231</v>
      </c>
      <c r="AM27" s="136">
        <f>B18</f>
        <v>1.04753425E-2</v>
      </c>
      <c r="AN27" s="52" t="s">
        <v>60</v>
      </c>
      <c r="AR27" s="91" t="s">
        <v>231</v>
      </c>
      <c r="AS27" s="136">
        <f>B18</f>
        <v>1.04753425E-2</v>
      </c>
      <c r="AT27" s="52" t="s">
        <v>60</v>
      </c>
      <c r="AU27" s="91" t="s">
        <v>231</v>
      </c>
      <c r="AV27" s="136">
        <f>B18</f>
        <v>1.04753425E-2</v>
      </c>
      <c r="AW27" s="52" t="s">
        <v>60</v>
      </c>
      <c r="BA27" s="91" t="s">
        <v>231</v>
      </c>
      <c r="BB27" s="136">
        <f>B18</f>
        <v>1.04753425E-2</v>
      </c>
      <c r="BC27" s="52" t="s">
        <v>60</v>
      </c>
      <c r="BD27" s="91" t="s">
        <v>231</v>
      </c>
      <c r="BE27" s="136">
        <f>B18</f>
        <v>1.04753425E-2</v>
      </c>
      <c r="BF27" s="52" t="s">
        <v>60</v>
      </c>
      <c r="BJ27" s="91" t="s">
        <v>231</v>
      </c>
      <c r="BK27" s="136">
        <f>B18</f>
        <v>1.04753425E-2</v>
      </c>
      <c r="BL27" s="52" t="s">
        <v>60</v>
      </c>
      <c r="BM27" s="91" t="s">
        <v>231</v>
      </c>
      <c r="BN27" s="136">
        <f>B18</f>
        <v>1.04753425E-2</v>
      </c>
      <c r="BO27" s="52" t="s">
        <v>60</v>
      </c>
      <c r="BS27" s="95" t="s">
        <v>287</v>
      </c>
      <c r="BT27" s="176">
        <v>27.027027027027</v>
      </c>
      <c r="BU27" s="52" t="s">
        <v>288</v>
      </c>
      <c r="BW27" s="138">
        <v>1000</v>
      </c>
      <c r="BX27" s="52" t="s">
        <v>218</v>
      </c>
      <c r="BY27" s="83" t="s">
        <v>90</v>
      </c>
      <c r="BZ27" s="150">
        <f>B107</f>
        <v>1</v>
      </c>
      <c r="CA27" s="52" t="s">
        <v>194</v>
      </c>
      <c r="CB27" s="52" t="s">
        <v>51</v>
      </c>
      <c r="CC27" s="138">
        <f>B117</f>
        <v>1</v>
      </c>
      <c r="CD27" s="52" t="s">
        <v>146</v>
      </c>
      <c r="CE27" s="52" t="s">
        <v>51</v>
      </c>
      <c r="CF27" s="138">
        <f>B117</f>
        <v>1</v>
      </c>
      <c r="CG27" s="52" t="s">
        <v>146</v>
      </c>
      <c r="CK27" s="95" t="s">
        <v>287</v>
      </c>
      <c r="CL27" s="176">
        <v>27.027027027027</v>
      </c>
      <c r="CM27" s="52" t="s">
        <v>288</v>
      </c>
      <c r="CN27" s="52" t="s">
        <v>392</v>
      </c>
      <c r="CO27" s="162">
        <f>B36</f>
        <v>0.25</v>
      </c>
      <c r="CT27" s="83" t="s">
        <v>449</v>
      </c>
      <c r="CU27" s="146">
        <f>B141</f>
        <v>200</v>
      </c>
      <c r="CV27" s="84" t="s">
        <v>48</v>
      </c>
      <c r="CW27" s="95" t="s">
        <v>287</v>
      </c>
      <c r="CX27" s="176">
        <v>27.027027027027</v>
      </c>
      <c r="CY27" s="52" t="s">
        <v>288</v>
      </c>
      <c r="CZ27" s="92" t="s">
        <v>451</v>
      </c>
      <c r="DA27" s="142">
        <f t="shared" ref="DA27:DA34" si="0">B145</f>
        <v>0.78</v>
      </c>
      <c r="DB27" s="83" t="s">
        <v>28</v>
      </c>
      <c r="DO27" s="95"/>
      <c r="DP27" s="176"/>
      <c r="DW27" s="88"/>
      <c r="DX27" s="88"/>
      <c r="DY27" s="88"/>
      <c r="DZ27" s="88"/>
      <c r="EA27" s="83"/>
      <c r="EB27" s="85"/>
      <c r="ED27" s="83" t="s">
        <v>517</v>
      </c>
      <c r="EE27" s="136">
        <f>B24</f>
        <v>0</v>
      </c>
      <c r="EF27" s="52" t="s">
        <v>601</v>
      </c>
      <c r="EP27" s="83"/>
      <c r="EQ27" s="86"/>
      <c r="ES27" s="83" t="s">
        <v>236</v>
      </c>
      <c r="ET27" s="169">
        <f>B25</f>
        <v>0</v>
      </c>
      <c r="EV27" s="84"/>
      <c r="EW27" s="84"/>
      <c r="EX27" s="84"/>
      <c r="EY27" s="88"/>
      <c r="EZ27" s="88"/>
      <c r="FA27" s="88"/>
      <c r="FB27" s="88"/>
      <c r="FC27" s="88"/>
      <c r="FD27" s="88"/>
      <c r="FE27" s="88"/>
      <c r="FF27" s="88"/>
      <c r="FG27" s="88"/>
      <c r="FH27" s="83" t="s">
        <v>171</v>
      </c>
      <c r="FI27" s="169">
        <f>B27</f>
        <v>0</v>
      </c>
      <c r="FK27" s="84"/>
      <c r="FL27" s="84"/>
      <c r="FM27" s="84"/>
      <c r="FN27" s="88"/>
      <c r="FO27" s="88"/>
      <c r="FP27" s="88"/>
      <c r="FQ27" s="88"/>
      <c r="FR27" s="88"/>
      <c r="FS27" s="88"/>
      <c r="FT27" s="88"/>
      <c r="FU27" s="88"/>
      <c r="FV27" s="88"/>
      <c r="FW27" s="83"/>
      <c r="FX27" s="93"/>
      <c r="FY27" s="88"/>
      <c r="FZ27" s="84"/>
      <c r="GA27" s="84"/>
      <c r="GB27" s="84"/>
      <c r="GC27" s="88"/>
      <c r="GD27" s="88"/>
      <c r="GE27" s="88"/>
      <c r="GF27" s="88"/>
      <c r="GG27" s="88"/>
      <c r="GH27" s="88"/>
      <c r="GI27" s="88"/>
      <c r="GJ27" s="88"/>
      <c r="GK27" s="88"/>
      <c r="GL27" s="83" t="s">
        <v>237</v>
      </c>
      <c r="GM27" s="169">
        <f>B26</f>
        <v>0</v>
      </c>
      <c r="GN27" s="52" t="s">
        <v>388</v>
      </c>
      <c r="GO27" s="84"/>
      <c r="GP27" s="84"/>
      <c r="GQ27" s="84"/>
      <c r="GR27" s="88"/>
      <c r="GS27" s="88"/>
      <c r="GT27" s="88"/>
      <c r="GU27" s="88"/>
      <c r="GV27" s="88"/>
      <c r="GW27" s="88"/>
      <c r="GX27" s="88"/>
      <c r="GY27" s="88"/>
      <c r="GZ27" s="88"/>
      <c r="HA27" s="83" t="s">
        <v>238</v>
      </c>
      <c r="HB27" s="169">
        <f>B28</f>
        <v>0</v>
      </c>
      <c r="HC27" s="52" t="s">
        <v>388</v>
      </c>
      <c r="HD27" s="83" t="s">
        <v>22</v>
      </c>
      <c r="HE27" s="137">
        <f>0.693/HE29</f>
        <v>66.155354824913829</v>
      </c>
    </row>
    <row r="28" spans="1:214" x14ac:dyDescent="0.2">
      <c r="A28" s="83" t="s">
        <v>238</v>
      </c>
      <c r="B28" s="183">
        <v>0</v>
      </c>
      <c r="C28" s="52" t="s">
        <v>388</v>
      </c>
      <c r="G28" s="83" t="s">
        <v>65</v>
      </c>
      <c r="H28" s="141">
        <f>B65</f>
        <v>0.5</v>
      </c>
      <c r="I28" s="52" t="s">
        <v>66</v>
      </c>
      <c r="J28" s="83" t="s">
        <v>447</v>
      </c>
      <c r="K28" s="149">
        <f>(K31*K29*K51)+(K32*K30*K52)</f>
        <v>38095.4</v>
      </c>
      <c r="L28" s="92" t="s">
        <v>347</v>
      </c>
      <c r="M28" s="52" t="s">
        <v>382</v>
      </c>
      <c r="N28" s="138">
        <f>B56</f>
        <v>350</v>
      </c>
      <c r="O28" s="52" t="s">
        <v>24</v>
      </c>
      <c r="P28" s="52" t="s">
        <v>382</v>
      </c>
      <c r="Q28" s="138">
        <f>B56</f>
        <v>350</v>
      </c>
      <c r="R28" s="52" t="s">
        <v>24</v>
      </c>
      <c r="V28" s="52" t="s">
        <v>306</v>
      </c>
      <c r="W28" s="138">
        <f>W32</f>
        <v>1</v>
      </c>
      <c r="X28" s="52" t="s">
        <v>60</v>
      </c>
      <c r="Y28" s="52" t="s">
        <v>307</v>
      </c>
      <c r="Z28" s="138">
        <f>Z32</f>
        <v>1</v>
      </c>
      <c r="AA28" s="52" t="s">
        <v>60</v>
      </c>
      <c r="AC28" s="138">
        <v>1000</v>
      </c>
      <c r="AD28" s="138">
        <v>1000</v>
      </c>
      <c r="AE28" s="138">
        <v>1000</v>
      </c>
      <c r="AF28" s="138">
        <v>1000</v>
      </c>
      <c r="AG28" s="138">
        <v>1000</v>
      </c>
      <c r="AH28" s="52" t="s">
        <v>99</v>
      </c>
      <c r="AI28" s="52" t="s">
        <v>35</v>
      </c>
      <c r="AJ28" s="138">
        <f>B243</f>
        <v>250</v>
      </c>
      <c r="AK28" s="52" t="s">
        <v>24</v>
      </c>
      <c r="AL28" s="52" t="s">
        <v>35</v>
      </c>
      <c r="AM28" s="138">
        <f>B243</f>
        <v>250</v>
      </c>
      <c r="AN28" s="52" t="s">
        <v>24</v>
      </c>
      <c r="AR28" s="52" t="s">
        <v>423</v>
      </c>
      <c r="AS28" s="138">
        <f>B255</f>
        <v>225</v>
      </c>
      <c r="AT28" s="52" t="s">
        <v>24</v>
      </c>
      <c r="AU28" s="52" t="s">
        <v>423</v>
      </c>
      <c r="AV28" s="138">
        <f>B255</f>
        <v>225</v>
      </c>
      <c r="AW28" s="52" t="s">
        <v>24</v>
      </c>
      <c r="BA28" s="52" t="s">
        <v>316</v>
      </c>
      <c r="BB28" s="138">
        <f>B231</f>
        <v>250</v>
      </c>
      <c r="BC28" s="52" t="s">
        <v>24</v>
      </c>
      <c r="BD28" s="52" t="s">
        <v>316</v>
      </c>
      <c r="BE28" s="138">
        <f>B231</f>
        <v>250</v>
      </c>
      <c r="BF28" s="52" t="s">
        <v>24</v>
      </c>
      <c r="BJ28" s="52" t="s">
        <v>191</v>
      </c>
      <c r="BK28" s="138">
        <f>BK29*BK30</f>
        <v>250</v>
      </c>
      <c r="BL28" s="52" t="s">
        <v>24</v>
      </c>
      <c r="BM28" s="52" t="s">
        <v>191</v>
      </c>
      <c r="BN28" s="138">
        <f>BN29*BN30</f>
        <v>250</v>
      </c>
      <c r="BO28" s="52" t="s">
        <v>24</v>
      </c>
      <c r="BS28" s="96"/>
      <c r="BV28" s="83"/>
      <c r="BW28" s="146">
        <v>365</v>
      </c>
      <c r="BX28" s="84" t="s">
        <v>24</v>
      </c>
      <c r="BY28" s="83" t="s">
        <v>302</v>
      </c>
      <c r="BZ28" s="141">
        <f>B118</f>
        <v>2.41E-4</v>
      </c>
      <c r="CB28" s="52" t="s">
        <v>300</v>
      </c>
      <c r="CC28" s="138">
        <f>B126</f>
        <v>1.5699999999999999E-5</v>
      </c>
      <c r="CE28" s="52" t="s">
        <v>300</v>
      </c>
      <c r="CF28" s="138">
        <f>B122</f>
        <v>1.35E-4</v>
      </c>
      <c r="CN28" s="52" t="s">
        <v>165</v>
      </c>
      <c r="CO28" s="162">
        <f>B135</f>
        <v>1</v>
      </c>
      <c r="CP28" s="52" t="s">
        <v>246</v>
      </c>
      <c r="CT28" s="83" t="s">
        <v>458</v>
      </c>
      <c r="CU28" s="146">
        <f>B142</f>
        <v>100</v>
      </c>
      <c r="CV28" s="84" t="s">
        <v>48</v>
      </c>
      <c r="CZ28" s="92" t="s">
        <v>460</v>
      </c>
      <c r="DA28" s="142">
        <f t="shared" si="0"/>
        <v>2.5</v>
      </c>
      <c r="DB28" s="83" t="s">
        <v>28</v>
      </c>
      <c r="DW28" s="88"/>
      <c r="DX28" s="88"/>
      <c r="DY28" s="88"/>
      <c r="DZ28" s="88"/>
      <c r="ED28" s="95"/>
      <c r="EE28" s="176"/>
      <c r="ES28" s="95"/>
      <c r="ET28" s="176"/>
      <c r="EV28" s="84"/>
      <c r="EW28" s="84"/>
      <c r="EX28" s="84"/>
      <c r="EY28" s="88"/>
      <c r="EZ28" s="88"/>
      <c r="FA28" s="88"/>
      <c r="FB28" s="88"/>
      <c r="FC28" s="88"/>
      <c r="FD28" s="88"/>
      <c r="FE28" s="88"/>
      <c r="FF28" s="88"/>
      <c r="FG28" s="88"/>
      <c r="FH28" s="95"/>
      <c r="FI28" s="176"/>
      <c r="FK28" s="84"/>
      <c r="FL28" s="84"/>
      <c r="FM28" s="84"/>
      <c r="FN28" s="88"/>
      <c r="FO28" s="88"/>
      <c r="FP28" s="88"/>
      <c r="FQ28" s="88"/>
      <c r="FR28" s="88"/>
      <c r="FS28" s="88"/>
      <c r="FT28" s="88"/>
      <c r="FU28" s="88"/>
      <c r="FV28" s="88"/>
      <c r="FZ28" s="84"/>
      <c r="GA28" s="84"/>
      <c r="GB28" s="84"/>
      <c r="GC28" s="88"/>
      <c r="GD28" s="88"/>
      <c r="GE28" s="88"/>
      <c r="GF28" s="88"/>
      <c r="GG28" s="88"/>
      <c r="GH28" s="88"/>
      <c r="GI28" s="88"/>
      <c r="GJ28" s="88"/>
      <c r="GK28" s="88"/>
      <c r="GL28" s="95"/>
      <c r="GM28" s="176"/>
      <c r="GO28" s="84"/>
      <c r="GP28" s="84"/>
      <c r="GQ28" s="84"/>
      <c r="GR28" s="88"/>
      <c r="GS28" s="88"/>
      <c r="GT28" s="88"/>
      <c r="GU28" s="88"/>
      <c r="GV28" s="88"/>
      <c r="GW28" s="88"/>
      <c r="GX28" s="88"/>
      <c r="GY28" s="88"/>
      <c r="GZ28" s="88"/>
      <c r="HA28" s="95"/>
      <c r="HB28" s="176"/>
      <c r="HD28" s="52" t="s">
        <v>16</v>
      </c>
      <c r="HE28" s="137">
        <f>1-EXP(-HE27*HE32)</f>
        <v>1</v>
      </c>
    </row>
    <row r="29" spans="1:214" ht="15.75" thickBot="1" x14ac:dyDescent="0.25">
      <c r="A29" s="52" t="s">
        <v>229</v>
      </c>
      <c r="B29" s="183">
        <f>B25</f>
        <v>0</v>
      </c>
      <c r="C29" s="52" t="s">
        <v>388</v>
      </c>
      <c r="G29" s="83" t="s">
        <v>380</v>
      </c>
      <c r="H29" s="150">
        <f>B54</f>
        <v>350</v>
      </c>
      <c r="I29" s="83" t="s">
        <v>24</v>
      </c>
      <c r="J29" s="83" t="s">
        <v>401</v>
      </c>
      <c r="K29" s="146">
        <f>B47</f>
        <v>41.7</v>
      </c>
      <c r="L29" s="92" t="s">
        <v>221</v>
      </c>
      <c r="M29" s="52" t="s">
        <v>379</v>
      </c>
      <c r="N29" s="138">
        <f>B53</f>
        <v>1</v>
      </c>
      <c r="O29" s="52" t="s">
        <v>146</v>
      </c>
      <c r="P29" s="52" t="s">
        <v>379</v>
      </c>
      <c r="Q29" s="138">
        <f>B53</f>
        <v>1</v>
      </c>
      <c r="R29" s="52" t="s">
        <v>146</v>
      </c>
      <c r="V29" s="83" t="s">
        <v>22</v>
      </c>
      <c r="W29" s="137">
        <f>0.693/W30</f>
        <v>66.155354824913829</v>
      </c>
      <c r="Y29" s="83" t="s">
        <v>22</v>
      </c>
      <c r="Z29" s="137">
        <f>0.693/Z30</f>
        <v>66.155354824913829</v>
      </c>
      <c r="AB29" s="83" t="s">
        <v>260</v>
      </c>
      <c r="AC29" s="143" t="e">
        <f>((AC5/(AC8*AC13*AC7*AC9*(1/AC6)))*AC27)/AC35</f>
        <v>#DIV/0!</v>
      </c>
      <c r="AD29" s="143" t="e">
        <f>((AD5/(AD8*AD13*AD7*AD9*(1/AD6)))*AD27)/AD35</f>
        <v>#DIV/0!</v>
      </c>
      <c r="AE29" s="143" t="e">
        <f>((AE5/(AE8*AE13*AE7*AE9*(1/AE6)))*AE27)/AE35</f>
        <v>#DIV/0!</v>
      </c>
      <c r="AF29" s="143" t="e">
        <f>((AF5*AF23*AF24)/((1-EXP(-AF24*AF23))*AF8*AF7*AF9*AF13*(1/AF28)))/AF35</f>
        <v>#DIV/0!</v>
      </c>
      <c r="AG29" s="143" t="e">
        <f>((AG5*AG23*AG24)/((1-EXP(-AG24*AG23))*AG8*AG7*AG9*AG13*(1/AG28)))/AG35</f>
        <v>#DIV/0!</v>
      </c>
      <c r="AH29" s="83" t="s">
        <v>290</v>
      </c>
      <c r="AI29" s="52" t="s">
        <v>420</v>
      </c>
      <c r="AJ29" s="138">
        <f>B244</f>
        <v>1</v>
      </c>
      <c r="AK29" s="52" t="s">
        <v>146</v>
      </c>
      <c r="AL29" s="52" t="s">
        <v>420</v>
      </c>
      <c r="AM29" s="138">
        <f>B244</f>
        <v>1</v>
      </c>
      <c r="AN29" s="52" t="s">
        <v>146</v>
      </c>
      <c r="AR29" s="52" t="s">
        <v>424</v>
      </c>
      <c r="AS29" s="138">
        <f>B256</f>
        <v>1</v>
      </c>
      <c r="AT29" s="52" t="s">
        <v>146</v>
      </c>
      <c r="AU29" s="52" t="s">
        <v>424</v>
      </c>
      <c r="AV29" s="138">
        <f>B256</f>
        <v>1</v>
      </c>
      <c r="AW29" s="52" t="s">
        <v>146</v>
      </c>
      <c r="BA29" s="52" t="s">
        <v>422</v>
      </c>
      <c r="BB29" s="138">
        <f>B232</f>
        <v>1</v>
      </c>
      <c r="BC29" s="52" t="s">
        <v>146</v>
      </c>
      <c r="BD29" s="52" t="s">
        <v>422</v>
      </c>
      <c r="BE29" s="138">
        <f>B232</f>
        <v>1</v>
      </c>
      <c r="BF29" s="52" t="s">
        <v>146</v>
      </c>
      <c r="BJ29" s="52" t="s">
        <v>220</v>
      </c>
      <c r="BK29" s="138">
        <f>B278</f>
        <v>50</v>
      </c>
      <c r="BL29" s="52" t="s">
        <v>113</v>
      </c>
      <c r="BM29" s="52" t="s">
        <v>220</v>
      </c>
      <c r="BN29" s="138">
        <f>B278</f>
        <v>50</v>
      </c>
      <c r="BO29" s="52" t="s">
        <v>113</v>
      </c>
      <c r="BW29" s="146">
        <v>8760</v>
      </c>
      <c r="BX29" s="84" t="s">
        <v>141</v>
      </c>
      <c r="BY29" s="83" t="s">
        <v>54</v>
      </c>
      <c r="BZ29" s="141">
        <f>B119</f>
        <v>0.753</v>
      </c>
      <c r="CB29" s="52" t="s">
        <v>411</v>
      </c>
      <c r="CC29" s="138">
        <f>B127</f>
        <v>0.80900000000000005</v>
      </c>
      <c r="CE29" s="52" t="s">
        <v>418</v>
      </c>
      <c r="CF29" s="138">
        <f>B123</f>
        <v>0.71099999999999997</v>
      </c>
      <c r="CN29" s="52" t="s">
        <v>166</v>
      </c>
      <c r="CO29" s="162">
        <f>B136</f>
        <v>1</v>
      </c>
      <c r="CP29" s="52" t="s">
        <v>246</v>
      </c>
      <c r="CT29" s="83" t="s">
        <v>450</v>
      </c>
      <c r="CU29" s="141">
        <f>B147</f>
        <v>10</v>
      </c>
      <c r="CV29" s="92" t="s">
        <v>407</v>
      </c>
      <c r="CZ29" s="92" t="s">
        <v>450</v>
      </c>
      <c r="DA29" s="142">
        <f t="shared" si="0"/>
        <v>10</v>
      </c>
      <c r="DB29" s="83" t="s">
        <v>143</v>
      </c>
      <c r="DW29" s="88"/>
      <c r="DX29" s="88"/>
      <c r="DY29" s="88"/>
      <c r="DZ29" s="88"/>
      <c r="EV29" s="84"/>
      <c r="EW29" s="84"/>
      <c r="EX29" s="84"/>
      <c r="FK29" s="84"/>
      <c r="FL29" s="84"/>
      <c r="FM29" s="84"/>
      <c r="FN29" s="88"/>
      <c r="FO29" s="88"/>
      <c r="FP29" s="88"/>
      <c r="FQ29" s="88"/>
      <c r="FR29" s="88"/>
      <c r="FS29" s="88"/>
      <c r="FT29" s="88"/>
      <c r="FU29" s="88"/>
      <c r="FV29" s="88"/>
      <c r="FZ29" s="84"/>
      <c r="GA29" s="84"/>
      <c r="GB29" s="84"/>
      <c r="GO29" s="84"/>
      <c r="GP29" s="84"/>
      <c r="GQ29" s="84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D29" s="91" t="s">
        <v>231</v>
      </c>
      <c r="HE29" s="136">
        <f>B18</f>
        <v>1.04753425E-2</v>
      </c>
      <c r="HF29" s="52" t="s">
        <v>60</v>
      </c>
    </row>
    <row r="30" spans="1:214" ht="19.5" thickTop="1" thickBot="1" x14ac:dyDescent="0.25">
      <c r="A30" s="83" t="s">
        <v>228</v>
      </c>
      <c r="B30" s="183">
        <f>B26</f>
        <v>0</v>
      </c>
      <c r="C30" s="52" t="s">
        <v>388</v>
      </c>
      <c r="D30" s="353" t="s">
        <v>528</v>
      </c>
      <c r="E30" s="354"/>
      <c r="F30" s="355"/>
      <c r="G30" s="83" t="s">
        <v>381</v>
      </c>
      <c r="H30" s="150">
        <f>B55</f>
        <v>350</v>
      </c>
      <c r="I30" s="83" t="s">
        <v>24</v>
      </c>
      <c r="J30" s="83" t="s">
        <v>402</v>
      </c>
      <c r="K30" s="146">
        <f>B48</f>
        <v>128.9</v>
      </c>
      <c r="L30" s="92" t="s">
        <v>221</v>
      </c>
      <c r="M30" s="52" t="s">
        <v>299</v>
      </c>
      <c r="N30" s="138">
        <f>B61</f>
        <v>0.4</v>
      </c>
      <c r="P30" s="52" t="s">
        <v>299</v>
      </c>
      <c r="Q30" s="138">
        <f>B61</f>
        <v>0.4</v>
      </c>
      <c r="V30" s="91" t="s">
        <v>231</v>
      </c>
      <c r="W30" s="136">
        <f>B18</f>
        <v>1.04753425E-2</v>
      </c>
      <c r="X30" s="52" t="s">
        <v>60</v>
      </c>
      <c r="Y30" s="91" t="s">
        <v>231</v>
      </c>
      <c r="Z30" s="136">
        <f>B18</f>
        <v>1.04753425E-2</v>
      </c>
      <c r="AA30" s="52" t="s">
        <v>60</v>
      </c>
      <c r="AB30" s="83" t="s">
        <v>261</v>
      </c>
      <c r="AC30" s="144">
        <f>((AC5/(AC19*AC15*AC7*AC9*(1/AC32)*((8/1)/(24/1))*AC28))*AC27)/AC35</f>
        <v>5323732.6259606797</v>
      </c>
      <c r="AD30" s="144">
        <f>((AD5/(AD19*AD15*AD7*((8/1)/(24/1))*AD9*(1/AD32)*AD28))*AD27)/AD35</f>
        <v>5323732.6259606797</v>
      </c>
      <c r="AE30" s="144">
        <f>((AE5/(AE19*AE15*AE7*((8/1)/(24/1))*AE9*(1/AE32)*AE28))*AE27)/AE35</f>
        <v>5915258.4732896443</v>
      </c>
      <c r="AF30" s="144">
        <f>((AF5*AF23*AF24)/((1-EXP(-AF24*AF23))*AF19*AF7*AF9*(AF12/24)*AF15*(1/AF33)*AF28))/AF35</f>
        <v>3039.6308887069772</v>
      </c>
      <c r="AG30" s="144">
        <f>((AG5*AG23*AG24)/((1-EXP(-AG24*AG23))*AG19*AG7*AG9*(AG12/24)*AG15*(1/AG34)*AG28))/AG35</f>
        <v>272415.04244930722</v>
      </c>
      <c r="AH30" s="83" t="s">
        <v>290</v>
      </c>
      <c r="AI30" s="52" t="s">
        <v>299</v>
      </c>
      <c r="AJ30" s="138">
        <f>B248</f>
        <v>0.4</v>
      </c>
      <c r="AL30" s="52" t="s">
        <v>299</v>
      </c>
      <c r="AM30" s="138">
        <f>B248</f>
        <v>0.4</v>
      </c>
      <c r="AR30" s="52" t="s">
        <v>299</v>
      </c>
      <c r="AS30" s="138">
        <f>B260</f>
        <v>0.4</v>
      </c>
      <c r="AV30" s="138"/>
      <c r="BA30" s="52" t="s">
        <v>299</v>
      </c>
      <c r="BB30" s="138">
        <f>B236</f>
        <v>0.4</v>
      </c>
      <c r="BD30" s="52" t="s">
        <v>299</v>
      </c>
      <c r="BE30" s="138">
        <f>B236</f>
        <v>0.4</v>
      </c>
      <c r="BJ30" s="52" t="s">
        <v>219</v>
      </c>
      <c r="BK30" s="138">
        <f>B277</f>
        <v>5</v>
      </c>
      <c r="BL30" s="52" t="s">
        <v>112</v>
      </c>
      <c r="BM30" s="52" t="s">
        <v>219</v>
      </c>
      <c r="BN30" s="138">
        <f>B277</f>
        <v>5</v>
      </c>
      <c r="BO30" s="52" t="s">
        <v>112</v>
      </c>
      <c r="BS30" s="91"/>
      <c r="BT30" s="97"/>
      <c r="BU30" s="91"/>
      <c r="BV30" s="91" t="s">
        <v>308</v>
      </c>
      <c r="BW30" s="146">
        <f>B101</f>
        <v>0.23</v>
      </c>
      <c r="BY30" s="94" t="s">
        <v>95</v>
      </c>
      <c r="BZ30" s="150">
        <f>B117</f>
        <v>1</v>
      </c>
      <c r="CA30" s="94" t="s">
        <v>60</v>
      </c>
      <c r="CB30" s="52" t="s">
        <v>90</v>
      </c>
      <c r="CC30" s="138">
        <f>B108</f>
        <v>1</v>
      </c>
      <c r="CD30" s="52" t="s">
        <v>194</v>
      </c>
      <c r="CE30" s="52" t="s">
        <v>90</v>
      </c>
      <c r="CF30" s="138">
        <f>B108</f>
        <v>1</v>
      </c>
      <c r="CG30" s="52" t="s">
        <v>194</v>
      </c>
      <c r="CM30" s="83"/>
      <c r="CN30" s="93" t="s">
        <v>167</v>
      </c>
      <c r="CO30" s="162">
        <f>B137</f>
        <v>1</v>
      </c>
      <c r="CP30" s="52" t="s">
        <v>41</v>
      </c>
      <c r="CQ30" s="88"/>
      <c r="CR30" s="83"/>
      <c r="CS30" s="83"/>
      <c r="CT30" s="83" t="s">
        <v>459</v>
      </c>
      <c r="CU30" s="141">
        <f>B148</f>
        <v>20</v>
      </c>
      <c r="CV30" s="92" t="s">
        <v>407</v>
      </c>
      <c r="CW30" s="92"/>
      <c r="CX30" s="92"/>
      <c r="CY30" s="92"/>
      <c r="CZ30" s="92" t="s">
        <v>459</v>
      </c>
      <c r="DA30" s="142">
        <f t="shared" si="0"/>
        <v>20</v>
      </c>
      <c r="DB30" s="83" t="s">
        <v>143</v>
      </c>
      <c r="DW30" s="88"/>
      <c r="DX30" s="88"/>
      <c r="DY30" s="88"/>
      <c r="DZ30" s="88"/>
      <c r="EV30" s="84"/>
      <c r="EW30" s="84"/>
      <c r="EX30" s="84"/>
      <c r="FK30" s="84"/>
      <c r="FL30" s="84"/>
      <c r="FM30" s="84"/>
      <c r="FN30" s="88"/>
      <c r="FO30" s="88"/>
      <c r="FP30" s="88"/>
      <c r="FQ30" s="88"/>
      <c r="FR30" s="88"/>
      <c r="FS30" s="88"/>
      <c r="FT30" s="88"/>
      <c r="FU30" s="88"/>
      <c r="FV30" s="88"/>
      <c r="FZ30" s="84"/>
      <c r="GA30" s="84"/>
      <c r="GB30" s="84"/>
      <c r="GO30" s="84"/>
      <c r="GP30" s="84"/>
      <c r="GQ30" s="84"/>
      <c r="HD30" s="84" t="s">
        <v>84</v>
      </c>
      <c r="HE30" s="163">
        <f>B83</f>
        <v>0.3</v>
      </c>
    </row>
    <row r="31" spans="1:214" x14ac:dyDescent="0.2">
      <c r="A31" s="84" t="s">
        <v>32</v>
      </c>
      <c r="B31" s="183">
        <v>0</v>
      </c>
      <c r="D31" s="323" t="s">
        <v>530</v>
      </c>
      <c r="E31" s="347" t="e">
        <f>E38</f>
        <v>#DIV/0!</v>
      </c>
      <c r="F31" s="345" t="s">
        <v>290</v>
      </c>
      <c r="G31" s="83" t="s">
        <v>379</v>
      </c>
      <c r="H31" s="150">
        <f>B53</f>
        <v>1</v>
      </c>
      <c r="I31" s="84" t="s">
        <v>60</v>
      </c>
      <c r="J31" s="83" t="s">
        <v>380</v>
      </c>
      <c r="K31" s="150">
        <f>B54</f>
        <v>350</v>
      </c>
      <c r="L31" s="83" t="s">
        <v>24</v>
      </c>
      <c r="M31" s="52" t="s">
        <v>300</v>
      </c>
      <c r="N31" s="138">
        <f>B62</f>
        <v>1</v>
      </c>
      <c r="P31" s="52" t="s">
        <v>300</v>
      </c>
      <c r="Q31" s="138">
        <f>B62</f>
        <v>1</v>
      </c>
      <c r="V31" s="52" t="s">
        <v>35</v>
      </c>
      <c r="W31" s="138">
        <f>B243</f>
        <v>250</v>
      </c>
      <c r="X31" s="52" t="s">
        <v>24</v>
      </c>
      <c r="Y31" s="52" t="s">
        <v>191</v>
      </c>
      <c r="Z31" s="138">
        <f>B267</f>
        <v>250</v>
      </c>
      <c r="AA31" s="52" t="s">
        <v>24</v>
      </c>
      <c r="AB31" s="83" t="s">
        <v>262</v>
      </c>
      <c r="AC31" s="145">
        <f>((AC5*AC23*AC24)/((1-EXP(-AC24*AC23))*AC18*AC7*(1/365)*AC12*(1/24)*AC14*AC17))/AC35</f>
        <v>5034.532102504576</v>
      </c>
      <c r="AD31" s="145">
        <f>((AD5*AD23*AD24)/((1-EXP(-AD24*AD23))*AD18*AD7*(1/365)*AD12*(1/24)*AD16*AD17))/AD35</f>
        <v>12586.330256261441</v>
      </c>
      <c r="AE31" s="145">
        <f>((AE5*AE23*AE24)/((1-EXP(-AE24*AE23))*AE18*AE7*(1/365)*AE12*(1/24)*AE14*AE17))/AE35</f>
        <v>5593.9245583384172</v>
      </c>
      <c r="AF31" s="145">
        <f>((AF5*AF23*AF24)/((1-EXP(-AF24*AF23))*AF18*(AF11*AF10)*(1/365)*AF12*(1/24)*AF14*AF17))/AF35</f>
        <v>27742595.88205725</v>
      </c>
      <c r="AG31" s="145">
        <f>((AG5*AG23*AG24)/((1-EXP(-AG24*AG23))*AG18*AG7*(1/365)*AG9*(AG12/24)*AG14*AG17))/AG35</f>
        <v>27742595.88205725</v>
      </c>
      <c r="AH31" s="83" t="s">
        <v>290</v>
      </c>
      <c r="AI31" s="52" t="s">
        <v>300</v>
      </c>
      <c r="AJ31" s="138">
        <f>B235</f>
        <v>1</v>
      </c>
      <c r="AL31" s="52" t="s">
        <v>300</v>
      </c>
      <c r="AM31" s="138">
        <f>B235</f>
        <v>1</v>
      </c>
      <c r="AR31" s="52" t="s">
        <v>300</v>
      </c>
      <c r="AS31" s="138">
        <f>B259</f>
        <v>1</v>
      </c>
      <c r="AU31" s="52" t="s">
        <v>300</v>
      </c>
      <c r="AV31" s="138">
        <f>B259</f>
        <v>1</v>
      </c>
      <c r="BA31" s="52" t="s">
        <v>300</v>
      </c>
      <c r="BB31" s="138">
        <f>B235</f>
        <v>1</v>
      </c>
      <c r="BD31" s="52" t="s">
        <v>300</v>
      </c>
      <c r="BE31" s="138">
        <f>B235</f>
        <v>1</v>
      </c>
      <c r="BJ31" s="52" t="s">
        <v>158</v>
      </c>
      <c r="BK31" s="138">
        <f>B268</f>
        <v>1</v>
      </c>
      <c r="BL31" s="52" t="s">
        <v>146</v>
      </c>
      <c r="BM31" s="52" t="s">
        <v>158</v>
      </c>
      <c r="BN31" s="138">
        <f>B268</f>
        <v>1</v>
      </c>
      <c r="BO31" s="52" t="s">
        <v>146</v>
      </c>
      <c r="BS31" s="91"/>
      <c r="BT31" s="102"/>
      <c r="BU31" s="91"/>
      <c r="BV31" s="91" t="s">
        <v>309</v>
      </c>
      <c r="BW31" s="146">
        <f>B102</f>
        <v>0.77</v>
      </c>
      <c r="BZ31" s="150">
        <v>365</v>
      </c>
      <c r="CA31" s="52" t="s">
        <v>24</v>
      </c>
      <c r="CB31" s="52" t="s">
        <v>410</v>
      </c>
      <c r="CC31" s="139">
        <f>B11</f>
        <v>4.3486799999999998E-4</v>
      </c>
      <c r="CD31" s="84" t="s">
        <v>353</v>
      </c>
      <c r="CE31" s="52" t="s">
        <v>419</v>
      </c>
      <c r="CF31" s="139">
        <f>B13</f>
        <v>1.2571640000000001E-3</v>
      </c>
      <c r="CG31" s="84" t="s">
        <v>353</v>
      </c>
      <c r="CM31" s="83"/>
      <c r="CN31" s="83" t="s">
        <v>168</v>
      </c>
      <c r="CO31" s="162">
        <f>B138</f>
        <v>1</v>
      </c>
      <c r="CP31" s="52" t="s">
        <v>41</v>
      </c>
      <c r="CQ31" s="83"/>
      <c r="CR31" s="83"/>
      <c r="CS31" s="83"/>
      <c r="CT31" s="83" t="s">
        <v>456</v>
      </c>
      <c r="CU31" s="150">
        <f>B167</f>
        <v>350</v>
      </c>
      <c r="CV31" s="83" t="s">
        <v>24</v>
      </c>
      <c r="CW31" s="92"/>
      <c r="CX31" s="92"/>
      <c r="CY31" s="92"/>
      <c r="CZ31" s="92" t="s">
        <v>467</v>
      </c>
      <c r="DA31" s="141">
        <f t="shared" si="0"/>
        <v>68.099999999999994</v>
      </c>
      <c r="DB31" s="83" t="s">
        <v>221</v>
      </c>
      <c r="DW31" s="88"/>
      <c r="DX31" s="88"/>
      <c r="DY31" s="88"/>
      <c r="DZ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HD31" s="84" t="s">
        <v>86</v>
      </c>
      <c r="HE31" s="150">
        <f>B84</f>
        <v>1.5</v>
      </c>
    </row>
    <row r="32" spans="1:214" ht="13.5" thickBot="1" x14ac:dyDescent="0.25">
      <c r="A32" s="52" t="s">
        <v>33</v>
      </c>
      <c r="B32" s="183">
        <v>0</v>
      </c>
      <c r="D32" s="324"/>
      <c r="E32" s="348"/>
      <c r="F32" s="346"/>
      <c r="G32" s="52" t="s">
        <v>403</v>
      </c>
      <c r="H32" s="138">
        <f>B57</f>
        <v>0.54</v>
      </c>
      <c r="I32" s="52" t="s">
        <v>89</v>
      </c>
      <c r="J32" s="83" t="s">
        <v>381</v>
      </c>
      <c r="K32" s="150">
        <f>B55</f>
        <v>350</v>
      </c>
      <c r="L32" s="83" t="s">
        <v>24</v>
      </c>
      <c r="M32" s="52" t="s">
        <v>54</v>
      </c>
      <c r="N32" s="138">
        <f>B63</f>
        <v>1</v>
      </c>
      <c r="P32" s="52" t="s">
        <v>54</v>
      </c>
      <c r="Q32" s="138">
        <f>B63</f>
        <v>1</v>
      </c>
      <c r="V32" s="52" t="s">
        <v>420</v>
      </c>
      <c r="W32" s="138">
        <f>B244</f>
        <v>1</v>
      </c>
      <c r="X32" s="52" t="s">
        <v>146</v>
      </c>
      <c r="Y32" s="52" t="s">
        <v>158</v>
      </c>
      <c r="Z32" s="138">
        <f>B268</f>
        <v>1</v>
      </c>
      <c r="AA32" s="52" t="s">
        <v>146</v>
      </c>
      <c r="AB32" s="83" t="s">
        <v>77</v>
      </c>
      <c r="AC32" s="136">
        <f>B19</f>
        <v>1359344473.5814338</v>
      </c>
      <c r="AD32" s="136">
        <f>B19</f>
        <v>1359344473.5814338</v>
      </c>
      <c r="AE32" s="136">
        <f>B19</f>
        <v>1359344473.5814338</v>
      </c>
      <c r="AF32" s="136"/>
      <c r="AG32" s="136"/>
      <c r="AH32" s="104" t="s">
        <v>78</v>
      </c>
      <c r="AI32" s="52" t="s">
        <v>54</v>
      </c>
      <c r="AJ32" s="138">
        <f>B249</f>
        <v>1</v>
      </c>
      <c r="AL32" s="52" t="s">
        <v>54</v>
      </c>
      <c r="AM32" s="138">
        <f>B249</f>
        <v>1</v>
      </c>
      <c r="AR32" s="52" t="s">
        <v>54</v>
      </c>
      <c r="AS32" s="138">
        <f>B261</f>
        <v>1</v>
      </c>
      <c r="AU32" s="52" t="s">
        <v>54</v>
      </c>
      <c r="AV32" s="138">
        <f>B261</f>
        <v>1</v>
      </c>
      <c r="BA32" s="52" t="s">
        <v>54</v>
      </c>
      <c r="BB32" s="138">
        <f>B237</f>
        <v>1</v>
      </c>
      <c r="BD32" s="52" t="s">
        <v>54</v>
      </c>
      <c r="BE32" s="138">
        <f>B237</f>
        <v>1</v>
      </c>
      <c r="BJ32" s="52" t="s">
        <v>300</v>
      </c>
      <c r="BK32" s="136">
        <f>B281</f>
        <v>1.5699999999999999E-5</v>
      </c>
      <c r="BM32" s="52" t="s">
        <v>300</v>
      </c>
      <c r="BN32" s="136">
        <f>B285</f>
        <v>1.35E-4</v>
      </c>
      <c r="BS32" s="91"/>
      <c r="BT32" s="99"/>
      <c r="BU32" s="100"/>
      <c r="BV32" s="95" t="s">
        <v>287</v>
      </c>
      <c r="BW32" s="176">
        <v>27.027027027027</v>
      </c>
      <c r="BX32" s="52" t="s">
        <v>288</v>
      </c>
      <c r="BZ32" s="138">
        <v>1000</v>
      </c>
      <c r="CA32" s="52" t="s">
        <v>99</v>
      </c>
      <c r="CB32" s="95" t="s">
        <v>287</v>
      </c>
      <c r="CC32" s="176">
        <v>27.027027027027</v>
      </c>
      <c r="CD32" s="52" t="s">
        <v>288</v>
      </c>
      <c r="CE32" s="95" t="s">
        <v>287</v>
      </c>
      <c r="CF32" s="176">
        <v>27.027027027027</v>
      </c>
      <c r="CG32" s="52" t="s">
        <v>288</v>
      </c>
      <c r="CM32" s="83"/>
      <c r="CN32" s="83" t="s">
        <v>22</v>
      </c>
      <c r="CO32" s="137">
        <f>0.693/CO33</f>
        <v>66.155354824913829</v>
      </c>
      <c r="CR32" s="83"/>
      <c r="CS32" s="83"/>
      <c r="CT32" s="83" t="s">
        <v>465</v>
      </c>
      <c r="CU32" s="150">
        <f>B168</f>
        <v>350</v>
      </c>
      <c r="CV32" s="83" t="s">
        <v>24</v>
      </c>
      <c r="CW32" s="94"/>
      <c r="CX32" s="94"/>
      <c r="CY32" s="94"/>
      <c r="CZ32" s="92" t="s">
        <v>468</v>
      </c>
      <c r="DA32" s="141">
        <f t="shared" si="0"/>
        <v>176.8</v>
      </c>
      <c r="DB32" s="83" t="s">
        <v>221</v>
      </c>
      <c r="DW32" s="88"/>
      <c r="DX32" s="83"/>
      <c r="DY32" s="101"/>
      <c r="DZ32" s="92"/>
      <c r="EV32" s="94"/>
      <c r="EW32" s="94"/>
      <c r="EX32" s="94"/>
      <c r="FK32" s="94"/>
      <c r="FL32" s="94"/>
      <c r="FM32" s="94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94"/>
      <c r="GA32" s="94"/>
      <c r="GB32" s="94"/>
      <c r="GO32" s="94"/>
      <c r="GP32" s="94"/>
      <c r="GQ32" s="94"/>
      <c r="HD32" s="84" t="s">
        <v>30</v>
      </c>
      <c r="HE32" s="163">
        <v>1</v>
      </c>
    </row>
    <row r="33" spans="1:214" ht="12.75" customHeight="1" thickTop="1" x14ac:dyDescent="0.2">
      <c r="A33" s="83" t="s">
        <v>156</v>
      </c>
      <c r="B33" s="182">
        <v>0</v>
      </c>
      <c r="C33" s="83" t="s">
        <v>18</v>
      </c>
      <c r="D33" s="83" t="s">
        <v>267</v>
      </c>
      <c r="E33" s="136">
        <f>B5</f>
        <v>1</v>
      </c>
      <c r="F33" s="52" t="s">
        <v>344</v>
      </c>
      <c r="G33" s="52" t="s">
        <v>404</v>
      </c>
      <c r="H33" s="138">
        <f>B58</f>
        <v>0.71</v>
      </c>
      <c r="I33" s="52" t="s">
        <v>89</v>
      </c>
      <c r="J33" s="83" t="s">
        <v>379</v>
      </c>
      <c r="K33" s="141">
        <f>B53</f>
        <v>1</v>
      </c>
      <c r="L33" s="92" t="s">
        <v>60</v>
      </c>
      <c r="M33" s="52" t="s">
        <v>408</v>
      </c>
      <c r="N33" s="150">
        <f>B78</f>
        <v>1.752</v>
      </c>
      <c r="O33" s="52" t="s">
        <v>194</v>
      </c>
      <c r="P33" s="52" t="s">
        <v>408</v>
      </c>
      <c r="Q33" s="150">
        <f>B78</f>
        <v>1.752</v>
      </c>
      <c r="R33" s="52" t="s">
        <v>194</v>
      </c>
      <c r="V33" s="52" t="s">
        <v>247</v>
      </c>
      <c r="W33" s="139">
        <f>B6</f>
        <v>1.25E-4</v>
      </c>
      <c r="X33" s="84" t="s">
        <v>39</v>
      </c>
      <c r="Y33" s="52" t="s">
        <v>247</v>
      </c>
      <c r="Z33" s="139">
        <f>B6</f>
        <v>1.25E-4</v>
      </c>
      <c r="AA33" s="84" t="s">
        <v>39</v>
      </c>
      <c r="AB33" s="104" t="s">
        <v>103</v>
      </c>
      <c r="AC33" s="136"/>
      <c r="AD33" s="136"/>
      <c r="AE33" s="136"/>
      <c r="AF33" s="157">
        <f>B20</f>
        <v>776129.4078035407</v>
      </c>
      <c r="AG33" s="136"/>
      <c r="AH33" s="104" t="s">
        <v>78</v>
      </c>
      <c r="AI33" s="52" t="s">
        <v>57</v>
      </c>
      <c r="AJ33" s="136">
        <f>B250</f>
        <v>0</v>
      </c>
      <c r="AK33" s="52" t="s">
        <v>194</v>
      </c>
      <c r="AL33" s="52" t="s">
        <v>57</v>
      </c>
      <c r="AM33" s="136">
        <f>B250</f>
        <v>0</v>
      </c>
      <c r="AN33" s="52" t="s">
        <v>194</v>
      </c>
      <c r="AR33" s="52" t="s">
        <v>57</v>
      </c>
      <c r="AS33" s="136">
        <f>B262</f>
        <v>8</v>
      </c>
      <c r="AT33" s="52" t="s">
        <v>194</v>
      </c>
      <c r="AU33" s="52" t="s">
        <v>57</v>
      </c>
      <c r="AV33" s="136">
        <f>B262</f>
        <v>8</v>
      </c>
      <c r="AW33" s="52" t="s">
        <v>194</v>
      </c>
      <c r="BA33" s="52" t="s">
        <v>58</v>
      </c>
      <c r="BB33" s="136">
        <f>B238</f>
        <v>8</v>
      </c>
      <c r="BC33" s="52" t="s">
        <v>194</v>
      </c>
      <c r="BD33" s="52" t="s">
        <v>57</v>
      </c>
      <c r="BE33" s="136">
        <f>B238</f>
        <v>8</v>
      </c>
      <c r="BF33" s="52" t="s">
        <v>194</v>
      </c>
      <c r="BJ33" s="52" t="s">
        <v>411</v>
      </c>
      <c r="BK33" s="136">
        <f>B282</f>
        <v>0.80900000000000005</v>
      </c>
      <c r="BM33" s="52" t="s">
        <v>418</v>
      </c>
      <c r="BN33" s="136">
        <f>B286</f>
        <v>0.71099999999999997</v>
      </c>
      <c r="BS33" s="91"/>
      <c r="BT33" s="99"/>
      <c r="BU33" s="100"/>
      <c r="BW33" s="90"/>
      <c r="BZ33" s="146">
        <v>1000</v>
      </c>
      <c r="CA33" s="52" t="s">
        <v>23</v>
      </c>
      <c r="CM33" s="83"/>
      <c r="CN33" s="91" t="s">
        <v>231</v>
      </c>
      <c r="CO33" s="136">
        <f>B18</f>
        <v>1.04753425E-2</v>
      </c>
      <c r="CP33" s="52" t="s">
        <v>60</v>
      </c>
      <c r="CR33" s="83"/>
      <c r="CS33" s="83"/>
      <c r="CT33" s="83" t="s">
        <v>363</v>
      </c>
      <c r="CU33" s="141">
        <f t="shared" ref="CU33:CU42" si="1">B170</f>
        <v>1</v>
      </c>
      <c r="CV33" s="92" t="s">
        <v>60</v>
      </c>
      <c r="CZ33" s="92" t="s">
        <v>513</v>
      </c>
      <c r="DA33" s="141">
        <f t="shared" si="0"/>
        <v>41.7</v>
      </c>
      <c r="DB33" s="83" t="s">
        <v>221</v>
      </c>
      <c r="DS33" s="94"/>
      <c r="DW33" s="88"/>
      <c r="DX33" s="83"/>
      <c r="DY33" s="101"/>
      <c r="DZ33" s="92"/>
      <c r="EH33" s="94"/>
      <c r="HD33" s="84" t="s">
        <v>34</v>
      </c>
      <c r="HE33" s="150">
        <f>B82</f>
        <v>70</v>
      </c>
    </row>
    <row r="34" spans="1:214" ht="13.5" customHeight="1" x14ac:dyDescent="0.2">
      <c r="A34" s="84" t="s">
        <v>21</v>
      </c>
      <c r="B34" s="181">
        <f>0/27.027</f>
        <v>0</v>
      </c>
      <c r="C34" s="52" t="s">
        <v>291</v>
      </c>
      <c r="D34" s="83" t="s">
        <v>382</v>
      </c>
      <c r="E34" s="150">
        <f>B56</f>
        <v>350</v>
      </c>
      <c r="F34" s="83" t="s">
        <v>24</v>
      </c>
      <c r="G34" s="83" t="s">
        <v>383</v>
      </c>
      <c r="H34" s="150">
        <f>B59</f>
        <v>24</v>
      </c>
      <c r="I34" s="94" t="s">
        <v>194</v>
      </c>
      <c r="J34" s="83" t="s">
        <v>383</v>
      </c>
      <c r="K34" s="150">
        <f>B59</f>
        <v>24</v>
      </c>
      <c r="L34" s="94" t="s">
        <v>194</v>
      </c>
      <c r="M34" s="52" t="s">
        <v>410</v>
      </c>
      <c r="N34" s="139">
        <f>B11</f>
        <v>4.3486799999999998E-4</v>
      </c>
      <c r="O34" s="84" t="s">
        <v>354</v>
      </c>
      <c r="P34" s="52" t="s">
        <v>419</v>
      </c>
      <c r="Q34" s="139">
        <f>B13</f>
        <v>1.2571640000000001E-3</v>
      </c>
      <c r="R34" s="84" t="s">
        <v>353</v>
      </c>
      <c r="V34" s="52" t="s">
        <v>421</v>
      </c>
      <c r="W34" s="150">
        <f>B251</f>
        <v>8</v>
      </c>
      <c r="X34" s="84" t="s">
        <v>194</v>
      </c>
      <c r="Y34" s="52" t="s">
        <v>192</v>
      </c>
      <c r="Z34" s="150">
        <f>B274</f>
        <v>8</v>
      </c>
      <c r="AA34" s="84" t="s">
        <v>194</v>
      </c>
      <c r="AB34" s="104" t="s">
        <v>104</v>
      </c>
      <c r="AC34" s="136"/>
      <c r="AD34" s="136"/>
      <c r="AE34" s="136"/>
      <c r="AF34" s="157"/>
      <c r="AG34" s="157">
        <f>B21</f>
        <v>69557565.807898715</v>
      </c>
      <c r="AH34" s="104" t="s">
        <v>78</v>
      </c>
      <c r="AI34" s="52" t="s">
        <v>410</v>
      </c>
      <c r="AJ34" s="139">
        <f>B11</f>
        <v>4.3486799999999998E-4</v>
      </c>
      <c r="AK34" s="84" t="s">
        <v>353</v>
      </c>
      <c r="AL34" s="52" t="s">
        <v>419</v>
      </c>
      <c r="AM34" s="139">
        <f>B13</f>
        <v>1.2571640000000001E-3</v>
      </c>
      <c r="AN34" s="84" t="s">
        <v>353</v>
      </c>
      <c r="AR34" s="52" t="s">
        <v>410</v>
      </c>
      <c r="AS34" s="139">
        <f>B11</f>
        <v>4.3486799999999998E-4</v>
      </c>
      <c r="AT34" s="84" t="s">
        <v>353</v>
      </c>
      <c r="AU34" s="52" t="s">
        <v>419</v>
      </c>
      <c r="AV34" s="139">
        <f>B13</f>
        <v>1.2571640000000001E-3</v>
      </c>
      <c r="AW34" s="84" t="s">
        <v>353</v>
      </c>
      <c r="BA34" s="52" t="s">
        <v>410</v>
      </c>
      <c r="BB34" s="139">
        <f>B11</f>
        <v>4.3486799999999998E-4</v>
      </c>
      <c r="BC34" s="84" t="s">
        <v>353</v>
      </c>
      <c r="BD34" s="52" t="s">
        <v>419</v>
      </c>
      <c r="BE34" s="139">
        <f>B13</f>
        <v>1.2571640000000001E-3</v>
      </c>
      <c r="BF34" s="84" t="s">
        <v>353</v>
      </c>
      <c r="BJ34" s="52" t="s">
        <v>57</v>
      </c>
      <c r="BK34" s="136">
        <f>B274</f>
        <v>8</v>
      </c>
      <c r="BL34" s="52" t="s">
        <v>194</v>
      </c>
      <c r="BM34" s="52" t="s">
        <v>57</v>
      </c>
      <c r="BN34" s="136">
        <f>B274</f>
        <v>8</v>
      </c>
      <c r="BO34" s="52" t="s">
        <v>194</v>
      </c>
      <c r="BT34" s="102"/>
      <c r="BU34" s="91"/>
      <c r="BY34" s="91" t="s">
        <v>308</v>
      </c>
      <c r="BZ34" s="146">
        <f>B101</f>
        <v>0.23</v>
      </c>
      <c r="CM34" s="83"/>
      <c r="CN34" s="84" t="s">
        <v>16</v>
      </c>
      <c r="CO34" s="137">
        <f>(CO31*CO32)/(1-EXP(-CO32*CO31))</f>
        <v>66.155354824913829</v>
      </c>
      <c r="CR34" s="83"/>
      <c r="CS34" s="83"/>
      <c r="CT34" s="83" t="s">
        <v>364</v>
      </c>
      <c r="CU34" s="150">
        <f t="shared" si="1"/>
        <v>24</v>
      </c>
      <c r="CV34" s="94" t="s">
        <v>194</v>
      </c>
      <c r="CZ34" s="92" t="s">
        <v>514</v>
      </c>
      <c r="DA34" s="141">
        <f t="shared" si="0"/>
        <v>125.7</v>
      </c>
      <c r="DB34" s="83" t="s">
        <v>221</v>
      </c>
      <c r="DR34" s="83"/>
      <c r="DS34" s="85"/>
      <c r="DT34" s="84"/>
      <c r="DW34" s="88"/>
      <c r="DX34" s="83"/>
      <c r="DY34" s="101"/>
      <c r="DZ34" s="92"/>
      <c r="EG34" s="83"/>
      <c r="EH34" s="85"/>
      <c r="EI34" s="84"/>
      <c r="EV34" s="84"/>
      <c r="EW34" s="84"/>
      <c r="EX34" s="84"/>
      <c r="FK34" s="84"/>
      <c r="FL34" s="84"/>
      <c r="FM34" s="84"/>
      <c r="FZ34" s="84"/>
      <c r="GA34" s="84"/>
      <c r="GB34" s="84"/>
      <c r="GO34" s="84"/>
      <c r="GP34" s="84"/>
      <c r="GQ34" s="84"/>
      <c r="HD34" s="84" t="s">
        <v>91</v>
      </c>
      <c r="HE34" s="150">
        <f>B33</f>
        <v>0</v>
      </c>
    </row>
    <row r="35" spans="1:214" ht="12.75" customHeight="1" x14ac:dyDescent="0.2">
      <c r="A35" s="52" t="s">
        <v>393</v>
      </c>
      <c r="B35" s="131">
        <v>0.26</v>
      </c>
      <c r="D35" s="83" t="s">
        <v>258</v>
      </c>
      <c r="E35" s="136">
        <f>B17</f>
        <v>0</v>
      </c>
      <c r="F35" s="83" t="s">
        <v>87</v>
      </c>
      <c r="G35" s="83" t="s">
        <v>384</v>
      </c>
      <c r="H35" s="150">
        <f>B59</f>
        <v>24</v>
      </c>
      <c r="I35" s="52" t="s">
        <v>194</v>
      </c>
      <c r="J35" s="83" t="s">
        <v>384</v>
      </c>
      <c r="K35" s="150">
        <f>B59</f>
        <v>24</v>
      </c>
      <c r="L35" s="52" t="s">
        <v>194</v>
      </c>
      <c r="M35" s="52" t="s">
        <v>409</v>
      </c>
      <c r="N35" s="150">
        <f>B79</f>
        <v>16.416</v>
      </c>
      <c r="O35" s="52" t="s">
        <v>194</v>
      </c>
      <c r="P35" s="52" t="s">
        <v>409</v>
      </c>
      <c r="Q35" s="150">
        <f>B79</f>
        <v>16.416</v>
      </c>
      <c r="R35" s="52" t="s">
        <v>194</v>
      </c>
      <c r="V35" s="52" t="s">
        <v>304</v>
      </c>
      <c r="W35" s="146">
        <f>B242</f>
        <v>60</v>
      </c>
      <c r="X35" s="84" t="s">
        <v>407</v>
      </c>
      <c r="Y35" s="52" t="s">
        <v>348</v>
      </c>
      <c r="Z35" s="146">
        <f>B266</f>
        <v>60</v>
      </c>
      <c r="AA35" s="84" t="s">
        <v>407</v>
      </c>
      <c r="AB35" s="95" t="s">
        <v>287</v>
      </c>
      <c r="AC35" s="176">
        <v>27.027027027027</v>
      </c>
      <c r="AD35" s="176">
        <v>27.027027027027</v>
      </c>
      <c r="AE35" s="176">
        <v>27.027027027027</v>
      </c>
      <c r="AF35" s="176">
        <v>27.027027027027</v>
      </c>
      <c r="AG35" s="176">
        <v>27.027027027027</v>
      </c>
      <c r="AH35" s="52" t="s">
        <v>288</v>
      </c>
      <c r="AI35" s="52" t="s">
        <v>69</v>
      </c>
      <c r="AJ35" s="136">
        <f>B251</f>
        <v>8</v>
      </c>
      <c r="AK35" s="52" t="s">
        <v>194</v>
      </c>
      <c r="AL35" s="52" t="s">
        <v>69</v>
      </c>
      <c r="AM35" s="136">
        <f>B251</f>
        <v>8</v>
      </c>
      <c r="AN35" s="52" t="s">
        <v>194</v>
      </c>
      <c r="AR35" s="52" t="s">
        <v>69</v>
      </c>
      <c r="AS35" s="136">
        <f>B263</f>
        <v>0</v>
      </c>
      <c r="AT35" s="52" t="s">
        <v>194</v>
      </c>
      <c r="AU35" s="52" t="s">
        <v>69</v>
      </c>
      <c r="AV35" s="136">
        <f>B263</f>
        <v>0</v>
      </c>
      <c r="AW35" s="52" t="s">
        <v>194</v>
      </c>
      <c r="BA35" s="52" t="s">
        <v>69</v>
      </c>
      <c r="BB35" s="136">
        <f>B239</f>
        <v>8</v>
      </c>
      <c r="BC35" s="52" t="s">
        <v>194</v>
      </c>
      <c r="BD35" s="52" t="s">
        <v>69</v>
      </c>
      <c r="BE35" s="136">
        <f>B239</f>
        <v>8</v>
      </c>
      <c r="BF35" s="52" t="s">
        <v>194</v>
      </c>
      <c r="BJ35" s="52" t="s">
        <v>410</v>
      </c>
      <c r="BK35" s="139">
        <f>B11</f>
        <v>4.3486799999999998E-4</v>
      </c>
      <c r="BL35" s="84" t="s">
        <v>353</v>
      </c>
      <c r="BM35" s="52" t="s">
        <v>419</v>
      </c>
      <c r="BN35" s="139">
        <f>B13</f>
        <v>1.2571640000000001E-3</v>
      </c>
      <c r="BO35" s="84" t="s">
        <v>353</v>
      </c>
      <c r="BY35" s="91" t="s">
        <v>309</v>
      </c>
      <c r="BZ35" s="146">
        <f>B102</f>
        <v>0.77</v>
      </c>
      <c r="CC35" s="352" t="s">
        <v>227</v>
      </c>
      <c r="CD35" s="352"/>
      <c r="CE35" s="352"/>
      <c r="CF35" s="352"/>
      <c r="CG35" s="352"/>
      <c r="CM35" s="83"/>
      <c r="CN35" s="83"/>
      <c r="CR35" s="83"/>
      <c r="CS35" s="83"/>
      <c r="CT35" s="83" t="s">
        <v>365</v>
      </c>
      <c r="CU35" s="150">
        <f t="shared" si="1"/>
        <v>24</v>
      </c>
      <c r="CV35" s="52" t="s">
        <v>194</v>
      </c>
      <c r="CZ35" s="92" t="s">
        <v>456</v>
      </c>
      <c r="DA35" s="142">
        <f>B167</f>
        <v>350</v>
      </c>
      <c r="DB35" s="83" t="s">
        <v>24</v>
      </c>
      <c r="DR35" s="83"/>
      <c r="DS35" s="85"/>
      <c r="DT35" s="84"/>
      <c r="DW35" s="88"/>
      <c r="DX35" s="83"/>
      <c r="DY35" s="101"/>
      <c r="DZ35" s="92"/>
      <c r="EG35" s="83"/>
      <c r="EH35" s="85"/>
      <c r="EI35" s="84"/>
      <c r="EV35" s="84"/>
      <c r="EW35" s="84"/>
      <c r="EX35" s="84"/>
      <c r="FK35" s="84"/>
      <c r="FL35" s="84"/>
      <c r="FM35" s="84"/>
      <c r="FZ35" s="84"/>
      <c r="GA35" s="84"/>
      <c r="GB35" s="84"/>
      <c r="GO35" s="84"/>
      <c r="GP35" s="84"/>
      <c r="GQ35" s="84"/>
      <c r="HD35" s="84" t="s">
        <v>65</v>
      </c>
      <c r="HE35" s="150">
        <f>B65</f>
        <v>0.5</v>
      </c>
      <c r="HF35" s="52" t="s">
        <v>355</v>
      </c>
    </row>
    <row r="36" spans="1:214" ht="12.75" customHeight="1" x14ac:dyDescent="0.2">
      <c r="A36" s="52" t="s">
        <v>392</v>
      </c>
      <c r="B36" s="131">
        <v>0.25</v>
      </c>
      <c r="D36" s="83" t="s">
        <v>389</v>
      </c>
      <c r="E36" s="146">
        <f>B80</f>
        <v>1</v>
      </c>
      <c r="G36" s="83" t="s">
        <v>405</v>
      </c>
      <c r="H36" s="138">
        <f>B66</f>
        <v>1</v>
      </c>
      <c r="I36" s="52" t="s">
        <v>80</v>
      </c>
      <c r="J36" s="83" t="s">
        <v>390</v>
      </c>
      <c r="K36" s="141">
        <f>B68</f>
        <v>0.25</v>
      </c>
      <c r="M36" s="95" t="s">
        <v>287</v>
      </c>
      <c r="N36" s="176">
        <v>27.027027027027</v>
      </c>
      <c r="O36" s="52" t="s">
        <v>288</v>
      </c>
      <c r="P36" s="95" t="s">
        <v>287</v>
      </c>
      <c r="Q36" s="176">
        <v>27.027027027027</v>
      </c>
      <c r="R36" s="52" t="s">
        <v>288</v>
      </c>
      <c r="V36" s="83" t="s">
        <v>256</v>
      </c>
      <c r="W36" s="136">
        <f>B15</f>
        <v>3.2316400000000001</v>
      </c>
      <c r="X36" s="83" t="s">
        <v>343</v>
      </c>
      <c r="Y36" s="83" t="s">
        <v>256</v>
      </c>
      <c r="Z36" s="136">
        <f>B15</f>
        <v>3.2316400000000001</v>
      </c>
      <c r="AA36" s="83" t="s">
        <v>343</v>
      </c>
      <c r="AE36" s="352" t="s">
        <v>226</v>
      </c>
      <c r="AF36" s="352"/>
      <c r="AG36" s="352"/>
      <c r="AI36" s="95" t="s">
        <v>287</v>
      </c>
      <c r="AJ36" s="176">
        <v>27.027027027027</v>
      </c>
      <c r="AK36" s="52" t="s">
        <v>288</v>
      </c>
      <c r="AL36" s="95" t="s">
        <v>287</v>
      </c>
      <c r="AM36" s="176">
        <v>27.027027027027</v>
      </c>
      <c r="AN36" s="52" t="s">
        <v>288</v>
      </c>
      <c r="AR36" s="95" t="s">
        <v>287</v>
      </c>
      <c r="AS36" s="176">
        <v>27.027027027027</v>
      </c>
      <c r="AT36" s="52" t="s">
        <v>288</v>
      </c>
      <c r="AU36" s="95" t="s">
        <v>287</v>
      </c>
      <c r="AV36" s="176">
        <v>27.027027027027</v>
      </c>
      <c r="AW36" s="52" t="s">
        <v>288</v>
      </c>
      <c r="BA36" s="95" t="s">
        <v>287</v>
      </c>
      <c r="BB36" s="176">
        <v>27.027027027027</v>
      </c>
      <c r="BC36" s="52" t="s">
        <v>288</v>
      </c>
      <c r="BD36" s="95" t="s">
        <v>287</v>
      </c>
      <c r="BE36" s="176">
        <v>27.027027027027</v>
      </c>
      <c r="BF36" s="52" t="s">
        <v>288</v>
      </c>
      <c r="BJ36" s="95" t="s">
        <v>287</v>
      </c>
      <c r="BK36" s="176">
        <v>27.027027027027</v>
      </c>
      <c r="BL36" s="52" t="s">
        <v>288</v>
      </c>
      <c r="BM36" s="95" t="s">
        <v>287</v>
      </c>
      <c r="BN36" s="176">
        <v>27.027027027027</v>
      </c>
      <c r="BO36" s="52" t="s">
        <v>288</v>
      </c>
      <c r="BS36" s="100"/>
      <c r="BT36" s="100"/>
      <c r="BU36" s="91"/>
      <c r="BY36" s="95" t="s">
        <v>287</v>
      </c>
      <c r="BZ36" s="176">
        <v>27.027027027027</v>
      </c>
      <c r="CA36" s="52" t="s">
        <v>288</v>
      </c>
      <c r="CC36" s="352"/>
      <c r="CD36" s="352"/>
      <c r="CE36" s="352"/>
      <c r="CF36" s="352"/>
      <c r="CG36" s="352"/>
      <c r="CM36" s="83"/>
      <c r="CN36" s="83"/>
      <c r="CR36" s="83"/>
      <c r="CS36" s="83"/>
      <c r="CT36" s="83" t="s">
        <v>361</v>
      </c>
      <c r="CU36" s="141">
        <f t="shared" si="1"/>
        <v>1</v>
      </c>
      <c r="CW36" s="94"/>
      <c r="CX36" s="94"/>
      <c r="CY36" s="94"/>
      <c r="CZ36" s="92" t="s">
        <v>465</v>
      </c>
      <c r="DA36" s="142">
        <f>B168</f>
        <v>350</v>
      </c>
      <c r="DB36" s="83" t="s">
        <v>24</v>
      </c>
      <c r="DR36" s="83"/>
      <c r="DS36" s="85"/>
      <c r="DT36" s="84"/>
      <c r="DW36" s="88"/>
      <c r="DX36" s="83"/>
      <c r="DY36" s="103"/>
      <c r="DZ36" s="92"/>
      <c r="EG36" s="83"/>
      <c r="EH36" s="85"/>
      <c r="EI36" s="84"/>
      <c r="EV36" s="84"/>
      <c r="EW36" s="84"/>
      <c r="EX36" s="84"/>
      <c r="FK36" s="84"/>
      <c r="FL36" s="84"/>
      <c r="FM36" s="84"/>
      <c r="FZ36" s="84"/>
      <c r="GA36" s="84"/>
      <c r="GB36" s="84"/>
      <c r="GO36" s="84"/>
      <c r="GP36" s="84"/>
      <c r="GQ36" s="84"/>
      <c r="HD36" s="52" t="s">
        <v>93</v>
      </c>
      <c r="HE36" s="150">
        <f>B87</f>
        <v>5</v>
      </c>
      <c r="HF36" s="52" t="s">
        <v>94</v>
      </c>
    </row>
    <row r="37" spans="1:214" ht="12.75" customHeight="1" x14ac:dyDescent="0.2">
      <c r="A37" s="381" t="s">
        <v>2</v>
      </c>
      <c r="B37" s="382"/>
      <c r="C37" s="383"/>
      <c r="D37" s="83" t="s">
        <v>394</v>
      </c>
      <c r="E37" s="146">
        <f>B44</f>
        <v>54</v>
      </c>
      <c r="F37" s="52" t="s">
        <v>48</v>
      </c>
      <c r="G37" s="83" t="s">
        <v>406</v>
      </c>
      <c r="H37" s="138">
        <f>B67</f>
        <v>1</v>
      </c>
      <c r="I37" s="52" t="s">
        <v>80</v>
      </c>
      <c r="J37" s="83" t="s">
        <v>408</v>
      </c>
      <c r="K37" s="150">
        <f>B78</f>
        <v>1.752</v>
      </c>
      <c r="L37" s="84" t="s">
        <v>194</v>
      </c>
      <c r="V37" s="83" t="s">
        <v>301</v>
      </c>
      <c r="W37" s="142">
        <f>B246</f>
        <v>1</v>
      </c>
      <c r="Y37" s="83" t="s">
        <v>301</v>
      </c>
      <c r="Z37" s="142">
        <f>B270</f>
        <v>1</v>
      </c>
      <c r="AE37" s="352"/>
      <c r="AF37" s="352"/>
      <c r="AG37" s="352"/>
      <c r="BS37" s="91"/>
      <c r="BT37" s="91"/>
      <c r="BU37" s="91"/>
      <c r="BZ37" s="90"/>
      <c r="CC37" s="352"/>
      <c r="CD37" s="352"/>
      <c r="CE37" s="352"/>
      <c r="CF37" s="352"/>
      <c r="CG37" s="352"/>
      <c r="CM37" s="83"/>
      <c r="CN37" s="83"/>
      <c r="CR37" s="83"/>
      <c r="CS37" s="83"/>
      <c r="CT37" s="83" t="s">
        <v>507</v>
      </c>
      <c r="CU37" s="150">
        <f t="shared" si="1"/>
        <v>12.167999999999999</v>
      </c>
      <c r="CV37" s="84" t="s">
        <v>194</v>
      </c>
      <c r="CZ37" s="92" t="s">
        <v>363</v>
      </c>
      <c r="DA37" s="141">
        <f>B170</f>
        <v>1</v>
      </c>
      <c r="DB37" s="92" t="s">
        <v>60</v>
      </c>
      <c r="DC37" s="83"/>
      <c r="DD37" s="83"/>
      <c r="DR37" s="83"/>
      <c r="DS37" s="86"/>
      <c r="DT37" s="84"/>
      <c r="DW37" s="88"/>
      <c r="DX37" s="83"/>
      <c r="DY37" s="101"/>
      <c r="DZ37" s="92"/>
      <c r="EG37" s="83"/>
      <c r="EH37" s="86"/>
      <c r="EI37" s="84"/>
      <c r="EV37" s="84"/>
      <c r="EW37" s="84"/>
      <c r="EX37" s="84"/>
      <c r="FK37" s="84"/>
      <c r="FL37" s="84"/>
      <c r="FM37" s="84"/>
      <c r="FZ37" s="84"/>
      <c r="GA37" s="84"/>
      <c r="GB37" s="84"/>
      <c r="GO37" s="84"/>
      <c r="GP37" s="84"/>
      <c r="GQ37" s="84"/>
      <c r="HD37" s="52" t="s">
        <v>96</v>
      </c>
      <c r="HE37" s="151">
        <f>(0.0112*HE39*HE39)^0.5+HE40*(1-EXP((-HE38*HE39)/(HE35*HE36*HE40)))</f>
        <v>8.5559628204593121</v>
      </c>
      <c r="HF37" s="52" t="s">
        <v>97</v>
      </c>
    </row>
    <row r="38" spans="1:214" ht="12.75" customHeight="1" x14ac:dyDescent="0.2">
      <c r="A38" s="83" t="s">
        <v>366</v>
      </c>
      <c r="B38" s="130">
        <v>10</v>
      </c>
      <c r="C38" s="92" t="s">
        <v>407</v>
      </c>
      <c r="D38" s="83" t="s">
        <v>260</v>
      </c>
      <c r="E38" s="152" t="e">
        <f>(E33/(E35*E34*E37*E36))/E39</f>
        <v>#DIV/0!</v>
      </c>
      <c r="F38" s="84" t="s">
        <v>290</v>
      </c>
      <c r="H38" s="138">
        <f>1/1000</f>
        <v>1E-3</v>
      </c>
      <c r="I38" s="52" t="s">
        <v>82</v>
      </c>
      <c r="J38" s="83" t="s">
        <v>409</v>
      </c>
      <c r="K38" s="150">
        <f>B79</f>
        <v>16.416</v>
      </c>
      <c r="L38" s="84" t="s">
        <v>194</v>
      </c>
      <c r="V38" s="52" t="s">
        <v>261</v>
      </c>
      <c r="W38" s="143">
        <f>((W27)/((W34/24)*W31*W32*W33*W35))/W42</f>
        <v>5.9200000000000065E-2</v>
      </c>
      <c r="X38" s="52" t="s">
        <v>15</v>
      </c>
      <c r="Y38" s="52" t="s">
        <v>261</v>
      </c>
      <c r="Z38" s="143">
        <f>((Z27)/((Z34/24)*Z31*Z32*Z33*Z35))/Z42</f>
        <v>3.2000000000000001E-2</v>
      </c>
      <c r="AA38" s="52" t="s">
        <v>15</v>
      </c>
      <c r="AE38" s="352"/>
      <c r="AF38" s="352"/>
      <c r="AG38" s="352"/>
      <c r="BS38" s="91"/>
      <c r="BT38" s="91"/>
      <c r="BU38" s="91"/>
      <c r="CC38" s="352"/>
      <c r="CD38" s="352"/>
      <c r="CE38" s="352"/>
      <c r="CF38" s="352"/>
      <c r="CG38" s="352"/>
      <c r="CM38" s="83"/>
      <c r="CN38" s="83"/>
      <c r="CR38" s="83"/>
      <c r="CS38" s="83"/>
      <c r="CT38" s="83" t="s">
        <v>508</v>
      </c>
      <c r="CU38" s="150">
        <f t="shared" si="1"/>
        <v>10.007999999999999</v>
      </c>
      <c r="CV38" s="84" t="s">
        <v>194</v>
      </c>
      <c r="CZ38" s="92" t="s">
        <v>364</v>
      </c>
      <c r="DA38" s="141">
        <f>B171</f>
        <v>24</v>
      </c>
      <c r="DB38" s="92" t="s">
        <v>194</v>
      </c>
      <c r="DC38" s="83"/>
      <c r="DD38" s="83"/>
      <c r="DW38" s="88"/>
      <c r="DX38" s="83"/>
      <c r="DY38" s="101"/>
      <c r="DZ38" s="92"/>
      <c r="HD38" s="52" t="s">
        <v>98</v>
      </c>
      <c r="HE38" s="150">
        <f>B88</f>
        <v>0.18</v>
      </c>
      <c r="HF38" s="52" t="s">
        <v>355</v>
      </c>
    </row>
    <row r="39" spans="1:214" ht="15" customHeight="1" x14ac:dyDescent="0.2">
      <c r="A39" s="83" t="s">
        <v>367</v>
      </c>
      <c r="B39" s="130">
        <v>20</v>
      </c>
      <c r="C39" s="92" t="s">
        <v>407</v>
      </c>
      <c r="D39" s="95" t="s">
        <v>287</v>
      </c>
      <c r="E39" s="176">
        <v>27.027027027027</v>
      </c>
      <c r="F39" s="52" t="s">
        <v>288</v>
      </c>
      <c r="H39" s="138">
        <v>1000</v>
      </c>
      <c r="I39" s="52" t="s">
        <v>427</v>
      </c>
      <c r="J39" s="83" t="s">
        <v>88</v>
      </c>
      <c r="K39" s="150">
        <v>0.4</v>
      </c>
      <c r="V39" s="52" t="s">
        <v>271</v>
      </c>
      <c r="W39" s="144">
        <f>((W27)/((W34/24)*W31*W36*(1/365)))/W42</f>
        <v>5.0147912515007907E-2</v>
      </c>
      <c r="X39" s="52" t="s">
        <v>15</v>
      </c>
      <c r="Y39" s="52" t="s">
        <v>271</v>
      </c>
      <c r="Z39" s="144">
        <f>((Z27)/((Z34/24)*Z31*Z36*(1/365)))/Z42</f>
        <v>2.7106979737842086E-2</v>
      </c>
      <c r="AA39" s="52" t="s">
        <v>15</v>
      </c>
      <c r="BK39" s="352" t="s">
        <v>230</v>
      </c>
      <c r="BL39" s="352"/>
      <c r="BM39" s="352"/>
      <c r="BN39" s="352"/>
      <c r="BO39" s="352"/>
      <c r="BS39" s="91"/>
      <c r="BT39" s="122"/>
      <c r="BU39" s="98"/>
      <c r="CM39" s="83"/>
      <c r="CN39" s="83"/>
      <c r="CO39" s="83"/>
      <c r="CP39" s="83"/>
      <c r="CQ39" s="83"/>
      <c r="CR39" s="83"/>
      <c r="CS39" s="83"/>
      <c r="CT39" s="83" t="s">
        <v>88</v>
      </c>
      <c r="CU39" s="150">
        <f t="shared" si="1"/>
        <v>0.4</v>
      </c>
      <c r="CZ39" s="92" t="s">
        <v>365</v>
      </c>
      <c r="DA39" s="141">
        <f>B172</f>
        <v>24</v>
      </c>
      <c r="DB39" s="92" t="s">
        <v>194</v>
      </c>
      <c r="DC39" s="83"/>
      <c r="DW39" s="88"/>
      <c r="DX39" s="83"/>
      <c r="DY39" s="101"/>
      <c r="DZ39" s="92"/>
      <c r="HD39" s="52" t="s">
        <v>100</v>
      </c>
      <c r="HE39" s="150">
        <f>B89</f>
        <v>55</v>
      </c>
      <c r="HF39" s="52" t="s">
        <v>97</v>
      </c>
    </row>
    <row r="40" spans="1:214" x14ac:dyDescent="0.2">
      <c r="A40" s="83" t="s">
        <v>368</v>
      </c>
      <c r="B40" s="130">
        <v>200</v>
      </c>
      <c r="C40" s="84" t="s">
        <v>48</v>
      </c>
      <c r="H40" s="138">
        <v>1000</v>
      </c>
      <c r="I40" s="52" t="s">
        <v>218</v>
      </c>
      <c r="J40" s="83" t="s">
        <v>303</v>
      </c>
      <c r="K40" s="141">
        <v>0.4</v>
      </c>
      <c r="V40" s="52" t="s">
        <v>261</v>
      </c>
      <c r="W40" s="144">
        <f>((W27*W29*W28)/((W34/24)*(1-EXP(-W29*W32))*W33*W35*W31*W32))/W42</f>
        <v>3.9163970056349027</v>
      </c>
      <c r="X40" s="52" t="s">
        <v>16</v>
      </c>
      <c r="Y40" s="52" t="s">
        <v>261</v>
      </c>
      <c r="Z40" s="144">
        <f>((Z27*Z29*Z28)/((Z34/24)*(1-EXP(-Z29*Z32))*Z33*Z35*Z31*Z32))/Z42</f>
        <v>2.1169713543972426</v>
      </c>
      <c r="AA40" s="52" t="s">
        <v>16</v>
      </c>
      <c r="BK40" s="352"/>
      <c r="BL40" s="352"/>
      <c r="BM40" s="352"/>
      <c r="BN40" s="352"/>
      <c r="BO40" s="352"/>
      <c r="BS40" s="91"/>
      <c r="BT40" s="122"/>
      <c r="BU40" s="98"/>
      <c r="CM40" s="83"/>
      <c r="CN40" s="83"/>
      <c r="CO40" s="83"/>
      <c r="CP40" s="83"/>
      <c r="CQ40" s="83"/>
      <c r="CR40" s="83"/>
      <c r="CS40" s="83"/>
      <c r="CT40" s="83" t="s">
        <v>303</v>
      </c>
      <c r="CU40" s="141">
        <f t="shared" si="1"/>
        <v>0.4</v>
      </c>
      <c r="CZ40" s="92" t="s">
        <v>457</v>
      </c>
      <c r="DA40" s="141">
        <f>B181</f>
        <v>1</v>
      </c>
      <c r="DB40" s="92" t="s">
        <v>144</v>
      </c>
      <c r="DC40" s="83"/>
      <c r="DW40" s="88"/>
      <c r="DX40" s="83"/>
      <c r="DY40" s="101"/>
      <c r="DZ40" s="92"/>
      <c r="HD40" s="52" t="s">
        <v>101</v>
      </c>
      <c r="HE40" s="150">
        <f>B90</f>
        <v>5</v>
      </c>
      <c r="HF40" s="52" t="s">
        <v>97</v>
      </c>
    </row>
    <row r="41" spans="1:214" ht="13.5" thickBot="1" x14ac:dyDescent="0.25">
      <c r="A41" s="83" t="s">
        <v>369</v>
      </c>
      <c r="B41" s="130">
        <v>100</v>
      </c>
      <c r="C41" s="84" t="s">
        <v>48</v>
      </c>
      <c r="E41" s="138"/>
      <c r="G41" s="83" t="s">
        <v>390</v>
      </c>
      <c r="H41" s="141">
        <f>B68</f>
        <v>0.25</v>
      </c>
      <c r="I41" s="84"/>
      <c r="J41" s="83" t="s">
        <v>302</v>
      </c>
      <c r="K41" s="141">
        <v>1</v>
      </c>
      <c r="V41" s="52" t="s">
        <v>271</v>
      </c>
      <c r="W41" s="145">
        <f>((W27*W29*W28)/((W34/24)*(1-EXP(-W29*W28))*W36*W31*(1/365)))/W42</f>
        <v>3.3175529461590849</v>
      </c>
      <c r="X41" s="52" t="s">
        <v>16</v>
      </c>
      <c r="Y41" s="52" t="s">
        <v>271</v>
      </c>
      <c r="Z41" s="145">
        <f>((Z27*Z29*Z28)/((Z34/24)*(1-EXP(-Z29*Z28))*Z36*Z31*(1/365)))/Z42</f>
        <v>1.7932718627886928</v>
      </c>
      <c r="AA41" s="52" t="s">
        <v>16</v>
      </c>
      <c r="BK41" s="352"/>
      <c r="BL41" s="352"/>
      <c r="BM41" s="352"/>
      <c r="BN41" s="352"/>
      <c r="BO41" s="352"/>
      <c r="BS41" s="91"/>
      <c r="BT41" s="102"/>
      <c r="BU41" s="100"/>
      <c r="CM41" s="83"/>
      <c r="CN41" s="83"/>
      <c r="CO41" s="83"/>
      <c r="CP41" s="83"/>
      <c r="CQ41" s="83"/>
      <c r="CR41" s="83"/>
      <c r="CS41" s="83"/>
      <c r="CT41" s="83" t="s">
        <v>302</v>
      </c>
      <c r="CU41" s="141">
        <f t="shared" si="1"/>
        <v>1</v>
      </c>
      <c r="CZ41" s="92" t="s">
        <v>466</v>
      </c>
      <c r="DA41" s="141">
        <f>B182</f>
        <v>1</v>
      </c>
      <c r="DB41" s="92" t="s">
        <v>144</v>
      </c>
      <c r="DW41" s="88"/>
      <c r="DX41" s="83"/>
      <c r="DY41" s="101"/>
      <c r="DZ41" s="92"/>
      <c r="HD41" s="52" t="s">
        <v>102</v>
      </c>
      <c r="HE41" s="150">
        <f>B91</f>
        <v>5</v>
      </c>
      <c r="HF41" s="52" t="s">
        <v>97</v>
      </c>
    </row>
    <row r="42" spans="1:214" ht="19.5" thickTop="1" thickBot="1" x14ac:dyDescent="0.25">
      <c r="A42" s="83" t="s">
        <v>370</v>
      </c>
      <c r="B42" s="130">
        <v>0.78</v>
      </c>
      <c r="C42" s="83" t="s">
        <v>28</v>
      </c>
      <c r="D42" s="353" t="s">
        <v>529</v>
      </c>
      <c r="E42" s="354"/>
      <c r="F42" s="355"/>
      <c r="G42" s="83"/>
      <c r="H42" s="146">
        <v>365</v>
      </c>
      <c r="I42" s="84" t="s">
        <v>24</v>
      </c>
      <c r="J42" s="83" t="s">
        <v>413</v>
      </c>
      <c r="K42" s="141">
        <v>1</v>
      </c>
      <c r="V42" s="95" t="s">
        <v>287</v>
      </c>
      <c r="W42" s="176">
        <v>27.027027027027</v>
      </c>
      <c r="X42" s="52" t="s">
        <v>288</v>
      </c>
      <c r="Y42" s="52" t="s">
        <v>220</v>
      </c>
      <c r="Z42" s="138">
        <f>B278</f>
        <v>50</v>
      </c>
      <c r="AA42" s="52" t="s">
        <v>113</v>
      </c>
      <c r="AI42" s="104"/>
      <c r="AJ42" s="104"/>
      <c r="AK42" s="104"/>
      <c r="BK42" s="352"/>
      <c r="BL42" s="352"/>
      <c r="BM42" s="352"/>
      <c r="BN42" s="352"/>
      <c r="BO42" s="352"/>
      <c r="BS42" s="91"/>
      <c r="BT42" s="97"/>
      <c r="BU42" s="91"/>
      <c r="CM42" s="83"/>
      <c r="CN42" s="83"/>
      <c r="CO42" s="83"/>
      <c r="CP42" s="83"/>
      <c r="CQ42" s="83"/>
      <c r="CR42" s="83"/>
      <c r="CS42" s="83"/>
      <c r="CT42" s="83" t="s">
        <v>54</v>
      </c>
      <c r="CU42" s="141">
        <f t="shared" si="1"/>
        <v>1</v>
      </c>
      <c r="CW42" s="84"/>
      <c r="CX42" s="84"/>
      <c r="CY42" s="84"/>
      <c r="CZ42" s="52" t="s">
        <v>477</v>
      </c>
      <c r="DA42" s="141">
        <f>B183</f>
        <v>0.54</v>
      </c>
      <c r="DB42" s="92" t="s">
        <v>358</v>
      </c>
      <c r="DW42" s="88"/>
      <c r="DX42" s="88"/>
      <c r="DY42" s="88"/>
      <c r="DZ42" s="88"/>
      <c r="HD42" s="52" t="s">
        <v>225</v>
      </c>
      <c r="HE42" s="138">
        <f>1+((HE35*HE36*HE37)/(HE38*HE39))</f>
        <v>3.1605966718331597</v>
      </c>
    </row>
    <row r="43" spans="1:214" x14ac:dyDescent="0.2">
      <c r="A43" s="83" t="s">
        <v>371</v>
      </c>
      <c r="B43" s="130">
        <v>2.5</v>
      </c>
      <c r="C43" s="52" t="s">
        <v>28</v>
      </c>
      <c r="D43" s="323" t="s">
        <v>530</v>
      </c>
      <c r="E43" s="347" t="e">
        <f>E53</f>
        <v>#DIV/0!</v>
      </c>
      <c r="F43" s="345" t="s">
        <v>291</v>
      </c>
      <c r="H43" s="146">
        <v>8760</v>
      </c>
      <c r="I43" s="84" t="s">
        <v>141</v>
      </c>
      <c r="J43" s="94" t="s">
        <v>92</v>
      </c>
      <c r="K43" s="150">
        <f>K33</f>
        <v>1</v>
      </c>
      <c r="L43" s="94" t="s">
        <v>60</v>
      </c>
      <c r="Y43" s="52" t="s">
        <v>219</v>
      </c>
      <c r="Z43" s="138">
        <f>B277</f>
        <v>5</v>
      </c>
      <c r="AA43" s="52" t="s">
        <v>157</v>
      </c>
      <c r="AI43" s="104"/>
      <c r="AJ43" s="104"/>
      <c r="AK43" s="104"/>
      <c r="BS43" s="91"/>
      <c r="BT43" s="102"/>
      <c r="BU43" s="91"/>
      <c r="CM43" s="83"/>
      <c r="CN43" s="83"/>
      <c r="CO43" s="83"/>
      <c r="CP43" s="83"/>
      <c r="CQ43" s="83"/>
      <c r="CR43" s="83"/>
      <c r="CS43" s="83"/>
      <c r="CT43" s="94" t="s">
        <v>350</v>
      </c>
      <c r="CU43" s="150">
        <f>CU33</f>
        <v>1</v>
      </c>
      <c r="CV43" s="94" t="s">
        <v>60</v>
      </c>
      <c r="CW43" s="84"/>
      <c r="CX43" s="84"/>
      <c r="CY43" s="84"/>
      <c r="CZ43" s="52" t="s">
        <v>478</v>
      </c>
      <c r="DA43" s="141">
        <f>B184</f>
        <v>0.71</v>
      </c>
      <c r="DB43" s="92" t="s">
        <v>358</v>
      </c>
      <c r="DW43" s="88"/>
      <c r="DX43" s="88"/>
      <c r="DY43" s="88"/>
      <c r="DZ43" s="88"/>
    </row>
    <row r="44" spans="1:214" ht="13.5" thickBot="1" x14ac:dyDescent="0.25">
      <c r="A44" s="83" t="s">
        <v>310</v>
      </c>
      <c r="B44" s="130">
        <v>54</v>
      </c>
      <c r="C44" s="52" t="s">
        <v>48</v>
      </c>
      <c r="D44" s="324"/>
      <c r="E44" s="348"/>
      <c r="F44" s="346"/>
      <c r="G44" s="52" t="s">
        <v>19</v>
      </c>
      <c r="H44" s="136">
        <f>H46</f>
        <v>0</v>
      </c>
      <c r="I44" s="84"/>
      <c r="K44" s="150">
        <v>365</v>
      </c>
      <c r="L44" s="52" t="s">
        <v>24</v>
      </c>
      <c r="Z44" s="138">
        <v>365</v>
      </c>
      <c r="AA44" s="52" t="s">
        <v>75</v>
      </c>
      <c r="BS44" s="91"/>
      <c r="BT44" s="99"/>
      <c r="BU44" s="100"/>
      <c r="CM44" s="83"/>
      <c r="CN44" s="83"/>
      <c r="CO44" s="83"/>
      <c r="CP44" s="83"/>
      <c r="CQ44" s="83"/>
      <c r="CR44" s="83"/>
      <c r="CS44" s="83"/>
      <c r="CU44" s="150">
        <v>365</v>
      </c>
      <c r="CV44" s="52" t="s">
        <v>24</v>
      </c>
      <c r="CW44" s="84"/>
      <c r="CX44" s="84"/>
      <c r="CY44" s="84"/>
      <c r="DA44" s="141">
        <v>365</v>
      </c>
      <c r="DB44" s="92" t="s">
        <v>24</v>
      </c>
      <c r="DW44" s="88"/>
      <c r="DX44" s="88"/>
      <c r="DY44" s="88"/>
      <c r="DZ44" s="88"/>
    </row>
    <row r="45" spans="1:214" ht="15.75" thickTop="1" x14ac:dyDescent="0.2">
      <c r="A45" s="83" t="s">
        <v>372</v>
      </c>
      <c r="B45" s="130">
        <v>68.099999999999994</v>
      </c>
      <c r="C45" s="92" t="s">
        <v>221</v>
      </c>
      <c r="D45" s="83" t="s">
        <v>267</v>
      </c>
      <c r="E45" s="136">
        <f>B5</f>
        <v>1</v>
      </c>
      <c r="F45" s="52" t="s">
        <v>344</v>
      </c>
      <c r="G45" s="83" t="s">
        <v>26</v>
      </c>
      <c r="H45" s="142">
        <f>H47</f>
        <v>0.26</v>
      </c>
      <c r="I45" s="84"/>
      <c r="K45" s="138">
        <v>1000</v>
      </c>
      <c r="L45" s="52" t="s">
        <v>99</v>
      </c>
      <c r="Y45" s="95" t="s">
        <v>287</v>
      </c>
      <c r="Z45" s="176">
        <v>27.027027027027</v>
      </c>
      <c r="AA45" s="52" t="s">
        <v>288</v>
      </c>
      <c r="AB45" s="104"/>
      <c r="AC45" s="105"/>
      <c r="AI45" s="106"/>
      <c r="AJ45" s="106"/>
      <c r="AK45" s="106"/>
      <c r="BS45" s="91"/>
      <c r="BT45" s="99"/>
      <c r="BU45" s="100"/>
      <c r="CM45" s="83"/>
      <c r="CN45" s="83"/>
      <c r="CO45" s="83"/>
      <c r="CP45" s="83"/>
      <c r="CQ45" s="83"/>
      <c r="CR45" s="83"/>
      <c r="CS45" s="83"/>
      <c r="CU45" s="138">
        <v>1000</v>
      </c>
      <c r="CV45" s="52" t="s">
        <v>99</v>
      </c>
      <c r="CZ45" s="84" t="s">
        <v>65</v>
      </c>
      <c r="DA45" s="141">
        <f>B185</f>
        <v>0.5</v>
      </c>
      <c r="DB45" s="92" t="s">
        <v>145</v>
      </c>
      <c r="DW45" s="88"/>
      <c r="DX45" s="88"/>
      <c r="DY45" s="88"/>
      <c r="DZ45" s="88"/>
    </row>
    <row r="46" spans="1:214" ht="13.5" customHeight="1" x14ac:dyDescent="0.2">
      <c r="A46" s="83" t="s">
        <v>373</v>
      </c>
      <c r="B46" s="130">
        <v>188.5</v>
      </c>
      <c r="C46" s="92" t="s">
        <v>221</v>
      </c>
      <c r="D46" s="83" t="s">
        <v>382</v>
      </c>
      <c r="E46" s="150">
        <f>B56</f>
        <v>350</v>
      </c>
      <c r="F46" s="83" t="s">
        <v>24</v>
      </c>
      <c r="G46" s="84" t="s">
        <v>32</v>
      </c>
      <c r="H46" s="139">
        <f>B31</f>
        <v>0</v>
      </c>
      <c r="K46" s="146">
        <v>1000</v>
      </c>
      <c r="L46" s="52" t="s">
        <v>23</v>
      </c>
      <c r="AB46" s="106"/>
      <c r="AC46" s="107"/>
      <c r="AI46" s="106"/>
      <c r="AJ46" s="106"/>
      <c r="AK46" s="106"/>
      <c r="BS46" s="83"/>
      <c r="BT46" s="92"/>
      <c r="BU46" s="83"/>
      <c r="BX46" s="84"/>
      <c r="CM46" s="83"/>
      <c r="CN46" s="83"/>
      <c r="CO46" s="83"/>
      <c r="CP46" s="83"/>
      <c r="CQ46" s="83"/>
      <c r="CR46" s="83"/>
      <c r="CS46" s="83"/>
      <c r="CU46" s="146">
        <v>1000</v>
      </c>
      <c r="CV46" s="52" t="s">
        <v>23</v>
      </c>
      <c r="CZ46" s="84"/>
      <c r="DA46" s="141">
        <v>1</v>
      </c>
      <c r="DB46" s="92" t="s">
        <v>146</v>
      </c>
      <c r="DW46" s="88"/>
      <c r="DX46" s="88"/>
      <c r="DY46" s="88"/>
      <c r="DZ46" s="88"/>
    </row>
    <row r="47" spans="1:214" x14ac:dyDescent="0.2">
      <c r="A47" s="83" t="s">
        <v>374</v>
      </c>
      <c r="B47" s="130">
        <v>41.7</v>
      </c>
      <c r="C47" s="92" t="s">
        <v>221</v>
      </c>
      <c r="D47" s="83" t="s">
        <v>258</v>
      </c>
      <c r="E47" s="136">
        <f>B17</f>
        <v>0</v>
      </c>
      <c r="F47" s="83" t="s">
        <v>87</v>
      </c>
      <c r="G47" s="83" t="s">
        <v>393</v>
      </c>
      <c r="H47" s="142">
        <f>B35</f>
        <v>0.26</v>
      </c>
      <c r="J47" s="52" t="s">
        <v>19</v>
      </c>
      <c r="K47" s="136">
        <f>K49</f>
        <v>0</v>
      </c>
      <c r="AB47" s="106"/>
      <c r="AC47" s="108"/>
      <c r="AD47" s="106"/>
      <c r="AI47" s="106"/>
      <c r="AJ47" s="106"/>
      <c r="AK47" s="106"/>
      <c r="BS47" s="83"/>
      <c r="BT47" s="92"/>
      <c r="BU47" s="83"/>
      <c r="BV47" s="83"/>
      <c r="BW47" s="83"/>
      <c r="BX47" s="84"/>
      <c r="CM47" s="83"/>
      <c r="CN47" s="83"/>
      <c r="CO47" s="83"/>
      <c r="CP47" s="83"/>
      <c r="CQ47" s="83"/>
      <c r="CR47" s="83"/>
      <c r="CS47" s="83"/>
      <c r="CT47" s="83" t="s">
        <v>475</v>
      </c>
      <c r="CU47" s="146">
        <f>B165</f>
        <v>0.15</v>
      </c>
      <c r="CZ47" s="84"/>
      <c r="DA47" s="141">
        <v>8760</v>
      </c>
      <c r="DB47" s="92" t="s">
        <v>141</v>
      </c>
      <c r="DW47" s="88"/>
      <c r="DX47" s="88"/>
      <c r="DY47" s="88"/>
      <c r="DZ47" s="88"/>
    </row>
    <row r="48" spans="1:214" x14ac:dyDescent="0.2">
      <c r="A48" s="83" t="s">
        <v>375</v>
      </c>
      <c r="B48" s="130">
        <v>128.9</v>
      </c>
      <c r="C48" s="92" t="s">
        <v>221</v>
      </c>
      <c r="D48" s="83" t="s">
        <v>379</v>
      </c>
      <c r="E48" s="146">
        <f>B53</f>
        <v>1</v>
      </c>
      <c r="F48" s="52" t="s">
        <v>60</v>
      </c>
      <c r="G48" s="52" t="s">
        <v>17</v>
      </c>
      <c r="H48" s="137">
        <f>((H51*H52*H53)*((1-EXP(-H54*H55))))/(H56*H54)</f>
        <v>0</v>
      </c>
      <c r="I48" s="52" t="s">
        <v>18</v>
      </c>
      <c r="J48" s="83" t="s">
        <v>26</v>
      </c>
      <c r="K48" s="142">
        <f>K50</f>
        <v>0.26</v>
      </c>
      <c r="AB48" s="106"/>
      <c r="AC48" s="108"/>
      <c r="AF48" s="109"/>
      <c r="AG48" s="106"/>
      <c r="AH48" s="106"/>
      <c r="AI48" s="106"/>
      <c r="AJ48" s="106"/>
      <c r="AK48" s="106"/>
      <c r="BS48" s="83"/>
      <c r="BT48" s="88"/>
      <c r="BU48" s="83"/>
      <c r="BV48" s="84"/>
      <c r="BW48" s="84"/>
      <c r="CM48" s="83"/>
      <c r="CN48" s="83"/>
      <c r="CO48" s="83"/>
      <c r="CP48" s="83"/>
      <c r="CQ48" s="83"/>
      <c r="CR48" s="83"/>
      <c r="CS48" s="83"/>
      <c r="CT48" s="83" t="s">
        <v>476</v>
      </c>
      <c r="CU48" s="150">
        <f>B166</f>
        <v>0.85</v>
      </c>
      <c r="DA48" s="141">
        <v>1000</v>
      </c>
      <c r="DB48" s="92" t="s">
        <v>99</v>
      </c>
      <c r="DW48" s="88"/>
      <c r="DX48" s="88"/>
      <c r="DY48" s="88"/>
      <c r="DZ48" s="88"/>
    </row>
    <row r="49" spans="1:130" x14ac:dyDescent="0.2">
      <c r="A49" s="83" t="s">
        <v>376</v>
      </c>
      <c r="B49" s="130">
        <v>0.23</v>
      </c>
      <c r="D49" s="83" t="s">
        <v>394</v>
      </c>
      <c r="E49" s="146">
        <f>B44</f>
        <v>54</v>
      </c>
      <c r="F49" s="52" t="s">
        <v>48</v>
      </c>
      <c r="G49" s="52" t="s">
        <v>25</v>
      </c>
      <c r="H49" s="137">
        <f>(H51*H52*H57*((1-EXP(-H54*H55))))/(H56*H54)</f>
        <v>5.4084629109509424E-3</v>
      </c>
      <c r="I49" s="52" t="s">
        <v>18</v>
      </c>
      <c r="J49" s="84" t="s">
        <v>32</v>
      </c>
      <c r="K49" s="139">
        <f>B31</f>
        <v>0</v>
      </c>
      <c r="AB49" s="106"/>
      <c r="AC49" s="108"/>
      <c r="AF49" s="109"/>
      <c r="AG49" s="106"/>
      <c r="AH49" s="106"/>
      <c r="AI49" s="106"/>
      <c r="AJ49" s="106"/>
      <c r="AK49" s="106"/>
      <c r="BS49" s="83"/>
      <c r="BT49" s="86"/>
      <c r="BU49" s="88"/>
      <c r="BV49" s="83"/>
      <c r="BW49" s="83"/>
      <c r="BY49" s="83"/>
      <c r="BZ49" s="83"/>
      <c r="CM49" s="83"/>
      <c r="CN49" s="83"/>
      <c r="CO49" s="83"/>
      <c r="CP49" s="83"/>
      <c r="CQ49" s="83"/>
      <c r="CR49" s="83"/>
      <c r="CS49" s="83"/>
      <c r="CT49" s="95" t="s">
        <v>287</v>
      </c>
      <c r="CU49" s="176">
        <v>27.027027027027</v>
      </c>
      <c r="CV49" s="52" t="s">
        <v>288</v>
      </c>
      <c r="CZ49" s="83" t="s">
        <v>475</v>
      </c>
      <c r="DA49" s="146">
        <f>B165</f>
        <v>0.15</v>
      </c>
      <c r="DW49" s="88"/>
      <c r="DX49" s="88"/>
      <c r="DY49" s="88"/>
      <c r="DZ49" s="88"/>
    </row>
    <row r="50" spans="1:130" x14ac:dyDescent="0.2">
      <c r="A50" s="83" t="s">
        <v>377</v>
      </c>
      <c r="B50" s="130">
        <v>0.77</v>
      </c>
      <c r="D50" s="83"/>
      <c r="E50" s="150">
        <v>1000</v>
      </c>
      <c r="F50" s="84" t="s">
        <v>99</v>
      </c>
      <c r="G50" s="52" t="s">
        <v>31</v>
      </c>
      <c r="H50" s="137">
        <f>(H51*H52*H58*H64*((1-EXP(-H59*H60))))/(H61*H59)</f>
        <v>0.82362658902748997</v>
      </c>
      <c r="I50" s="52" t="s">
        <v>18</v>
      </c>
      <c r="J50" s="83" t="s">
        <v>393</v>
      </c>
      <c r="K50" s="142">
        <f>B35</f>
        <v>0.26</v>
      </c>
      <c r="AB50" s="106"/>
      <c r="AC50" s="108"/>
      <c r="AF50" s="109"/>
      <c r="AG50" s="106"/>
      <c r="AH50" s="106"/>
      <c r="AI50" s="106"/>
      <c r="AJ50" s="106"/>
      <c r="AK50" s="106"/>
      <c r="BS50" s="88"/>
      <c r="BT50" s="88"/>
      <c r="BU50" s="88"/>
      <c r="BW50" s="85"/>
      <c r="BY50" s="84"/>
      <c r="BZ50" s="84"/>
      <c r="CM50" s="88"/>
      <c r="CN50" s="88"/>
      <c r="CO50" s="88"/>
      <c r="CP50" s="88"/>
      <c r="CQ50" s="88"/>
      <c r="CR50" s="88"/>
      <c r="CS50" s="88"/>
      <c r="CZ50" s="83" t="s">
        <v>476</v>
      </c>
      <c r="DA50" s="146">
        <f>B166</f>
        <v>0.85</v>
      </c>
      <c r="DW50" s="88"/>
      <c r="DX50" s="88"/>
      <c r="DY50" s="88"/>
      <c r="DZ50" s="88"/>
    </row>
    <row r="51" spans="1:130" x14ac:dyDescent="0.2">
      <c r="A51" s="52" t="s">
        <v>378</v>
      </c>
      <c r="B51" s="131">
        <v>1</v>
      </c>
      <c r="C51" s="52" t="s">
        <v>60</v>
      </c>
      <c r="D51" s="83" t="s">
        <v>105</v>
      </c>
      <c r="E51" s="150">
        <f>B23</f>
        <v>0</v>
      </c>
      <c r="F51" s="84" t="s">
        <v>18</v>
      </c>
      <c r="G51" s="83" t="s">
        <v>36</v>
      </c>
      <c r="H51" s="138">
        <f>B69</f>
        <v>3.62</v>
      </c>
      <c r="I51" s="52" t="s">
        <v>37</v>
      </c>
      <c r="J51" s="83" t="s">
        <v>376</v>
      </c>
      <c r="K51" s="146">
        <f>B49</f>
        <v>0.23</v>
      </c>
      <c r="AB51" s="106"/>
      <c r="AC51" s="108"/>
      <c r="AF51" s="109"/>
      <c r="AG51" s="106"/>
      <c r="BS51" s="88"/>
      <c r="BT51" s="88"/>
      <c r="BU51" s="88"/>
      <c r="BW51" s="85"/>
      <c r="BY51" s="83"/>
      <c r="BZ51" s="83"/>
      <c r="CM51" s="88"/>
      <c r="CN51" s="88"/>
      <c r="CO51" s="88"/>
      <c r="CP51" s="88"/>
      <c r="CQ51" s="88"/>
      <c r="CR51" s="88"/>
      <c r="CS51" s="88"/>
      <c r="CT51" s="83"/>
      <c r="CU51" s="83"/>
      <c r="CZ51" s="95" t="s">
        <v>287</v>
      </c>
      <c r="DA51" s="176">
        <v>27.027027027027</v>
      </c>
      <c r="DB51" s="52" t="s">
        <v>288</v>
      </c>
      <c r="DW51" s="88"/>
      <c r="DX51" s="88"/>
      <c r="DY51" s="88"/>
      <c r="DZ51" s="88"/>
    </row>
    <row r="52" spans="1:130" x14ac:dyDescent="0.2">
      <c r="A52" s="52" t="s">
        <v>448</v>
      </c>
      <c r="B52" s="131">
        <v>1</v>
      </c>
      <c r="C52" s="52" t="s">
        <v>60</v>
      </c>
      <c r="D52" s="83" t="s">
        <v>107</v>
      </c>
      <c r="E52" s="138">
        <f>B64</f>
        <v>1</v>
      </c>
      <c r="F52" s="84" t="s">
        <v>108</v>
      </c>
      <c r="G52" s="83" t="s">
        <v>40</v>
      </c>
      <c r="H52" s="138">
        <f>B70</f>
        <v>0.25</v>
      </c>
      <c r="I52" s="52" t="s">
        <v>41</v>
      </c>
      <c r="J52" s="83" t="s">
        <v>377</v>
      </c>
      <c r="K52" s="146">
        <f>B50</f>
        <v>0.77</v>
      </c>
      <c r="AB52" s="106"/>
      <c r="AC52" s="108"/>
      <c r="AF52" s="109"/>
      <c r="AG52" s="106"/>
      <c r="BS52" s="88"/>
      <c r="BT52" s="88"/>
      <c r="BU52" s="88"/>
      <c r="BW52" s="85"/>
      <c r="CM52" s="88"/>
      <c r="CN52" s="88"/>
      <c r="CO52" s="88"/>
      <c r="CP52" s="88"/>
      <c r="CQ52" s="88"/>
      <c r="CR52" s="88"/>
      <c r="CS52" s="88"/>
      <c r="DW52" s="88"/>
      <c r="DX52" s="88"/>
      <c r="DY52" s="88"/>
      <c r="DZ52" s="88"/>
    </row>
    <row r="53" spans="1:130" x14ac:dyDescent="0.2">
      <c r="A53" s="52" t="s">
        <v>379</v>
      </c>
      <c r="B53" s="131">
        <v>1</v>
      </c>
      <c r="C53" s="52" t="s">
        <v>60</v>
      </c>
      <c r="D53" s="83" t="s">
        <v>260</v>
      </c>
      <c r="E53" s="152" t="e">
        <f>(E45/(E47*E46*E48*E49*E51*E52*(1/E50)))/E54</f>
        <v>#DIV/0!</v>
      </c>
      <c r="F53" s="52" t="s">
        <v>291</v>
      </c>
      <c r="G53" s="92" t="s">
        <v>32</v>
      </c>
      <c r="H53" s="136">
        <f>B31</f>
        <v>0</v>
      </c>
      <c r="J53" s="95" t="s">
        <v>287</v>
      </c>
      <c r="K53" s="176">
        <v>27.027027027027</v>
      </c>
      <c r="L53" s="52" t="s">
        <v>288</v>
      </c>
      <c r="AB53" s="106"/>
      <c r="AC53" s="108"/>
      <c r="AF53" s="109"/>
      <c r="AG53" s="106"/>
      <c r="BS53" s="88"/>
      <c r="BT53" s="88"/>
      <c r="BU53" s="88"/>
      <c r="BV53" s="83"/>
      <c r="CM53" s="88"/>
      <c r="CN53" s="88"/>
      <c r="CO53" s="88"/>
      <c r="CP53" s="88"/>
      <c r="CQ53" s="88"/>
      <c r="CR53" s="88"/>
      <c r="CS53" s="88"/>
      <c r="CZ53" s="92"/>
    </row>
    <row r="54" spans="1:130" x14ac:dyDescent="0.2">
      <c r="A54" s="52" t="s">
        <v>380</v>
      </c>
      <c r="B54" s="131">
        <v>350</v>
      </c>
      <c r="C54" s="83" t="s">
        <v>24</v>
      </c>
      <c r="D54" s="95" t="s">
        <v>287</v>
      </c>
      <c r="E54" s="176">
        <v>27.027027027027</v>
      </c>
      <c r="F54" s="52" t="s">
        <v>288</v>
      </c>
      <c r="G54" s="92" t="s">
        <v>49</v>
      </c>
      <c r="H54" s="137">
        <f>H62+H63</f>
        <v>0.18127454746551735</v>
      </c>
      <c r="AB54" s="106"/>
      <c r="AC54" s="108"/>
      <c r="AF54" s="109"/>
      <c r="AG54" s="106"/>
      <c r="BS54" s="88"/>
      <c r="BT54" s="88"/>
      <c r="BU54" s="88"/>
      <c r="BV54" s="83"/>
      <c r="CZ54" s="92"/>
    </row>
    <row r="55" spans="1:130" x14ac:dyDescent="0.2">
      <c r="A55" s="52" t="s">
        <v>381</v>
      </c>
      <c r="B55" s="131">
        <v>350</v>
      </c>
      <c r="C55" s="83" t="s">
        <v>24</v>
      </c>
      <c r="G55" s="92" t="s">
        <v>52</v>
      </c>
      <c r="H55" s="138">
        <f>B71</f>
        <v>10950</v>
      </c>
      <c r="I55" s="52" t="s">
        <v>53</v>
      </c>
      <c r="AB55" s="106"/>
      <c r="AC55" s="108"/>
      <c r="AD55" s="106"/>
      <c r="AF55" s="109"/>
      <c r="AG55" s="106"/>
      <c r="AH55" s="106"/>
      <c r="AI55" s="106"/>
      <c r="AJ55" s="106"/>
      <c r="AK55" s="106"/>
      <c r="BS55" s="88"/>
      <c r="BT55" s="88"/>
      <c r="BU55" s="88"/>
      <c r="BV55" s="92"/>
      <c r="CZ55" s="92"/>
    </row>
    <row r="56" spans="1:130" x14ac:dyDescent="0.2">
      <c r="A56" s="52" t="s">
        <v>382</v>
      </c>
      <c r="B56" s="131">
        <v>350</v>
      </c>
      <c r="C56" s="83" t="s">
        <v>24</v>
      </c>
      <c r="G56" s="92" t="s">
        <v>55</v>
      </c>
      <c r="H56" s="138">
        <f>B72</f>
        <v>240</v>
      </c>
      <c r="I56" s="52" t="s">
        <v>56</v>
      </c>
      <c r="AB56" s="106"/>
      <c r="AC56" s="108"/>
      <c r="AD56" s="106"/>
      <c r="AF56" s="109"/>
      <c r="AG56" s="106"/>
      <c r="AH56" s="106"/>
      <c r="AI56" s="106"/>
      <c r="AJ56" s="106"/>
      <c r="AK56" s="106"/>
      <c r="BS56" s="88"/>
      <c r="BT56" s="88"/>
      <c r="BU56" s="88"/>
      <c r="BV56" s="92"/>
      <c r="CZ56" s="92"/>
    </row>
    <row r="57" spans="1:130" x14ac:dyDescent="0.2">
      <c r="A57" s="52" t="s">
        <v>403</v>
      </c>
      <c r="B57" s="131">
        <v>0.54</v>
      </c>
      <c r="C57" s="52" t="s">
        <v>89</v>
      </c>
      <c r="G57" s="92" t="s">
        <v>393</v>
      </c>
      <c r="H57" s="138">
        <f>B35</f>
        <v>0.26</v>
      </c>
      <c r="AB57" s="106"/>
      <c r="AC57" s="108"/>
      <c r="AD57" s="106"/>
      <c r="AF57" s="109"/>
      <c r="AG57" s="106"/>
      <c r="AH57" s="106"/>
      <c r="AI57" s="106"/>
      <c r="AJ57" s="106"/>
      <c r="AK57" s="106"/>
      <c r="BS57" s="88"/>
      <c r="BT57" s="88"/>
      <c r="BU57" s="88"/>
      <c r="BV57" s="92"/>
      <c r="CZ57" s="92"/>
      <c r="DA57" s="83"/>
      <c r="DB57" s="83"/>
    </row>
    <row r="58" spans="1:130" x14ac:dyDescent="0.2">
      <c r="A58" s="52" t="s">
        <v>404</v>
      </c>
      <c r="B58" s="131">
        <v>0.71</v>
      </c>
      <c r="C58" s="52" t="s">
        <v>89</v>
      </c>
      <c r="G58" s="92" t="s">
        <v>61</v>
      </c>
      <c r="H58" s="138">
        <v>0.42</v>
      </c>
      <c r="I58" s="52" t="s">
        <v>41</v>
      </c>
      <c r="AB58" s="106"/>
      <c r="AC58" s="108"/>
      <c r="AF58" s="109"/>
      <c r="AG58" s="106"/>
      <c r="AH58" s="106"/>
      <c r="AI58" s="106"/>
      <c r="AJ58" s="106"/>
      <c r="AK58" s="106"/>
      <c r="BS58" s="88"/>
      <c r="BT58" s="88"/>
      <c r="BU58" s="88"/>
      <c r="BV58" s="92"/>
      <c r="CZ58" s="92"/>
      <c r="DA58" s="83"/>
      <c r="DB58" s="83"/>
    </row>
    <row r="59" spans="1:130" x14ac:dyDescent="0.2">
      <c r="A59" s="52" t="s">
        <v>385</v>
      </c>
      <c r="B59" s="131">
        <v>24</v>
      </c>
      <c r="C59" s="52" t="s">
        <v>194</v>
      </c>
      <c r="G59" s="92" t="s">
        <v>63</v>
      </c>
      <c r="H59" s="151">
        <f>H63+(0.693/H65)</f>
        <v>0.23074754746551734</v>
      </c>
      <c r="I59" s="83" t="s">
        <v>64</v>
      </c>
      <c r="AB59" s="106"/>
      <c r="AC59" s="108"/>
      <c r="AF59" s="108"/>
      <c r="AG59" s="106"/>
      <c r="AH59" s="106"/>
      <c r="AI59" s="106"/>
      <c r="AJ59" s="106"/>
      <c r="AK59" s="106"/>
      <c r="BS59" s="88"/>
      <c r="BT59" s="88"/>
      <c r="BU59" s="88"/>
      <c r="BV59" s="92"/>
      <c r="CZ59" s="92"/>
      <c r="DA59" s="83"/>
      <c r="DB59" s="83"/>
    </row>
    <row r="60" spans="1:130" x14ac:dyDescent="0.2">
      <c r="A60" s="52" t="s">
        <v>318</v>
      </c>
      <c r="B60" s="131">
        <v>1</v>
      </c>
      <c r="G60" s="92" t="s">
        <v>67</v>
      </c>
      <c r="H60" s="142">
        <f>B73</f>
        <v>60</v>
      </c>
      <c r="I60" s="83" t="s">
        <v>53</v>
      </c>
      <c r="AB60" s="106"/>
      <c r="AC60" s="108"/>
      <c r="AF60" s="108"/>
      <c r="AG60" s="106"/>
      <c r="AH60" s="106"/>
      <c r="AI60" s="106"/>
      <c r="AJ60" s="106"/>
      <c r="AK60" s="106"/>
      <c r="BS60" s="88"/>
      <c r="BT60" s="88"/>
      <c r="BU60" s="88"/>
      <c r="BV60" s="92"/>
      <c r="CZ60" s="92"/>
    </row>
    <row r="61" spans="1:130" x14ac:dyDescent="0.2">
      <c r="A61" s="52" t="s">
        <v>303</v>
      </c>
      <c r="B61" s="131">
        <v>0.4</v>
      </c>
      <c r="G61" s="92" t="s">
        <v>68</v>
      </c>
      <c r="H61" s="142">
        <f>B74</f>
        <v>2</v>
      </c>
      <c r="I61" s="83" t="s">
        <v>56</v>
      </c>
      <c r="AB61" s="106"/>
      <c r="AC61" s="108"/>
      <c r="AD61" s="106"/>
      <c r="AF61" s="108"/>
      <c r="AG61" s="106"/>
      <c r="AH61" s="106"/>
      <c r="AI61" s="106"/>
      <c r="AJ61" s="106"/>
      <c r="AK61" s="106"/>
      <c r="BS61" s="88"/>
      <c r="BT61" s="88"/>
      <c r="BU61" s="88"/>
      <c r="BV61" s="92"/>
      <c r="BW61" s="83"/>
      <c r="BX61" s="83"/>
      <c r="CZ61" s="92"/>
      <c r="DA61" s="85"/>
    </row>
    <row r="62" spans="1:130" x14ac:dyDescent="0.2">
      <c r="A62" s="52" t="s">
        <v>302</v>
      </c>
      <c r="B62" s="131">
        <v>1</v>
      </c>
      <c r="G62" s="92" t="s">
        <v>70</v>
      </c>
      <c r="H62" s="138">
        <f>B75</f>
        <v>2.6999999999999999E-5</v>
      </c>
      <c r="I62" s="52" t="s">
        <v>64</v>
      </c>
      <c r="AB62" s="106"/>
      <c r="AC62" s="108"/>
      <c r="AD62" s="106"/>
      <c r="AF62" s="109"/>
      <c r="AG62" s="106"/>
      <c r="AH62" s="106"/>
      <c r="AI62" s="106"/>
      <c r="AJ62" s="106"/>
      <c r="AK62" s="106"/>
      <c r="BS62" s="88"/>
      <c r="BT62" s="88"/>
      <c r="BU62" s="88"/>
      <c r="BV62" s="92"/>
      <c r="BW62" s="83"/>
      <c r="BX62" s="83"/>
      <c r="CZ62" s="92"/>
    </row>
    <row r="63" spans="1:130" x14ac:dyDescent="0.2">
      <c r="A63" s="52" t="s">
        <v>386</v>
      </c>
      <c r="B63" s="131">
        <v>1</v>
      </c>
      <c r="G63" s="92" t="s">
        <v>71</v>
      </c>
      <c r="H63" s="137">
        <f>0.693/H67</f>
        <v>0.18124754746551736</v>
      </c>
      <c r="I63" s="52" t="s">
        <v>64</v>
      </c>
      <c r="AB63" s="106"/>
      <c r="AC63" s="108"/>
      <c r="AD63" s="106"/>
      <c r="AF63" s="109"/>
      <c r="AG63" s="106"/>
      <c r="AH63" s="106"/>
      <c r="AI63" s="106"/>
      <c r="AJ63" s="106"/>
      <c r="AK63" s="106"/>
      <c r="BS63" s="88"/>
      <c r="BT63" s="88"/>
      <c r="BU63" s="88"/>
      <c r="BV63" s="92"/>
      <c r="BW63" s="83"/>
      <c r="BX63" s="83"/>
      <c r="CZ63" s="92"/>
    </row>
    <row r="64" spans="1:130" x14ac:dyDescent="0.2">
      <c r="A64" s="83" t="s">
        <v>107</v>
      </c>
      <c r="B64" s="131">
        <v>1</v>
      </c>
      <c r="C64" s="84" t="s">
        <v>108</v>
      </c>
      <c r="G64" s="92" t="s">
        <v>73</v>
      </c>
      <c r="H64" s="138">
        <f>B76</f>
        <v>1</v>
      </c>
      <c r="I64" s="52" t="s">
        <v>41</v>
      </c>
      <c r="AB64" s="106"/>
      <c r="AC64" s="108"/>
      <c r="AD64" s="106"/>
      <c r="AF64" s="109"/>
      <c r="AG64" s="106"/>
      <c r="AH64" s="106"/>
      <c r="AI64" s="106"/>
      <c r="AJ64" s="106"/>
      <c r="AK64" s="106"/>
      <c r="BV64" s="92"/>
    </row>
    <row r="65" spans="1:105" x14ac:dyDescent="0.2">
      <c r="A65" s="52" t="s">
        <v>65</v>
      </c>
      <c r="B65" s="131">
        <v>0.5</v>
      </c>
      <c r="C65" s="52" t="s">
        <v>66</v>
      </c>
      <c r="G65" s="92" t="s">
        <v>74</v>
      </c>
      <c r="H65" s="138">
        <f>B77</f>
        <v>14</v>
      </c>
      <c r="I65" s="52" t="s">
        <v>75</v>
      </c>
      <c r="AB65" s="106"/>
      <c r="AC65" s="108"/>
      <c r="AD65" s="106"/>
      <c r="AF65" s="109"/>
      <c r="AG65" s="106"/>
      <c r="AH65" s="106"/>
      <c r="AI65" s="106"/>
      <c r="AJ65" s="106"/>
      <c r="AK65" s="106"/>
      <c r="BV65" s="92"/>
    </row>
    <row r="66" spans="1:105" x14ac:dyDescent="0.2">
      <c r="A66" s="52" t="s">
        <v>79</v>
      </c>
      <c r="B66" s="131">
        <v>1</v>
      </c>
      <c r="C66" s="52" t="s">
        <v>80</v>
      </c>
      <c r="G66" s="52" t="s">
        <v>33</v>
      </c>
      <c r="H66" s="136">
        <f>B32</f>
        <v>0</v>
      </c>
      <c r="AB66" s="106"/>
      <c r="AC66" s="108"/>
      <c r="AD66" s="106"/>
      <c r="AF66" s="109"/>
      <c r="AG66" s="106"/>
      <c r="AH66" s="106"/>
      <c r="AI66" s="106"/>
      <c r="AJ66" s="106"/>
      <c r="AK66" s="106"/>
      <c r="BV66" s="92"/>
      <c r="CZ66" s="83"/>
      <c r="DA66" s="85"/>
    </row>
    <row r="67" spans="1:105" x14ac:dyDescent="0.2">
      <c r="A67" s="52" t="s">
        <v>81</v>
      </c>
      <c r="B67" s="131">
        <v>1</v>
      </c>
      <c r="C67" s="52" t="s">
        <v>80</v>
      </c>
      <c r="G67" s="83" t="s">
        <v>234</v>
      </c>
      <c r="H67" s="136">
        <f>B22</f>
        <v>3.8235000124999998</v>
      </c>
      <c r="I67" s="52" t="s">
        <v>222</v>
      </c>
      <c r="AB67" s="106"/>
      <c r="AC67" s="110"/>
      <c r="AD67" s="106"/>
      <c r="AF67" s="109"/>
      <c r="AG67" s="106"/>
      <c r="AH67" s="106"/>
      <c r="AI67" s="106"/>
      <c r="AJ67" s="106"/>
      <c r="AK67" s="106"/>
      <c r="BV67" s="92"/>
    </row>
    <row r="68" spans="1:105" x14ac:dyDescent="0.2">
      <c r="A68" s="52" t="s">
        <v>390</v>
      </c>
      <c r="B68" s="131">
        <v>0.25</v>
      </c>
      <c r="G68" s="83" t="s">
        <v>376</v>
      </c>
      <c r="H68" s="146">
        <f>B49</f>
        <v>0.23</v>
      </c>
      <c r="AB68" s="106"/>
      <c r="AC68" s="111"/>
      <c r="AD68" s="106"/>
      <c r="AF68" s="109"/>
      <c r="AG68" s="106"/>
      <c r="AH68" s="106"/>
      <c r="AI68" s="106"/>
      <c r="AJ68" s="106"/>
      <c r="AK68" s="106"/>
    </row>
    <row r="69" spans="1:105" x14ac:dyDescent="0.2">
      <c r="A69" s="83" t="s">
        <v>36</v>
      </c>
      <c r="B69" s="131">
        <v>3.62</v>
      </c>
      <c r="C69" s="52" t="s">
        <v>37</v>
      </c>
      <c r="G69" s="83" t="s">
        <v>377</v>
      </c>
      <c r="H69" s="146">
        <f>B50</f>
        <v>0.77</v>
      </c>
      <c r="AF69" s="112"/>
      <c r="AG69" s="106"/>
      <c r="AH69" s="106"/>
      <c r="AI69" s="106"/>
      <c r="AJ69" s="106"/>
      <c r="AK69" s="106"/>
      <c r="BV69" s="83"/>
      <c r="BW69" s="85"/>
    </row>
    <row r="70" spans="1:105" x14ac:dyDescent="0.2">
      <c r="A70" s="83" t="s">
        <v>40</v>
      </c>
      <c r="B70" s="131">
        <v>0.25</v>
      </c>
      <c r="C70" s="52" t="s">
        <v>41</v>
      </c>
      <c r="G70" s="95" t="s">
        <v>287</v>
      </c>
      <c r="H70" s="176">
        <v>27.027027027027</v>
      </c>
      <c r="I70" s="52" t="s">
        <v>288</v>
      </c>
      <c r="AF70" s="109"/>
      <c r="AG70" s="106"/>
      <c r="AH70" s="106"/>
      <c r="AI70" s="106"/>
      <c r="AJ70" s="106"/>
      <c r="AK70" s="106"/>
      <c r="BV70" s="83"/>
    </row>
    <row r="71" spans="1:105" x14ac:dyDescent="0.2">
      <c r="A71" s="92" t="s">
        <v>52</v>
      </c>
      <c r="B71" s="131">
        <v>10950</v>
      </c>
      <c r="C71" s="52" t="s">
        <v>53</v>
      </c>
      <c r="AF71" s="113"/>
      <c r="AG71" s="106"/>
      <c r="AH71" s="106"/>
      <c r="AI71" s="106"/>
      <c r="AJ71" s="106"/>
      <c r="AK71" s="106"/>
      <c r="BV71" s="83"/>
    </row>
    <row r="72" spans="1:105" x14ac:dyDescent="0.2">
      <c r="A72" s="92" t="s">
        <v>55</v>
      </c>
      <c r="B72" s="131">
        <v>240</v>
      </c>
      <c r="C72" s="52" t="s">
        <v>56</v>
      </c>
      <c r="AF72" s="109"/>
      <c r="AG72" s="106"/>
      <c r="AH72" s="106"/>
      <c r="AI72" s="106"/>
      <c r="AJ72" s="106"/>
      <c r="AK72" s="106"/>
    </row>
    <row r="73" spans="1:105" x14ac:dyDescent="0.2">
      <c r="A73" s="92" t="s">
        <v>67</v>
      </c>
      <c r="B73" s="131">
        <v>60</v>
      </c>
      <c r="C73" s="83" t="s">
        <v>53</v>
      </c>
      <c r="AF73" s="109"/>
      <c r="AG73" s="106"/>
      <c r="AH73" s="106"/>
      <c r="AI73" s="106"/>
      <c r="AJ73" s="106"/>
      <c r="AK73" s="106"/>
    </row>
    <row r="74" spans="1:105" x14ac:dyDescent="0.2">
      <c r="A74" s="92" t="s">
        <v>68</v>
      </c>
      <c r="B74" s="131">
        <v>2</v>
      </c>
      <c r="C74" s="83" t="s">
        <v>56</v>
      </c>
      <c r="AF74" s="109"/>
      <c r="AG74" s="106"/>
      <c r="AH74" s="106"/>
      <c r="AI74" s="106"/>
      <c r="AJ74" s="106"/>
      <c r="AK74" s="106"/>
    </row>
    <row r="75" spans="1:105" x14ac:dyDescent="0.2">
      <c r="A75" s="92" t="s">
        <v>70</v>
      </c>
      <c r="B75" s="131">
        <v>2.6999999999999999E-5</v>
      </c>
      <c r="C75" s="52" t="s">
        <v>64</v>
      </c>
      <c r="AF75" s="108"/>
      <c r="AG75" s="106"/>
      <c r="AH75" s="106"/>
      <c r="AI75" s="106"/>
      <c r="AJ75" s="106"/>
      <c r="AK75" s="106"/>
    </row>
    <row r="76" spans="1:105" x14ac:dyDescent="0.2">
      <c r="A76" s="92" t="s">
        <v>73</v>
      </c>
      <c r="B76" s="131">
        <v>1</v>
      </c>
      <c r="C76" s="52" t="s">
        <v>41</v>
      </c>
      <c r="AF76" s="109"/>
      <c r="AG76" s="106"/>
      <c r="AH76" s="106"/>
      <c r="AI76" s="106"/>
      <c r="AJ76" s="106"/>
      <c r="AK76" s="106"/>
    </row>
    <row r="77" spans="1:105" x14ac:dyDescent="0.2">
      <c r="A77" s="92" t="s">
        <v>74</v>
      </c>
      <c r="B77" s="131">
        <v>14</v>
      </c>
      <c r="C77" s="52" t="s">
        <v>75</v>
      </c>
      <c r="AF77" s="109"/>
      <c r="AG77" s="106"/>
      <c r="AH77" s="106"/>
      <c r="AI77" s="106"/>
      <c r="AJ77" s="106"/>
      <c r="AK77" s="106"/>
    </row>
    <row r="78" spans="1:105" x14ac:dyDescent="0.2">
      <c r="A78" s="83" t="s">
        <v>408</v>
      </c>
      <c r="B78" s="130">
        <v>1.752</v>
      </c>
      <c r="C78" s="84" t="s">
        <v>194</v>
      </c>
      <c r="AF78" s="109"/>
      <c r="AG78" s="106"/>
      <c r="AH78" s="106"/>
      <c r="AI78" s="106"/>
      <c r="AJ78" s="106"/>
      <c r="AK78" s="106"/>
    </row>
    <row r="79" spans="1:105" x14ac:dyDescent="0.2">
      <c r="A79" s="83" t="s">
        <v>409</v>
      </c>
      <c r="B79" s="130">
        <v>16.416</v>
      </c>
      <c r="C79" s="84" t="s">
        <v>194</v>
      </c>
      <c r="AF79" s="109"/>
      <c r="AG79" s="106"/>
    </row>
    <row r="80" spans="1:105" x14ac:dyDescent="0.2">
      <c r="A80" s="83" t="s">
        <v>389</v>
      </c>
      <c r="B80" s="130">
        <v>1</v>
      </c>
      <c r="C80" s="84"/>
      <c r="AF80" s="109"/>
      <c r="AG80" s="106"/>
      <c r="AH80" s="106"/>
      <c r="AI80" s="106"/>
      <c r="AJ80" s="106"/>
      <c r="AK80" s="106"/>
    </row>
    <row r="81" spans="1:37" x14ac:dyDescent="0.2">
      <c r="A81" s="385" t="s">
        <v>387</v>
      </c>
      <c r="B81" s="385"/>
      <c r="C81" s="385"/>
      <c r="AF81" s="109"/>
      <c r="AG81" s="106"/>
      <c r="AH81" s="106"/>
      <c r="AI81" s="106"/>
      <c r="AJ81" s="106"/>
      <c r="AK81" s="106"/>
    </row>
    <row r="82" spans="1:37" x14ac:dyDescent="0.2">
      <c r="A82" s="52" t="s">
        <v>34</v>
      </c>
      <c r="B82" s="131">
        <v>70</v>
      </c>
      <c r="C82" s="52" t="s">
        <v>60</v>
      </c>
      <c r="AF82" s="109"/>
      <c r="AG82" s="106"/>
      <c r="AH82" s="106"/>
      <c r="AI82" s="106"/>
      <c r="AJ82" s="106"/>
      <c r="AK82" s="106"/>
    </row>
    <row r="83" spans="1:37" x14ac:dyDescent="0.2">
      <c r="A83" s="84" t="s">
        <v>38</v>
      </c>
      <c r="B83" s="131">
        <v>0.3</v>
      </c>
      <c r="C83" s="52" t="s">
        <v>391</v>
      </c>
      <c r="AF83" s="109"/>
      <c r="AG83" s="106"/>
      <c r="AH83" s="106"/>
      <c r="AI83" s="106"/>
      <c r="AJ83" s="106"/>
      <c r="AK83" s="106"/>
    </row>
    <row r="84" spans="1:37" x14ac:dyDescent="0.2">
      <c r="A84" s="84" t="s">
        <v>42</v>
      </c>
      <c r="B84" s="130">
        <v>1.5</v>
      </c>
      <c r="C84" s="52" t="s">
        <v>286</v>
      </c>
      <c r="AF84" s="108"/>
      <c r="AG84" s="106"/>
    </row>
    <row r="85" spans="1:37" x14ac:dyDescent="0.2">
      <c r="A85" s="84" t="s">
        <v>47</v>
      </c>
      <c r="B85" s="131">
        <v>1</v>
      </c>
      <c r="C85" s="52" t="s">
        <v>60</v>
      </c>
      <c r="AF85" s="108"/>
      <c r="AG85" s="106"/>
      <c r="AH85" s="106"/>
      <c r="AI85" s="106"/>
      <c r="AJ85" s="106"/>
      <c r="AK85" s="106"/>
    </row>
    <row r="86" spans="1:37" x14ac:dyDescent="0.2">
      <c r="A86" s="84" t="s">
        <v>225</v>
      </c>
      <c r="B86" s="130">
        <v>1</v>
      </c>
      <c r="AF86" s="108"/>
      <c r="AG86" s="106"/>
    </row>
    <row r="87" spans="1:37" x14ac:dyDescent="0.2">
      <c r="A87" s="52" t="s">
        <v>93</v>
      </c>
      <c r="B87" s="130">
        <v>5</v>
      </c>
      <c r="C87" s="52" t="s">
        <v>94</v>
      </c>
      <c r="AH87" s="108"/>
      <c r="AI87" s="108"/>
      <c r="AJ87" s="108"/>
      <c r="AK87" s="108"/>
    </row>
    <row r="88" spans="1:37" x14ac:dyDescent="0.2">
      <c r="A88" s="52" t="s">
        <v>98</v>
      </c>
      <c r="B88" s="130">
        <v>0.18</v>
      </c>
      <c r="C88" s="52" t="s">
        <v>355</v>
      </c>
    </row>
    <row r="89" spans="1:37" x14ac:dyDescent="0.2">
      <c r="A89" s="52" t="s">
        <v>100</v>
      </c>
      <c r="B89" s="130">
        <v>55</v>
      </c>
      <c r="C89" s="52" t="s">
        <v>97</v>
      </c>
    </row>
    <row r="90" spans="1:37" x14ac:dyDescent="0.2">
      <c r="A90" s="52" t="s">
        <v>101</v>
      </c>
      <c r="B90" s="130">
        <v>5</v>
      </c>
      <c r="C90" s="52" t="s">
        <v>97</v>
      </c>
    </row>
    <row r="91" spans="1:37" x14ac:dyDescent="0.2">
      <c r="A91" s="52" t="s">
        <v>102</v>
      </c>
      <c r="B91" s="130">
        <v>5</v>
      </c>
      <c r="C91" s="52" t="s">
        <v>97</v>
      </c>
    </row>
    <row r="92" spans="1:37" x14ac:dyDescent="0.2">
      <c r="A92" s="384" t="s">
        <v>5</v>
      </c>
      <c r="B92" s="384"/>
      <c r="C92" s="384"/>
    </row>
    <row r="93" spans="1:37" x14ac:dyDescent="0.2">
      <c r="A93" s="83" t="s">
        <v>429</v>
      </c>
      <c r="B93" s="131">
        <v>10</v>
      </c>
      <c r="C93" s="92" t="s">
        <v>407</v>
      </c>
    </row>
    <row r="94" spans="1:37" x14ac:dyDescent="0.2">
      <c r="A94" s="83" t="s">
        <v>430</v>
      </c>
      <c r="B94" s="131">
        <v>20</v>
      </c>
      <c r="C94" s="92" t="s">
        <v>407</v>
      </c>
    </row>
    <row r="95" spans="1:37" x14ac:dyDescent="0.2">
      <c r="A95" s="83" t="s">
        <v>439</v>
      </c>
      <c r="B95" s="130">
        <v>0.05</v>
      </c>
      <c r="C95" s="83" t="s">
        <v>357</v>
      </c>
    </row>
    <row r="96" spans="1:37" x14ac:dyDescent="0.2">
      <c r="A96" s="83" t="s">
        <v>438</v>
      </c>
      <c r="B96" s="130">
        <v>0.05</v>
      </c>
      <c r="C96" s="83" t="s">
        <v>357</v>
      </c>
    </row>
    <row r="97" spans="1:3" x14ac:dyDescent="0.2">
      <c r="A97" s="83" t="s">
        <v>441</v>
      </c>
      <c r="B97" s="131">
        <v>200</v>
      </c>
      <c r="C97" s="84" t="s">
        <v>48</v>
      </c>
    </row>
    <row r="98" spans="1:3" x14ac:dyDescent="0.2">
      <c r="A98" s="83" t="s">
        <v>442</v>
      </c>
      <c r="B98" s="131">
        <v>100</v>
      </c>
      <c r="C98" s="84" t="s">
        <v>48</v>
      </c>
    </row>
    <row r="99" spans="1:3" x14ac:dyDescent="0.2">
      <c r="A99" s="52" t="s">
        <v>159</v>
      </c>
      <c r="B99" s="131">
        <v>1</v>
      </c>
      <c r="C99" s="52" t="s">
        <v>221</v>
      </c>
    </row>
    <row r="100" spans="1:3" x14ac:dyDescent="0.2">
      <c r="A100" s="52" t="s">
        <v>160</v>
      </c>
      <c r="B100" s="131">
        <v>1</v>
      </c>
      <c r="C100" s="52" t="s">
        <v>221</v>
      </c>
    </row>
    <row r="101" spans="1:3" x14ac:dyDescent="0.2">
      <c r="A101" s="83" t="s">
        <v>308</v>
      </c>
      <c r="B101" s="130">
        <v>0.23</v>
      </c>
    </row>
    <row r="102" spans="1:3" x14ac:dyDescent="0.2">
      <c r="A102" s="83" t="s">
        <v>309</v>
      </c>
      <c r="B102" s="130">
        <v>0.77</v>
      </c>
    </row>
    <row r="103" spans="1:3" x14ac:dyDescent="0.2">
      <c r="A103" s="52" t="s">
        <v>140</v>
      </c>
      <c r="B103" s="131">
        <v>75</v>
      </c>
      <c r="C103" s="52" t="s">
        <v>24</v>
      </c>
    </row>
    <row r="104" spans="1:3" x14ac:dyDescent="0.2">
      <c r="A104" s="52" t="s">
        <v>433</v>
      </c>
      <c r="B104" s="131">
        <v>75</v>
      </c>
      <c r="C104" s="52" t="s">
        <v>24</v>
      </c>
    </row>
    <row r="105" spans="1:3" x14ac:dyDescent="0.2">
      <c r="A105" s="52" t="s">
        <v>434</v>
      </c>
      <c r="B105" s="131">
        <v>75</v>
      </c>
      <c r="C105" s="52" t="s">
        <v>24</v>
      </c>
    </row>
    <row r="106" spans="1:3" x14ac:dyDescent="0.2">
      <c r="A106" s="52" t="s">
        <v>431</v>
      </c>
      <c r="B106" s="130">
        <v>1</v>
      </c>
      <c r="C106" s="52" t="s">
        <v>194</v>
      </c>
    </row>
    <row r="107" spans="1:3" x14ac:dyDescent="0.2">
      <c r="A107" s="52" t="s">
        <v>432</v>
      </c>
      <c r="B107" s="130">
        <v>1</v>
      </c>
      <c r="C107" s="52" t="s">
        <v>194</v>
      </c>
    </row>
    <row r="108" spans="1:3" x14ac:dyDescent="0.2">
      <c r="A108" s="52" t="s">
        <v>90</v>
      </c>
      <c r="B108" s="131">
        <v>1</v>
      </c>
      <c r="C108" s="52" t="s">
        <v>194</v>
      </c>
    </row>
    <row r="109" spans="1:3" x14ac:dyDescent="0.2">
      <c r="A109" s="52" t="s">
        <v>443</v>
      </c>
      <c r="B109" s="131">
        <v>1</v>
      </c>
      <c r="C109" s="52" t="s">
        <v>89</v>
      </c>
    </row>
    <row r="110" spans="1:3" x14ac:dyDescent="0.2">
      <c r="A110" s="52" t="s">
        <v>444</v>
      </c>
      <c r="B110" s="131">
        <v>1</v>
      </c>
      <c r="C110" s="52" t="s">
        <v>89</v>
      </c>
    </row>
    <row r="111" spans="1:3" x14ac:dyDescent="0.2">
      <c r="A111" s="83" t="s">
        <v>301</v>
      </c>
      <c r="B111" s="131">
        <v>1</v>
      </c>
    </row>
    <row r="112" spans="1:3" x14ac:dyDescent="0.2">
      <c r="A112" s="83" t="s">
        <v>433</v>
      </c>
      <c r="B112" s="130">
        <v>45</v>
      </c>
      <c r="C112" s="83" t="s">
        <v>24</v>
      </c>
    </row>
    <row r="113" spans="1:3" x14ac:dyDescent="0.2">
      <c r="A113" s="83" t="s">
        <v>434</v>
      </c>
      <c r="B113" s="130">
        <v>45</v>
      </c>
      <c r="C113" s="83" t="s">
        <v>24</v>
      </c>
    </row>
    <row r="114" spans="1:3" x14ac:dyDescent="0.2">
      <c r="A114" s="83" t="s">
        <v>435</v>
      </c>
      <c r="B114" s="131">
        <v>1</v>
      </c>
      <c r="C114" s="52" t="s">
        <v>80</v>
      </c>
    </row>
    <row r="115" spans="1:3" x14ac:dyDescent="0.2">
      <c r="A115" s="83" t="s">
        <v>436</v>
      </c>
      <c r="B115" s="131">
        <v>1</v>
      </c>
      <c r="C115" s="52" t="s">
        <v>80</v>
      </c>
    </row>
    <row r="116" spans="1:3" x14ac:dyDescent="0.2">
      <c r="A116" s="83" t="s">
        <v>65</v>
      </c>
      <c r="B116" s="130">
        <v>0.5</v>
      </c>
      <c r="C116" s="52" t="s">
        <v>66</v>
      </c>
    </row>
    <row r="117" spans="1:3" x14ac:dyDescent="0.2">
      <c r="A117" s="52" t="s">
        <v>51</v>
      </c>
      <c r="B117" s="131">
        <v>1</v>
      </c>
      <c r="C117" s="52" t="s">
        <v>60</v>
      </c>
    </row>
    <row r="118" spans="1:3" x14ac:dyDescent="0.2">
      <c r="A118" s="52" t="s">
        <v>329</v>
      </c>
      <c r="B118" s="131">
        <v>2.41E-4</v>
      </c>
    </row>
    <row r="119" spans="1:3" x14ac:dyDescent="0.2">
      <c r="A119" s="52" t="s">
        <v>330</v>
      </c>
      <c r="B119" s="131">
        <v>0.753</v>
      </c>
    </row>
    <row r="120" spans="1:3" x14ac:dyDescent="0.2">
      <c r="A120" s="52" t="s">
        <v>331</v>
      </c>
      <c r="B120" s="131">
        <v>1.17E-4</v>
      </c>
    </row>
    <row r="121" spans="1:3" x14ac:dyDescent="0.2">
      <c r="A121" s="52" t="s">
        <v>332</v>
      </c>
      <c r="B121" s="131">
        <v>0.74299999999999999</v>
      </c>
    </row>
    <row r="122" spans="1:3" x14ac:dyDescent="0.2">
      <c r="A122" s="52" t="s">
        <v>333</v>
      </c>
      <c r="B122" s="131">
        <v>1.35E-4</v>
      </c>
    </row>
    <row r="123" spans="1:3" x14ac:dyDescent="0.2">
      <c r="A123" s="52" t="s">
        <v>334</v>
      </c>
      <c r="B123" s="131">
        <v>0.71099999999999997</v>
      </c>
    </row>
    <row r="124" spans="1:3" x14ac:dyDescent="0.2">
      <c r="A124" s="52" t="s">
        <v>335</v>
      </c>
      <c r="B124" s="131">
        <v>2.2599999999999999E-4</v>
      </c>
    </row>
    <row r="125" spans="1:3" x14ac:dyDescent="0.2">
      <c r="A125" s="52" t="s">
        <v>336</v>
      </c>
      <c r="B125" s="131">
        <v>0.66200000000000003</v>
      </c>
    </row>
    <row r="126" spans="1:3" x14ac:dyDescent="0.2">
      <c r="A126" s="52" t="s">
        <v>337</v>
      </c>
      <c r="B126" s="131">
        <v>1.5699999999999999E-5</v>
      </c>
    </row>
    <row r="127" spans="1:3" x14ac:dyDescent="0.2">
      <c r="A127" s="52" t="s">
        <v>338</v>
      </c>
      <c r="B127" s="131">
        <v>0.80900000000000005</v>
      </c>
    </row>
    <row r="128" spans="1:3" x14ac:dyDescent="0.2">
      <c r="A128" s="52" t="s">
        <v>159</v>
      </c>
      <c r="B128" s="130">
        <v>1</v>
      </c>
      <c r="C128" s="52" t="s">
        <v>221</v>
      </c>
    </row>
    <row r="129" spans="1:3" x14ac:dyDescent="0.2">
      <c r="A129" s="84" t="s">
        <v>164</v>
      </c>
      <c r="B129" s="130">
        <v>1</v>
      </c>
      <c r="C129" s="52" t="s">
        <v>246</v>
      </c>
    </row>
    <row r="130" spans="1:3" x14ac:dyDescent="0.2">
      <c r="A130" s="84" t="s">
        <v>161</v>
      </c>
      <c r="B130" s="130">
        <v>1</v>
      </c>
      <c r="C130" s="52" t="s">
        <v>246</v>
      </c>
    </row>
    <row r="131" spans="1:3" x14ac:dyDescent="0.2">
      <c r="A131" s="84" t="s">
        <v>162</v>
      </c>
      <c r="B131" s="130">
        <v>1</v>
      </c>
      <c r="C131" s="52" t="s">
        <v>41</v>
      </c>
    </row>
    <row r="132" spans="1:3" x14ac:dyDescent="0.2">
      <c r="A132" s="84" t="s">
        <v>163</v>
      </c>
      <c r="B132" s="130">
        <v>1</v>
      </c>
      <c r="C132" s="52" t="s">
        <v>41</v>
      </c>
    </row>
    <row r="133" spans="1:3" x14ac:dyDescent="0.2">
      <c r="A133" s="84" t="s">
        <v>169</v>
      </c>
      <c r="B133" s="130">
        <v>1</v>
      </c>
      <c r="C133" s="52" t="s">
        <v>28</v>
      </c>
    </row>
    <row r="134" spans="1:3" x14ac:dyDescent="0.2">
      <c r="A134" s="52" t="s">
        <v>160</v>
      </c>
      <c r="B134" s="130">
        <v>1</v>
      </c>
      <c r="C134" s="52" t="s">
        <v>221</v>
      </c>
    </row>
    <row r="135" spans="1:3" x14ac:dyDescent="0.2">
      <c r="A135" s="52" t="s">
        <v>165</v>
      </c>
      <c r="B135" s="130">
        <v>1</v>
      </c>
      <c r="C135" s="52" t="s">
        <v>246</v>
      </c>
    </row>
    <row r="136" spans="1:3" x14ac:dyDescent="0.2">
      <c r="A136" s="52" t="s">
        <v>166</v>
      </c>
      <c r="B136" s="130">
        <v>1</v>
      </c>
      <c r="C136" s="52" t="s">
        <v>246</v>
      </c>
    </row>
    <row r="137" spans="1:3" x14ac:dyDescent="0.2">
      <c r="A137" s="93" t="s">
        <v>167</v>
      </c>
      <c r="B137" s="130">
        <v>1</v>
      </c>
      <c r="C137" s="52" t="s">
        <v>41</v>
      </c>
    </row>
    <row r="138" spans="1:3" x14ac:dyDescent="0.2">
      <c r="A138" s="83" t="s">
        <v>168</v>
      </c>
      <c r="B138" s="130">
        <v>1</v>
      </c>
      <c r="C138" s="52" t="s">
        <v>41</v>
      </c>
    </row>
    <row r="139" spans="1:3" x14ac:dyDescent="0.2">
      <c r="A139" s="84" t="s">
        <v>170</v>
      </c>
      <c r="B139" s="130">
        <v>1</v>
      </c>
      <c r="C139" s="52" t="s">
        <v>28</v>
      </c>
    </row>
    <row r="140" spans="1:3" x14ac:dyDescent="0.2">
      <c r="A140" s="371" t="s">
        <v>155</v>
      </c>
      <c r="B140" s="371"/>
      <c r="C140" s="371"/>
    </row>
    <row r="141" spans="1:3" x14ac:dyDescent="0.2">
      <c r="A141" s="83" t="s">
        <v>449</v>
      </c>
      <c r="B141" s="130">
        <v>200</v>
      </c>
      <c r="C141" s="84" t="s">
        <v>48</v>
      </c>
    </row>
    <row r="142" spans="1:3" x14ac:dyDescent="0.2">
      <c r="A142" s="83" t="s">
        <v>458</v>
      </c>
      <c r="B142" s="130">
        <v>100</v>
      </c>
      <c r="C142" s="84" t="s">
        <v>48</v>
      </c>
    </row>
    <row r="143" spans="1:3" x14ac:dyDescent="0.2">
      <c r="A143" s="83" t="s">
        <v>450</v>
      </c>
      <c r="B143" s="130">
        <v>10</v>
      </c>
      <c r="C143" s="92" t="s">
        <v>407</v>
      </c>
    </row>
    <row r="144" spans="1:3" x14ac:dyDescent="0.2">
      <c r="A144" s="83" t="s">
        <v>459</v>
      </c>
      <c r="B144" s="130">
        <v>20</v>
      </c>
      <c r="C144" s="92" t="s">
        <v>407</v>
      </c>
    </row>
    <row r="145" spans="1:3" x14ac:dyDescent="0.2">
      <c r="A145" s="92" t="s">
        <v>451</v>
      </c>
      <c r="B145" s="131">
        <v>0.78</v>
      </c>
      <c r="C145" s="83" t="s">
        <v>28</v>
      </c>
    </row>
    <row r="146" spans="1:3" x14ac:dyDescent="0.2">
      <c r="A146" s="92" t="s">
        <v>460</v>
      </c>
      <c r="B146" s="131">
        <v>2.5</v>
      </c>
      <c r="C146" s="83" t="s">
        <v>28</v>
      </c>
    </row>
    <row r="147" spans="1:3" ht="15" x14ac:dyDescent="0.2">
      <c r="A147" s="92" t="s">
        <v>450</v>
      </c>
      <c r="B147" s="131">
        <v>10</v>
      </c>
      <c r="C147" s="83" t="s">
        <v>143</v>
      </c>
    </row>
    <row r="148" spans="1:3" ht="15" x14ac:dyDescent="0.2">
      <c r="A148" s="92" t="s">
        <v>459</v>
      </c>
      <c r="B148" s="131">
        <v>20</v>
      </c>
      <c r="C148" s="83" t="s">
        <v>143</v>
      </c>
    </row>
    <row r="149" spans="1:3" x14ac:dyDescent="0.2">
      <c r="A149" s="83" t="s">
        <v>467</v>
      </c>
      <c r="B149" s="130">
        <v>68.099999999999994</v>
      </c>
      <c r="C149" s="92" t="s">
        <v>221</v>
      </c>
    </row>
    <row r="150" spans="1:3" x14ac:dyDescent="0.2">
      <c r="A150" s="83" t="s">
        <v>468</v>
      </c>
      <c r="B150" s="130">
        <v>176.8</v>
      </c>
      <c r="C150" s="92" t="s">
        <v>221</v>
      </c>
    </row>
    <row r="151" spans="1:3" x14ac:dyDescent="0.2">
      <c r="A151" s="83" t="s">
        <v>469</v>
      </c>
      <c r="B151" s="130">
        <v>41.7</v>
      </c>
      <c r="C151" s="92" t="s">
        <v>221</v>
      </c>
    </row>
    <row r="152" spans="1:3" x14ac:dyDescent="0.2">
      <c r="A152" s="83" t="s">
        <v>470</v>
      </c>
      <c r="B152" s="130">
        <v>125.7</v>
      </c>
      <c r="C152" s="92" t="s">
        <v>221</v>
      </c>
    </row>
    <row r="153" spans="1:3" x14ac:dyDescent="0.2">
      <c r="A153" s="83" t="s">
        <v>452</v>
      </c>
      <c r="B153" s="130">
        <v>349.5</v>
      </c>
      <c r="C153" s="92" t="s">
        <v>221</v>
      </c>
    </row>
    <row r="154" spans="1:3" x14ac:dyDescent="0.2">
      <c r="A154" s="83" t="s">
        <v>461</v>
      </c>
      <c r="B154" s="130">
        <v>445.6</v>
      </c>
      <c r="C154" s="92" t="s">
        <v>221</v>
      </c>
    </row>
    <row r="155" spans="1:3" x14ac:dyDescent="0.2">
      <c r="A155" s="83" t="s">
        <v>453</v>
      </c>
      <c r="B155" s="132">
        <v>40.1</v>
      </c>
      <c r="C155" s="92" t="s">
        <v>221</v>
      </c>
    </row>
    <row r="156" spans="1:3" x14ac:dyDescent="0.2">
      <c r="A156" s="83" t="s">
        <v>462</v>
      </c>
      <c r="B156" s="132">
        <v>178</v>
      </c>
      <c r="C156" s="92" t="s">
        <v>221</v>
      </c>
    </row>
    <row r="157" spans="1:3" x14ac:dyDescent="0.2">
      <c r="A157" s="83" t="s">
        <v>454</v>
      </c>
      <c r="B157" s="133">
        <v>10.95</v>
      </c>
      <c r="C157" s="92" t="s">
        <v>221</v>
      </c>
    </row>
    <row r="158" spans="1:3" x14ac:dyDescent="0.2">
      <c r="A158" s="83" t="s">
        <v>463</v>
      </c>
      <c r="B158" s="132">
        <v>53.4</v>
      </c>
      <c r="C158" s="92" t="s">
        <v>221</v>
      </c>
    </row>
    <row r="159" spans="1:3" x14ac:dyDescent="0.2">
      <c r="A159" s="83" t="s">
        <v>471</v>
      </c>
      <c r="B159" s="130">
        <v>32.799999999999997</v>
      </c>
      <c r="C159" s="92" t="s">
        <v>221</v>
      </c>
    </row>
    <row r="160" spans="1:3" x14ac:dyDescent="0.2">
      <c r="A160" s="83" t="s">
        <v>472</v>
      </c>
      <c r="B160" s="130">
        <v>155.4</v>
      </c>
      <c r="C160" s="92" t="s">
        <v>221</v>
      </c>
    </row>
    <row r="161" spans="1:3" x14ac:dyDescent="0.2">
      <c r="A161" s="83" t="s">
        <v>473</v>
      </c>
      <c r="B161" s="132">
        <v>23.6</v>
      </c>
      <c r="C161" s="92" t="s">
        <v>221</v>
      </c>
    </row>
    <row r="162" spans="1:3" x14ac:dyDescent="0.2">
      <c r="A162" s="83" t="s">
        <v>474</v>
      </c>
      <c r="B162" s="132">
        <v>106.6</v>
      </c>
      <c r="C162" s="92" t="s">
        <v>221</v>
      </c>
    </row>
    <row r="163" spans="1:3" x14ac:dyDescent="0.2">
      <c r="A163" s="83" t="s">
        <v>455</v>
      </c>
      <c r="B163" s="130">
        <v>18.5</v>
      </c>
      <c r="C163" s="92" t="s">
        <v>221</v>
      </c>
    </row>
    <row r="164" spans="1:3" x14ac:dyDescent="0.2">
      <c r="A164" s="83" t="s">
        <v>464</v>
      </c>
      <c r="B164" s="130">
        <v>97.9</v>
      </c>
      <c r="C164" s="92" t="s">
        <v>221</v>
      </c>
    </row>
    <row r="165" spans="1:3" x14ac:dyDescent="0.2">
      <c r="A165" s="83" t="s">
        <v>475</v>
      </c>
      <c r="B165" s="130">
        <v>0.15</v>
      </c>
      <c r="C165" s="88"/>
    </row>
    <row r="166" spans="1:3" x14ac:dyDescent="0.2">
      <c r="A166" s="83" t="s">
        <v>476</v>
      </c>
      <c r="B166" s="130">
        <v>0.85</v>
      </c>
      <c r="C166" s="88"/>
    </row>
    <row r="167" spans="1:3" x14ac:dyDescent="0.2">
      <c r="A167" s="83" t="s">
        <v>456</v>
      </c>
      <c r="B167" s="130">
        <v>350</v>
      </c>
      <c r="C167" s="83" t="s">
        <v>24</v>
      </c>
    </row>
    <row r="168" spans="1:3" x14ac:dyDescent="0.2">
      <c r="A168" s="83" t="s">
        <v>465</v>
      </c>
      <c r="B168" s="130">
        <v>350</v>
      </c>
      <c r="C168" s="83" t="s">
        <v>24</v>
      </c>
    </row>
    <row r="169" spans="1:3" x14ac:dyDescent="0.2">
      <c r="A169" s="52" t="s">
        <v>362</v>
      </c>
      <c r="B169" s="131">
        <v>350</v>
      </c>
      <c r="C169" s="83" t="s">
        <v>24</v>
      </c>
    </row>
    <row r="170" spans="1:3" x14ac:dyDescent="0.2">
      <c r="A170" s="83" t="s">
        <v>363</v>
      </c>
      <c r="B170" s="130">
        <v>1</v>
      </c>
      <c r="C170" s="92" t="s">
        <v>60</v>
      </c>
    </row>
    <row r="171" spans="1:3" x14ac:dyDescent="0.2">
      <c r="A171" s="83" t="s">
        <v>364</v>
      </c>
      <c r="B171" s="130">
        <v>24</v>
      </c>
      <c r="C171" s="94" t="s">
        <v>194</v>
      </c>
    </row>
    <row r="172" spans="1:3" x14ac:dyDescent="0.2">
      <c r="A172" s="83" t="s">
        <v>365</v>
      </c>
      <c r="B172" s="130">
        <v>24</v>
      </c>
      <c r="C172" s="52" t="s">
        <v>194</v>
      </c>
    </row>
    <row r="173" spans="1:3" x14ac:dyDescent="0.2">
      <c r="A173" s="83" t="s">
        <v>361</v>
      </c>
      <c r="B173" s="130">
        <v>1</v>
      </c>
    </row>
    <row r="174" spans="1:3" x14ac:dyDescent="0.2">
      <c r="A174" s="83" t="s">
        <v>83</v>
      </c>
      <c r="B174" s="130">
        <v>12.167999999999999</v>
      </c>
      <c r="C174" s="84" t="s">
        <v>194</v>
      </c>
    </row>
    <row r="175" spans="1:3" x14ac:dyDescent="0.2">
      <c r="A175" s="83" t="s">
        <v>85</v>
      </c>
      <c r="B175" s="130">
        <v>10.007999999999999</v>
      </c>
      <c r="C175" s="84" t="s">
        <v>194</v>
      </c>
    </row>
    <row r="176" spans="1:3" x14ac:dyDescent="0.2">
      <c r="A176" s="83" t="s">
        <v>88</v>
      </c>
      <c r="B176" s="130">
        <v>0.4</v>
      </c>
    </row>
    <row r="177" spans="1:3" x14ac:dyDescent="0.2">
      <c r="A177" s="83" t="s">
        <v>303</v>
      </c>
      <c r="B177" s="130">
        <v>0.4</v>
      </c>
    </row>
    <row r="178" spans="1:3" x14ac:dyDescent="0.2">
      <c r="A178" s="83" t="s">
        <v>302</v>
      </c>
      <c r="B178" s="130">
        <v>1</v>
      </c>
    </row>
    <row r="179" spans="1:3" x14ac:dyDescent="0.2">
      <c r="A179" s="83" t="s">
        <v>54</v>
      </c>
      <c r="B179" s="130">
        <v>1</v>
      </c>
    </row>
    <row r="180" spans="1:3" x14ac:dyDescent="0.2">
      <c r="A180" s="83" t="s">
        <v>301</v>
      </c>
      <c r="B180" s="131">
        <v>1</v>
      </c>
    </row>
    <row r="181" spans="1:3" x14ac:dyDescent="0.2">
      <c r="A181" s="92" t="s">
        <v>457</v>
      </c>
      <c r="B181" s="130">
        <v>1</v>
      </c>
      <c r="C181" s="92" t="s">
        <v>144</v>
      </c>
    </row>
    <row r="182" spans="1:3" x14ac:dyDescent="0.2">
      <c r="A182" s="92" t="s">
        <v>466</v>
      </c>
      <c r="B182" s="130">
        <v>1</v>
      </c>
      <c r="C182" s="92" t="s">
        <v>144</v>
      </c>
    </row>
    <row r="183" spans="1:3" x14ac:dyDescent="0.2">
      <c r="A183" s="52" t="s">
        <v>477</v>
      </c>
      <c r="B183" s="130">
        <v>0.54</v>
      </c>
      <c r="C183" s="92" t="s">
        <v>358</v>
      </c>
    </row>
    <row r="184" spans="1:3" x14ac:dyDescent="0.2">
      <c r="A184" s="52" t="s">
        <v>478</v>
      </c>
      <c r="B184" s="130">
        <v>0.71</v>
      </c>
      <c r="C184" s="92" t="s">
        <v>358</v>
      </c>
    </row>
    <row r="185" spans="1:3" ht="15" x14ac:dyDescent="0.2">
      <c r="A185" s="84" t="s">
        <v>65</v>
      </c>
      <c r="B185" s="130">
        <v>0.5</v>
      </c>
      <c r="C185" s="92" t="s">
        <v>145</v>
      </c>
    </row>
    <row r="186" spans="1:3" x14ac:dyDescent="0.2">
      <c r="A186" s="92" t="s">
        <v>361</v>
      </c>
      <c r="B186" s="130">
        <v>1</v>
      </c>
    </row>
    <row r="187" spans="1:3" x14ac:dyDescent="0.2">
      <c r="A187" s="92" t="s">
        <v>479</v>
      </c>
      <c r="B187" s="130">
        <v>1</v>
      </c>
    </row>
    <row r="188" spans="1:3" x14ac:dyDescent="0.2">
      <c r="A188" s="92" t="s">
        <v>480</v>
      </c>
      <c r="B188" s="130">
        <v>1</v>
      </c>
    </row>
    <row r="189" spans="1:3" x14ac:dyDescent="0.2">
      <c r="A189" s="92" t="s">
        <v>481</v>
      </c>
      <c r="B189" s="130">
        <v>1</v>
      </c>
    </row>
    <row r="190" spans="1:3" x14ac:dyDescent="0.2">
      <c r="A190" s="92" t="s">
        <v>482</v>
      </c>
      <c r="B190" s="130">
        <v>1</v>
      </c>
    </row>
    <row r="191" spans="1:3" x14ac:dyDescent="0.2">
      <c r="A191" s="92" t="s">
        <v>483</v>
      </c>
      <c r="B191" s="130">
        <v>1</v>
      </c>
    </row>
    <row r="192" spans="1:3" x14ac:dyDescent="0.2">
      <c r="A192" s="92" t="s">
        <v>484</v>
      </c>
      <c r="B192" s="131">
        <v>1</v>
      </c>
    </row>
    <row r="193" spans="1:3" x14ac:dyDescent="0.2">
      <c r="A193" s="83" t="s">
        <v>36</v>
      </c>
      <c r="B193" s="131">
        <v>3.62</v>
      </c>
      <c r="C193" s="52" t="s">
        <v>37</v>
      </c>
    </row>
    <row r="194" spans="1:3" x14ac:dyDescent="0.2">
      <c r="A194" s="83" t="s">
        <v>40</v>
      </c>
      <c r="B194" s="131">
        <v>0.25</v>
      </c>
      <c r="C194" s="52" t="s">
        <v>41</v>
      </c>
    </row>
    <row r="195" spans="1:3" x14ac:dyDescent="0.2">
      <c r="A195" s="92" t="s">
        <v>52</v>
      </c>
      <c r="B195" s="131">
        <v>10950</v>
      </c>
      <c r="C195" s="52" t="s">
        <v>53</v>
      </c>
    </row>
    <row r="196" spans="1:3" x14ac:dyDescent="0.2">
      <c r="A196" s="92" t="s">
        <v>55</v>
      </c>
      <c r="B196" s="131">
        <v>240</v>
      </c>
      <c r="C196" s="52" t="s">
        <v>56</v>
      </c>
    </row>
    <row r="197" spans="1:3" x14ac:dyDescent="0.2">
      <c r="A197" s="92" t="s">
        <v>61</v>
      </c>
      <c r="B197" s="131">
        <v>0.42</v>
      </c>
      <c r="C197" s="52" t="s">
        <v>41</v>
      </c>
    </row>
    <row r="198" spans="1:3" x14ac:dyDescent="0.2">
      <c r="A198" s="92" t="s">
        <v>67</v>
      </c>
      <c r="B198" s="131">
        <v>60</v>
      </c>
      <c r="C198" s="83" t="s">
        <v>53</v>
      </c>
    </row>
    <row r="199" spans="1:3" x14ac:dyDescent="0.2">
      <c r="A199" s="92" t="s">
        <v>68</v>
      </c>
      <c r="B199" s="131">
        <v>2</v>
      </c>
      <c r="C199" s="83" t="s">
        <v>56</v>
      </c>
    </row>
    <row r="200" spans="1:3" x14ac:dyDescent="0.2">
      <c r="A200" s="92" t="s">
        <v>70</v>
      </c>
      <c r="B200" s="131">
        <v>2.6999999999999999E-5</v>
      </c>
      <c r="C200" s="52" t="s">
        <v>64</v>
      </c>
    </row>
    <row r="201" spans="1:3" x14ac:dyDescent="0.2">
      <c r="A201" s="92" t="s">
        <v>73</v>
      </c>
      <c r="B201" s="131">
        <v>1</v>
      </c>
      <c r="C201" s="52" t="s">
        <v>41</v>
      </c>
    </row>
    <row r="202" spans="1:3" x14ac:dyDescent="0.2">
      <c r="A202" s="92" t="s">
        <v>74</v>
      </c>
      <c r="B202" s="131">
        <v>14</v>
      </c>
      <c r="C202" s="52" t="s">
        <v>75</v>
      </c>
    </row>
    <row r="203" spans="1:3" x14ac:dyDescent="0.2">
      <c r="A203" s="83" t="s">
        <v>27</v>
      </c>
      <c r="B203" s="131">
        <v>92</v>
      </c>
      <c r="C203" s="83" t="s">
        <v>28</v>
      </c>
    </row>
    <row r="204" spans="1:3" x14ac:dyDescent="0.2">
      <c r="A204" s="52" t="s">
        <v>285</v>
      </c>
      <c r="B204" s="130">
        <v>1.03</v>
      </c>
      <c r="C204" s="52" t="s">
        <v>286</v>
      </c>
    </row>
    <row r="205" spans="1:3" x14ac:dyDescent="0.2">
      <c r="A205" s="83" t="s">
        <v>498</v>
      </c>
      <c r="B205" s="131">
        <v>20.3</v>
      </c>
      <c r="C205" s="52" t="s">
        <v>246</v>
      </c>
    </row>
    <row r="206" spans="1:3" x14ac:dyDescent="0.2">
      <c r="A206" s="83" t="s">
        <v>499</v>
      </c>
      <c r="B206" s="131">
        <v>0.04</v>
      </c>
      <c r="C206" s="52" t="s">
        <v>246</v>
      </c>
    </row>
    <row r="207" spans="1:3" x14ac:dyDescent="0.2">
      <c r="A207" s="83" t="s">
        <v>500</v>
      </c>
      <c r="B207" s="131">
        <v>1</v>
      </c>
    </row>
    <row r="208" spans="1:3" x14ac:dyDescent="0.2">
      <c r="A208" s="83" t="s">
        <v>501</v>
      </c>
      <c r="B208" s="131">
        <v>1</v>
      </c>
    </row>
    <row r="209" spans="1:3" x14ac:dyDescent="0.2">
      <c r="A209" s="83" t="s">
        <v>29</v>
      </c>
      <c r="B209" s="131">
        <v>53</v>
      </c>
      <c r="C209" s="83" t="s">
        <v>28</v>
      </c>
    </row>
    <row r="210" spans="1:3" x14ac:dyDescent="0.2">
      <c r="A210" s="83" t="s">
        <v>494</v>
      </c>
      <c r="B210" s="131">
        <v>11.77</v>
      </c>
      <c r="C210" s="52" t="s">
        <v>246</v>
      </c>
    </row>
    <row r="211" spans="1:3" x14ac:dyDescent="0.2">
      <c r="A211" s="83" t="s">
        <v>495</v>
      </c>
      <c r="B211" s="131">
        <v>0.5</v>
      </c>
      <c r="C211" s="52" t="s">
        <v>246</v>
      </c>
    </row>
    <row r="212" spans="1:3" x14ac:dyDescent="0.2">
      <c r="A212" s="83" t="s">
        <v>496</v>
      </c>
      <c r="B212" s="131">
        <v>1</v>
      </c>
    </row>
    <row r="213" spans="1:3" x14ac:dyDescent="0.2">
      <c r="A213" s="83" t="s">
        <v>497</v>
      </c>
      <c r="B213" s="131">
        <v>1</v>
      </c>
    </row>
    <row r="214" spans="1:3" x14ac:dyDescent="0.2">
      <c r="A214" s="83" t="s">
        <v>148</v>
      </c>
      <c r="B214" s="130">
        <v>0.4</v>
      </c>
      <c r="C214" s="83" t="s">
        <v>28</v>
      </c>
    </row>
    <row r="215" spans="1:3" x14ac:dyDescent="0.2">
      <c r="A215" s="83" t="s">
        <v>152</v>
      </c>
      <c r="B215" s="131">
        <v>0.2</v>
      </c>
      <c r="C215" s="52" t="s">
        <v>246</v>
      </c>
    </row>
    <row r="216" spans="1:3" x14ac:dyDescent="0.2">
      <c r="A216" s="83" t="s">
        <v>151</v>
      </c>
      <c r="B216" s="131">
        <v>2.1999999999999999E-2</v>
      </c>
      <c r="C216" s="52" t="s">
        <v>246</v>
      </c>
    </row>
    <row r="217" spans="1:3" x14ac:dyDescent="0.2">
      <c r="A217" s="83" t="s">
        <v>153</v>
      </c>
      <c r="B217" s="130">
        <v>1</v>
      </c>
    </row>
    <row r="218" spans="1:3" x14ac:dyDescent="0.2">
      <c r="A218" s="83" t="s">
        <v>154</v>
      </c>
      <c r="B218" s="130">
        <v>1</v>
      </c>
    </row>
    <row r="219" spans="1:3" x14ac:dyDescent="0.2">
      <c r="A219" s="83" t="s">
        <v>485</v>
      </c>
      <c r="B219" s="130">
        <v>0.4</v>
      </c>
      <c r="C219" s="83" t="s">
        <v>28</v>
      </c>
    </row>
    <row r="220" spans="1:3" x14ac:dyDescent="0.2">
      <c r="A220" s="83" t="s">
        <v>486</v>
      </c>
      <c r="B220" s="131">
        <v>0.2</v>
      </c>
      <c r="C220" s="52" t="s">
        <v>246</v>
      </c>
    </row>
    <row r="221" spans="1:3" x14ac:dyDescent="0.2">
      <c r="A221" s="83" t="s">
        <v>487</v>
      </c>
      <c r="B221" s="131">
        <v>2.1999999999999999E-2</v>
      </c>
      <c r="C221" s="52" t="s">
        <v>246</v>
      </c>
    </row>
    <row r="222" spans="1:3" x14ac:dyDescent="0.2">
      <c r="A222" s="83" t="s">
        <v>488</v>
      </c>
      <c r="B222" s="131">
        <v>1</v>
      </c>
    </row>
    <row r="223" spans="1:3" x14ac:dyDescent="0.2">
      <c r="A223" s="83" t="s">
        <v>489</v>
      </c>
      <c r="B223" s="131">
        <v>1</v>
      </c>
    </row>
    <row r="224" spans="1:3" x14ac:dyDescent="0.2">
      <c r="A224" s="83" t="s">
        <v>150</v>
      </c>
      <c r="B224" s="131">
        <v>11.4</v>
      </c>
      <c r="C224" s="83" t="s">
        <v>28</v>
      </c>
    </row>
    <row r="225" spans="1:3" x14ac:dyDescent="0.2">
      <c r="A225" s="83" t="s">
        <v>490</v>
      </c>
      <c r="B225" s="131">
        <v>4.7</v>
      </c>
      <c r="C225" s="52" t="s">
        <v>246</v>
      </c>
    </row>
    <row r="226" spans="1:3" x14ac:dyDescent="0.2">
      <c r="A226" s="83" t="s">
        <v>491</v>
      </c>
      <c r="B226" s="131">
        <v>0.37</v>
      </c>
      <c r="C226" s="52" t="s">
        <v>246</v>
      </c>
    </row>
    <row r="227" spans="1:3" x14ac:dyDescent="0.2">
      <c r="A227" s="83" t="s">
        <v>492</v>
      </c>
      <c r="B227" s="131">
        <v>1</v>
      </c>
    </row>
    <row r="228" spans="1:3" x14ac:dyDescent="0.2">
      <c r="A228" s="83" t="s">
        <v>493</v>
      </c>
      <c r="B228" s="131">
        <v>1</v>
      </c>
    </row>
    <row r="229" spans="1:3" x14ac:dyDescent="0.2">
      <c r="A229" s="370" t="s">
        <v>311</v>
      </c>
      <c r="B229" s="370"/>
      <c r="C229" s="370"/>
    </row>
    <row r="230" spans="1:3" x14ac:dyDescent="0.2">
      <c r="A230" s="52" t="s">
        <v>504</v>
      </c>
      <c r="B230" s="130">
        <v>60</v>
      </c>
      <c r="C230" s="84" t="s">
        <v>407</v>
      </c>
    </row>
    <row r="231" spans="1:3" x14ac:dyDescent="0.2">
      <c r="A231" s="83" t="s">
        <v>316</v>
      </c>
      <c r="B231" s="130">
        <v>250</v>
      </c>
      <c r="C231" s="52" t="s">
        <v>24</v>
      </c>
    </row>
    <row r="232" spans="1:3" x14ac:dyDescent="0.2">
      <c r="A232" s="83" t="s">
        <v>422</v>
      </c>
      <c r="B232" s="131">
        <v>1</v>
      </c>
      <c r="C232" s="52" t="s">
        <v>60</v>
      </c>
    </row>
    <row r="233" spans="1:3" x14ac:dyDescent="0.2">
      <c r="A233" s="83" t="s">
        <v>317</v>
      </c>
      <c r="B233" s="130">
        <v>100</v>
      </c>
      <c r="C233" s="84" t="s">
        <v>48</v>
      </c>
    </row>
    <row r="234" spans="1:3" x14ac:dyDescent="0.2">
      <c r="A234" s="52" t="s">
        <v>318</v>
      </c>
      <c r="B234" s="131">
        <v>1</v>
      </c>
    </row>
    <row r="235" spans="1:3" x14ac:dyDescent="0.2">
      <c r="A235" s="83" t="s">
        <v>300</v>
      </c>
      <c r="B235" s="131">
        <v>1</v>
      </c>
    </row>
    <row r="236" spans="1:3" x14ac:dyDescent="0.2">
      <c r="A236" s="83" t="s">
        <v>299</v>
      </c>
      <c r="B236" s="131">
        <v>0.4</v>
      </c>
    </row>
    <row r="237" spans="1:3" x14ac:dyDescent="0.2">
      <c r="A237" s="83" t="s">
        <v>54</v>
      </c>
      <c r="B237" s="131">
        <v>1</v>
      </c>
    </row>
    <row r="238" spans="1:3" x14ac:dyDescent="0.2">
      <c r="A238" s="83" t="s">
        <v>83</v>
      </c>
      <c r="B238" s="130">
        <v>8</v>
      </c>
      <c r="C238" s="52" t="s">
        <v>194</v>
      </c>
    </row>
    <row r="239" spans="1:3" x14ac:dyDescent="0.2">
      <c r="A239" s="83" t="s">
        <v>85</v>
      </c>
      <c r="B239" s="130">
        <v>8</v>
      </c>
      <c r="C239" s="52" t="s">
        <v>194</v>
      </c>
    </row>
    <row r="240" spans="1:3" x14ac:dyDescent="0.2">
      <c r="A240" s="83" t="s">
        <v>88</v>
      </c>
      <c r="B240" s="130">
        <v>0.4</v>
      </c>
    </row>
    <row r="241" spans="1:3" x14ac:dyDescent="0.2">
      <c r="A241" s="370" t="s">
        <v>312</v>
      </c>
      <c r="B241" s="370"/>
      <c r="C241" s="370"/>
    </row>
    <row r="242" spans="1:3" x14ac:dyDescent="0.2">
      <c r="A242" s="52" t="s">
        <v>304</v>
      </c>
      <c r="B242" s="130">
        <v>60</v>
      </c>
      <c r="C242" s="84" t="s">
        <v>407</v>
      </c>
    </row>
    <row r="243" spans="1:3" x14ac:dyDescent="0.2">
      <c r="A243" s="83" t="s">
        <v>35</v>
      </c>
      <c r="B243" s="130">
        <v>250</v>
      </c>
      <c r="C243" s="52" t="s">
        <v>24</v>
      </c>
    </row>
    <row r="244" spans="1:3" x14ac:dyDescent="0.2">
      <c r="A244" s="83" t="s">
        <v>420</v>
      </c>
      <c r="B244" s="131">
        <v>1</v>
      </c>
      <c r="C244" s="52" t="s">
        <v>60</v>
      </c>
    </row>
    <row r="245" spans="1:3" x14ac:dyDescent="0.2">
      <c r="A245" s="83" t="s">
        <v>62</v>
      </c>
      <c r="B245" s="130">
        <v>50</v>
      </c>
      <c r="C245" s="84" t="s">
        <v>48</v>
      </c>
    </row>
    <row r="246" spans="1:3" x14ac:dyDescent="0.2">
      <c r="A246" s="52" t="s">
        <v>318</v>
      </c>
      <c r="B246" s="131">
        <v>1</v>
      </c>
    </row>
    <row r="247" spans="1:3" x14ac:dyDescent="0.2">
      <c r="A247" s="83" t="s">
        <v>300</v>
      </c>
      <c r="B247" s="131">
        <v>1</v>
      </c>
    </row>
    <row r="248" spans="1:3" x14ac:dyDescent="0.2">
      <c r="A248" s="83" t="s">
        <v>299</v>
      </c>
      <c r="B248" s="131">
        <v>0.4</v>
      </c>
    </row>
    <row r="249" spans="1:3" x14ac:dyDescent="0.2">
      <c r="A249" s="83" t="s">
        <v>54</v>
      </c>
      <c r="B249" s="131">
        <v>1</v>
      </c>
    </row>
    <row r="250" spans="1:3" x14ac:dyDescent="0.2">
      <c r="A250" s="83" t="s">
        <v>83</v>
      </c>
      <c r="B250" s="130">
        <v>0</v>
      </c>
      <c r="C250" s="52" t="s">
        <v>194</v>
      </c>
    </row>
    <row r="251" spans="1:3" x14ac:dyDescent="0.2">
      <c r="A251" s="83" t="s">
        <v>85</v>
      </c>
      <c r="B251" s="130">
        <v>8</v>
      </c>
      <c r="C251" s="52" t="s">
        <v>194</v>
      </c>
    </row>
    <row r="252" spans="1:3" x14ac:dyDescent="0.2">
      <c r="A252" s="83" t="s">
        <v>88</v>
      </c>
      <c r="B252" s="130">
        <v>0.4</v>
      </c>
    </row>
    <row r="253" spans="1:3" x14ac:dyDescent="0.2">
      <c r="A253" s="370" t="s">
        <v>313</v>
      </c>
      <c r="B253" s="370"/>
      <c r="C253" s="370"/>
    </row>
    <row r="254" spans="1:3" x14ac:dyDescent="0.2">
      <c r="A254" s="52" t="s">
        <v>50</v>
      </c>
      <c r="B254" s="130">
        <v>60</v>
      </c>
      <c r="C254" s="84" t="s">
        <v>407</v>
      </c>
    </row>
    <row r="255" spans="1:3" x14ac:dyDescent="0.2">
      <c r="A255" s="83" t="s">
        <v>423</v>
      </c>
      <c r="B255" s="130">
        <v>225</v>
      </c>
      <c r="C255" s="52" t="s">
        <v>24</v>
      </c>
    </row>
    <row r="256" spans="1:3" x14ac:dyDescent="0.2">
      <c r="A256" s="83" t="s">
        <v>424</v>
      </c>
      <c r="B256" s="131">
        <v>1</v>
      </c>
      <c r="C256" s="52" t="s">
        <v>60</v>
      </c>
    </row>
    <row r="257" spans="1:3" x14ac:dyDescent="0.2">
      <c r="A257" s="83" t="s">
        <v>503</v>
      </c>
      <c r="B257" s="130">
        <v>100</v>
      </c>
      <c r="C257" s="84" t="s">
        <v>48</v>
      </c>
    </row>
    <row r="258" spans="1:3" x14ac:dyDescent="0.2">
      <c r="A258" s="52" t="s">
        <v>318</v>
      </c>
      <c r="B258" s="131">
        <v>1</v>
      </c>
    </row>
    <row r="259" spans="1:3" x14ac:dyDescent="0.2">
      <c r="A259" s="83" t="s">
        <v>300</v>
      </c>
      <c r="B259" s="131">
        <v>1</v>
      </c>
    </row>
    <row r="260" spans="1:3" x14ac:dyDescent="0.2">
      <c r="A260" s="83" t="s">
        <v>299</v>
      </c>
      <c r="B260" s="131">
        <v>0.4</v>
      </c>
    </row>
    <row r="261" spans="1:3" x14ac:dyDescent="0.2">
      <c r="A261" s="83" t="s">
        <v>54</v>
      </c>
      <c r="B261" s="131">
        <v>1</v>
      </c>
    </row>
    <row r="262" spans="1:3" x14ac:dyDescent="0.2">
      <c r="A262" s="83" t="s">
        <v>83</v>
      </c>
      <c r="B262" s="130">
        <v>8</v>
      </c>
      <c r="C262" s="52" t="s">
        <v>194</v>
      </c>
    </row>
    <row r="263" spans="1:3" x14ac:dyDescent="0.2">
      <c r="A263" s="83" t="s">
        <v>85</v>
      </c>
      <c r="B263" s="130">
        <v>0</v>
      </c>
      <c r="C263" s="52" t="s">
        <v>194</v>
      </c>
    </row>
    <row r="264" spans="1:3" x14ac:dyDescent="0.2">
      <c r="A264" s="83" t="s">
        <v>88</v>
      </c>
      <c r="B264" s="130">
        <v>0.4</v>
      </c>
    </row>
    <row r="265" spans="1:3" x14ac:dyDescent="0.2">
      <c r="A265" s="370" t="s">
        <v>314</v>
      </c>
      <c r="B265" s="370"/>
      <c r="C265" s="370"/>
    </row>
    <row r="266" spans="1:3" x14ac:dyDescent="0.2">
      <c r="A266" s="52" t="s">
        <v>348</v>
      </c>
      <c r="B266" s="130">
        <v>60</v>
      </c>
      <c r="C266" s="84" t="s">
        <v>407</v>
      </c>
    </row>
    <row r="267" spans="1:3" x14ac:dyDescent="0.2">
      <c r="A267" s="83" t="s">
        <v>191</v>
      </c>
      <c r="B267" s="130">
        <v>250</v>
      </c>
      <c r="C267" s="52" t="s">
        <v>24</v>
      </c>
    </row>
    <row r="268" spans="1:3" x14ac:dyDescent="0.2">
      <c r="A268" s="83" t="s">
        <v>158</v>
      </c>
      <c r="B268" s="131">
        <v>1</v>
      </c>
      <c r="C268" s="52" t="s">
        <v>60</v>
      </c>
    </row>
    <row r="269" spans="1:3" x14ac:dyDescent="0.2">
      <c r="A269" s="83" t="s">
        <v>502</v>
      </c>
      <c r="B269" s="130">
        <v>330</v>
      </c>
      <c r="C269" s="84" t="s">
        <v>48</v>
      </c>
    </row>
    <row r="270" spans="1:3" x14ac:dyDescent="0.2">
      <c r="A270" s="52" t="s">
        <v>318</v>
      </c>
      <c r="B270" s="131">
        <v>1</v>
      </c>
    </row>
    <row r="271" spans="1:3" x14ac:dyDescent="0.2">
      <c r="A271" s="83" t="s">
        <v>300</v>
      </c>
      <c r="B271" s="131">
        <v>1</v>
      </c>
    </row>
    <row r="272" spans="1:3" x14ac:dyDescent="0.2">
      <c r="A272" s="83" t="s">
        <v>299</v>
      </c>
      <c r="B272" s="131">
        <v>0.4</v>
      </c>
    </row>
    <row r="273" spans="1:3" x14ac:dyDescent="0.2">
      <c r="A273" s="83" t="s">
        <v>54</v>
      </c>
      <c r="B273" s="131">
        <v>1</v>
      </c>
    </row>
    <row r="274" spans="1:3" x14ac:dyDescent="0.2">
      <c r="A274" s="83" t="s">
        <v>83</v>
      </c>
      <c r="B274" s="130">
        <v>8</v>
      </c>
      <c r="C274" s="52" t="s">
        <v>194</v>
      </c>
    </row>
    <row r="275" spans="1:3" x14ac:dyDescent="0.2">
      <c r="A275" s="83" t="s">
        <v>85</v>
      </c>
      <c r="B275" s="130">
        <v>8</v>
      </c>
      <c r="C275" s="52" t="s">
        <v>194</v>
      </c>
    </row>
    <row r="276" spans="1:3" x14ac:dyDescent="0.2">
      <c r="A276" s="83" t="s">
        <v>88</v>
      </c>
      <c r="B276" s="130">
        <v>0.4</v>
      </c>
    </row>
    <row r="277" spans="1:3" x14ac:dyDescent="0.2">
      <c r="A277" s="83" t="s">
        <v>219</v>
      </c>
      <c r="B277" s="130">
        <v>5</v>
      </c>
      <c r="C277" s="52" t="s">
        <v>112</v>
      </c>
    </row>
    <row r="278" spans="1:3" x14ac:dyDescent="0.2">
      <c r="A278" s="83" t="s">
        <v>220</v>
      </c>
      <c r="B278" s="130">
        <v>50</v>
      </c>
      <c r="C278" s="52" t="s">
        <v>113</v>
      </c>
    </row>
    <row r="279" spans="1:3" x14ac:dyDescent="0.2">
      <c r="A279" s="52" t="s">
        <v>319</v>
      </c>
      <c r="B279" s="131">
        <v>2.41E-4</v>
      </c>
    </row>
    <row r="280" spans="1:3" x14ac:dyDescent="0.2">
      <c r="A280" s="52" t="s">
        <v>320</v>
      </c>
      <c r="B280" s="131">
        <v>0.753</v>
      </c>
    </row>
    <row r="281" spans="1:3" x14ac:dyDescent="0.2">
      <c r="A281" s="52" t="s">
        <v>321</v>
      </c>
      <c r="B281" s="131">
        <v>1.5699999999999999E-5</v>
      </c>
    </row>
    <row r="282" spans="1:3" x14ac:dyDescent="0.2">
      <c r="A282" s="52" t="s">
        <v>322</v>
      </c>
      <c r="B282" s="131">
        <v>0.80900000000000005</v>
      </c>
    </row>
    <row r="283" spans="1:3" x14ac:dyDescent="0.2">
      <c r="A283" s="52" t="s">
        <v>323</v>
      </c>
      <c r="B283" s="131">
        <v>1.17E-4</v>
      </c>
    </row>
    <row r="284" spans="1:3" x14ac:dyDescent="0.2">
      <c r="A284" s="52" t="s">
        <v>324</v>
      </c>
      <c r="B284" s="131">
        <v>0.74299999999999999</v>
      </c>
    </row>
    <row r="285" spans="1:3" x14ac:dyDescent="0.2">
      <c r="A285" s="52" t="s">
        <v>325</v>
      </c>
      <c r="B285" s="131">
        <v>1.35E-4</v>
      </c>
    </row>
    <row r="286" spans="1:3" x14ac:dyDescent="0.2">
      <c r="A286" s="52" t="s">
        <v>326</v>
      </c>
      <c r="B286" s="131">
        <v>0.71099999999999997</v>
      </c>
    </row>
    <row r="287" spans="1:3" x14ac:dyDescent="0.2">
      <c r="A287" s="52" t="s">
        <v>327</v>
      </c>
      <c r="B287" s="131">
        <v>2.2599999999999999E-4</v>
      </c>
    </row>
    <row r="288" spans="1:3" x14ac:dyDescent="0.2">
      <c r="A288" s="52" t="s">
        <v>328</v>
      </c>
      <c r="B288" s="131">
        <v>0.66200000000000003</v>
      </c>
    </row>
    <row r="289" spans="1:3" x14ac:dyDescent="0.2">
      <c r="A289" s="370" t="s">
        <v>315</v>
      </c>
      <c r="B289" s="370"/>
      <c r="C289" s="370"/>
    </row>
    <row r="290" spans="1:3" x14ac:dyDescent="0.2">
      <c r="A290" s="52" t="s">
        <v>348</v>
      </c>
      <c r="B290" s="130">
        <v>60</v>
      </c>
      <c r="C290" s="84" t="s">
        <v>407</v>
      </c>
    </row>
    <row r="291" spans="1:3" x14ac:dyDescent="0.2">
      <c r="A291" s="83" t="s">
        <v>191</v>
      </c>
      <c r="B291" s="130">
        <v>250</v>
      </c>
      <c r="C291" s="52" t="s">
        <v>24</v>
      </c>
    </row>
    <row r="292" spans="1:3" x14ac:dyDescent="0.2">
      <c r="A292" s="83" t="s">
        <v>158</v>
      </c>
      <c r="B292" s="131">
        <v>1</v>
      </c>
      <c r="C292" s="52" t="s">
        <v>60</v>
      </c>
    </row>
    <row r="293" spans="1:3" x14ac:dyDescent="0.2">
      <c r="A293" s="83" t="s">
        <v>502</v>
      </c>
      <c r="B293" s="130">
        <v>330</v>
      </c>
      <c r="C293" s="84" t="s">
        <v>48</v>
      </c>
    </row>
    <row r="294" spans="1:3" x14ac:dyDescent="0.2">
      <c r="A294" s="83" t="s">
        <v>300</v>
      </c>
      <c r="B294" s="131">
        <v>1</v>
      </c>
    </row>
    <row r="295" spans="1:3" x14ac:dyDescent="0.2">
      <c r="A295" s="83" t="s">
        <v>299</v>
      </c>
      <c r="B295" s="131">
        <v>0.4</v>
      </c>
    </row>
    <row r="296" spans="1:3" x14ac:dyDescent="0.2">
      <c r="A296" s="83" t="s">
        <v>54</v>
      </c>
      <c r="B296" s="131">
        <v>1</v>
      </c>
    </row>
    <row r="297" spans="1:3" x14ac:dyDescent="0.2">
      <c r="A297" s="83" t="s">
        <v>83</v>
      </c>
      <c r="B297" s="130">
        <v>8</v>
      </c>
      <c r="C297" s="52" t="s">
        <v>194</v>
      </c>
    </row>
    <row r="298" spans="1:3" x14ac:dyDescent="0.2">
      <c r="A298" s="83" t="s">
        <v>85</v>
      </c>
      <c r="B298" s="130">
        <v>8</v>
      </c>
      <c r="C298" s="52" t="s">
        <v>194</v>
      </c>
    </row>
    <row r="299" spans="1:3" x14ac:dyDescent="0.2">
      <c r="A299" s="83" t="s">
        <v>88</v>
      </c>
      <c r="B299" s="130">
        <v>0.4</v>
      </c>
    </row>
    <row r="300" spans="1:3" x14ac:dyDescent="0.2">
      <c r="A300" s="83" t="s">
        <v>219</v>
      </c>
      <c r="B300" s="130">
        <v>5</v>
      </c>
      <c r="C300" s="52" t="s">
        <v>112</v>
      </c>
    </row>
    <row r="301" spans="1:3" x14ac:dyDescent="0.2">
      <c r="A301" s="83" t="s">
        <v>220</v>
      </c>
      <c r="B301" s="130">
        <v>50</v>
      </c>
      <c r="C301" s="52" t="s">
        <v>113</v>
      </c>
    </row>
  </sheetData>
  <mergeCells count="346">
    <mergeCell ref="L2:L4"/>
    <mergeCell ref="CC35:CG38"/>
    <mergeCell ref="BK39:BO42"/>
    <mergeCell ref="G2:G4"/>
    <mergeCell ref="H2:H4"/>
    <mergeCell ref="I2:I4"/>
    <mergeCell ref="J2:J4"/>
    <mergeCell ref="K2:K4"/>
    <mergeCell ref="V23:X23"/>
    <mergeCell ref="Y23:AA23"/>
    <mergeCell ref="AE36:AG38"/>
    <mergeCell ref="AK21:AK23"/>
    <mergeCell ref="AL21:AL23"/>
    <mergeCell ref="AM21:AM23"/>
    <mergeCell ref="AN21:AN23"/>
    <mergeCell ref="AR21:AR23"/>
    <mergeCell ref="AS21:AS23"/>
    <mergeCell ref="AT21:AT23"/>
    <mergeCell ref="AU21:AU23"/>
    <mergeCell ref="AV21:AV23"/>
    <mergeCell ref="AW21:AW23"/>
    <mergeCell ref="BA21:BA23"/>
    <mergeCell ref="CB18:CD18"/>
    <mergeCell ref="CE18:CG18"/>
    <mergeCell ref="D30:F30"/>
    <mergeCell ref="D31:D32"/>
    <mergeCell ref="E31:E32"/>
    <mergeCell ref="F31:F32"/>
    <mergeCell ref="N21:N23"/>
    <mergeCell ref="O21:O23"/>
    <mergeCell ref="P21:P23"/>
    <mergeCell ref="Q21:Q23"/>
    <mergeCell ref="R21:R23"/>
    <mergeCell ref="D42:F42"/>
    <mergeCell ref="D43:D44"/>
    <mergeCell ref="E43:E44"/>
    <mergeCell ref="F43:F44"/>
    <mergeCell ref="HD21:HF21"/>
    <mergeCell ref="CB19:CB21"/>
    <mergeCell ref="CC19:CC21"/>
    <mergeCell ref="CD19:CD21"/>
    <mergeCell ref="CE19:CE21"/>
    <mergeCell ref="CF19:CF21"/>
    <mergeCell ref="CG19:CG21"/>
    <mergeCell ref="M20:O20"/>
    <mergeCell ref="P20:R20"/>
    <mergeCell ref="M21:M23"/>
    <mergeCell ref="BK21:BK23"/>
    <mergeCell ref="BL21:BL23"/>
    <mergeCell ref="BM21:BM23"/>
    <mergeCell ref="BN21:BN23"/>
    <mergeCell ref="BO21:BO23"/>
    <mergeCell ref="CQ20:CQ22"/>
    <mergeCell ref="CR20:CR22"/>
    <mergeCell ref="CS20:CS22"/>
    <mergeCell ref="AI21:AI23"/>
    <mergeCell ref="AJ21:AJ23"/>
    <mergeCell ref="CQ19:CS19"/>
    <mergeCell ref="AI20:AK20"/>
    <mergeCell ref="AL20:AN20"/>
    <mergeCell ref="AR20:AT20"/>
    <mergeCell ref="AU20:AW20"/>
    <mergeCell ref="BA20:BC20"/>
    <mergeCell ref="BD20:BF20"/>
    <mergeCell ref="BJ20:BL20"/>
    <mergeCell ref="BM20:BO20"/>
    <mergeCell ref="CK20:CK22"/>
    <mergeCell ref="CK19:CM19"/>
    <mergeCell ref="CN19:CP19"/>
    <mergeCell ref="CL20:CL22"/>
    <mergeCell ref="CM20:CM22"/>
    <mergeCell ref="CN20:CN22"/>
    <mergeCell ref="CO20:CO22"/>
    <mergeCell ref="CP20:CP22"/>
    <mergeCell ref="BB21:BB23"/>
    <mergeCell ref="BC21:BC23"/>
    <mergeCell ref="BD21:BD23"/>
    <mergeCell ref="BE21:BE23"/>
    <mergeCell ref="BF21:BF23"/>
    <mergeCell ref="BJ21:BJ23"/>
    <mergeCell ref="HA2:HA4"/>
    <mergeCell ref="HB2:HB4"/>
    <mergeCell ref="HC2:HC4"/>
    <mergeCell ref="GV2:GV4"/>
    <mergeCell ref="GW2:GW4"/>
    <mergeCell ref="GX2:GX4"/>
    <mergeCell ref="GY2:GY4"/>
    <mergeCell ref="GZ2:GZ4"/>
    <mergeCell ref="GQ2:GQ4"/>
    <mergeCell ref="GR2:GR4"/>
    <mergeCell ref="GS2:GS4"/>
    <mergeCell ref="GT2:GT4"/>
    <mergeCell ref="GU2:GU4"/>
    <mergeCell ref="GL2:GL4"/>
    <mergeCell ref="GM2:GM4"/>
    <mergeCell ref="GN2:GN4"/>
    <mergeCell ref="GO2:GO4"/>
    <mergeCell ref="GP2:GP4"/>
    <mergeCell ref="GG2:GG4"/>
    <mergeCell ref="GH2:GH4"/>
    <mergeCell ref="GI2:GI4"/>
    <mergeCell ref="GJ2:GJ4"/>
    <mergeCell ref="GK2:GK4"/>
    <mergeCell ref="GB2:GB4"/>
    <mergeCell ref="GC2:GC4"/>
    <mergeCell ref="GD2:GD4"/>
    <mergeCell ref="GE2:GE4"/>
    <mergeCell ref="GF2:GF4"/>
    <mergeCell ref="FW2:FW4"/>
    <mergeCell ref="FX2:FX4"/>
    <mergeCell ref="FY2:FY4"/>
    <mergeCell ref="FZ2:FZ4"/>
    <mergeCell ref="GA2:GA4"/>
    <mergeCell ref="FR2:FR4"/>
    <mergeCell ref="FS2:FS4"/>
    <mergeCell ref="FT2:FT4"/>
    <mergeCell ref="FU2:FU4"/>
    <mergeCell ref="FV2:FV4"/>
    <mergeCell ref="FM2:FM4"/>
    <mergeCell ref="FN2:FN4"/>
    <mergeCell ref="FO2:FO4"/>
    <mergeCell ref="FP2:FP4"/>
    <mergeCell ref="FQ2:FQ4"/>
    <mergeCell ref="FH2:FH4"/>
    <mergeCell ref="FI2:FI4"/>
    <mergeCell ref="FJ2:FJ4"/>
    <mergeCell ref="FK2:FK4"/>
    <mergeCell ref="FL2:FL4"/>
    <mergeCell ref="FC2:FC4"/>
    <mergeCell ref="FD2:FD4"/>
    <mergeCell ref="FE2:FE4"/>
    <mergeCell ref="FF2:FF4"/>
    <mergeCell ref="FG2:FG4"/>
    <mergeCell ref="EX2:EX4"/>
    <mergeCell ref="EY2:EY4"/>
    <mergeCell ref="EZ2:EZ4"/>
    <mergeCell ref="FA2:FA4"/>
    <mergeCell ref="FB2:FB4"/>
    <mergeCell ref="ES2:ES4"/>
    <mergeCell ref="ET2:ET4"/>
    <mergeCell ref="EU2:EU4"/>
    <mergeCell ref="EV2:EV4"/>
    <mergeCell ref="EW2:EW4"/>
    <mergeCell ref="EN2:EN4"/>
    <mergeCell ref="EO2:EO4"/>
    <mergeCell ref="EP2:EP4"/>
    <mergeCell ref="EQ2:EQ4"/>
    <mergeCell ref="ER2:ER4"/>
    <mergeCell ref="EI2:EI4"/>
    <mergeCell ref="EJ2:EJ4"/>
    <mergeCell ref="EK2:EK4"/>
    <mergeCell ref="EL2:EL4"/>
    <mergeCell ref="EM2:EM4"/>
    <mergeCell ref="ED2:ED4"/>
    <mergeCell ref="EE2:EE4"/>
    <mergeCell ref="EF2:EF4"/>
    <mergeCell ref="EG2:EG4"/>
    <mergeCell ref="EH2:EH4"/>
    <mergeCell ref="DY2:DY4"/>
    <mergeCell ref="DZ2:DZ4"/>
    <mergeCell ref="EA2:EA4"/>
    <mergeCell ref="EB2:EB4"/>
    <mergeCell ref="EC2:EC4"/>
    <mergeCell ref="DT2:DT4"/>
    <mergeCell ref="DU2:DU4"/>
    <mergeCell ref="DV2:DV4"/>
    <mergeCell ref="DW2:DW4"/>
    <mergeCell ref="DX2:DX4"/>
    <mergeCell ref="DO2:DO4"/>
    <mergeCell ref="DP2:DP4"/>
    <mergeCell ref="DQ2:DQ4"/>
    <mergeCell ref="DR2:DR4"/>
    <mergeCell ref="DS2:DS4"/>
    <mergeCell ref="DJ2:DJ4"/>
    <mergeCell ref="DK2:DK4"/>
    <mergeCell ref="DL2:DL4"/>
    <mergeCell ref="DM2:DM4"/>
    <mergeCell ref="DN2:DN4"/>
    <mergeCell ref="DE2:DE4"/>
    <mergeCell ref="DF2:DF4"/>
    <mergeCell ref="DG2:DG4"/>
    <mergeCell ref="DH2:DH4"/>
    <mergeCell ref="DI2:DI4"/>
    <mergeCell ref="CZ2:CZ4"/>
    <mergeCell ref="DA2:DA4"/>
    <mergeCell ref="DB2:DB4"/>
    <mergeCell ref="DC2:DC4"/>
    <mergeCell ref="DD2:DD4"/>
    <mergeCell ref="CR2:CR4"/>
    <mergeCell ref="CS2:CS4"/>
    <mergeCell ref="CT2:CT4"/>
    <mergeCell ref="CU2:CU4"/>
    <mergeCell ref="CV2:CV4"/>
    <mergeCell ref="CM2:CM4"/>
    <mergeCell ref="CN2:CN4"/>
    <mergeCell ref="CO2:CO4"/>
    <mergeCell ref="CP2:CP4"/>
    <mergeCell ref="CQ2:CQ4"/>
    <mergeCell ref="CH2:CH4"/>
    <mergeCell ref="CI2:CI4"/>
    <mergeCell ref="CJ2:CJ4"/>
    <mergeCell ref="CK2:CK4"/>
    <mergeCell ref="CL2:CL4"/>
    <mergeCell ref="CC2:CC4"/>
    <mergeCell ref="CD2:CD4"/>
    <mergeCell ref="CE2:CE4"/>
    <mergeCell ref="CF2:CF4"/>
    <mergeCell ref="CG2:CG4"/>
    <mergeCell ref="BX2:BX4"/>
    <mergeCell ref="BY2:BY4"/>
    <mergeCell ref="BZ2:BZ4"/>
    <mergeCell ref="CA2:CA4"/>
    <mergeCell ref="CB2:CB4"/>
    <mergeCell ref="BP2:BP4"/>
    <mergeCell ref="BQ2:BQ4"/>
    <mergeCell ref="BR2:BR4"/>
    <mergeCell ref="BV2:BV4"/>
    <mergeCell ref="BW2:BW4"/>
    <mergeCell ref="BK2:BK4"/>
    <mergeCell ref="BL2:BL4"/>
    <mergeCell ref="BM2:BM4"/>
    <mergeCell ref="BN2:BN4"/>
    <mergeCell ref="BO2:BO4"/>
    <mergeCell ref="BF2:BF4"/>
    <mergeCell ref="BG2:BG4"/>
    <mergeCell ref="BH2:BH4"/>
    <mergeCell ref="BI2:BI4"/>
    <mergeCell ref="BJ2:BJ4"/>
    <mergeCell ref="BA2:BA4"/>
    <mergeCell ref="BB2:BB4"/>
    <mergeCell ref="BC2:BC4"/>
    <mergeCell ref="BD2:BD4"/>
    <mergeCell ref="BE2:BE4"/>
    <mergeCell ref="AI2:AI4"/>
    <mergeCell ref="AJ2:AJ4"/>
    <mergeCell ref="AK2:AK4"/>
    <mergeCell ref="AV2:AV4"/>
    <mergeCell ref="AW2:AW4"/>
    <mergeCell ref="AX2:AX4"/>
    <mergeCell ref="AY2:AY4"/>
    <mergeCell ref="AZ2:AZ4"/>
    <mergeCell ref="AQ2:AQ4"/>
    <mergeCell ref="AR2:AR4"/>
    <mergeCell ref="AS2:AS4"/>
    <mergeCell ref="AT2:AT4"/>
    <mergeCell ref="AU2:AU4"/>
    <mergeCell ref="GX1:GZ1"/>
    <mergeCell ref="HA1:HC1"/>
    <mergeCell ref="HD1:HF1"/>
    <mergeCell ref="M2:M4"/>
    <mergeCell ref="N2:N4"/>
    <mergeCell ref="O2:O4"/>
    <mergeCell ref="P2:P4"/>
    <mergeCell ref="Q2:Q4"/>
    <mergeCell ref="R2:R4"/>
    <mergeCell ref="S2:S4"/>
    <mergeCell ref="T2:T4"/>
    <mergeCell ref="U2:U4"/>
    <mergeCell ref="AC2:AC4"/>
    <mergeCell ref="AD2:AD4"/>
    <mergeCell ref="AE2:AE4"/>
    <mergeCell ref="AF2:AF4"/>
    <mergeCell ref="GI1:GK1"/>
    <mergeCell ref="GL1:GN1"/>
    <mergeCell ref="GO1:GQ1"/>
    <mergeCell ref="GR1:GT1"/>
    <mergeCell ref="GU1:GW1"/>
    <mergeCell ref="FT1:FV1"/>
    <mergeCell ref="FW1:FX1"/>
    <mergeCell ref="FZ1:GB1"/>
    <mergeCell ref="GC1:GE1"/>
    <mergeCell ref="GF1:GH1"/>
    <mergeCell ref="FE1:FG1"/>
    <mergeCell ref="FH1:FJ1"/>
    <mergeCell ref="FK1:FM1"/>
    <mergeCell ref="FN1:FP1"/>
    <mergeCell ref="FQ1:FS1"/>
    <mergeCell ref="EP1:ER1"/>
    <mergeCell ref="ES1:EU1"/>
    <mergeCell ref="EV1:EX1"/>
    <mergeCell ref="EY1:FA1"/>
    <mergeCell ref="FB1:FD1"/>
    <mergeCell ref="EA1:EC1"/>
    <mergeCell ref="ED1:EF1"/>
    <mergeCell ref="EG1:EI1"/>
    <mergeCell ref="EJ1:EL1"/>
    <mergeCell ref="EM1:EO1"/>
    <mergeCell ref="DL1:DN1"/>
    <mergeCell ref="DO1:DQ1"/>
    <mergeCell ref="DR1:DT1"/>
    <mergeCell ref="DU1:DW1"/>
    <mergeCell ref="DX1:DZ1"/>
    <mergeCell ref="CW1:CY1"/>
    <mergeCell ref="CZ1:DB1"/>
    <mergeCell ref="DC1:DE1"/>
    <mergeCell ref="DF1:DH1"/>
    <mergeCell ref="DI1:DK1"/>
    <mergeCell ref="CH1:CJ1"/>
    <mergeCell ref="CK1:CM1"/>
    <mergeCell ref="CN1:CP1"/>
    <mergeCell ref="CQ1:CS1"/>
    <mergeCell ref="CT1:CV1"/>
    <mergeCell ref="BS1:BU1"/>
    <mergeCell ref="BV1:BX1"/>
    <mergeCell ref="BY1:CA1"/>
    <mergeCell ref="CB1:CD1"/>
    <mergeCell ref="CE1:CG1"/>
    <mergeCell ref="BD1:BF1"/>
    <mergeCell ref="BG1:BI1"/>
    <mergeCell ref="BJ1:BL1"/>
    <mergeCell ref="BM1:BO1"/>
    <mergeCell ref="BP1:BR1"/>
    <mergeCell ref="A289:C289"/>
    <mergeCell ref="A37:C37"/>
    <mergeCell ref="A81:C81"/>
    <mergeCell ref="A92:C92"/>
    <mergeCell ref="A140:C140"/>
    <mergeCell ref="A229:C229"/>
    <mergeCell ref="A241:C241"/>
    <mergeCell ref="A1:C1"/>
    <mergeCell ref="A2:C4"/>
    <mergeCell ref="A253:C253"/>
    <mergeCell ref="AB1:AB4"/>
    <mergeCell ref="AI1:AK1"/>
    <mergeCell ref="AL1:AN1"/>
    <mergeCell ref="AO1:AQ1"/>
    <mergeCell ref="AR1:AT1"/>
    <mergeCell ref="AU1:AW1"/>
    <mergeCell ref="AX1:AZ1"/>
    <mergeCell ref="BA1:BC1"/>
    <mergeCell ref="A265:C265"/>
    <mergeCell ref="D1:F1"/>
    <mergeCell ref="G1:I1"/>
    <mergeCell ref="J1:L1"/>
    <mergeCell ref="M1:O1"/>
    <mergeCell ref="P1:R1"/>
    <mergeCell ref="S1:U1"/>
    <mergeCell ref="V1:X1"/>
    <mergeCell ref="Y1:AA1"/>
    <mergeCell ref="AL2:AL4"/>
    <mergeCell ref="AM2:AM4"/>
    <mergeCell ref="AN2:AN4"/>
    <mergeCell ref="AO2:AO4"/>
    <mergeCell ref="AP2:AP4"/>
    <mergeCell ref="AG2:AG4"/>
    <mergeCell ref="AH2:AH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Instructions</vt:lpstr>
      <vt:lpstr>Am-241 Default</vt:lpstr>
      <vt:lpstr>Cs-137+D Default</vt:lpstr>
      <vt:lpstr>Ra-226+D Default</vt:lpstr>
      <vt:lpstr>Rn-222+D Default</vt:lpstr>
      <vt:lpstr>Am-241 D-bq</vt:lpstr>
      <vt:lpstr>Cs-137+D D-bq</vt:lpstr>
      <vt:lpstr>Ra-226+D D-bq</vt:lpstr>
      <vt:lpstr>Rn-222+D D-bq</vt:lpstr>
      <vt:lpstr>Am-241  D_mass</vt:lpstr>
      <vt:lpstr>Cs-137+D  D_mass</vt:lpstr>
      <vt:lpstr>Ra-226+D D_mass</vt:lpstr>
      <vt:lpstr>Rn-222+D  D_mass</vt:lpstr>
      <vt:lpstr>AM-241 SS</vt:lpstr>
      <vt:lpstr>Cs-137+D SS</vt:lpstr>
      <vt:lpstr>Ra-226+D SS</vt:lpstr>
      <vt:lpstr>Rn-222+D SS</vt:lpstr>
      <vt:lpstr>Am-241 SS_bq</vt:lpstr>
      <vt:lpstr>Cs-137+D SS_bq</vt:lpstr>
      <vt:lpstr>Ra-226+D SS_bq</vt:lpstr>
      <vt:lpstr>Rn-222+D SS_bq</vt:lpstr>
      <vt:lpstr>Am-241 SS_mass</vt:lpstr>
      <vt:lpstr>Cs-137+D SS_mass</vt:lpstr>
      <vt:lpstr>Ra-226+D SS_mass</vt:lpstr>
      <vt:lpstr>Rn-222+D SS_mass</vt:lpstr>
      <vt:lpstr>PEF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Dolislager, Fredrick G.</dc:creator>
  <cp:lastModifiedBy>Manning, Karessa L.</cp:lastModifiedBy>
  <dcterms:created xsi:type="dcterms:W3CDTF">2014-05-12T17:24:56Z</dcterms:created>
  <dcterms:modified xsi:type="dcterms:W3CDTF">2015-10-21T12:53:56Z</dcterms:modified>
</cp:coreProperties>
</file>